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<sst xmlns="http://schemas.openxmlformats.org/spreadsheetml/2006/main" count="9166" uniqueCount="9166">
  <si>
    <t>Date Type:</t>
  </si>
  <si>
    <t>Shipped Date</t>
  </si>
  <si>
    <t>Start Date:</t>
  </si>
  <si>
    <t>11/01/2024</t>
  </si>
  <si>
    <t>End Date:</t>
  </si>
  <si>
    <t>11/30/2024</t>
  </si>
  <si>
    <t>Report Run Date:</t>
  </si>
  <si>
    <t>12/02/2024</t>
  </si>
  <si>
    <t>Sorting:</t>
  </si>
  <si>
    <t>Pattern/Color Sales Total DESC</t>
  </si>
  <si>
    <t>Product Category Sales Total DESC</t>
  </si>
  <si>
    <t>Brand Sales Total DESC</t>
  </si>
  <si>
    <t>Division DESC</t>
  </si>
  <si>
    <t>Item Information</t>
  </si>
  <si>
    <t>Current And Future Inventory</t>
  </si>
  <si>
    <t>Current And History Sales Comparison</t>
  </si>
  <si>
    <t>OVERSTOCK01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</si>
  <si>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</si>
  <si>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</si>
  <si>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</si>
  <si>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</si>
  <si>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</si>
  <si>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</si>
  <si>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</si>
  <si>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</si>
  <si>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</si>
  <si>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</si>
  <si>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</si>
  <si>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</si>
  <si>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</si>
  <si>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</si>
  <si>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</si>
  <si>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</si>
  <si>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</si>
  <si>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</si>
  <si>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</si>
  <si>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</si>
  <si>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</si>
  <si>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</si>
  <si>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</si>
  <si>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</si>
  <si>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</si>
  <si>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</si>
  <si>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</si>
  <si>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</si>
  <si>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</si>
  <si>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</si>
  <si>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</si>
  <si>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Customer Item No.</t>
  </si>
  <si>
    <t>Customer Division</t>
  </si>
  <si>
    <t>Customer Buyer</t>
  </si>
  <si>
    <t>Program Tier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</si>
  <si>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</si>
  <si>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</si>
  <si>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</si>
  <si>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</si>
  <si>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</si>
  <si>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</si>
  <si>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</si>
  <si>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</si>
  <si>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</si>
  <si>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</si>
  <si>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</si>
  <si>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</si>
  <si>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</si>
  <si>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</si>
  <si>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</si>
  <si>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</si>
  <si>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</si>
  <si>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</si>
  <si>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</si>
  <si>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</si>
  <si>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</si>
  <si>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</si>
  <si>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</si>
  <si>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</si>
  <si>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</si>
  <si>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</si>
  <si>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</si>
  <si>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</si>
  <si>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</si>
  <si>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</si>
  <si>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</si>
  <si>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</si>
  <si>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</si>
  <si>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</si>
  <si>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</si>
  <si>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</si>
  <si>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</si>
  <si>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</si>
  <si>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</si>
  <si>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</si>
  <si>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</si>
  <si>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</si>
  <si>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</si>
  <si>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</si>
  <si>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</si>
  <si>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</si>
  <si>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</si>
  <si>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</si>
  <si>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</si>
  <si>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</si>
  <si>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</si>
  <si>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</si>
  <si>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</si>
  <si>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</si>
  <si>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</si>
  <si>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11/26/2024</t>
  </si>
  <si>
    <t>11/27/2024</t>
  </si>
  <si>
    <t>11/29/2024</t>
  </si>
  <si>
    <t>12/01/2024</t>
  </si>
  <si>
    <t>12/11/2024</t>
  </si>
  <si>
    <t>12/12/2024</t>
  </si>
  <si>
    <t>12/13/2024</t>
  </si>
  <si>
    <t>12/15/2024</t>
  </si>
  <si>
    <t>12/16/2024</t>
  </si>
  <si>
    <t>12/17/2024</t>
  </si>
  <si>
    <t>12/18/2024</t>
  </si>
  <si>
    <t>12/19/2024</t>
  </si>
  <si>
    <t>12/20/2024</t>
  </si>
  <si>
    <t>12/22/2024</t>
  </si>
  <si>
    <t>12/23/2024</t>
  </si>
  <si>
    <t>12/24/2024</t>
  </si>
  <si>
    <t>12/25/2024</t>
  </si>
  <si>
    <t>12/26/2024</t>
  </si>
  <si>
    <t>12/27/2024</t>
  </si>
  <si>
    <t>12/28/2024</t>
  </si>
  <si>
    <t>12/29/2024</t>
  </si>
  <si>
    <t>12/30/2024</t>
  </si>
  <si>
    <t>12/31/2024</t>
  </si>
  <si>
    <t>01/01/2025</t>
  </si>
  <si>
    <t>01/02/2025</t>
  </si>
  <si>
    <t>01/03/2025</t>
  </si>
  <si>
    <t>01/05/2025</t>
  </si>
  <si>
    <t>01/06/2025</t>
  </si>
  <si>
    <t>01/07/2025</t>
  </si>
  <si>
    <t>01/09/2025</t>
  </si>
  <si>
    <t>01/11/2025</t>
  </si>
  <si>
    <t>01/12/2025</t>
  </si>
  <si>
    <t>01/13/2025</t>
  </si>
  <si>
    <t>01/14/2025</t>
  </si>
  <si>
    <t>01/15/2025</t>
  </si>
  <si>
    <t>01/17/2025</t>
  </si>
  <si>
    <t>01/19/2025</t>
  </si>
  <si>
    <t>01/20/2025</t>
  </si>
  <si>
    <t>01/21/2025</t>
  </si>
  <si>
    <t>01/22/2025</t>
  </si>
  <si>
    <t>01/24/2025</t>
  </si>
  <si>
    <t>01/26/2025</t>
  </si>
  <si>
    <t>01/27/2025</t>
  </si>
  <si>
    <t>01/28/2025</t>
  </si>
  <si>
    <t>01/29/2025</t>
  </si>
  <si>
    <t>01/30/2025</t>
  </si>
  <si>
    <t>01/31/2025</t>
  </si>
  <si>
    <t>02/04/2025</t>
  </si>
  <si>
    <t>02/05/2025</t>
  </si>
  <si>
    <t>02/08/2025</t>
  </si>
  <si>
    <t>02/11/2025</t>
  </si>
  <si>
    <t>02/12/2025</t>
  </si>
  <si>
    <t>02/14/2025</t>
  </si>
  <si>
    <t>02/16/2025</t>
  </si>
  <si>
    <t>02/17/2025</t>
  </si>
  <si>
    <t>02/19/2025</t>
  </si>
  <si>
    <t>02/20/2025</t>
  </si>
  <si>
    <t>02/21/2025</t>
  </si>
  <si>
    <t>02/23/2025</t>
  </si>
  <si>
    <t>02/24/2025</t>
  </si>
  <si>
    <t>02/25/2025</t>
  </si>
  <si>
    <t>02/26/2025</t>
  </si>
  <si>
    <t>02/28/2025</t>
  </si>
  <si>
    <t>03/03/2025</t>
  </si>
  <si>
    <t>03/05/2025</t>
  </si>
  <si>
    <t>03/09/2025</t>
  </si>
  <si>
    <t>03/11/2025</t>
  </si>
  <si>
    <t>03/12/2025</t>
  </si>
  <si>
    <t>03/14/2025</t>
  </si>
  <si>
    <t>03/15/2025</t>
  </si>
  <si>
    <t>03/17/2025</t>
  </si>
  <si>
    <t>03/19/2025</t>
  </si>
  <si>
    <t>03/22/2025</t>
  </si>
  <si>
    <t>03/24/2025</t>
  </si>
  <si>
    <t>03/26/2025</t>
  </si>
  <si>
    <t>03/27/2025</t>
  </si>
  <si>
    <t>03/29/2025</t>
  </si>
  <si>
    <t>04/01/2025</t>
  </si>
  <si>
    <t>04/02/2025</t>
  </si>
  <si>
    <t>04/03/2025</t>
  </si>
  <si>
    <t>04/07/2025</t>
  </si>
  <si>
    <t>04/08/2025</t>
  </si>
  <si>
    <t>04/09/2025</t>
  </si>
  <si>
    <t>04/12/2025</t>
  </si>
  <si>
    <t>04/14/2025</t>
  </si>
  <si>
    <t>04/16/2025</t>
  </si>
  <si>
    <t>04/18/2025</t>
  </si>
  <si>
    <t>MPT51-0061</t>
  </si>
  <si>
    <t>BLK</t>
  </si>
  <si>
    <t>MP2 by Madison Park</t>
  </si>
  <si>
    <t>BLANKET</t>
  </si>
  <si>
    <t>Blanket</t>
  </si>
  <si>
    <t>.</t>
  </si>
  <si>
    <t/>
  </si>
  <si>
    <t>Weighted Blanket with Reversible Cover</t>
  </si>
  <si>
    <t>41x60"-10lbs</t>
  </si>
  <si>
    <t>Gray</t>
  </si>
  <si>
    <t>Inactive</t>
  </si>
  <si>
    <t>TBD</t>
  </si>
  <si>
    <t>NO</t>
  </si>
  <si>
    <t>OVERSCONSIGN</t>
  </si>
  <si>
    <t>Solid</t>
  </si>
  <si>
    <t>9/6/2019</t>
  </si>
  <si>
    <t>N/A</t>
  </si>
  <si>
    <t>Open</t>
  </si>
  <si>
    <t>Active</t>
  </si>
  <si>
    <t>No</t>
  </si>
  <si>
    <t>MPT51-0062</t>
  </si>
  <si>
    <t>MPT51-0070</t>
  </si>
  <si>
    <t>60x80"-20lbs</t>
  </si>
  <si>
    <t>MPT51-0071</t>
  </si>
  <si>
    <t>60x80"-25lbs</t>
  </si>
  <si>
    <t>MPT51-0063</t>
  </si>
  <si>
    <t>36x48"-5lbs</t>
  </si>
  <si>
    <t>Grey</t>
  </si>
  <si>
    <t>MPT51-0066</t>
  </si>
  <si>
    <t>Navy</t>
  </si>
  <si>
    <t>MPT51-0065</t>
  </si>
  <si>
    <t>MPT51-0064</t>
  </si>
  <si>
    <t>48x72"-15lbs</t>
  </si>
  <si>
    <t>MPT51-0072</t>
  </si>
  <si>
    <t>MPT51-0073</t>
  </si>
  <si>
    <t>MP20-8505</t>
  </si>
  <si>
    <t>SHET</t>
  </si>
  <si>
    <t>Madison Park</t>
  </si>
  <si>
    <t>SHEET/SHEET SET</t>
  </si>
  <si>
    <t>Sheet/Sheet Set</t>
  </si>
  <si>
    <t>1500 Thread Count</t>
  </si>
  <si>
    <t>Cotton Blend 4 PC Sheet Set</t>
  </si>
  <si>
    <t>Cal King</t>
  </si>
  <si>
    <t>Black</t>
  </si>
  <si>
    <t>PP001239;PF006418</t>
  </si>
  <si>
    <t>CVC</t>
  </si>
  <si>
    <t>4</t>
  </si>
  <si>
    <t>Casual</t>
  </si>
  <si>
    <t>Glam/Luxury</t>
  </si>
  <si>
    <t>11/2/2024</t>
  </si>
  <si>
    <t>3/24/2025</t>
  </si>
  <si>
    <t>JCPENNEY01,KOHLDSN,MACY02,TGTDVS</t>
  </si>
  <si>
    <t>23403829-000-020</t>
  </si>
  <si>
    <t>Setup</t>
  </si>
  <si>
    <t>11/11/2024</t>
  </si>
  <si>
    <t>BASI16-0386</t>
  </si>
  <si>
    <t>BASI</t>
  </si>
  <si>
    <t>Sleep Philosophy</t>
  </si>
  <si>
    <t>MATT PAD/TOPPER</t>
  </si>
  <si>
    <t>Mattress Toppers</t>
  </si>
  <si>
    <t>2" Gel Memory Foam with 3M Cover</t>
  </si>
  <si>
    <t>Mattress Topper</t>
  </si>
  <si>
    <t>Twin</t>
  </si>
  <si>
    <t>White</t>
  </si>
  <si>
    <t>B</t>
  </si>
  <si>
    <t>PF002107</t>
  </si>
  <si>
    <t>Foam</t>
  </si>
  <si>
    <t>4/2/2017</t>
  </si>
  <si>
    <t>AAFESDS,JCPENNEY01,KOHLDSN,MACY02</t>
  </si>
  <si>
    <t>17764099-000-000</t>
  </si>
  <si>
    <t>Tier 3</t>
  </si>
  <si>
    <t>7/30/2016</t>
  </si>
  <si>
    <t>7/3/2017</t>
  </si>
  <si>
    <t>BASI16-0555</t>
  </si>
  <si>
    <t>2" Memory Foam Mattress Topper</t>
  </si>
  <si>
    <t>Twin XL</t>
  </si>
  <si>
    <t>1</t>
  </si>
  <si>
    <t>9/25/2018</t>
  </si>
  <si>
    <t>JCPENNEY01,KOHLDSN,MACY02,OLLIIX</t>
  </si>
  <si>
    <t>17764099-000-005</t>
  </si>
  <si>
    <t>10/3/2018</t>
  </si>
  <si>
    <t>1/23/2019</t>
  </si>
  <si>
    <t>BASI16-0387</t>
  </si>
  <si>
    <t>Full</t>
  </si>
  <si>
    <t>JCPENNEY01,KOHLDSN,OLLIIX</t>
  </si>
  <si>
    <t>17764099-000-001</t>
  </si>
  <si>
    <t>10/9/2017</t>
  </si>
  <si>
    <t>BASI16-0469</t>
  </si>
  <si>
    <t>2" Gel Memory Foam with Cooling Cover</t>
  </si>
  <si>
    <t>2"Gel Memory Foam with Cooling Cover</t>
  </si>
  <si>
    <t>All Season Reversible Hypoallergenic Cooling Mattress Topper</t>
  </si>
  <si>
    <t>C</t>
  </si>
  <si>
    <t>PF002152</t>
  </si>
  <si>
    <t>CSNSTORES,KOHLDSN,TGTDVS</t>
  </si>
  <si>
    <t>19965443-000-000</t>
  </si>
  <si>
    <t>Tier 4</t>
  </si>
  <si>
    <t>11/1/2016</t>
  </si>
  <si>
    <t>5/10/2017</t>
  </si>
  <si>
    <t>BASI16-0471</t>
  </si>
  <si>
    <t>CSNSTORES,JCPENNEY01,KOHLDSN,MACY02,TGTDVS</t>
  </si>
  <si>
    <t>19965443-000-002</t>
  </si>
  <si>
    <t>2/2/2017</t>
  </si>
  <si>
    <t>BASI16-0472</t>
  </si>
  <si>
    <t>Queen</t>
  </si>
  <si>
    <t>BLK01,JCPENNEY01,KOHLDSN,MACY02,TGTDVS</t>
  </si>
  <si>
    <t>19965443-000-003</t>
  </si>
  <si>
    <t>2/27/2017</t>
  </si>
  <si>
    <t>BASI16-0473</t>
  </si>
  <si>
    <t>King</t>
  </si>
  <si>
    <t>CSNSTORES</t>
  </si>
  <si>
    <t>19965443-000-004</t>
  </si>
  <si>
    <t>2/9/2017</t>
  </si>
  <si>
    <t>MPE20-1044</t>
  </si>
  <si>
    <t>Madison Park Essentials</t>
  </si>
  <si>
    <t>200 Thread Count Printed Cotton</t>
  </si>
  <si>
    <t>Sheet Set</t>
  </si>
  <si>
    <t>Black Island</t>
  </si>
  <si>
    <t>PP001858;PF006130</t>
  </si>
  <si>
    <t>Cotton</t>
  </si>
  <si>
    <t>Coastal</t>
  </si>
  <si>
    <t>4/6/2024</t>
  </si>
  <si>
    <t>CSNSTORES,JCPENNEY01,MACY02</t>
  </si>
  <si>
    <t>42128528-000-012</t>
  </si>
  <si>
    <t>4/17/2024</t>
  </si>
  <si>
    <t>MPE20-1045</t>
  </si>
  <si>
    <t>KOHLDSN,MACY02,TGTDVS</t>
  </si>
  <si>
    <t>42128528-000-013</t>
  </si>
  <si>
    <t>MPE20-1046</t>
  </si>
  <si>
    <t>42128528-000-014</t>
  </si>
  <si>
    <t>5/23/2024</t>
  </si>
  <si>
    <t>MPE20-1041</t>
  </si>
  <si>
    <t>Blue Palmetto</t>
  </si>
  <si>
    <t>PP001858;PF006129</t>
  </si>
  <si>
    <t>CSNSTORES,KOHLDSN,MACY02,TGTDVS</t>
  </si>
  <si>
    <t>42128528-000-015</t>
  </si>
  <si>
    <t>10/29/2024</t>
  </si>
  <si>
    <t>MPE20-1042</t>
  </si>
  <si>
    <t>42128528-000-016</t>
  </si>
  <si>
    <t>7/8/2024</t>
  </si>
  <si>
    <t>MPE20-1043</t>
  </si>
  <si>
    <t>AMAZON,CSNSTORES,JCPENNEY01,KOHLDSN,MACY02</t>
  </si>
  <si>
    <t>42128528-000-017</t>
  </si>
  <si>
    <t>MPE20-1014</t>
  </si>
  <si>
    <t>Blue Stripe</t>
  </si>
  <si>
    <t>PP001858;PF005942</t>
  </si>
  <si>
    <t>Stripe</t>
  </si>
  <si>
    <t>3/22/2023</t>
  </si>
  <si>
    <t>AMAZON,AMAZONDS,BLK01,CSNSTORES,JCPENNEY01,KOHLDSN,MACY02,TGTDVS</t>
  </si>
  <si>
    <t>42128528-000-007</t>
  </si>
  <si>
    <t>8/17/2023</t>
  </si>
  <si>
    <t>1/23/2024</t>
  </si>
  <si>
    <t>MPE20-1007</t>
  </si>
  <si>
    <t>Green Leaves</t>
  </si>
  <si>
    <t>PP001858;PF005940</t>
  </si>
  <si>
    <t>Botanical</t>
  </si>
  <si>
    <t>AMAZON,BLK01,CSNSTORES,JCPENNEY01,KOHLDSN,MACY02,OLLIIX,TGTDVS</t>
  </si>
  <si>
    <t>42128528-000-008</t>
  </si>
  <si>
    <t>8/31/2023</t>
  </si>
  <si>
    <t>MPE20-1008</t>
  </si>
  <si>
    <t>AMAZON,BLK01,CSNSTORES,JCPENNEY01,KOHLDSN,MACY02,NRTPORT,TGTDVS</t>
  </si>
  <si>
    <t>42128528-000-004</t>
  </si>
  <si>
    <t>8/21/2023</t>
  </si>
  <si>
    <t>MPE20-1015</t>
  </si>
  <si>
    <t>Grey Stripe</t>
  </si>
  <si>
    <t>PP001858;PF005943</t>
  </si>
  <si>
    <t>AMAZON,KOHLDSN,MACY02,TGTDVS</t>
  </si>
  <si>
    <t>42128528-000-000</t>
  </si>
  <si>
    <t>9/28/2023</t>
  </si>
  <si>
    <t>MPE20-1016</t>
  </si>
  <si>
    <t>AMAZON,CSNSTORES,JCPENNEY01,KOHLDSN,MACY02,OLLIIX,TGTDVS</t>
  </si>
  <si>
    <t>42128528-000-011</t>
  </si>
  <si>
    <t>12/18/2023</t>
  </si>
  <si>
    <t>MPE20-1009</t>
  </si>
  <si>
    <t>Tan Leaves</t>
  </si>
  <si>
    <t>PP001858;PF005941</t>
  </si>
  <si>
    <t>2/19/2025</t>
  </si>
  <si>
    <t>AMAZON,CSNSTORES,JCPENNEY01,KOHLDSN,MACY02,TGTDVS</t>
  </si>
  <si>
    <t>42128528-000-009</t>
  </si>
  <si>
    <t>9/6/2024</t>
  </si>
  <si>
    <t>BASI16-0591</t>
  </si>
  <si>
    <t>Mattress Pad</t>
  </si>
  <si>
    <t>2-in-1</t>
  </si>
  <si>
    <t>Cool/Warm Reversible Waterproof and Stain Release Mattress Pad</t>
  </si>
  <si>
    <t>PP001897;PF006054</t>
  </si>
  <si>
    <t>Microfiber</t>
  </si>
  <si>
    <t>Modern/Contemporary</t>
  </si>
  <si>
    <t>9/13/2023</t>
  </si>
  <si>
    <t>AMAZONDS,BLK01,JCPENNEY01,KOHLDSN,MACY02,NRTPORT,TGTDVS</t>
  </si>
  <si>
    <t>42656846-000-000</t>
  </si>
  <si>
    <t>9/18/2023</t>
  </si>
  <si>
    <t>5/7/2024</t>
  </si>
  <si>
    <t>BASI16-0418</t>
  </si>
  <si>
    <t>3" Gel Memory Foam</t>
  </si>
  <si>
    <t>Blue</t>
  </si>
  <si>
    <t>PF002106</t>
  </si>
  <si>
    <t>AMAZON,BEALLSDS,BLK01,KOHLDSN,MACY02,TGTDVS,ZOLA</t>
  </si>
  <si>
    <t>19524730-000-001</t>
  </si>
  <si>
    <t>9/15/2016</t>
  </si>
  <si>
    <t>11/16/2016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</si>
  <si>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</si>
  <si>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</si>
  <si>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</si>
  <si>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</si>
  <si>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</si>
  <si>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AMAZONDS,JCPENNEY01,KOHLDSN,OLLIIX,TGTDVS</t>
  </si>
  <si>
    <t>19965442-000-000</t>
  </si>
  <si>
    <t>7/7/2017</t>
  </si>
  <si>
    <t>BASI16-0476</t>
  </si>
  <si>
    <t>AMAZONDS,HDDS,KOHLDSN,MACY02,TGTDVS,WALMARTDS</t>
  </si>
  <si>
    <t>19965442-000-001</t>
  </si>
  <si>
    <t>12/21/2016</t>
  </si>
  <si>
    <t>BASI16-0478</t>
  </si>
  <si>
    <t>AAFESDS,AMAZON,AMAZONDS,BLK01,JCPENNEY01,KOHLDSN,MACY02,OLLIIX,TGTDVS</t>
  </si>
  <si>
    <t>19965442-000-003</t>
  </si>
  <si>
    <t>1/30/2017</t>
  </si>
  <si>
    <t>BASI16-0479</t>
  </si>
  <si>
    <t>AAFESDS,AMAZON,BLK01,CSNSTORES,HDDS,JCPENNEY01,KOHLDSN,MACY02,OLLIIX,TGTDVS,ZOLA</t>
  </si>
  <si>
    <t>19965442-000-004</t>
  </si>
  <si>
    <t>CSP16-1527</t>
  </si>
  <si>
    <t>Clean Spaces</t>
  </si>
  <si>
    <t>3" Green Tea Foam Topper with Cooling Cover</t>
  </si>
  <si>
    <t>3" Green Tea Foam Topper with Cooling Removable Cover</t>
  </si>
  <si>
    <t>Green</t>
  </si>
  <si>
    <t>Donation</t>
  </si>
  <si>
    <t>PP001781;PF005729</t>
  </si>
  <si>
    <t>Transitional</t>
  </si>
  <si>
    <t>8/18/2022</t>
  </si>
  <si>
    <t>JCPENNEY01,MACY02,OLLIIX</t>
  </si>
  <si>
    <t>40289713-000-001</t>
  </si>
  <si>
    <t>8/23/2022</t>
  </si>
  <si>
    <t>12/12/2023</t>
  </si>
  <si>
    <t>CSP16-1528</t>
  </si>
  <si>
    <t>JCPENNEY01,MACY02,OLLIIX,TGTDVS</t>
  </si>
  <si>
    <t>40289713-000-000</t>
  </si>
  <si>
    <t>9/8/2022</t>
  </si>
  <si>
    <t>CSP16-1529</t>
  </si>
  <si>
    <t>OLLIIX,ZOLA</t>
  </si>
  <si>
    <t>40289713-000-003</t>
  </si>
  <si>
    <t>12/7/2022</t>
  </si>
  <si>
    <t>MP20-8254</t>
  </si>
  <si>
    <t>300 Thread Count Organic Cotton</t>
  </si>
  <si>
    <t>Deep Pocket Sheet Set</t>
  </si>
  <si>
    <t>Ivory</t>
  </si>
  <si>
    <t>PP001890;PF006025</t>
  </si>
  <si>
    <t>8/26/2023</t>
  </si>
  <si>
    <t>KOHLDSN,OLLIIX,TGTDVS</t>
  </si>
  <si>
    <t>42171343-000-001</t>
  </si>
  <si>
    <t>8/29/2023</t>
  </si>
  <si>
    <t>10/5/2023</t>
  </si>
  <si>
    <t>CSP20-1509</t>
  </si>
  <si>
    <t>300TC BCI Cotton</t>
  </si>
  <si>
    <t>300TC BCI Cotton Sheet Set</t>
  </si>
  <si>
    <t>PF005684;PP001750</t>
  </si>
  <si>
    <t>5/26/2022</t>
  </si>
  <si>
    <t>JCPENNEY01,KOHLDSN,MACY02,OLLIIX,TGTDVS</t>
  </si>
  <si>
    <t>40014637-000-003</t>
  </si>
  <si>
    <t>5/31/2022</t>
  </si>
  <si>
    <t>4/21/2024</t>
  </si>
  <si>
    <t>CSP20-1514</t>
  </si>
  <si>
    <t>PP001750;PF005685</t>
  </si>
  <si>
    <t>3</t>
  </si>
  <si>
    <t>MACY02</t>
  </si>
  <si>
    <t>40014637-000-006</t>
  </si>
  <si>
    <t>5/28/2022</t>
  </si>
  <si>
    <t>12/4/2023</t>
  </si>
  <si>
    <t>CSP20-1515</t>
  </si>
  <si>
    <t>Close-out</t>
  </si>
  <si>
    <t>40014637-000-002</t>
  </si>
  <si>
    <t>5/30/2022</t>
  </si>
  <si>
    <t>CSP20-1521</t>
  </si>
  <si>
    <t>Seafoam</t>
  </si>
  <si>
    <t>PP001750;PF005686</t>
  </si>
  <si>
    <t>MACY02,TGTDVS</t>
  </si>
  <si>
    <t>40014637-000-011</t>
  </si>
  <si>
    <t>2/20/2024</t>
  </si>
  <si>
    <t>CSP20-1503</t>
  </si>
  <si>
    <t>PF005683;PP001750</t>
  </si>
  <si>
    <t>CSNSTORES,KOHLDSN,MACY02,NEBFUR01,OLLIIX,TGTDVS</t>
  </si>
  <si>
    <t>40014637-000-013</t>
  </si>
  <si>
    <t>4/10/2024</t>
  </si>
  <si>
    <t>MP20-1185</t>
  </si>
  <si>
    <t>3M Microcell</t>
  </si>
  <si>
    <t>Luxurious Brushed Microfiber Deep Pocket Sheet Set</t>
  </si>
  <si>
    <t>PF001786</t>
  </si>
  <si>
    <t>BLK01,HSNDS,JCPENNEY01,KOHLDSN,MACY02,NRTPORT,OLLIIX,TGTDVS,WALMARTDS</t>
  </si>
  <si>
    <t>16596275-000-010</t>
  </si>
  <si>
    <t>6/1/2015</t>
  </si>
  <si>
    <t>MP20-2447</t>
  </si>
  <si>
    <t>1/29/2025</t>
  </si>
  <si>
    <t>BLK01,CSNSTORES,HSNDS,JCPENNEY01,KOHLDSN,MACY02,OLLIIX,WALMARTDS</t>
  </si>
  <si>
    <t>16596275-000-039</t>
  </si>
  <si>
    <t>5/17/2016</t>
  </si>
  <si>
    <t>MP20-1186</t>
  </si>
  <si>
    <t>BLK01,CSNSTORES,HDDS,HSNDS,JCPENNEY01,KOHLDSN,MACY02,OLLIIX,TGTDVS,WALMARTDS</t>
  </si>
  <si>
    <t>16596275-000-011</t>
  </si>
  <si>
    <t>6/5/2015</t>
  </si>
  <si>
    <t>MP20-1187</t>
  </si>
  <si>
    <t>BEALLSDS,BLK01,CSNSTORES,DESINC,HSNDS,JCPENNEY01,KOHLDSN,MACY02,OLLIIX,TGTDVS,WALMARTDS,ZOLA</t>
  </si>
  <si>
    <t>16596275-000-012</t>
  </si>
  <si>
    <t>4/24/2015</t>
  </si>
  <si>
    <t>MP20-1188</t>
  </si>
  <si>
    <t>BEALLSDS,HDDS,HSNDS,JCPENNEY01,KOHLDSN,MACY02,OLLIIX,TGTDVS,ZOLA</t>
  </si>
  <si>
    <t>16596275-000-013</t>
  </si>
  <si>
    <t>8/24/2015</t>
  </si>
  <si>
    <t>MP20-4392</t>
  </si>
  <si>
    <t>Blush</t>
  </si>
  <si>
    <t>PF001792</t>
  </si>
  <si>
    <t>5/17/2017</t>
  </si>
  <si>
    <t>AMAZON,AMAZONDS,BLK01,CSNSTORES,HDDS,HSNDS,JCPENNEY01,KOHLDSN,MACY02,WALMARTDS,ZOLA</t>
  </si>
  <si>
    <t>16596275-000-044</t>
  </si>
  <si>
    <t>4/25/2017</t>
  </si>
  <si>
    <t>5/31/2017</t>
  </si>
  <si>
    <t>MP20-4393</t>
  </si>
  <si>
    <t>AMAZON,BEALLSDS,JCPENNEY01,KOHLDSN</t>
  </si>
  <si>
    <t>16596275-000-045</t>
  </si>
  <si>
    <t>3/15/2018</t>
  </si>
  <si>
    <t>MP20-2383</t>
  </si>
  <si>
    <t>PF001789</t>
  </si>
  <si>
    <t>16596275-000-025</t>
  </si>
  <si>
    <t>5/10/2016</t>
  </si>
  <si>
    <t>MP20-2443</t>
  </si>
  <si>
    <t>BLK01,JCPENNEY01,KOHLDSN,MACY02,OLLIIX</t>
  </si>
  <si>
    <t>16596275-000-026</t>
  </si>
  <si>
    <t>10/24/2016</t>
  </si>
  <si>
    <t>MP20-2386</t>
  </si>
  <si>
    <t>BEALLSDS,BLK01,CSNSTORES,DESINC,JCPENNEY01,KIRKLANDDS,KOHLDSN,MACY02,OLLIIX,ZOLA</t>
  </si>
  <si>
    <t>16596275-000-029</t>
  </si>
  <si>
    <t>4/5/2016</t>
  </si>
  <si>
    <t>MP20-1180</t>
  </si>
  <si>
    <t>PF001785</t>
  </si>
  <si>
    <t>HSNDS,JCPENNEY01,KOHLDSN,MACY02,OLLIIX,TGTDVS,WALMARTDS</t>
  </si>
  <si>
    <t>16596275-000-005</t>
  </si>
  <si>
    <t>2/17/2015</t>
  </si>
  <si>
    <t>MP20-2446</t>
  </si>
  <si>
    <t>CSNSTORES,HSNDS,JCPENNEY01,KOHLDSN,MACY02,OLLIIX</t>
  </si>
  <si>
    <t>16596275-000-038</t>
  </si>
  <si>
    <t>7/5/2016</t>
  </si>
  <si>
    <t>MP20-1183</t>
  </si>
  <si>
    <t>16596275-000-008</t>
  </si>
  <si>
    <t>1/7/2015</t>
  </si>
  <si>
    <t>MP20-1184</t>
  </si>
  <si>
    <t>CSNSTORES,HSNDS,JCPENNEY01,KOHLDSN,MACY02</t>
  </si>
  <si>
    <t>16596275-000-009</t>
  </si>
  <si>
    <t>5/12/2015</t>
  </si>
  <si>
    <t>MP20-1194</t>
  </si>
  <si>
    <t>Khaki</t>
  </si>
  <si>
    <t>PF001787</t>
  </si>
  <si>
    <t>BLK01,HDDS,JCPENNEY01,KOHLDSN,MACY02</t>
  </si>
  <si>
    <t>16596275-000-019</t>
  </si>
  <si>
    <t>MP20-6334</t>
  </si>
  <si>
    <t>Purple</t>
  </si>
  <si>
    <t>PP001177;PF004673</t>
  </si>
  <si>
    <t>5/4/2019</t>
  </si>
  <si>
    <t>BLK01,CSNSTORES,JCPENNEY01,KOHLDSN,MACY02,OLLIIX</t>
  </si>
  <si>
    <t>16596275-000-056</t>
  </si>
  <si>
    <t>5/23/2019</t>
  </si>
  <si>
    <t>9/30/2019</t>
  </si>
  <si>
    <t>MP20-2388</t>
  </si>
  <si>
    <t>PF001791</t>
  </si>
  <si>
    <t>3/12/2025</t>
  </si>
  <si>
    <t>AMAZON,BLK01,JCPENNEY01,KOHLDSN,MACY02,OLLIIX</t>
  </si>
  <si>
    <t>16596275-000-031</t>
  </si>
  <si>
    <t>6/23/2016</t>
  </si>
  <si>
    <t>MP20-2444</t>
  </si>
  <si>
    <t>AMAZON,BLK01,HDDS,HSNDS,JCPENNEY01,KOHLDSN,MACY02,OLLIIX,WALMARTDS</t>
  </si>
  <si>
    <t>16596275-000-032</t>
  </si>
  <si>
    <t>4/13/2016</t>
  </si>
  <si>
    <t>MP20-2391</t>
  </si>
  <si>
    <t>AMAZON,BLK01,HDDS,HSNDS,JCPENNEY01,KOHLDSN,MACY02,WALMARTDS,ZOLA</t>
  </si>
  <si>
    <t>16596275-000-035</t>
  </si>
  <si>
    <t>MP20-6344</t>
  </si>
  <si>
    <t>Teal</t>
  </si>
  <si>
    <t>PP001177;PF004674</t>
  </si>
  <si>
    <t>BLK01,KOHLDSN,MACY02,NRTPORT</t>
  </si>
  <si>
    <t>16596275-000-049</t>
  </si>
  <si>
    <t>8/11/2020</t>
  </si>
  <si>
    <t>MP20-1175</t>
  </si>
  <si>
    <t>PF001784</t>
  </si>
  <si>
    <t>BLK01,JCPENNEY01,KOHLDSN,MACY02,OLLIIX,TGTDVS</t>
  </si>
  <si>
    <t>16596275-000-000</t>
  </si>
  <si>
    <t>1/6/2015</t>
  </si>
  <si>
    <t>MP20-1176</t>
  </si>
  <si>
    <t>BLK01,HDDS,JCPENNEY01,KOHLDSN,MACY02,OLLIIX,TGTDVS</t>
  </si>
  <si>
    <t>16596275-000-001</t>
  </si>
  <si>
    <t>8/13/2015</t>
  </si>
  <si>
    <t>MP20-1178</t>
  </si>
  <si>
    <t>BEALLSDS,BLK01,CSNSTORES,HDDS,HSNDS,JCPENNEY01,KOHLDSN,MACY02,OLLIIX,TGTDVS,WALMARTDS</t>
  </si>
  <si>
    <t>16596275-000-003</t>
  </si>
  <si>
    <t>2/23/2015</t>
  </si>
  <si>
    <t>MP20-1179</t>
  </si>
  <si>
    <t>DESINC,HDDS,HSNDS,JCPENNEY01,KOHLDSN,MACY02,TGTDVS</t>
  </si>
  <si>
    <t>16596275-000-004</t>
  </si>
  <si>
    <t>1/21/2015</t>
  </si>
  <si>
    <t>SHET20-731</t>
  </si>
  <si>
    <t>Peak Performance</t>
  </si>
  <si>
    <t>3M Scotchgard Micro Fleece</t>
  </si>
  <si>
    <t>Anti-Pill Sheet Set</t>
  </si>
  <si>
    <t>PF001798</t>
  </si>
  <si>
    <t>Fleece</t>
  </si>
  <si>
    <t>AMAZON,KOHLDSN,MACY02,NRTPORT,WALMARTDS</t>
  </si>
  <si>
    <t>16620311-000-020</t>
  </si>
  <si>
    <t>11/2/2015</t>
  </si>
  <si>
    <t>SHET20-590</t>
  </si>
  <si>
    <t>PF001795</t>
  </si>
  <si>
    <t>BLK01,KOHLDSN,MACY02,NRTPORT,WALMARTDS</t>
  </si>
  <si>
    <t>16620311-000-008</t>
  </si>
  <si>
    <t>SHET20-727</t>
  </si>
  <si>
    <t>Mink</t>
  </si>
  <si>
    <t>PF001797</t>
  </si>
  <si>
    <t>AMAZON,BLK01,CSNSTORES,KOHLDSN,MACY02,NRTPORT</t>
  </si>
  <si>
    <t>16620311-000-016</t>
  </si>
  <si>
    <t>11/9/2015</t>
  </si>
  <si>
    <t>MPS10-506</t>
  </si>
  <si>
    <t>Madison Park Signature</t>
  </si>
  <si>
    <t>COMFORTER (SET)</t>
  </si>
  <si>
    <t>Comforter (Set)</t>
  </si>
  <si>
    <t>500 Thread Count Luxury Collection</t>
  </si>
  <si>
    <t>100% Cotton Sateen Embroidered Comforter Set</t>
  </si>
  <si>
    <t>Full/Queen</t>
  </si>
  <si>
    <t>White/Grey</t>
  </si>
  <si>
    <t>PP001867;PF005968</t>
  </si>
  <si>
    <t>5</t>
  </si>
  <si>
    <t>Other</t>
  </si>
  <si>
    <t>6/12/2023</t>
  </si>
  <si>
    <t>AMAZON,JCPENNEY01,MACY02,NRTPORT,OLLIIX</t>
  </si>
  <si>
    <t>41779134-000-004</t>
  </si>
  <si>
    <t>Tier 2</t>
  </si>
  <si>
    <t>6/20/2023</t>
  </si>
  <si>
    <t>8/7/2023</t>
  </si>
  <si>
    <t>BR20-4700</t>
  </si>
  <si>
    <t>Beautyrest</t>
  </si>
  <si>
    <t>600 Thread Count</t>
  </si>
  <si>
    <t>Cooling Cotton Blend 4 PC Sheet Set</t>
  </si>
  <si>
    <t>PP001188;PF006417</t>
  </si>
  <si>
    <t>33381532-000-039</t>
  </si>
  <si>
    <t>Tier 1</t>
  </si>
  <si>
    <t>11/6/2024</t>
  </si>
  <si>
    <t>BR20-4703</t>
  </si>
  <si>
    <t>11/1/2024</t>
  </si>
  <si>
    <t>AMAZON,JCPENNEY01,KOHLDSN,MACY02,OLLIIX,TGTDVS</t>
  </si>
  <si>
    <t>33381532-000-036</t>
  </si>
  <si>
    <t>SHET20-512</t>
  </si>
  <si>
    <t>Pima Cotton Sheet Set</t>
  </si>
  <si>
    <t>Gold</t>
  </si>
  <si>
    <t>PF001747</t>
  </si>
  <si>
    <t>15389857-000-014</t>
  </si>
  <si>
    <t>1/20/2016</t>
  </si>
  <si>
    <t>BR20-1922</t>
  </si>
  <si>
    <t>PP001188;PF005146</t>
  </si>
  <si>
    <t>8/18/2020</t>
  </si>
  <si>
    <t>3/26/2025</t>
  </si>
  <si>
    <t>BLK01,CSNSTORES,FINGERHUTDS,JCPENNEY01,KOHLDSN,MACY02,TGTDVS</t>
  </si>
  <si>
    <t>33381532-000-034</t>
  </si>
  <si>
    <t>9/22/2020</t>
  </si>
  <si>
    <t>1/25/2021</t>
  </si>
  <si>
    <t>BR20-1905</t>
  </si>
  <si>
    <t>700 Thread Count</t>
  </si>
  <si>
    <t>Cotton Tri-Blend 4 PC Sheet Set</t>
  </si>
  <si>
    <t>PP001512;PF005138</t>
  </si>
  <si>
    <t>10/30/2020</t>
  </si>
  <si>
    <t>JCPENNEY01,KOHLDSN,MACY02,NRTPORT</t>
  </si>
  <si>
    <t>36909435-000-001</t>
  </si>
  <si>
    <t>11/21/2020</t>
  </si>
  <si>
    <t>MPH20-0015</t>
  </si>
  <si>
    <t>800 Thread Count</t>
  </si>
  <si>
    <t>Cotton Blend Sateen Sheet Set</t>
  </si>
  <si>
    <t>Aqua</t>
  </si>
  <si>
    <t>PF004073</t>
  </si>
  <si>
    <t>6</t>
  </si>
  <si>
    <t>11/27/2017</t>
  </si>
  <si>
    <t>BEALLSDS,CSNSTORES,DESINC,JCPENNEY01,KOHLDSN,MACY02,TGTDVS</t>
  </si>
  <si>
    <t>25547637-000-014</t>
  </si>
  <si>
    <t>12/29/2017</t>
  </si>
  <si>
    <t>2/21/2018</t>
  </si>
  <si>
    <t>MPS73-526</t>
  </si>
  <si>
    <t>TOWL</t>
  </si>
  <si>
    <t>BATH TOWEL</t>
  </si>
  <si>
    <t>Bath Towel</t>
  </si>
  <si>
    <t>800gsm</t>
  </si>
  <si>
    <t>800GSM Ultra-Soft 100% Cotton Absorbent Towel Set</t>
  </si>
  <si>
    <t>34x68" – 2PK</t>
  </si>
  <si>
    <t>NEW</t>
  </si>
  <si>
    <t>PP001046;PF005089</t>
  </si>
  <si>
    <t>2</t>
  </si>
  <si>
    <t>5/8/2024</t>
  </si>
  <si>
    <t>2/8/2025</t>
  </si>
  <si>
    <t>AMAZON,BLK01,CSNSTORES,JCPENNEY01,KOHLDSN,MACY02</t>
  </si>
  <si>
    <t>19614786-000-027</t>
  </si>
  <si>
    <t>9/1/2024</t>
  </si>
  <si>
    <t>10/24/2024</t>
  </si>
  <si>
    <t>MPS73-550</t>
  </si>
  <si>
    <t>800GSM</t>
  </si>
  <si>
    <t>8-Piece</t>
  </si>
  <si>
    <t>Bright Red</t>
  </si>
  <si>
    <t>PP001046</t>
  </si>
  <si>
    <t>8</t>
  </si>
  <si>
    <t>11/28/2024</t>
  </si>
  <si>
    <t>3/5/2025</t>
  </si>
  <si>
    <t>19614786-000-035</t>
  </si>
  <si>
    <t>MPS73-530</t>
  </si>
  <si>
    <t>Dark Green</t>
  </si>
  <si>
    <t>AMAZON,BLK01,CSNSTORES,JCPENNEY01,KOHLDSN,MACY02,ZOLA</t>
  </si>
  <si>
    <t>19614786-000-032</t>
  </si>
  <si>
    <t>10/4/2024</t>
  </si>
  <si>
    <t>MPS73-528</t>
  </si>
  <si>
    <t>PF001492;PP001046</t>
  </si>
  <si>
    <t>1/3/2025</t>
  </si>
  <si>
    <t>AMAZON,BLK01,JCPENNEY01,KOHLDSN,MACY02</t>
  </si>
  <si>
    <t>19614786-000-026</t>
  </si>
  <si>
    <t>9/5/2024</t>
  </si>
  <si>
    <t>FB150-1160</t>
  </si>
  <si>
    <t>LGT</t>
  </si>
  <si>
    <t>Hampton Hill</t>
  </si>
  <si>
    <t>LGT-CHANDELIERS</t>
  </si>
  <si>
    <t>Chandeliers</t>
  </si>
  <si>
    <t>Abbot</t>
  </si>
  <si>
    <t>4-Light Glass Drum Shade Chandelier</t>
  </si>
  <si>
    <t>See below</t>
  </si>
  <si>
    <t>Mid-Century</t>
  </si>
  <si>
    <t>5/16/2022</t>
  </si>
  <si>
    <t>CSNSTORES,JCPENNEY01,TGTDVS</t>
  </si>
  <si>
    <t>39979879-000-000</t>
  </si>
  <si>
    <t>5/25/2022</t>
  </si>
  <si>
    <t>1/20/2023</t>
  </si>
  <si>
    <t>MP95G-0313</t>
  </si>
  <si>
    <t>ART</t>
  </si>
  <si>
    <t>FRAMED GRAPHICS</t>
  </si>
  <si>
    <t>Framed Graphics</t>
  </si>
  <si>
    <t>Abstract Talon</t>
  </si>
  <si>
    <t>Framed Glass and Single Matted Foiled Deckle Edge Wall Art</t>
  </si>
  <si>
    <t>Abstract</t>
  </si>
  <si>
    <t>4/24/2023</t>
  </si>
  <si>
    <t>AMAZON,MACY02,OLLIIX</t>
  </si>
  <si>
    <t>41708138-000-000</t>
  </si>
  <si>
    <t>6/7/2023</t>
  </si>
  <si>
    <t>MT95G-0029</t>
  </si>
  <si>
    <t>Martha Stewart</t>
  </si>
  <si>
    <t>Across The Plains 1</t>
  </si>
  <si>
    <t>Framed Glass and Double Matted Abstract Landscape Wall Art</t>
  </si>
  <si>
    <t>Multi</t>
  </si>
  <si>
    <t>PP001448;PF005015</t>
  </si>
  <si>
    <t>Landscape</t>
  </si>
  <si>
    <t>Traditional</t>
  </si>
  <si>
    <t>MT Bedford</t>
  </si>
  <si>
    <t>11/13/2019</t>
  </si>
  <si>
    <t>AMAZON,AMAZONDS,BLK01,CSNSTORES,DESINC,HDDS,KIRKLANDDS,MACY02,OLLIIX,TGTDVS,ZOLA</t>
  </si>
  <si>
    <t>35147144-000-000</t>
  </si>
  <si>
    <t>11/21/2019</t>
  </si>
  <si>
    <t>4/21/2020</t>
  </si>
  <si>
    <t>II104-0481</t>
  </si>
  <si>
    <t>FUR</t>
  </si>
  <si>
    <t>INK+IVY</t>
  </si>
  <si>
    <t>BAR STOOL</t>
  </si>
  <si>
    <t>Swivel Counter Stool</t>
  </si>
  <si>
    <t>Adams</t>
  </si>
  <si>
    <t>Faux Leather Swivel Counter Stool</t>
  </si>
  <si>
    <t>B-</t>
  </si>
  <si>
    <t>4/20/2022</t>
  </si>
  <si>
    <t>CSNSTORES,KOHLDSN,OLLIIX</t>
  </si>
  <si>
    <t>39863216-000-000</t>
  </si>
  <si>
    <t>4/25/2022</t>
  </si>
  <si>
    <t>CC73-0010</t>
  </si>
  <si>
    <t>Croscill</t>
  </si>
  <si>
    <t>Adana</t>
  </si>
  <si>
    <t>Ultra Soft Turkish Towel</t>
  </si>
  <si>
    <t>Washcloth</t>
  </si>
  <si>
    <t>C+</t>
  </si>
  <si>
    <t>9/27/2022</t>
  </si>
  <si>
    <t>BLK01,DLCROSCILL,JCPENNEY01,MACY02</t>
  </si>
  <si>
    <t>42102911-000-009</t>
  </si>
  <si>
    <t>8/11/2023</t>
  </si>
  <si>
    <t>CC73-0011</t>
  </si>
  <si>
    <t>Bath</t>
  </si>
  <si>
    <t>Wheat</t>
  </si>
  <si>
    <t>BLK01,DLCROSCILL,JCPENNEY01,KOHLDSN,MACY02</t>
  </si>
  <si>
    <t>42102911-000-002</t>
  </si>
  <si>
    <t>9/14/2023</t>
  </si>
  <si>
    <t>CC73-0012</t>
  </si>
  <si>
    <t>Hand</t>
  </si>
  <si>
    <t>42102911-000-005</t>
  </si>
  <si>
    <t>5/14/2024</t>
  </si>
  <si>
    <t>CC73-0005</t>
  </si>
  <si>
    <t>BLK01,CSNSTORES,JCPENNEY01,MACY02,OLLIIX</t>
  </si>
  <si>
    <t>42102911-000-001</t>
  </si>
  <si>
    <t>9/11/2023</t>
  </si>
  <si>
    <t>CC73-0006</t>
  </si>
  <si>
    <t>MACY02,OLLIIX</t>
  </si>
  <si>
    <t>42102911-000-008</t>
  </si>
  <si>
    <t>MP122-0923</t>
  </si>
  <si>
    <t>DESK</t>
  </si>
  <si>
    <t>Desk</t>
  </si>
  <si>
    <t>Adela</t>
  </si>
  <si>
    <t>Andrea</t>
  </si>
  <si>
    <t>Adalyn</t>
  </si>
  <si>
    <t>Writing Desk</t>
  </si>
  <si>
    <t>Antique Silver</t>
  </si>
  <si>
    <t>2/7/2020</t>
  </si>
  <si>
    <t>CSNSTORES,KOHLDSN</t>
  </si>
  <si>
    <t>35543253-000-000</t>
  </si>
  <si>
    <t>4/1/2020</t>
  </si>
  <si>
    <t>MP103-1234</t>
  </si>
  <si>
    <t>MOTION</t>
  </si>
  <si>
    <t>Swivel</t>
  </si>
  <si>
    <t>Adele</t>
  </si>
  <si>
    <t>Jayne</t>
  </si>
  <si>
    <t>Findlay</t>
  </si>
  <si>
    <t>Swivel Chair Set of 2</t>
  </si>
  <si>
    <t>Spice</t>
  </si>
  <si>
    <t>SET</t>
  </si>
  <si>
    <t>PF001097</t>
  </si>
  <si>
    <t>5/13/2021</t>
  </si>
  <si>
    <t>44068985-000-000</t>
  </si>
  <si>
    <t>5/28/2024</t>
  </si>
  <si>
    <t>II151-0114</t>
  </si>
  <si>
    <t>LGT-PENDANTS</t>
  </si>
  <si>
    <t>Pendants</t>
  </si>
  <si>
    <t>Farmhouse Metal Pendant</t>
  </si>
  <si>
    <t>White/Black</t>
  </si>
  <si>
    <t>1/21/2022</t>
  </si>
  <si>
    <t>OLLIIX</t>
  </si>
  <si>
    <t>39583461-000-000</t>
  </si>
  <si>
    <t>2/9/2022</t>
  </si>
  <si>
    <t>II153-0113</t>
  </si>
  <si>
    <t>LGT-TABLE LAMPS</t>
  </si>
  <si>
    <t>Table Task Lamps</t>
  </si>
  <si>
    <t>Agape</t>
  </si>
  <si>
    <t>Boho Ceramic Table Lamp</t>
  </si>
  <si>
    <t>12/22/2021</t>
  </si>
  <si>
    <t>HDDS,KOHLDSN,OLLIIX</t>
  </si>
  <si>
    <t>39471145-000-000</t>
  </si>
  <si>
    <t>1/7/2022</t>
  </si>
  <si>
    <t>5/23/2022</t>
  </si>
  <si>
    <t>MP40-7935</t>
  </si>
  <si>
    <t>WIN</t>
  </si>
  <si>
    <t>WINDOW PANEL</t>
  </si>
  <si>
    <t>Sheer Pair</t>
  </si>
  <si>
    <t>Aida</t>
  </si>
  <si>
    <t>Calista</t>
  </si>
  <si>
    <t>Kaley</t>
  </si>
  <si>
    <t>Yarn Dye Sheer Curtain Panel Pair</t>
  </si>
  <si>
    <t>2-PK 37x84"</t>
  </si>
  <si>
    <t>PP001775;PF005723</t>
  </si>
  <si>
    <t>8/30/2022</t>
  </si>
  <si>
    <t>AMAZON,JCPENNEY01,KOHLDSN</t>
  </si>
  <si>
    <t>40368441-000-000</t>
  </si>
  <si>
    <t>9/6/2022</t>
  </si>
  <si>
    <t>1/5/2024</t>
  </si>
  <si>
    <t>MP40-7933</t>
  </si>
  <si>
    <t>PP001775;PF005722</t>
  </si>
  <si>
    <t>AMAZON,JCPENNEY01,KOHLDSN,OLLIIX</t>
  </si>
  <si>
    <t>40368441-000-001</t>
  </si>
  <si>
    <t>MP103-1269</t>
  </si>
  <si>
    <t>Aidan</t>
  </si>
  <si>
    <t>Jetta</t>
  </si>
  <si>
    <t>Zak</t>
  </si>
  <si>
    <t>Aidan Recliner</t>
  </si>
  <si>
    <t>Light Blue</t>
  </si>
  <si>
    <t>TBU</t>
  </si>
  <si>
    <t>4/26/2021</t>
  </si>
  <si>
    <t>1/30/2025</t>
  </si>
  <si>
    <t>II153-0156</t>
  </si>
  <si>
    <t>Alarid</t>
  </si>
  <si>
    <t>16" Ceramic Table Lamp</t>
  </si>
  <si>
    <t>Cream</t>
  </si>
  <si>
    <t>6/18/2024</t>
  </si>
  <si>
    <t>CSNSTORES,JCPENNEY01,KIRKLANDDS,KOHLDSN,OLLIIX,TGTDVS</t>
  </si>
  <si>
    <t>44307927-000-000</t>
  </si>
  <si>
    <t>7/9/2024</t>
  </si>
  <si>
    <t>MP40-7797</t>
  </si>
  <si>
    <t>Roman Shade</t>
  </si>
  <si>
    <t>Alden</t>
  </si>
  <si>
    <t>Oakley</t>
  </si>
  <si>
    <t>Willow</t>
  </si>
  <si>
    <t>Bamboo Light Filtering Roman Shade 64"L</t>
  </si>
  <si>
    <t>33x64"</t>
  </si>
  <si>
    <t>PP001721;PF005635</t>
  </si>
  <si>
    <t>Bamboo</t>
  </si>
  <si>
    <t>4/5/2022</t>
  </si>
  <si>
    <t>AMAZONDS,CSNSTORES,KOHLDSN</t>
  </si>
  <si>
    <t>39809477-000-003</t>
  </si>
  <si>
    <t>4/8/2022</t>
  </si>
  <si>
    <t>7/7/2022</t>
  </si>
  <si>
    <t>ID40-555</t>
  </si>
  <si>
    <t xml:space="preserve">Intelligent Design </t>
  </si>
  <si>
    <t>Panel Pair</t>
  </si>
  <si>
    <t>Alex</t>
  </si>
  <si>
    <t>Rayna</t>
  </si>
  <si>
    <t>Elaine</t>
  </si>
  <si>
    <t>Chevron Printed Room Darkening Grommet Top Panel Pair</t>
  </si>
  <si>
    <t>42x84"</t>
  </si>
  <si>
    <t>PF003720;PP000465</t>
  </si>
  <si>
    <t>Geometric</t>
  </si>
  <si>
    <t>AMAZON,CSNSTORES,DESINC,HDDS,KOHLDSN,TGTDVS</t>
  </si>
  <si>
    <t>18539534-000-002</t>
  </si>
  <si>
    <t>5/27/2016</t>
  </si>
  <si>
    <t>ID40-553</t>
  </si>
  <si>
    <t>Yellow</t>
  </si>
  <si>
    <t>PF003719;PP000465</t>
  </si>
  <si>
    <t>AMAZON,CSNSTORES,DESINC,HDDS,JCPENNEY01,KOHLDSN,OLLIIX</t>
  </si>
  <si>
    <t>18539534-000-000</t>
  </si>
  <si>
    <t>5/16/2016</t>
  </si>
  <si>
    <t>FB150-1162</t>
  </si>
  <si>
    <t>Alexis</t>
  </si>
  <si>
    <t>6-Light Metal Chandelier</t>
  </si>
  <si>
    <t>Antique Brass/Black</t>
  </si>
  <si>
    <t>3/4/2022</t>
  </si>
  <si>
    <t>39980195-000-000</t>
  </si>
  <si>
    <t>5/20/2022</t>
  </si>
  <si>
    <t>MPE10-1057</t>
  </si>
  <si>
    <t>ADUL</t>
  </si>
  <si>
    <t>BIAB</t>
  </si>
  <si>
    <t>Jeanie</t>
  </si>
  <si>
    <t>Karissa</t>
  </si>
  <si>
    <t>Comforter Set with Bed Sheets</t>
  </si>
  <si>
    <t>PP001856;PF006281</t>
  </si>
  <si>
    <t>9</t>
  </si>
  <si>
    <t>Transitional Modern</t>
  </si>
  <si>
    <t>5/9/2024</t>
  </si>
  <si>
    <t>2/11/2025</t>
  </si>
  <si>
    <t>AMAZON,CSNSTORES,KOHLDSN,MACY02</t>
  </si>
  <si>
    <t>40747118-000-005</t>
  </si>
  <si>
    <t>7/29/2024</t>
  </si>
  <si>
    <t>9/4/2024</t>
  </si>
  <si>
    <t>MP12-7876</t>
  </si>
  <si>
    <t>DUVET&amp;DUVET SET</t>
  </si>
  <si>
    <t>Duvet Mini Set</t>
  </si>
  <si>
    <t>Allegany</t>
  </si>
  <si>
    <t>Levi</t>
  </si>
  <si>
    <t>Roman</t>
  </si>
  <si>
    <t>3 Piece Jacquard Duvet Cover Set</t>
  </si>
  <si>
    <t>King/Cal King</t>
  </si>
  <si>
    <t>PP001752;PF005692</t>
  </si>
  <si>
    <t>Farmhouse/Country/Cottage</t>
  </si>
  <si>
    <t>6/21/2022</t>
  </si>
  <si>
    <t>40104456-000-003</t>
  </si>
  <si>
    <t>6/22/2022</t>
  </si>
  <si>
    <t>7/17/2022</t>
  </si>
  <si>
    <t>MZ12-371</t>
  </si>
  <si>
    <t>YOUT</t>
  </si>
  <si>
    <t>Mi Zone</t>
  </si>
  <si>
    <t>Duvet&amp;Duvet Set</t>
  </si>
  <si>
    <t>Allison</t>
  </si>
  <si>
    <t>Mackenzie</t>
  </si>
  <si>
    <t>Kelly</t>
  </si>
  <si>
    <t>Floral Duvet Cover Set</t>
  </si>
  <si>
    <t>PF000013</t>
  </si>
  <si>
    <t>Floral</t>
  </si>
  <si>
    <t>AMAZON,CSNSTORES,MACY02</t>
  </si>
  <si>
    <t>17632896-000-000</t>
  </si>
  <si>
    <t>9/17/2015</t>
  </si>
  <si>
    <t>PET63PC6183-MD</t>
  </si>
  <si>
    <t>PETB</t>
  </si>
  <si>
    <t>Friends Forever</t>
  </si>
  <si>
    <t>PET BEDS</t>
  </si>
  <si>
    <t>Pet Beds</t>
  </si>
  <si>
    <t>Ally</t>
  </si>
  <si>
    <t>Medium All Foam Pet Couch</t>
  </si>
  <si>
    <t>M</t>
  </si>
  <si>
    <t>8/10/2023</t>
  </si>
  <si>
    <t>AMAZON,AMAZONDS,KOHLDSN</t>
  </si>
  <si>
    <t>43809389-000-007</t>
  </si>
  <si>
    <t>4/12/2024</t>
  </si>
  <si>
    <t>6/14/2024</t>
  </si>
  <si>
    <t>PET63PC6184-MD</t>
  </si>
  <si>
    <t>AMAZON,AMAZONDS,DESINC</t>
  </si>
  <si>
    <t>43809389-000-006</t>
  </si>
  <si>
    <t>PET63PC6185-MD</t>
  </si>
  <si>
    <t>AMAZON,KOHLDSN</t>
  </si>
  <si>
    <t>43809389-000-000</t>
  </si>
  <si>
    <t>7/15/2024</t>
  </si>
  <si>
    <t>II12-784</t>
  </si>
  <si>
    <t>Alpine</t>
  </si>
  <si>
    <t>3 Piece Duvet Cover Mini Set</t>
  </si>
  <si>
    <t>PF001637;PP000371</t>
  </si>
  <si>
    <t>Plain Fabric</t>
  </si>
  <si>
    <t>Mid-Century Modern</t>
  </si>
  <si>
    <t>Casual|Modern/Contemporary</t>
  </si>
  <si>
    <t>19427077-000-001</t>
  </si>
  <si>
    <t>9/7/2016</t>
  </si>
  <si>
    <t>11/22/2016</t>
  </si>
  <si>
    <t>II12-933</t>
  </si>
  <si>
    <t>Cotton Duvet Cover Mini Set</t>
  </si>
  <si>
    <t>PP000342</t>
  </si>
  <si>
    <t>Ikat</t>
  </si>
  <si>
    <t>10/18/2017</t>
  </si>
  <si>
    <t>25458735-000-000</t>
  </si>
  <si>
    <t>12/13/2017</t>
  </si>
  <si>
    <t>1/8/2018</t>
  </si>
  <si>
    <t>II12-555</t>
  </si>
  <si>
    <t>PF001636;PP000371</t>
  </si>
  <si>
    <t>AMAZON,AMAZONDS,BLK01,KOHLDSN,MACY02,TGTDVS</t>
  </si>
  <si>
    <t>17516399-000-001</t>
  </si>
  <si>
    <t>9/1/2015</t>
  </si>
  <si>
    <t>MPS115-0261B</t>
  </si>
  <si>
    <t>BED</t>
  </si>
  <si>
    <t>Alston</t>
  </si>
  <si>
    <t>Rails:81"L X 3"W X 2"T; Support Legs:2"W X 2"D" X 8"H</t>
  </si>
  <si>
    <t>MP35-7595</t>
  </si>
  <si>
    <t>RUG</t>
  </si>
  <si>
    <t>Amanda</t>
  </si>
  <si>
    <t>Renae</t>
  </si>
  <si>
    <t>Allie</t>
  </si>
  <si>
    <t>Black &amp; Ivory Modern Area Rug</t>
  </si>
  <si>
    <t>5x7'</t>
  </si>
  <si>
    <t>Black/Ivory</t>
  </si>
  <si>
    <t>7/10/2021</t>
  </si>
  <si>
    <t>AMAZONDS,BIGLOTSDS,CSNSTORES,KOHLDSN,OLLIIX</t>
  </si>
  <si>
    <t>38658432-000-000</t>
  </si>
  <si>
    <t>8/9/2021</t>
  </si>
  <si>
    <t>8/24/2023</t>
  </si>
  <si>
    <t>MP35-7596</t>
  </si>
  <si>
    <t>6x9'</t>
  </si>
  <si>
    <t>AMAZONDS,BIGLOTSDS,CSNSTORES,OLLIIX</t>
  </si>
  <si>
    <t>38658432-000-002</t>
  </si>
  <si>
    <t>9/23/2021</t>
  </si>
  <si>
    <t>SS40-0203</t>
  </si>
  <si>
    <t>SunSmart</t>
  </si>
  <si>
    <t>Window Panel</t>
  </si>
  <si>
    <t>Amelia</t>
  </si>
  <si>
    <t>Loraine</t>
  </si>
  <si>
    <t>Enid</t>
  </si>
  <si>
    <t>Knitted Jacquard Paisley Total Blackout Grommet Top Curtain Panel</t>
  </si>
  <si>
    <t>50x84"</t>
  </si>
  <si>
    <t>Champagne</t>
  </si>
  <si>
    <t>PP001613;PF005415</t>
  </si>
  <si>
    <t>Damask</t>
  </si>
  <si>
    <t>Total Blackout</t>
  </si>
  <si>
    <t>AMAZONDS,CSNSTORES,DESINC,HDDS,JCPENNEY01,KOHLDSN,NEBFUR01,OLLIIX,TGTDVS</t>
  </si>
  <si>
    <t>37896246-000-003</t>
  </si>
  <si>
    <t>4/22/2021</t>
  </si>
  <si>
    <t>8/3/2021</t>
  </si>
  <si>
    <t>MT150-0066</t>
  </si>
  <si>
    <t>8-Light Traditional Metal Chandelier</t>
  </si>
  <si>
    <t>Glossy White</t>
  </si>
  <si>
    <t>11/18/2022</t>
  </si>
  <si>
    <t>AMAZONDS</t>
  </si>
  <si>
    <t>40806884-000-000</t>
  </si>
  <si>
    <t>11/23/2022</t>
  </si>
  <si>
    <t>3/27/2023</t>
  </si>
  <si>
    <t>MP116-1142</t>
  </si>
  <si>
    <t>HEADBOARD</t>
  </si>
  <si>
    <t>Headboard</t>
  </si>
  <si>
    <t>Baldwin</t>
  </si>
  <si>
    <t>Janice</t>
  </si>
  <si>
    <t>Upholstery Headboard</t>
  </si>
  <si>
    <t>1/12/2022</t>
  </si>
  <si>
    <t>1/7/2025</t>
  </si>
  <si>
    <t>AMAZONDS,AMERSIGNDS,CSNSTORES,HDDS,KIRKLANDDS,KOHLDSN,MACY02F,OLLIIX</t>
  </si>
  <si>
    <t>22669390-000-005</t>
  </si>
  <si>
    <t>2/8/2022</t>
  </si>
  <si>
    <t>2/16/2022</t>
  </si>
  <si>
    <t>SS40-0206</t>
  </si>
  <si>
    <t>PP001613;PF005416</t>
  </si>
  <si>
    <t>AMAZONDS,CSNSTORES,HDDS,JCPENNEY01,KOHLDSN,OLLIIX,TGTDVS</t>
  </si>
  <si>
    <t>37896246-000-005</t>
  </si>
  <si>
    <t>4/23/2021</t>
  </si>
  <si>
    <t>5/24/2021</t>
  </si>
  <si>
    <t>SS40-0200</t>
  </si>
  <si>
    <t>PP001613;PF005414</t>
  </si>
  <si>
    <t>AMAZONDS,BLK01,CSNSTORES,DESINC,HDDS,JCPENNEY01,KOHLDSN,TGTDVS</t>
  </si>
  <si>
    <t>37896246-000-006</t>
  </si>
  <si>
    <t>5/5/2021</t>
  </si>
  <si>
    <t>SS40-0202</t>
  </si>
  <si>
    <t>50x108"</t>
  </si>
  <si>
    <t>AMAZONDS,CSNSTORES,HDDS,JCPENNEY01,KOHLDSN,TGTDVS</t>
  </si>
  <si>
    <t>37896246-000-010</t>
  </si>
  <si>
    <t>11/10/2022</t>
  </si>
  <si>
    <t>MP10-2981</t>
  </si>
  <si>
    <t>Amherst</t>
  </si>
  <si>
    <t>Eastridge</t>
  </si>
  <si>
    <t>Salem</t>
  </si>
  <si>
    <t>7 Piece Comforter Set</t>
  </si>
  <si>
    <t>PF002417;PP000373</t>
  </si>
  <si>
    <t>7</t>
  </si>
  <si>
    <t>Color Block</t>
  </si>
  <si>
    <t>Modern/Contemporary|Casual</t>
  </si>
  <si>
    <t>AMAZON,AMAZONDS,BEALLSDS,BLK01,CSNSTORES,KOHLDSN,MACY02</t>
  </si>
  <si>
    <t>18836873-000-002</t>
  </si>
  <si>
    <t>6/20/2016</t>
  </si>
  <si>
    <t>MP40-4374</t>
  </si>
  <si>
    <t>Polyoni Pintuck Curtain Panel</t>
  </si>
  <si>
    <t>A</t>
  </si>
  <si>
    <t>PF002417</t>
  </si>
  <si>
    <t>Pieced</t>
  </si>
  <si>
    <t>Light Filtering</t>
  </si>
  <si>
    <t>7/4/2017</t>
  </si>
  <si>
    <t>AMAZON,ASHFURNDS,BIGLOTSDS,BLK01,CSNSTORES,JCPENNEY01,KOHLDSN</t>
  </si>
  <si>
    <t>17924352-000-006</t>
  </si>
  <si>
    <t>7/31/2017</t>
  </si>
  <si>
    <t>MP41-4378</t>
  </si>
  <si>
    <t>VALANCE</t>
  </si>
  <si>
    <t>Valance</t>
  </si>
  <si>
    <t>Polyoni Pintuck Valance</t>
  </si>
  <si>
    <t>50x18"</t>
  </si>
  <si>
    <t>2/26/2025</t>
  </si>
  <si>
    <t>AMAZON,CSNSTORES,JCPENNEY01,KOHLDSN,TGTDVS</t>
  </si>
  <si>
    <t>18539537-000-006</t>
  </si>
  <si>
    <t>6/6/2017</t>
  </si>
  <si>
    <t>MP41-2229</t>
  </si>
  <si>
    <t>Polyoni Pintuck Window Valance</t>
  </si>
  <si>
    <t>PF001363;PP000524</t>
  </si>
  <si>
    <t>AMAZON,AMAZONDS,BLK01,CSNSTORES,JCPENNEY01,KOHLDSN,TGTDVS</t>
  </si>
  <si>
    <t>17924350-000-000</t>
  </si>
  <si>
    <t>12/8/2015</t>
  </si>
  <si>
    <t>MP72-1048</t>
  </si>
  <si>
    <t>BATH</t>
  </si>
  <si>
    <t>BATH RUG</t>
  </si>
  <si>
    <t>Bath Rug</t>
  </si>
  <si>
    <t>Cotton Tufted Bath Rug</t>
  </si>
  <si>
    <t>24x44"</t>
  </si>
  <si>
    <t>PF001434;PP000524</t>
  </si>
  <si>
    <t>12/1/2024</t>
  </si>
  <si>
    <t>AMAZON,AMAZONDS,CSNSTORES,HDDS,JCPENNEY01,KOHLDSN,MACY02,TGTDVS</t>
  </si>
  <si>
    <t>16629267-000-000</t>
  </si>
  <si>
    <t>1/2/2015</t>
  </si>
  <si>
    <t>MP72-5075</t>
  </si>
  <si>
    <t>24x60"</t>
  </si>
  <si>
    <t>AMAZON,JCPENNEY01,KOHLDSN,MACY02,TGTDVS</t>
  </si>
  <si>
    <t>16629267-000-003</t>
  </si>
  <si>
    <t>12/7/2017</t>
  </si>
  <si>
    <t>2/5/2018</t>
  </si>
  <si>
    <t>MP41-4376</t>
  </si>
  <si>
    <t>Coral</t>
  </si>
  <si>
    <t>PF002415</t>
  </si>
  <si>
    <t>AMAZON,BLK01,CSNSTORES,JCPENNEY01,KOHLDSN,TGTDVS</t>
  </si>
  <si>
    <t>18539537-000-004</t>
  </si>
  <si>
    <t>8/8/2017</t>
  </si>
  <si>
    <t>MP10-2588</t>
  </si>
  <si>
    <t>PP000373</t>
  </si>
  <si>
    <t>AMAZON,BLK01,CSNSTORES,KOHLDSN,ROOMECOM,TGTDVS</t>
  </si>
  <si>
    <t>16159582-000-003</t>
  </si>
  <si>
    <t>5/31/2016</t>
  </si>
  <si>
    <t>MP40-4373</t>
  </si>
  <si>
    <t>PF002411</t>
  </si>
  <si>
    <t>AMAZON,AMAZONDS,ASHFURNDS,BLK01,CSNSTORES,JCPENNEY01,KOHLDSN,OLLIIX,TGTDVS</t>
  </si>
  <si>
    <t>17924352-000-005</t>
  </si>
  <si>
    <t>9/5/2017</t>
  </si>
  <si>
    <t>MP41-4377</t>
  </si>
  <si>
    <t>AMAZON,AMAZONDS,BLK01,CSNSTORES,DESINC,JCPENNEY01,KOHLDSN,TGTDVS</t>
  </si>
  <si>
    <t>18539537-000-005</t>
  </si>
  <si>
    <t>MP10-123</t>
  </si>
  <si>
    <t>Natural</t>
  </si>
  <si>
    <t>PF002412;PP000373</t>
  </si>
  <si>
    <t>AMAZON,AMAZONDS,CSNSTORES,KOHLDSN,MACY02,NRTPORT,OLLIIX,TGTDVS</t>
  </si>
  <si>
    <t>13652244-000-002</t>
  </si>
  <si>
    <t>1/4/2015</t>
  </si>
  <si>
    <t>MP40-2221</t>
  </si>
  <si>
    <t>1/6/2025</t>
  </si>
  <si>
    <t>AMAZON,AMAZONDS,ASHFURNDS,BEALLSDS,CSNSTORES,DESINC,JCPENNEY01,KOHLDSN,NRTPORT,TGTDVS</t>
  </si>
  <si>
    <t>17924352-000-001</t>
  </si>
  <si>
    <t>MP72-6204</t>
  </si>
  <si>
    <t>PP000524;PF004654</t>
  </si>
  <si>
    <t>4/9/2019</t>
  </si>
  <si>
    <t>1/13/2025</t>
  </si>
  <si>
    <t>AMAZON,HDDS,JCPENNEY01,KOHLDSN,MACY02,OLLIIX,TGTDVS</t>
  </si>
  <si>
    <t>16629267-000-004</t>
  </si>
  <si>
    <t>4/25/2019</t>
  </si>
  <si>
    <t>5/2/2019</t>
  </si>
  <si>
    <t>MP41-2230</t>
  </si>
  <si>
    <t>Red</t>
  </si>
  <si>
    <t>PF001362;PP000524</t>
  </si>
  <si>
    <t>AMAZON,AMAZONDS,CSNSTORES,DESINC,JCPENNEY01,KOHLDSN,OLLIIX,WALMARTDS</t>
  </si>
  <si>
    <t>17924350-000-001</t>
  </si>
  <si>
    <t>12/11/2015</t>
  </si>
  <si>
    <t>MP70-221</t>
  </si>
  <si>
    <t>SHOWER CURTAIN</t>
  </si>
  <si>
    <t>Shower Curtain</t>
  </si>
  <si>
    <t>Faux Silk Shower Curtain</t>
  </si>
  <si>
    <t>72x72"</t>
  </si>
  <si>
    <t>AMAZON,AMAZONDS,CSNSTORES,HDDS,JCPENNEY01,KOHLDSN,MACY02,OLLIIX,TGTDVS</t>
  </si>
  <si>
    <t>14941994-000-000</t>
  </si>
  <si>
    <t>2/12/2016</t>
  </si>
  <si>
    <t>SI54-0066</t>
  </si>
  <si>
    <t>Sharper Image</t>
  </si>
  <si>
    <t>ELECT BLANKET</t>
  </si>
  <si>
    <t>Electric Throw</t>
  </si>
  <si>
    <t>Amira</t>
  </si>
  <si>
    <t>Arden</t>
  </si>
  <si>
    <t>Dream Soft Heated Throw</t>
  </si>
  <si>
    <t>50x60"</t>
  </si>
  <si>
    <t>Brown</t>
  </si>
  <si>
    <t>PP001985;PF006365</t>
  </si>
  <si>
    <t>Polyester</t>
  </si>
  <si>
    <t>9/20/2024</t>
  </si>
  <si>
    <t>44839958-000-004</t>
  </si>
  <si>
    <t>10/17/2024</t>
  </si>
  <si>
    <t>SI54-0068</t>
  </si>
  <si>
    <t>Brown Geo</t>
  </si>
  <si>
    <t>PP001985;PF006367</t>
  </si>
  <si>
    <t>8/15/2024</t>
  </si>
  <si>
    <t>AMAZON,KOHLDSN,MACY02</t>
  </si>
  <si>
    <t>44839958-000-005</t>
  </si>
  <si>
    <t>10/2/2024</t>
  </si>
  <si>
    <t>SI54-0069</t>
  </si>
  <si>
    <t>Grey Geo</t>
  </si>
  <si>
    <t>PP001985;PF006368</t>
  </si>
  <si>
    <t>9/21/2024</t>
  </si>
  <si>
    <t>44839958-000-002</t>
  </si>
  <si>
    <t>MP40-6765</t>
  </si>
  <si>
    <t>Anaheim</t>
  </si>
  <si>
    <t>Salford</t>
  </si>
  <si>
    <t>Preston</t>
  </si>
  <si>
    <t>Plaid Faux Leather Tab Top Curtain Panel with Fleece Lining</t>
  </si>
  <si>
    <t>PP001397;PF004934</t>
  </si>
  <si>
    <t>Plaid</t>
  </si>
  <si>
    <t>10/31/2019</t>
  </si>
  <si>
    <t>AMAZON,CSNSTORES,HDDS,OLLIIX,TGTDVS</t>
  </si>
  <si>
    <t>35137209-000-002</t>
  </si>
  <si>
    <t>11/20/2019</t>
  </si>
  <si>
    <t>12/4/2019</t>
  </si>
  <si>
    <t>MP40-8297</t>
  </si>
  <si>
    <t>PP001397;PF006073</t>
  </si>
  <si>
    <t>10/12/2023</t>
  </si>
  <si>
    <t>AMAZON,AMAZONDS,DESINC,KOHLDSN,TGTDVS</t>
  </si>
  <si>
    <t>35137209-000-003</t>
  </si>
  <si>
    <t>10/24/2023</t>
  </si>
  <si>
    <t>CCA12-0001</t>
  </si>
  <si>
    <t>Croscill Casual</t>
  </si>
  <si>
    <t>Anders</t>
  </si>
  <si>
    <t>3 Piece Duvet Set</t>
  </si>
  <si>
    <t>Charcoal</t>
  </si>
  <si>
    <t>10/14/2022</t>
  </si>
  <si>
    <t>CSNSTORES,DLCROSCILL,JCPENNEY01,MACY02,OLLIIX</t>
  </si>
  <si>
    <t>42062616-000-000</t>
  </si>
  <si>
    <t>8/3/2023</t>
  </si>
  <si>
    <t>MP41-4571</t>
  </si>
  <si>
    <t>Andora</t>
  </si>
  <si>
    <t>Eliza</t>
  </si>
  <si>
    <t>Aden</t>
  </si>
  <si>
    <t>Faux Silk Embroidered Window Valance</t>
  </si>
  <si>
    <t>PF003823</t>
  </si>
  <si>
    <t>6/29/2017</t>
  </si>
  <si>
    <t>AMAZON,AMAZONDS,BEALLSDS,BLK01,CSNSTORES,JCPENNEY01,KOHLDSN</t>
  </si>
  <si>
    <t>22972352-000-002</t>
  </si>
  <si>
    <t>6/28/2017</t>
  </si>
  <si>
    <t>8/30/2017</t>
  </si>
  <si>
    <t>MP40-1296</t>
  </si>
  <si>
    <t>Curtain Panel</t>
  </si>
  <si>
    <t>PF003962</t>
  </si>
  <si>
    <t>BLK01,CSNSTORES,DESINC,HDDS,JCPENNEY01,KOHLDSN,NEBFUR01</t>
  </si>
  <si>
    <t>15478285-000-008</t>
  </si>
  <si>
    <t>1/5/2015</t>
  </si>
  <si>
    <t>MP41-4573</t>
  </si>
  <si>
    <t>6/14/2017</t>
  </si>
  <si>
    <t>AMAZON,BLK01,CSNSTORES,JCPENNEY01,KOHLDSN,OLLIIX,TGTDVS</t>
  </si>
  <si>
    <t>22972352-000-004</t>
  </si>
  <si>
    <t>7/10/2017</t>
  </si>
  <si>
    <t>MP40-1782</t>
  </si>
  <si>
    <t>50x95"</t>
  </si>
  <si>
    <t>PF003840</t>
  </si>
  <si>
    <t>15478285-000-014</t>
  </si>
  <si>
    <t>8/29/2016</t>
  </si>
  <si>
    <t>MP40-718</t>
  </si>
  <si>
    <t>B+</t>
  </si>
  <si>
    <t>PF003816</t>
  </si>
  <si>
    <t>AMAZON,AMAZONDS,ASHFURNDS,BLK01,CSNSTORES,DESINC,HDDS,HSNDS,JCPENNEY01,KOHLDSN,LOWESDS,NEBFUR01,OLLIIX,TGTDVS</t>
  </si>
  <si>
    <t>15478285-000-005</t>
  </si>
  <si>
    <t>CS58-0313</t>
  </si>
  <si>
    <t>Comfort Spaces</t>
  </si>
  <si>
    <t>THROW WRAP</t>
  </si>
  <si>
    <t>Angel</t>
  </si>
  <si>
    <t>Plush Hooded Angel Wrap</t>
  </si>
  <si>
    <t>58x72"</t>
  </si>
  <si>
    <t>Lavender</t>
  </si>
  <si>
    <t>ARC</t>
  </si>
  <si>
    <t>AMAZON</t>
  </si>
  <si>
    <t>8/17/2017</t>
  </si>
  <si>
    <t>AMAZON,AMAZONDS</t>
  </si>
  <si>
    <t>43948655-000-000</t>
  </si>
  <si>
    <t>5/10/2024</t>
  </si>
  <si>
    <t>8/26/2024</t>
  </si>
  <si>
    <t>WIN40-140</t>
  </si>
  <si>
    <t>Anna</t>
  </si>
  <si>
    <t>Joycelyn</t>
  </si>
  <si>
    <t>Ariana</t>
  </si>
  <si>
    <t>Cotton Oversized Ruffle Curtain Panel</t>
  </si>
  <si>
    <t>PF003972</t>
  </si>
  <si>
    <t>Cottage/Country</t>
  </si>
  <si>
    <t>AMAZON,BLK01,CSNSTORES,HSNDS,JCPENNEY01,KOHLDSN,MACY02,NRTPORT,OLLIIX,TGTDVS,WALMARTDS</t>
  </si>
  <si>
    <t>15856535-000-000</t>
  </si>
  <si>
    <t>MP100-1225</t>
  </si>
  <si>
    <t>ACCENT CHAIR</t>
  </si>
  <si>
    <t>Arm Chair</t>
  </si>
  <si>
    <t>Annika</t>
  </si>
  <si>
    <t>Elisha</t>
  </si>
  <si>
    <t>Bernay</t>
  </si>
  <si>
    <t>Faux Leather Accent Arm Chair</t>
  </si>
  <si>
    <t>PP001872</t>
  </si>
  <si>
    <t>4/25/2023</t>
  </si>
  <si>
    <t>AMERSIGNDS,CSNSTORES,KIRKLANDDS,KOHLDSN,OLLIIX</t>
  </si>
  <si>
    <t>41524915-000-000</t>
  </si>
  <si>
    <t>5/9/2023</t>
  </si>
  <si>
    <t>3/11/2024</t>
  </si>
  <si>
    <t>II153-0159</t>
  </si>
  <si>
    <t>Aquaviva</t>
  </si>
  <si>
    <t xml:space="preserve">Aquaviva </t>
  </si>
  <si>
    <t>Confetti Glass Table Lamp</t>
  </si>
  <si>
    <t>Artisan</t>
  </si>
  <si>
    <t>KOHLDSN</t>
  </si>
  <si>
    <t>44671193-000-000</t>
  </si>
  <si>
    <t>9/2/2024</t>
  </si>
  <si>
    <t>10/15/2024</t>
  </si>
  <si>
    <t>MP103-1193</t>
  </si>
  <si>
    <t>Archer</t>
  </si>
  <si>
    <t>Cedar</t>
  </si>
  <si>
    <t>Grimmer</t>
  </si>
  <si>
    <t>Faux Leather 360 Degree Swivel Arm Chair</t>
  </si>
  <si>
    <t>11/21/2022</t>
  </si>
  <si>
    <t>CSNSTORES,KIRKLANDDS,KOHLDSN,OLLIIX</t>
  </si>
  <si>
    <t>40538882-000-000</t>
  </si>
  <si>
    <t>4/4/2023</t>
  </si>
  <si>
    <t>II151-0136</t>
  </si>
  <si>
    <t>Aria</t>
  </si>
  <si>
    <t>Geometric Bamboo Pendant</t>
  </si>
  <si>
    <t>Farm House|Transitional</t>
  </si>
  <si>
    <t>40632018-000-000</t>
  </si>
  <si>
    <t>10/18/2022</t>
  </si>
  <si>
    <t>3/24/2023</t>
  </si>
  <si>
    <t>MP100-0982</t>
  </si>
  <si>
    <t>Arianna</t>
  </si>
  <si>
    <t>Leda</t>
  </si>
  <si>
    <t>Swoop Wing Chair</t>
  </si>
  <si>
    <t>Taupe Multi</t>
  </si>
  <si>
    <t>5/19/2020</t>
  </si>
  <si>
    <t>AMAZONDS,ASHFURNDS,CSNSTORES,HDDS,JCPENNEY01,KOHLDSN,OLLIIX,TGTDVS</t>
  </si>
  <si>
    <t>18195229-000-001</t>
  </si>
  <si>
    <t>5/26/2020</t>
  </si>
  <si>
    <t>6/3/2020</t>
  </si>
  <si>
    <t>CH10-011</t>
  </si>
  <si>
    <t xml:space="preserve">Chapel Hill </t>
  </si>
  <si>
    <t>Comforter Mini Set</t>
  </si>
  <si>
    <t>Arlo</t>
  </si>
  <si>
    <t>Oversized Comforter Set</t>
  </si>
  <si>
    <t>PF006290</t>
  </si>
  <si>
    <t>7/16/2024</t>
  </si>
  <si>
    <t>Pending</t>
  </si>
  <si>
    <t>CH10-012</t>
  </si>
  <si>
    <t>FPF17-0295</t>
  </si>
  <si>
    <t>ACCENT TABLE</t>
  </si>
  <si>
    <t>Side Table</t>
  </si>
  <si>
    <t>Coen</t>
  </si>
  <si>
    <t>Gaige</t>
  </si>
  <si>
    <t>Metal Eyelet Accent Table</t>
  </si>
  <si>
    <t>PF000546;PP000084</t>
  </si>
  <si>
    <t>AMAZONDS,AMERSIGNDS,ASHFURNDS,CSNSTORES,DESINC,KIRKLANDDS,KOHLDSN,LAMPDS,MACY02F,OLLIIX</t>
  </si>
  <si>
    <t>18298230-000-000</t>
  </si>
  <si>
    <t>2/18/2016</t>
  </si>
  <si>
    <t>MP35-8058</t>
  </si>
  <si>
    <t>Asher</t>
  </si>
  <si>
    <t>Caroline</t>
  </si>
  <si>
    <t>Mandy</t>
  </si>
  <si>
    <t>Distressed Medallion Woven Area Rug</t>
  </si>
  <si>
    <t>Cream/Grey</t>
  </si>
  <si>
    <t>PP001799;PF005787</t>
  </si>
  <si>
    <t>Medallion</t>
  </si>
  <si>
    <t>8/29/2022</t>
  </si>
  <si>
    <t>BLK01,CSNSTORES,KIRKLANDDS,OLLIIX</t>
  </si>
  <si>
    <t>40574187-000-003</t>
  </si>
  <si>
    <t>10/10/2022</t>
  </si>
  <si>
    <t>6/17/2024</t>
  </si>
  <si>
    <t>MP35-7185</t>
  </si>
  <si>
    <t>Ashley</t>
  </si>
  <si>
    <t>Abigail</t>
  </si>
  <si>
    <t>Hannah</t>
  </si>
  <si>
    <t>Terni Pebble Indoor Area Rug</t>
  </si>
  <si>
    <t>Gray/Cream</t>
  </si>
  <si>
    <t>6/25/2020</t>
  </si>
  <si>
    <t>AMAZONDS,KOHLDSN,OLLIIX</t>
  </si>
  <si>
    <t>36357434-000-000</t>
  </si>
  <si>
    <t>7/1/2020</t>
  </si>
  <si>
    <t>6/3/2022</t>
  </si>
  <si>
    <t>MP103-1245</t>
  </si>
  <si>
    <t>Ashton</t>
  </si>
  <si>
    <t>Upholstered Swivel Chair with Wood Base</t>
  </si>
  <si>
    <t>3/13/2024</t>
  </si>
  <si>
    <t>44439376-000-000</t>
  </si>
  <si>
    <t>MP103-1246</t>
  </si>
  <si>
    <t>OLLIIX,ROOMECOM</t>
  </si>
  <si>
    <t>44439376-000-001</t>
  </si>
  <si>
    <t>8/9/2024</t>
  </si>
  <si>
    <t>FB154-1177</t>
  </si>
  <si>
    <t>510 Design</t>
  </si>
  <si>
    <t>LGT-FLOOR LAMPS</t>
  </si>
  <si>
    <t>Floor Lamps</t>
  </si>
  <si>
    <t>Aster</t>
  </si>
  <si>
    <t>Angular Arched Metal Floor Lamp</t>
  </si>
  <si>
    <t>Silver</t>
  </si>
  <si>
    <t>9/1/2023</t>
  </si>
  <si>
    <t>AMERSIGNDS,CSNSTORES,HDDS,KOHLDSN,OLLIIX,ZOLA</t>
  </si>
  <si>
    <t>39936651-000-001</t>
  </si>
  <si>
    <t>9/5/2023</t>
  </si>
  <si>
    <t>ID12-2164</t>
  </si>
  <si>
    <t>Astoria</t>
  </si>
  <si>
    <t>Nova</t>
  </si>
  <si>
    <t>Esther</t>
  </si>
  <si>
    <t>Clip Jacquard Duvet Cover Set</t>
  </si>
  <si>
    <t>Twin/Twin XL</t>
  </si>
  <si>
    <t>PF005812</t>
  </si>
  <si>
    <t>12/19/2022</t>
  </si>
  <si>
    <t>40928834-000-001</t>
  </si>
  <si>
    <t>1/3/2023</t>
  </si>
  <si>
    <t>9/8/2023</t>
  </si>
  <si>
    <t>II151-0135</t>
  </si>
  <si>
    <t>Astrid</t>
  </si>
  <si>
    <t>Bowl Shaped Bamboo Pendant</t>
  </si>
  <si>
    <t>Farm House</t>
  </si>
  <si>
    <t>40632342-000-000</t>
  </si>
  <si>
    <t>1/19/2023</t>
  </si>
  <si>
    <t>MP103-0908</t>
  </si>
  <si>
    <t>Manual Recliner</t>
  </si>
  <si>
    <t>Athena</t>
  </si>
  <si>
    <t>Jimmy</t>
  </si>
  <si>
    <t>Cranberry</t>
  </si>
  <si>
    <t>Push Back Recliner</t>
  </si>
  <si>
    <t>1/7/2020</t>
  </si>
  <si>
    <t>ASHFURNDS,CSNSTORES,JCPENNEY01,KOHLDSN,LAMPDS,MACY02F,OLLIIX,ROOMECOM</t>
  </si>
  <si>
    <t>35430553-000-000</t>
  </si>
  <si>
    <t>4/7/2020</t>
  </si>
  <si>
    <t>5DS105-0051</t>
  </si>
  <si>
    <t>ACCENT BENCH</t>
  </si>
  <si>
    <t>Storage Bench</t>
  </si>
  <si>
    <t>Aubrey</t>
  </si>
  <si>
    <t>Upholstered Storage Bench</t>
  </si>
  <si>
    <t>7/17/2024</t>
  </si>
  <si>
    <t>KOHLDSN,ROOMECOM</t>
  </si>
  <si>
    <t>44661659-000-001</t>
  </si>
  <si>
    <t>8/29/2024</t>
  </si>
  <si>
    <t>5DS104-0049</t>
  </si>
  <si>
    <t>Counter Stool</t>
  </si>
  <si>
    <t>Upholstered Counter Stool with Nailhead Trim Set of 2</t>
  </si>
  <si>
    <t>7/27/2024</t>
  </si>
  <si>
    <t>ROOMECOM</t>
  </si>
  <si>
    <t>44664019-000-000</t>
  </si>
  <si>
    <t>8/30/2024</t>
  </si>
  <si>
    <t>MP41-4990</t>
  </si>
  <si>
    <t>Whitman</t>
  </si>
  <si>
    <t>Charlotte</t>
  </si>
  <si>
    <t>Jacquard Window Rod Pocket Valance With Beads</t>
  </si>
  <si>
    <t>Blue/Brown</t>
  </si>
  <si>
    <t>Paisley</t>
  </si>
  <si>
    <t>7/4/2018</t>
  </si>
  <si>
    <t>3/19/2025</t>
  </si>
  <si>
    <t>AMAZON,AMAZONDS,BEALLSDS,BIGLOTSDS,BLK01,CSNSTORES,DESINC,HDDS,JCPENNEY01,KOHLDSN,OLLIIX</t>
  </si>
  <si>
    <t>28197247-000-002</t>
  </si>
  <si>
    <t>7/17/2018</t>
  </si>
  <si>
    <t>8/21/2018</t>
  </si>
  <si>
    <t>MP40-2680</t>
  </si>
  <si>
    <t>Jacquard Curtain Panel Pair</t>
  </si>
  <si>
    <t>Burgundy</t>
  </si>
  <si>
    <t>PF003393;PP000381</t>
  </si>
  <si>
    <t>AMAZONDS,BLK01,CSNSTORES,HDDS,JCPENNEY01,KOHLDSN</t>
  </si>
  <si>
    <t>15478287-000-006</t>
  </si>
  <si>
    <t>8/19/2016</t>
  </si>
  <si>
    <t>MP41-2714</t>
  </si>
  <si>
    <t>Jacquard Window Valance</t>
  </si>
  <si>
    <t>16924840-000-002</t>
  </si>
  <si>
    <t>MP41-4991</t>
  </si>
  <si>
    <t>8/28/2018</t>
  </si>
  <si>
    <t>AMAZON,BLK01,CSNSTORES,JCPENNEY01,KOHLDSN</t>
  </si>
  <si>
    <t>28197247-000-001</t>
  </si>
  <si>
    <t>10/23/2018</t>
  </si>
  <si>
    <t>5DS105-0050</t>
  </si>
  <si>
    <t>CSNSTORES,KOHLDSN,OLLIIX,ROOMECOM</t>
  </si>
  <si>
    <t>44661659-000-002</t>
  </si>
  <si>
    <t>10/28/2024</t>
  </si>
  <si>
    <t>5DS104-0047</t>
  </si>
  <si>
    <t>44664019-000-001</t>
  </si>
  <si>
    <t>5DS108-0044</t>
  </si>
  <si>
    <t>DINING CHAIR</t>
  </si>
  <si>
    <t>Dining Chair</t>
  </si>
  <si>
    <t>Upholstered Dining Chair with Nailhead Trim Set of 2</t>
  </si>
  <si>
    <t>44664020-000-002</t>
  </si>
  <si>
    <t>MP40-4898</t>
  </si>
  <si>
    <t>PF003394</t>
  </si>
  <si>
    <t>8/16/2017</t>
  </si>
  <si>
    <t>AMAZON,ASHFURNDS,BLK01,JCPENNEY01,KOHLDSN,NEBFUR01,OLLIIX</t>
  </si>
  <si>
    <t>15478287-000-011</t>
  </si>
  <si>
    <t>8/21/2017</t>
  </si>
  <si>
    <t>9/26/2017</t>
  </si>
  <si>
    <t>MP70-8320</t>
  </si>
  <si>
    <t>Jacquard Shower Curtain</t>
  </si>
  <si>
    <t>PP000381;PF006093</t>
  </si>
  <si>
    <t>11/18/2023</t>
  </si>
  <si>
    <t>14348534-000-006</t>
  </si>
  <si>
    <t>11/20/2023</t>
  </si>
  <si>
    <t>12/28/2023</t>
  </si>
  <si>
    <t>FB153-1175</t>
  </si>
  <si>
    <t>Auburn</t>
  </si>
  <si>
    <t>24" H Table Lamp with Marble Base</t>
  </si>
  <si>
    <t>KIRKLANDDS,KOHLDSN,OLLIIX</t>
  </si>
  <si>
    <t>41029984-000-000</t>
  </si>
  <si>
    <t>1/30/2023</t>
  </si>
  <si>
    <t>2/14/2023</t>
  </si>
  <si>
    <t>FB151-1188</t>
  </si>
  <si>
    <t>Auburn Bell Shaped Hanging Glass Pendant Light</t>
  </si>
  <si>
    <t>Dia.9"</t>
  </si>
  <si>
    <t>Gold/Amber</t>
  </si>
  <si>
    <t>AMAZON,CSNSTORES</t>
  </si>
  <si>
    <t>23542148-000-005</t>
  </si>
  <si>
    <t>4/26/2024</t>
  </si>
  <si>
    <t>8/2/2024</t>
  </si>
  <si>
    <t>FB151-1179</t>
  </si>
  <si>
    <t>Bell Shaped Glass Pendant</t>
  </si>
  <si>
    <t>Dia.13"</t>
  </si>
  <si>
    <t>Gold/Clear</t>
  </si>
  <si>
    <t>2/1/2024</t>
  </si>
  <si>
    <t>23542148-000-004</t>
  </si>
  <si>
    <t>3/4/2024</t>
  </si>
  <si>
    <t>3/25/2024</t>
  </si>
  <si>
    <t>MP108-1139</t>
  </si>
  <si>
    <t>Audrey</t>
  </si>
  <si>
    <t>Abel</t>
  </si>
  <si>
    <t>Zuri</t>
  </si>
  <si>
    <t>Channel Tufting Dining Chair (Set of 2)</t>
  </si>
  <si>
    <t>39537561-000-000</t>
  </si>
  <si>
    <t>6/26/2023</t>
  </si>
  <si>
    <t>MP103-0825</t>
  </si>
  <si>
    <t>Swivel Glider</t>
  </si>
  <si>
    <t>Augustine</t>
  </si>
  <si>
    <t>Caddy</t>
  </si>
  <si>
    <t>Bewick</t>
  </si>
  <si>
    <t>Swivel Glider Chair</t>
  </si>
  <si>
    <t>Grey/Taupe</t>
  </si>
  <si>
    <t>6/21/2019</t>
  </si>
  <si>
    <t>KOHLDSN,MACY02F,OLLIIX</t>
  </si>
  <si>
    <t>33955914-000-000</t>
  </si>
  <si>
    <t>7/31/2019</t>
  </si>
  <si>
    <t>9/14/2019</t>
  </si>
  <si>
    <t>CCL30-0027</t>
  </si>
  <si>
    <t>Croscill Classics</t>
  </si>
  <si>
    <t>NORMAL PILLOW</t>
  </si>
  <si>
    <t>Normal Pillow</t>
  </si>
  <si>
    <t>Aumont</t>
  </si>
  <si>
    <t>Oblong Decor Pillow</t>
  </si>
  <si>
    <t>22x15"</t>
  </si>
  <si>
    <t>Vintage</t>
  </si>
  <si>
    <t>10/24/2022</t>
  </si>
  <si>
    <t>CSNSTORES,DLCROSCILL,JCPENNEY01,KOHLDSN,MACY02,OLLIIX</t>
  </si>
  <si>
    <t>42067840-000-000</t>
  </si>
  <si>
    <t>10/1/2023</t>
  </si>
  <si>
    <t>MP95F-0359</t>
  </si>
  <si>
    <t>DEC. MIRROR</t>
  </si>
  <si>
    <t>Decor Mirror</t>
  </si>
  <si>
    <t>Aurelia</t>
  </si>
  <si>
    <t>Rounded Rectangle Fluted Wall Mirror</t>
  </si>
  <si>
    <t>JCPENNEY01,KIRKLANDDS,LAMPDS,TGTDVS</t>
  </si>
  <si>
    <t>44339047-000-000</t>
  </si>
  <si>
    <t>MP95B-0288</t>
  </si>
  <si>
    <t>AWD</t>
  </si>
  <si>
    <t>Aurelian Emblem</t>
  </si>
  <si>
    <t>Natural Capiz with Gold Foil 2-piece Shadowbox Wall Decor Set</t>
  </si>
  <si>
    <t>Natural/Gold</t>
  </si>
  <si>
    <t>PP001709</t>
  </si>
  <si>
    <t>6/19/2021</t>
  </si>
  <si>
    <t>2/5/2025</t>
  </si>
  <si>
    <t>AMAZON,BLK01,JCPENNEY01,KIRKLANDDS,KOHLDSN,OLLIIX,TGTDVS</t>
  </si>
  <si>
    <t>39266366-000-000</t>
  </si>
  <si>
    <t>11/27/2021</t>
  </si>
  <si>
    <t>1/19/2022</t>
  </si>
  <si>
    <t>MP95C-0285</t>
  </si>
  <si>
    <t>CANVAS</t>
  </si>
  <si>
    <t>Canvas</t>
  </si>
  <si>
    <t>Auric Beam</t>
  </si>
  <si>
    <t>Gold Foil Abstract Framed Canvas Wall Art</t>
  </si>
  <si>
    <t>PP001664</t>
  </si>
  <si>
    <t>6/2/2021</t>
  </si>
  <si>
    <t>AMAZONDS,AMERSIGNDS,BLK01,CSNSTORES,DESINC,HDDS,JCPENNEY01,KIRKLANDDS,KOHLDSN,LAMPDS,MACY02,OLLIIX,ROOMECOM,TGTDVS</t>
  </si>
  <si>
    <t>38513312-000-000</t>
  </si>
  <si>
    <t>7/20/2021</t>
  </si>
  <si>
    <t>11/22/2021</t>
  </si>
  <si>
    <t>MP95C-0207</t>
  </si>
  <si>
    <t>Autumn Forest</t>
  </si>
  <si>
    <t>Triptych 3-piece Textured Canvas Wall Art Set</t>
  </si>
  <si>
    <t>4/17/2019</t>
  </si>
  <si>
    <t>2/4/2025</t>
  </si>
  <si>
    <t>AMAZON,CSNSTORES,KIRKLANDDS,KOHLDSN,MACY02,OLLIIX,ROOMECOM,TGTDVS</t>
  </si>
  <si>
    <t>33368285-000-000</t>
  </si>
  <si>
    <t>5/24/2019</t>
  </si>
  <si>
    <t>12/11/2019</t>
  </si>
  <si>
    <t>MP35-8063</t>
  </si>
  <si>
    <t>Averie</t>
  </si>
  <si>
    <t>Bianca</t>
  </si>
  <si>
    <t>Suzy</t>
  </si>
  <si>
    <t>Trellis Geometric Woven Area Rug</t>
  </si>
  <si>
    <t>Black/Cream</t>
  </si>
  <si>
    <t>PP001800;PF005788</t>
  </si>
  <si>
    <t>9/29/2022</t>
  </si>
  <si>
    <t>HDDS</t>
  </si>
  <si>
    <t>40689046-000-001</t>
  </si>
  <si>
    <t>10/27/2022</t>
  </si>
  <si>
    <t>MP35-8064</t>
  </si>
  <si>
    <t>8x10'</t>
  </si>
  <si>
    <t>40689046-000-000</t>
  </si>
  <si>
    <t>MP40-3595</t>
  </si>
  <si>
    <t>Sheer</t>
  </si>
  <si>
    <t>Averil</t>
  </si>
  <si>
    <t>Vina</t>
  </si>
  <si>
    <t>Layla</t>
  </si>
  <si>
    <t>Grommet Top Sheer Bird on Branches Burnout Window Curtain</t>
  </si>
  <si>
    <t>PF003984</t>
  </si>
  <si>
    <t>Nature</t>
  </si>
  <si>
    <t>AMAZON,AMAZONDS,CSNSTORES,JCPENNEY01,KOHLDSN,OLLIIX,WALMARTDS</t>
  </si>
  <si>
    <t>16625358-000-004</t>
  </si>
  <si>
    <t>8/31/2016</t>
  </si>
  <si>
    <t>9/26/2016</t>
  </si>
  <si>
    <t>MP40-3596</t>
  </si>
  <si>
    <t>AMAZON,CSNSTORES,DESINC,JCPENNEY01</t>
  </si>
  <si>
    <t>16625358-000-005</t>
  </si>
  <si>
    <t>9/23/2016</t>
  </si>
  <si>
    <t>CCL40-0048</t>
  </si>
  <si>
    <t>Avignon</t>
  </si>
  <si>
    <t>Pleat Curtain Panel with Tieback (Single)</t>
  </si>
  <si>
    <t>52x96"</t>
  </si>
  <si>
    <t>11/14/2022</t>
  </si>
  <si>
    <t>DLCROSCILL</t>
  </si>
  <si>
    <t>42036995-000-007</t>
  </si>
  <si>
    <t>7/27/2023</t>
  </si>
  <si>
    <t>8/13/2024</t>
  </si>
  <si>
    <t>CCL40-0050</t>
  </si>
  <si>
    <t>52x84"</t>
  </si>
  <si>
    <t>CSNSTORES,JCPENNEY01</t>
  </si>
  <si>
    <t>42036995-000-003</t>
  </si>
  <si>
    <t>8/18/2023</t>
  </si>
  <si>
    <t>CCL40-0042</t>
  </si>
  <si>
    <t>JCPENNEY01</t>
  </si>
  <si>
    <t>42036995-000-004</t>
  </si>
  <si>
    <t>8/14/2023</t>
  </si>
  <si>
    <t>MP104-1003</t>
  </si>
  <si>
    <t>Avila</t>
  </si>
  <si>
    <t>Hayes</t>
  </si>
  <si>
    <t>Saffron</t>
  </si>
  <si>
    <t>Tufted Back Counter Stool</t>
  </si>
  <si>
    <t>Orange Multi</t>
  </si>
  <si>
    <t>9/8/2020</t>
  </si>
  <si>
    <t>CSNSTORES,HDDS,HOUZZ,JCPENNEY01,KOHLDSN,MACY02F,OLLIIX,ROOMECOM</t>
  </si>
  <si>
    <t>18681835-000-001</t>
  </si>
  <si>
    <t>9/15/2020</t>
  </si>
  <si>
    <t>MT130-1212</t>
  </si>
  <si>
    <t>ACCENT CHEST</t>
  </si>
  <si>
    <t>Cabinet</t>
  </si>
  <si>
    <t>Ayanna</t>
  </si>
  <si>
    <t>Accent Cabinet with Lower Shelf</t>
  </si>
  <si>
    <t>Reclaimed Wheat</t>
  </si>
  <si>
    <t>CSNSTORES,OLLIIX,ROOMECOM</t>
  </si>
  <si>
    <t>43879376-000-000</t>
  </si>
  <si>
    <t>4/25/2024</t>
  </si>
  <si>
    <t>8/7/2024</t>
  </si>
  <si>
    <t>ID31-2468</t>
  </si>
  <si>
    <t>CUSHION/POUF</t>
  </si>
  <si>
    <t>Indoor Cushion</t>
  </si>
  <si>
    <t>Azza</t>
  </si>
  <si>
    <t>Charvi</t>
  </si>
  <si>
    <t>Diah</t>
  </si>
  <si>
    <t>Poly Chenille Square Floor Pillow Cushion</t>
  </si>
  <si>
    <t>24x24"</t>
  </si>
  <si>
    <t>PF004189;PP000936</t>
  </si>
  <si>
    <t>11/12/2024</t>
  </si>
  <si>
    <t>AMAZONDS,MACY02</t>
  </si>
  <si>
    <t>44512887-000-003</t>
  </si>
  <si>
    <t>11/20/2024</t>
  </si>
  <si>
    <t>ID31-2467</t>
  </si>
  <si>
    <t>PF004187;PP000936</t>
  </si>
  <si>
    <t>AMAZONDS,KOHLDSN</t>
  </si>
  <si>
    <t>44512887-000-002</t>
  </si>
  <si>
    <t>ID31-2449</t>
  </si>
  <si>
    <t>Cube/Cylinder</t>
  </si>
  <si>
    <t>20x20"</t>
  </si>
  <si>
    <t>Dusty Peach</t>
  </si>
  <si>
    <t>PP000936;PF006341</t>
  </si>
  <si>
    <t>8/8/2024</t>
  </si>
  <si>
    <t>AMAZON,CSNSTORES,HDDS,MACY02</t>
  </si>
  <si>
    <t>44512887-000-000</t>
  </si>
  <si>
    <t>ID31-2466</t>
  </si>
  <si>
    <t>PF004188;PP000936</t>
  </si>
  <si>
    <t>44512887-000-001</t>
  </si>
  <si>
    <t>ID31-2469</t>
  </si>
  <si>
    <t>44512887-000-004</t>
  </si>
  <si>
    <t>II105-0593</t>
  </si>
  <si>
    <t>Bailey</t>
  </si>
  <si>
    <t>Boucle Flip Top Storage Bench</t>
  </si>
  <si>
    <t>1/9/2025</t>
  </si>
  <si>
    <t>CSNSTORES,OLLIIX</t>
  </si>
  <si>
    <t>41754121-000-002</t>
  </si>
  <si>
    <t>9/3/2024</t>
  </si>
  <si>
    <t>FPF18-0419</t>
  </si>
  <si>
    <t>Barton</t>
  </si>
  <si>
    <t>Weston</t>
  </si>
  <si>
    <t>Colette</t>
  </si>
  <si>
    <t>Wing Chair</t>
  </si>
  <si>
    <t>PF000703;PP000093</t>
  </si>
  <si>
    <t>CSNSTORES,KOHLDSN,MACY02F,OLLIIX,ROOMECOM</t>
  </si>
  <si>
    <t>18298232-000-000</t>
  </si>
  <si>
    <t>4/29/2016</t>
  </si>
  <si>
    <t>FPF18-0151</t>
  </si>
  <si>
    <t>Dark Gray</t>
  </si>
  <si>
    <t>PF000615;PP000093</t>
  </si>
  <si>
    <t>CSNSTORES,KOHLDSN,MACY02F,ROOMECOM</t>
  </si>
  <si>
    <t>17880174-000-000</t>
  </si>
  <si>
    <t>3/21/2017</t>
  </si>
  <si>
    <t>FPF18-0417</t>
  </si>
  <si>
    <t>PF000701;PP000093</t>
  </si>
  <si>
    <t>Print</t>
  </si>
  <si>
    <t>CASTLEGATE,CSNSTORES,LAMPDS,MACY02F,OLLIIX,ROOMECOM</t>
  </si>
  <si>
    <t>18297801-000-000</t>
  </si>
  <si>
    <t>6/10/2016</t>
  </si>
  <si>
    <t>FPF18-0152</t>
  </si>
  <si>
    <t>Taupe</t>
  </si>
  <si>
    <t>PF000616;PP000093</t>
  </si>
  <si>
    <t>CSNSTORES,HDDS,KOHLDSN,MACY02F,OLLIIX,ROOMECOM</t>
  </si>
  <si>
    <t>17880173-000-000</t>
  </si>
  <si>
    <t>6/4/2018</t>
  </si>
  <si>
    <t>5DS153-0041</t>
  </si>
  <si>
    <t>Bayard</t>
  </si>
  <si>
    <t>Embossed Ceramic Table Lamp</t>
  </si>
  <si>
    <t>12/23/2021</t>
  </si>
  <si>
    <t>39463511-000-000</t>
  </si>
  <si>
    <t>1/5/2022</t>
  </si>
  <si>
    <t>MP72-5843</t>
  </si>
  <si>
    <t>Bayside</t>
  </si>
  <si>
    <t>Nantucket</t>
  </si>
  <si>
    <t>Rockaway</t>
  </si>
  <si>
    <t>Reversible High Pile Tufted Bath Rug</t>
  </si>
  <si>
    <t>PP000384;PF004272</t>
  </si>
  <si>
    <t>4/10/2018</t>
  </si>
  <si>
    <t>AMAZON,AMAZONDS,BEALLSDS,BLK01,CSNSTORES,HDDS,JCPENNEY01,KOHLDSN,MACY02,OLLIIX,TGTDVS</t>
  </si>
  <si>
    <t>26943164-000-000</t>
  </si>
  <si>
    <t>4/26/2018</t>
  </si>
  <si>
    <t>5/16/2018</t>
  </si>
  <si>
    <t>ID95C-0059</t>
  </si>
  <si>
    <t>Beach Dogs</t>
  </si>
  <si>
    <t>Chihuahua Canvas Wall Art</t>
  </si>
  <si>
    <t>Chihuahua/Blue Multi</t>
  </si>
  <si>
    <t>Animal</t>
  </si>
  <si>
    <t>10/7/2023</t>
  </si>
  <si>
    <t>AMAZON,AMAZONDS,DESINC,JCPENNEY01,OLLIIX,TGTDVS</t>
  </si>
  <si>
    <t>42721561-000-005</t>
  </si>
  <si>
    <t>10/8/2023</t>
  </si>
  <si>
    <t>ID95C-0054</t>
  </si>
  <si>
    <t>Corgi Canvas Wall Art</t>
  </si>
  <si>
    <t>Corgi/Blue Multi</t>
  </si>
  <si>
    <t>10/6/2023</t>
  </si>
  <si>
    <t>AMAZON,AMAZONDS,DESINC,KOHLDSN</t>
  </si>
  <si>
    <t>42721561-000-003</t>
  </si>
  <si>
    <t>1/22/2024</t>
  </si>
  <si>
    <t>ID95C-0056</t>
  </si>
  <si>
    <t>Frenchie Canvas Wall Art</t>
  </si>
  <si>
    <t>Frenchie/Blue Multi</t>
  </si>
  <si>
    <t>AMAZON,AMAZONDS,JCPENNEY01,KOHLDSN,MACY02,OLLIIX</t>
  </si>
  <si>
    <t>42721561-000-001</t>
  </si>
  <si>
    <t>ID95C-0058</t>
  </si>
  <si>
    <t>Golden Retriever Canvas Wall Art</t>
  </si>
  <si>
    <t>Golden Retriever/Blue Multi</t>
  </si>
  <si>
    <t>AMAZON,AMAZONDS,CSNSTORES,DESINC,JCPENNEY01,KOHLDSN,MACY02,OLLIIX,TGTDVS</t>
  </si>
  <si>
    <t>42721561-000-004</t>
  </si>
  <si>
    <t>ID95C-0057</t>
  </si>
  <si>
    <t>Pomeranian Canvas Wall Art</t>
  </si>
  <si>
    <t>Pomeranian/Blue Multi</t>
  </si>
  <si>
    <t>AMAZON,AMAZONDS,JCPENNEY01,KOHLDSN,OLLIIX</t>
  </si>
  <si>
    <t>42721561-000-000</t>
  </si>
  <si>
    <t>ID95C-0055</t>
  </si>
  <si>
    <t>Yorkie Canvas Wall Art</t>
  </si>
  <si>
    <t>Yorkie/Blue Multi</t>
  </si>
  <si>
    <t>AMAZON,AMAZONDS,CSNSTORES,JCPENNEY01,KOHLDSN,TGTDVS</t>
  </si>
  <si>
    <t>42721561-000-002</t>
  </si>
  <si>
    <t>HH10-094</t>
  </si>
  <si>
    <t>Harbor House</t>
  </si>
  <si>
    <t>Beach House</t>
  </si>
  <si>
    <t>Comforter Set</t>
  </si>
  <si>
    <t>PF003326</t>
  </si>
  <si>
    <t>AMAZON,CSNSTORES,HOUZZ,KOHLDSN,MACY02</t>
  </si>
  <si>
    <t>16643545-000-001</t>
  </si>
  <si>
    <t>2/3/2015</t>
  </si>
  <si>
    <t>HH10-097</t>
  </si>
  <si>
    <t>AMAZONDS,CSNSTORES,MACY02</t>
  </si>
  <si>
    <t>16643545-000-004</t>
  </si>
  <si>
    <t>6/9/2015</t>
  </si>
  <si>
    <t>II154-0123</t>
  </si>
  <si>
    <t>Beacon</t>
  </si>
  <si>
    <t>Arched Metal Floor Lamp with Chimney Shade</t>
  </si>
  <si>
    <t>Matte Black</t>
  </si>
  <si>
    <t>5/4/2022</t>
  </si>
  <si>
    <t>HOUZZ,KIRKLANDDS,KOHLDSN,OLLIIX,TGTDVS,ZOLA,Zulily</t>
  </si>
  <si>
    <t>39936236-000-000</t>
  </si>
  <si>
    <t>5/11/2022</t>
  </si>
  <si>
    <t>8/16/2022</t>
  </si>
  <si>
    <t>MP40-7494</t>
  </si>
  <si>
    <t>Beals</t>
  </si>
  <si>
    <t>Barnet</t>
  </si>
  <si>
    <t>Bayer</t>
  </si>
  <si>
    <t>Faux Linen Tab Top Fleece Lined Curtain Panel</t>
  </si>
  <si>
    <t>PP001631;PF005475</t>
  </si>
  <si>
    <t>38477161-000-001</t>
  </si>
  <si>
    <t>7/14/2021</t>
  </si>
  <si>
    <t>7/22/2021</t>
  </si>
  <si>
    <t>MPS105-0307</t>
  </si>
  <si>
    <t>Beckett</t>
  </si>
  <si>
    <t>Tufted Storage Bench</t>
  </si>
  <si>
    <t>Antique Cream/Light Grey</t>
  </si>
  <si>
    <t>CSNSTORES,ROOMECOM</t>
  </si>
  <si>
    <t>44645802-000-000</t>
  </si>
  <si>
    <t>8/27/2024</t>
  </si>
  <si>
    <t>BASI16-0315</t>
  </si>
  <si>
    <t>Bed Guardian</t>
  </si>
  <si>
    <t>3M Scotchgard Waterproof Mattress Protector</t>
  </si>
  <si>
    <t>PF002095</t>
  </si>
  <si>
    <t>17688681-000-000</t>
  </si>
  <si>
    <t>12/21/2015</t>
  </si>
  <si>
    <t>BASI16-0317</t>
  </si>
  <si>
    <t>Mattress Pad|Protector</t>
  </si>
  <si>
    <t>CSNSTORES,JCPENNEY01,KOHLDSN,MACY02,NRTPORT,OLLIIX,TGTDVS</t>
  </si>
  <si>
    <t>17688681-000-002</t>
  </si>
  <si>
    <t>MP120-1206</t>
  </si>
  <si>
    <t>OCCASIONL TABLE</t>
  </si>
  <si>
    <t>Console Table</t>
  </si>
  <si>
    <t>Belfast</t>
  </si>
  <si>
    <t>Nomad</t>
  </si>
  <si>
    <t>Westly</t>
  </si>
  <si>
    <t>Occasional Table with 2 Drawers</t>
  </si>
  <si>
    <t>Reclaimed Natural</t>
  </si>
  <si>
    <t>6/5/2023</t>
  </si>
  <si>
    <t>CSNSTORES,HDDS,OLLIIX</t>
  </si>
  <si>
    <t>42052604-000-000</t>
  </si>
  <si>
    <t>7/30/2023</t>
  </si>
  <si>
    <t>MP13-6024</t>
  </si>
  <si>
    <t>COVERLET&amp;BEDSPR</t>
  </si>
  <si>
    <t>Coverlet</t>
  </si>
  <si>
    <t>Bennett</t>
  </si>
  <si>
    <t>Christian</t>
  </si>
  <si>
    <t>William</t>
  </si>
  <si>
    <t>4 Piece Jacquard Quilt Set with Throw Pillow</t>
  </si>
  <si>
    <t>PF002754</t>
  </si>
  <si>
    <t>Glam/Luxury|Transitional</t>
  </si>
  <si>
    <t>9/11/2018</t>
  </si>
  <si>
    <t>AMAZON,CSNSTORES,HSNDS,JCPENNEY01,KOHLDSN,MACY02,OLLIIX,TGTDVS</t>
  </si>
  <si>
    <t>28497921-000-001</t>
  </si>
  <si>
    <t>8/19/2018</t>
  </si>
  <si>
    <t>10/29/2018</t>
  </si>
  <si>
    <t>MP13-7396</t>
  </si>
  <si>
    <t>PP001609;PF005405</t>
  </si>
  <si>
    <t>Jacquard Fabric</t>
  </si>
  <si>
    <t>7/26/2021</t>
  </si>
  <si>
    <t>AMAZON,BLK01,CSNSTORES,HDDS,HOUZZ,JCPENNEY01,KOHLDSN,MACY02,TGTDVS</t>
  </si>
  <si>
    <t>28497921-000-002</t>
  </si>
  <si>
    <t>8/16/2021</t>
  </si>
  <si>
    <t>UH12-2474</t>
  </si>
  <si>
    <t>Urban Habitat</t>
  </si>
  <si>
    <t>Silas</t>
  </si>
  <si>
    <t>Atlas</t>
  </si>
  <si>
    <t>3 Piece Chenille Duvet Cover Set</t>
  </si>
  <si>
    <t>Off-White</t>
  </si>
  <si>
    <t>PF005951</t>
  </si>
  <si>
    <t>5/1/2023</t>
  </si>
  <si>
    <t>CSNSTORES,JCPENNEY01,KOHLDSN,MACY02,OLLIIX,TGTDVS,ZOLA</t>
  </si>
  <si>
    <t>41492927-000-000</t>
  </si>
  <si>
    <t>5/5/2023</t>
  </si>
  <si>
    <t>7/20/2023</t>
  </si>
  <si>
    <t>SS40-0063</t>
  </si>
  <si>
    <t>Bentley</t>
  </si>
  <si>
    <t>Byron</t>
  </si>
  <si>
    <t>Ogee Knitted Jacquard Total Blackout Curtain Panel</t>
  </si>
  <si>
    <t>PP000358;PF004024</t>
  </si>
  <si>
    <t>AMAZON,AMAZONDS,ASHFURNDS,CSNSTORES,DESINC,JCPENNEY01</t>
  </si>
  <si>
    <t>25504572-000-004</t>
  </si>
  <si>
    <t>12/22/2017</t>
  </si>
  <si>
    <t>2/12/2018</t>
  </si>
  <si>
    <t>SS40-0064</t>
  </si>
  <si>
    <t>AMAZON,CSNSTORES,JCPENNEY01,KOHLDSN,OLLIIX,TGTDVS</t>
  </si>
  <si>
    <t>25504572-000-005</t>
  </si>
  <si>
    <t>3/6/2018</t>
  </si>
  <si>
    <t>UH10-2490</t>
  </si>
  <si>
    <t>Soren</t>
  </si>
  <si>
    <t>Alastair</t>
  </si>
  <si>
    <t>3 Piece Matelasse Jacquard Comforter Set</t>
  </si>
  <si>
    <t>Grey-Blue</t>
  </si>
  <si>
    <t>PF006079</t>
  </si>
  <si>
    <t>AMAZON,BLK01,CSNSTORES,KOHLDSN,MACY02,TGTDVS</t>
  </si>
  <si>
    <t>42788053-000-001</t>
  </si>
  <si>
    <t>12/13/2023</t>
  </si>
  <si>
    <t>UH12-2492</t>
  </si>
  <si>
    <t>3 Piece Matelasse Jacquard Duvet Cover Set</t>
  </si>
  <si>
    <t>42788052-000-001</t>
  </si>
  <si>
    <t>12/21/2023</t>
  </si>
  <si>
    <t>UH12-2493</t>
  </si>
  <si>
    <t>10/10/2023</t>
  </si>
  <si>
    <t>42788052-000-000</t>
  </si>
  <si>
    <t>1/18/2024</t>
  </si>
  <si>
    <t>SS40-0146</t>
  </si>
  <si>
    <t>PP000358;PF005185</t>
  </si>
  <si>
    <t>9/23/2020</t>
  </si>
  <si>
    <t>AMAZON,AMAZONDS,ASHFURNDS,CSNSTORES,DESINC,HDDS,JCPENNEY01,KOHLDSN,OLLIIX,TGTDVS</t>
  </si>
  <si>
    <t>25504572-000-009</t>
  </si>
  <si>
    <t>10/5/2020</t>
  </si>
  <si>
    <t>SS40-0121</t>
  </si>
  <si>
    <t>PP000358;PF004699</t>
  </si>
  <si>
    <t>6/12/2019</t>
  </si>
  <si>
    <t>AMAZON,CSNSTORES,DESINC,HDDS,JCPENNEY01,KOHLDSN</t>
  </si>
  <si>
    <t>25504572-000-008</t>
  </si>
  <si>
    <t>6/20/2019</t>
  </si>
  <si>
    <t>4/17/2020</t>
  </si>
  <si>
    <t>WR9201030822-07</t>
  </si>
  <si>
    <t>Woolrich</t>
  </si>
  <si>
    <t>Bernston</t>
  </si>
  <si>
    <t>Faux Wool to Faux Fur Down Alternative Comforter Set</t>
  </si>
  <si>
    <t>Green Plaid</t>
  </si>
  <si>
    <t>PP001883;PF006006</t>
  </si>
  <si>
    <t>Faux Fur</t>
  </si>
  <si>
    <t>Lodge/Cabin</t>
  </si>
  <si>
    <t>8/9/2022</t>
  </si>
  <si>
    <t>KOHLDSN,TGTDVS,WALMARTDS</t>
  </si>
  <si>
    <t>41067410-000-001</t>
  </si>
  <si>
    <t>2/7/2023</t>
  </si>
  <si>
    <t>1/9/2024</t>
  </si>
  <si>
    <t>WR9201030822-08</t>
  </si>
  <si>
    <t>8/15/2022</t>
  </si>
  <si>
    <t>41067410-000-007</t>
  </si>
  <si>
    <t>MP100-0153</t>
  </si>
  <si>
    <t>Bexley</t>
  </si>
  <si>
    <t>Larkin</t>
  </si>
  <si>
    <t>Oda</t>
  </si>
  <si>
    <t>Rounded Back Dining Chair</t>
  </si>
  <si>
    <t>PF001054;PP000096</t>
  </si>
  <si>
    <t>CASTLEGATE,CSNSTORES,HDDS,KOHLDSN,MACY02F,OLLIIX,ROOMECOM</t>
  </si>
  <si>
    <t>22078834-000-000</t>
  </si>
  <si>
    <t>5/8/2017</t>
  </si>
  <si>
    <t>8/27/2017</t>
  </si>
  <si>
    <t>FPF18-0404</t>
  </si>
  <si>
    <t>PF000695;PP000096</t>
  </si>
  <si>
    <t>CASTLEGATE,CSNSTORES,HOUZZ,KOHLDSN,OLLIIX,ROOMECOM</t>
  </si>
  <si>
    <t>22078834-000-001</t>
  </si>
  <si>
    <t>9/24/2018</t>
  </si>
  <si>
    <t>5DS73-0217</t>
  </si>
  <si>
    <t>Big Bundle</t>
  </si>
  <si>
    <t>100% Cotton Quick Dry 12 Piece Bath Towel Set</t>
  </si>
  <si>
    <t>12-Piece</t>
  </si>
  <si>
    <t>Beige</t>
  </si>
  <si>
    <t>PP001159;PF006347</t>
  </si>
  <si>
    <t>12</t>
  </si>
  <si>
    <t>7/3/2019</t>
  </si>
  <si>
    <t>BIGLOTSDS,BLK01,FINGERHUTDS,HDDS,JCPENNEY01,KIRKLANDDS,KOHLDSN,MACY02,OLLIIX,TGTDVS,WALMARTDS</t>
  </si>
  <si>
    <t>33127889-000-003</t>
  </si>
  <si>
    <t>11/18/2019</t>
  </si>
  <si>
    <t>5DS73-0289</t>
  </si>
  <si>
    <t>PP001159;PF006348</t>
  </si>
  <si>
    <t>2/10/2024</t>
  </si>
  <si>
    <t>BLK01,FINGERHUTDS,HDDS,JCPENNEY01,KOHLDSN,MACY02,OLLIIX,TGTDVS,ZOLA</t>
  </si>
  <si>
    <t>33127889-000-005</t>
  </si>
  <si>
    <t>3/29/2024</t>
  </si>
  <si>
    <t>5DS73-0201</t>
  </si>
  <si>
    <t>PP001159;PF006346</t>
  </si>
  <si>
    <t>AAFESDS,BEALLSDS,BLK01,FINGERHUTDS,HDDS,JCPENNEY01,KOHLDSN,MACY02,NRTPORT,OLLIIX,TGTDVS</t>
  </si>
  <si>
    <t>33127889-000-000</t>
  </si>
  <si>
    <t>6/15/2019</t>
  </si>
  <si>
    <t>1/20/2020</t>
  </si>
  <si>
    <t>5DS73-0200</t>
  </si>
  <si>
    <t>PP001159;PF006344</t>
  </si>
  <si>
    <t>AAFESDS,AMAZON,AMAZONDS,BEALLSDS,BIGLOTSDS,BLK01,CSNSTORES,FINGERHUTDS,HDDS,JCPENNEY01,KOHLDSN,MACY02,OLLIIX,TGTDVS</t>
  </si>
  <si>
    <t>33127889-000-001</t>
  </si>
  <si>
    <t>7/18/2019</t>
  </si>
  <si>
    <t>II150-0121</t>
  </si>
  <si>
    <t>Blaire</t>
  </si>
  <si>
    <t>6-light Ombre Glass Globe Chandelier</t>
  </si>
  <si>
    <t>Antique Brass/Amber</t>
  </si>
  <si>
    <t>CSNSTORES,KIRKLANDDS,KOHLDSN,TGTDVS</t>
  </si>
  <si>
    <t>40002940-000-000</t>
  </si>
  <si>
    <t>5/24/2022</t>
  </si>
  <si>
    <t>2/28/2023</t>
  </si>
  <si>
    <t>5DS105-0053</t>
  </si>
  <si>
    <t>Flip-top Upholstered Storage Bench</t>
  </si>
  <si>
    <t>Light Gray</t>
  </si>
  <si>
    <t>7/31/2024</t>
  </si>
  <si>
    <t>HDDS,KIRKLANDDS,KOHLDSN,ROOMECOM</t>
  </si>
  <si>
    <t>41984295-000-002</t>
  </si>
  <si>
    <t>9/9/2024</t>
  </si>
  <si>
    <t>10/25/2024</t>
  </si>
  <si>
    <t>5DS105-0043</t>
  </si>
  <si>
    <t>Light Taupe</t>
  </si>
  <si>
    <t>41984295-000-001</t>
  </si>
  <si>
    <t>9/16/2024</t>
  </si>
  <si>
    <t>II100-0495</t>
  </si>
  <si>
    <t>Blake</t>
  </si>
  <si>
    <t>Handcrafted Rattan Upholstered Accent Arm Chair</t>
  </si>
  <si>
    <t>Global Inspired</t>
  </si>
  <si>
    <t>2/23/2023</t>
  </si>
  <si>
    <t>40538795-000-000</t>
  </si>
  <si>
    <t>2/22/2023</t>
  </si>
  <si>
    <t>8/15/2023</t>
  </si>
  <si>
    <t>ID10-2332</t>
  </si>
  <si>
    <t>Liam</t>
  </si>
  <si>
    <t>Reeve</t>
  </si>
  <si>
    <t>Plaid Comforter Set</t>
  </si>
  <si>
    <t>Tan/Gray</t>
  </si>
  <si>
    <t>PF006203</t>
  </si>
  <si>
    <t>3/16/2024</t>
  </si>
  <si>
    <t>AMAZON,JCPENNEY01,KOHLDSN,MACY02</t>
  </si>
  <si>
    <t>43735708-000-000</t>
  </si>
  <si>
    <t>3/21/2024</t>
  </si>
  <si>
    <t>5/5/2024</t>
  </si>
  <si>
    <t>ID12-2334</t>
  </si>
  <si>
    <t>Plaid Duvet Cover Set</t>
  </si>
  <si>
    <t>AMAZON,AMAZONDS,JCPENNEY01,KOHLDSN,MACY02,TGTDVS</t>
  </si>
  <si>
    <t>43736509-000-001</t>
  </si>
  <si>
    <t>3/22/2024</t>
  </si>
  <si>
    <t>ID10-2333</t>
  </si>
  <si>
    <t>AMAZON,AMAZONDS,CSNSTORES,JCPENNEY01,KOHLDSN,MACY02,OLLIIX</t>
  </si>
  <si>
    <t>43735708-000-001</t>
  </si>
  <si>
    <t>MP13-8132</t>
  </si>
  <si>
    <t>Coverlet Mini Set</t>
  </si>
  <si>
    <t>Taylor</t>
  </si>
  <si>
    <t>Drew</t>
  </si>
  <si>
    <t>3 Piece Printed Color Blocking Microfiber Quilt Set</t>
  </si>
  <si>
    <t>Taupe/Blue</t>
  </si>
  <si>
    <t>PP001831;PF005878</t>
  </si>
  <si>
    <t>11/8/2022</t>
  </si>
  <si>
    <t>40762911-000-001</t>
  </si>
  <si>
    <t>3/19/2024</t>
  </si>
  <si>
    <t>MP13-8133</t>
  </si>
  <si>
    <t>AMAZON,BLK01,JCPENNEY01,KOHLDSN</t>
  </si>
  <si>
    <t>40762911-000-000</t>
  </si>
  <si>
    <t>2/12/2024</t>
  </si>
  <si>
    <t>MZK10-255</t>
  </si>
  <si>
    <t>Mi Zone Kids</t>
  </si>
  <si>
    <t>Blake AZ</t>
  </si>
  <si>
    <t>2pcs Comforter Set</t>
  </si>
  <si>
    <t>9/28/2022</t>
  </si>
  <si>
    <t>43961912-000-001</t>
  </si>
  <si>
    <t>MZK13-257</t>
  </si>
  <si>
    <t>Coverlet &amp; Bedspread</t>
  </si>
  <si>
    <t>3pcs Coverlet Set</t>
  </si>
  <si>
    <t>43955155-000-000</t>
  </si>
  <si>
    <t>MZK10-256</t>
  </si>
  <si>
    <t>3pcs Comforter Set</t>
  </si>
  <si>
    <t>43961912-000-000</t>
  </si>
  <si>
    <t>MZK13-258</t>
  </si>
  <si>
    <t>4pcs Coverlet Set</t>
  </si>
  <si>
    <t>43955155-000-001</t>
  </si>
  <si>
    <t>SS40-0070</t>
  </si>
  <si>
    <t>Blakesly</t>
  </si>
  <si>
    <t>Kagen</t>
  </si>
  <si>
    <t>Etro</t>
  </si>
  <si>
    <t>Printed Ikat Blackout Curtain Panel</t>
  </si>
  <si>
    <t>PP000592;PF004055</t>
  </si>
  <si>
    <t>Blackout</t>
  </si>
  <si>
    <t>AMAZON,CSNSTORES,DESINC,HDDS,JCPENNEY01,TGTDVS</t>
  </si>
  <si>
    <t>25450234-000-005</t>
  </si>
  <si>
    <t>7/2/2018</t>
  </si>
  <si>
    <t>SS40-0067</t>
  </si>
  <si>
    <t>PP000592;PF004054</t>
  </si>
  <si>
    <t>AMAZON,CSNSTORES,DESINC,JCPENNEY01,KOHLDSN,OLLIIX,TGTDVS,WALMARTDS</t>
  </si>
  <si>
    <t>25450234-000-002</t>
  </si>
  <si>
    <t>2/26/2018</t>
  </si>
  <si>
    <t>SS40-0073</t>
  </si>
  <si>
    <t>PP000592;PF004056</t>
  </si>
  <si>
    <t>AMAZON,CSNSTORES,DESINC,JCPENNEY01,KOHLDSN,TGTDVS</t>
  </si>
  <si>
    <t>25450234-000-008</t>
  </si>
  <si>
    <t>2/20/2018</t>
  </si>
  <si>
    <t>MT95C-0036A</t>
  </si>
  <si>
    <t>Blue Drift</t>
  </si>
  <si>
    <t>Abstract 5-piece Gallery Framed Canvas Wall Art Set</t>
  </si>
  <si>
    <t>PF005355</t>
  </si>
  <si>
    <t>MT Perry Street</t>
  </si>
  <si>
    <t>1/20/2021</t>
  </si>
  <si>
    <t>AMAZON,ASHFURNDS,CSNSTORES,HDDS,JCPENNEY01,KIRKLANDDS,OLLIIX,ROOMECOM,TGTDVS,ZOLA</t>
  </si>
  <si>
    <t>37326661-000-000</t>
  </si>
  <si>
    <t>1/19/2021</t>
  </si>
  <si>
    <t>1/26/2021</t>
  </si>
  <si>
    <t>MP95B-0252</t>
  </si>
  <si>
    <t>Wall Decor</t>
  </si>
  <si>
    <t>Boho Notion</t>
  </si>
  <si>
    <t>White Medallion Wood Wall Decor</t>
  </si>
  <si>
    <t>PP001436;PF005003</t>
  </si>
  <si>
    <t>5/21/2020</t>
  </si>
  <si>
    <t>AMAZON,AMAZONDS,BLK01,JCPENNEY01,KOHLDSN,TGTDVS</t>
  </si>
  <si>
    <t>36275946-000-000</t>
  </si>
  <si>
    <t>6/4/2020</t>
  </si>
  <si>
    <t>7/13/2020</t>
  </si>
  <si>
    <t>II103-0498</t>
  </si>
  <si>
    <t>Bonn</t>
  </si>
  <si>
    <t>Upholstered 360 Degree Swivel Chair</t>
  </si>
  <si>
    <t>KIRKLANDDS,KOHLDSN,MACY02F,OLLIIX</t>
  </si>
  <si>
    <t>41285717-000-000</t>
  </si>
  <si>
    <t>3/26/2023</t>
  </si>
  <si>
    <t>5/11/2023</t>
  </si>
  <si>
    <t>MP12-8293</t>
  </si>
  <si>
    <t>Bonnie</t>
  </si>
  <si>
    <t>Kairi</t>
  </si>
  <si>
    <t>Miley</t>
  </si>
  <si>
    <t>5 Piece Botanical Floral Seersucker Duvet Cover Set</t>
  </si>
  <si>
    <t>PP001900;PF006064</t>
  </si>
  <si>
    <t>43051592-000-001</t>
  </si>
  <si>
    <t>11/19/2023</t>
  </si>
  <si>
    <t>2/5/2024</t>
  </si>
  <si>
    <t>MP70-8328</t>
  </si>
  <si>
    <t>Printed Seersucker Shower Curtain</t>
  </si>
  <si>
    <t>Shabby Chic</t>
  </si>
  <si>
    <t>43052103-000-000</t>
  </si>
  <si>
    <t>12/1/2023</t>
  </si>
  <si>
    <t>II100-0219</t>
  </si>
  <si>
    <t>Armless Chair</t>
  </si>
  <si>
    <t>Boomerang</t>
  </si>
  <si>
    <t>Accent Chair</t>
  </si>
  <si>
    <t>PF000109</t>
  </si>
  <si>
    <t>Industrial</t>
  </si>
  <si>
    <t>1/9/2018</t>
  </si>
  <si>
    <t>ASHFURNDS,CSNSTORES,HDDS,JCPENNEY01,KOHLDSN,LAMPDS,MACY02F,OLLIIX</t>
  </si>
  <si>
    <t>25898951-000-000</t>
  </si>
  <si>
    <t>2/7/2018</t>
  </si>
  <si>
    <t>5/14/2018</t>
  </si>
  <si>
    <t>II100-0044</t>
  </si>
  <si>
    <t>Mustard Yellow/Pecan</t>
  </si>
  <si>
    <t>PF000109;PP000013</t>
  </si>
  <si>
    <t>CSNSTORES,HDDS,JCPENNEY01,LAMPDS,OLLIIX</t>
  </si>
  <si>
    <t>20693855-000-000</t>
  </si>
  <si>
    <t>1/13/2017</t>
  </si>
  <si>
    <t>5/22/2017</t>
  </si>
  <si>
    <t>MPS120-0125</t>
  </si>
  <si>
    <t>Bordeaux</t>
  </si>
  <si>
    <t>White/Gold</t>
  </si>
  <si>
    <t>PF000506;PP000290</t>
  </si>
  <si>
    <t>AMERSIGNDS,ASHFURNDS,CSNSTORES,KOHLDSN,LAMPDS,MACY02F,OLLIIX,ROOMECOM</t>
  </si>
  <si>
    <t>24386687-000-000</t>
  </si>
  <si>
    <t>11/1/2017</t>
  </si>
  <si>
    <t>11/25/2017</t>
  </si>
  <si>
    <t>UH153-0099</t>
  </si>
  <si>
    <t>Borel</t>
  </si>
  <si>
    <t>Ombre Glass Table Lamp</t>
  </si>
  <si>
    <t>Dark Blue</t>
  </si>
  <si>
    <t>AMERSIGNDS,CSNSTORES,HDDS,JCPENNEY01,KIRKLANDDS,KOHLDSN,OLLIIX,ROOMECOM,TGTDVS</t>
  </si>
  <si>
    <t>24339012-000-001</t>
  </si>
  <si>
    <t>2/24/2021</t>
  </si>
  <si>
    <t>BR04-477</t>
  </si>
  <si>
    <t>APL</t>
  </si>
  <si>
    <t>ROBE</t>
  </si>
  <si>
    <t>Robe</t>
  </si>
  <si>
    <t>BR422103</t>
  </si>
  <si>
    <t>S</t>
  </si>
  <si>
    <t>Cranberry 960</t>
  </si>
  <si>
    <t>5/2/2022</t>
  </si>
  <si>
    <t>43658580-000-007</t>
  </si>
  <si>
    <t>3/5/2024</t>
  </si>
  <si>
    <t>BR04-478</t>
  </si>
  <si>
    <t>43658580-000-003</t>
  </si>
  <si>
    <t>BR04-479</t>
  </si>
  <si>
    <t>L</t>
  </si>
  <si>
    <t>43658580-000-006</t>
  </si>
  <si>
    <t>BR04-480</t>
  </si>
  <si>
    <t>XL</t>
  </si>
  <si>
    <t>43658580-000-000</t>
  </si>
  <si>
    <t>BR04-473</t>
  </si>
  <si>
    <t>Snow Fairisle 060</t>
  </si>
  <si>
    <t>43658580-000-005</t>
  </si>
  <si>
    <t>BR04-474</t>
  </si>
  <si>
    <t>43658580-000-002</t>
  </si>
  <si>
    <t>BR04-475</t>
  </si>
  <si>
    <t>43658580-000-001</t>
  </si>
  <si>
    <t>BR04-476</t>
  </si>
  <si>
    <t>43658580-000-004</t>
  </si>
  <si>
    <t>MP100-0575</t>
  </si>
  <si>
    <t>Brayden</t>
  </si>
  <si>
    <t>Kendrick</t>
  </si>
  <si>
    <t>Rhodes</t>
  </si>
  <si>
    <t>PP000716</t>
  </si>
  <si>
    <t>1/23/2018</t>
  </si>
  <si>
    <t>ASHFURNDS,CSNSTORES,KOHLDSN,OLLIIX</t>
  </si>
  <si>
    <t>26757918-000-000</t>
  </si>
  <si>
    <t>4/12/2018</t>
  </si>
  <si>
    <t>2/18/2021</t>
  </si>
  <si>
    <t>WR10-3976</t>
  </si>
  <si>
    <t>Breckenridge</t>
  </si>
  <si>
    <t>Chenille Oversized Comforter Set</t>
  </si>
  <si>
    <t>Tan</t>
  </si>
  <si>
    <t>PF006169</t>
  </si>
  <si>
    <t>Chenille</t>
  </si>
  <si>
    <t>Rustic/Lodge/Cabin</t>
  </si>
  <si>
    <t>2/28/2024</t>
  </si>
  <si>
    <t>AMAZON,OLLIIX</t>
  </si>
  <si>
    <t>43734676-000-001</t>
  </si>
  <si>
    <t>II21-1307</t>
  </si>
  <si>
    <t>PILLOWCASE</t>
  </si>
  <si>
    <t>Pillowcase</t>
  </si>
  <si>
    <t>Bree Knit</t>
  </si>
  <si>
    <t>Euro Pillow Cover</t>
  </si>
  <si>
    <t>26x26"</t>
  </si>
  <si>
    <t>PP001571;PF006068</t>
  </si>
  <si>
    <t>Acrylic</t>
  </si>
  <si>
    <t>CSNSTORES,TGTDVS</t>
  </si>
  <si>
    <t>21015342-000-006</t>
  </si>
  <si>
    <t>11/6/2023</t>
  </si>
  <si>
    <t>II21-1306</t>
  </si>
  <si>
    <t>PP001571;PF006067</t>
  </si>
  <si>
    <t>KOHLDSN,OLLIIX</t>
  </si>
  <si>
    <t>21015342-000-007</t>
  </si>
  <si>
    <t>1/29/2024</t>
  </si>
  <si>
    <t>II51-1137</t>
  </si>
  <si>
    <t>PP001571;PF005282</t>
  </si>
  <si>
    <t>1/16/2021</t>
  </si>
  <si>
    <t>AMAZON,ASHFURNDS,BLK01,CSNSTORES,JCPENNEY01,KIRKLANDDS,KOHLDSN,MACY02,OLLIIX,TGTDVS</t>
  </si>
  <si>
    <t>18986582-000-016</t>
  </si>
  <si>
    <t>1/17/2021</t>
  </si>
  <si>
    <t>2/14/2021</t>
  </si>
  <si>
    <t>II30-1141</t>
  </si>
  <si>
    <t>Oblong Pillow Cover</t>
  </si>
  <si>
    <t>12x20"</t>
  </si>
  <si>
    <t>CSNSTORES,KOHLDSN,OLLIIX,TGTDVS</t>
  </si>
  <si>
    <t>19510041-000-005</t>
  </si>
  <si>
    <t>2/23/2021</t>
  </si>
  <si>
    <t>II30-1139</t>
  </si>
  <si>
    <t>Square Pillow Cover</t>
  </si>
  <si>
    <t>1/13/2021</t>
  </si>
  <si>
    <t>KOHLDSN,TGTDVS</t>
  </si>
  <si>
    <t>19510042-000-005</t>
  </si>
  <si>
    <t>1/24/2021</t>
  </si>
  <si>
    <t>2/9/2021</t>
  </si>
  <si>
    <t>II30-1140</t>
  </si>
  <si>
    <t>JCPENNEY01,KOHLDSN,TGTDVS</t>
  </si>
  <si>
    <t>21015342-000-005</t>
  </si>
  <si>
    <t>5/17/2021</t>
  </si>
  <si>
    <t>II30-740</t>
  </si>
  <si>
    <t>PF003487</t>
  </si>
  <si>
    <t>AMAZON,MACY02</t>
  </si>
  <si>
    <t>19510041-000-000</t>
  </si>
  <si>
    <t>10/10/2016</t>
  </si>
  <si>
    <t>II21-1302</t>
  </si>
  <si>
    <t>PP001571;PF006066</t>
  </si>
  <si>
    <t>19510041-000-008</t>
  </si>
  <si>
    <t>II21-1305</t>
  </si>
  <si>
    <t>21015342-000-008</t>
  </si>
  <si>
    <t>3/27/2024</t>
  </si>
  <si>
    <t>HH13-1882</t>
  </si>
  <si>
    <t>Breeze</t>
  </si>
  <si>
    <t xml:space="preserve">Cotton Gauze  Embroidered Quilt Set</t>
  </si>
  <si>
    <t>Coastal/Nautical</t>
  </si>
  <si>
    <t>4/8/2025</t>
  </si>
  <si>
    <t>HH13-1883</t>
  </si>
  <si>
    <t>HH11-1892</t>
  </si>
  <si>
    <t>BED SKIRT&amp;SHAM</t>
  </si>
  <si>
    <t>Bed Skirt&amp;Sham</t>
  </si>
  <si>
    <t xml:space="preserve">Cotton Gauze  Embroidered Euro Sham</t>
  </si>
  <si>
    <t>Euro Sham</t>
  </si>
  <si>
    <t>HH13-1880</t>
  </si>
  <si>
    <t>Sage</t>
  </si>
  <si>
    <t>HH13-1881</t>
  </si>
  <si>
    <t>HH11-1891</t>
  </si>
  <si>
    <t>HH13-1886</t>
  </si>
  <si>
    <t>HH13-1887</t>
  </si>
  <si>
    <t>HH11-1894</t>
  </si>
  <si>
    <t>HH13-1884</t>
  </si>
  <si>
    <t>HH13-1885</t>
  </si>
  <si>
    <t>HH11-1893</t>
  </si>
  <si>
    <t>FPF18-0154</t>
  </si>
  <si>
    <t>Brentwood</t>
  </si>
  <si>
    <t>Cole</t>
  </si>
  <si>
    <t>Hudson</t>
  </si>
  <si>
    <t>Exposed Wood Arm Chair</t>
  </si>
  <si>
    <t>PF000563;PP000101</t>
  </si>
  <si>
    <t>5/7/2017</t>
  </si>
  <si>
    <t>AMAZONDS,CSNSTORES,HDDS,KIRKLANDDS,OLLIIX,ROOMECOM</t>
  </si>
  <si>
    <t>19530863-000-000</t>
  </si>
  <si>
    <t>9/20/2016</t>
  </si>
  <si>
    <t>10/4/2016</t>
  </si>
  <si>
    <t>MP50N-7095</t>
  </si>
  <si>
    <t>THROW</t>
  </si>
  <si>
    <t>Throw</t>
  </si>
  <si>
    <t>Brianne</t>
  </si>
  <si>
    <t>100% Cotton Tufted Chenille Lightweight Throw With Fringe Tassel 50" x 60"</t>
  </si>
  <si>
    <t>PP001458;PF005035</t>
  </si>
  <si>
    <t>2/24/2020</t>
  </si>
  <si>
    <t>BEALLSDS,BLK01,CSNSTORES,JCPENNEY01,KOHLDSN,MACY02,OLLIIX,TGTDVS</t>
  </si>
  <si>
    <t>35754357-000-002</t>
  </si>
  <si>
    <t>2/28/2020</t>
  </si>
  <si>
    <t>3/2/2020</t>
  </si>
  <si>
    <t>MP103-1229</t>
  </si>
  <si>
    <t>Betty</t>
  </si>
  <si>
    <t>Mitchell</t>
  </si>
  <si>
    <t>Wide Seat Swivel Arm Chair Set of 2</t>
  </si>
  <si>
    <t>PF001101</t>
  </si>
  <si>
    <t>44069122-000-000</t>
  </si>
  <si>
    <t>6/20/2024</t>
  </si>
  <si>
    <t>II154-0157</t>
  </si>
  <si>
    <t>Brillora</t>
  </si>
  <si>
    <t>Floor lamp</t>
  </si>
  <si>
    <t>Gold/Marble</t>
  </si>
  <si>
    <t>44671528-000-000</t>
  </si>
  <si>
    <t>II154-0124</t>
  </si>
  <si>
    <t>Bristol</t>
  </si>
  <si>
    <t>Arched Metal Floor Lamp with Frosted Glass Shade</t>
  </si>
  <si>
    <t>Matte Black Base/Frosted Shade</t>
  </si>
  <si>
    <t>JCPENNEY01,KOHLDSN,OLLIIX,TGTDVS,ZOLA</t>
  </si>
  <si>
    <t>39936235-000-000</t>
  </si>
  <si>
    <t>5/12/2022</t>
  </si>
  <si>
    <t>5/3/2023</t>
  </si>
  <si>
    <t>FPF18-0108</t>
  </si>
  <si>
    <t>Brooke</t>
  </si>
  <si>
    <t>Miri</t>
  </si>
  <si>
    <t>Annie</t>
  </si>
  <si>
    <t>Tight Back Club Chair</t>
  </si>
  <si>
    <t>PF000602;PP000105</t>
  </si>
  <si>
    <t>ASHFURNDS,CSNSTORES,KIRKLANDDS,KOHLDSN,MACY02F,ROOMECOM</t>
  </si>
  <si>
    <t>17880191-000-000</t>
  </si>
  <si>
    <t>12/3/2015</t>
  </si>
  <si>
    <t>MP100-0991</t>
  </si>
  <si>
    <t>7/9/2020</t>
  </si>
  <si>
    <t>AMAZONDS,AMERSIGNDS,ASHFURNDS,CSNSTORES,HDDS,JCPENNEY01,KIRKLANDDS,KOHLDSN,LAMPDS,MACY02F,TGTDVS</t>
  </si>
  <si>
    <t>17880191-000-001</t>
  </si>
  <si>
    <t>7/24/2020</t>
  </si>
  <si>
    <t>8/5/2020</t>
  </si>
  <si>
    <t>UH12-2158</t>
  </si>
  <si>
    <t>Brooklyn</t>
  </si>
  <si>
    <t>Maize</t>
  </si>
  <si>
    <t>Kay</t>
  </si>
  <si>
    <t>Cotton Jacquard Duvet Cover Set with Euro Shams and Throw Pillows</t>
  </si>
  <si>
    <t>PP000834;PF004165</t>
  </si>
  <si>
    <t>Cottage/Country|Farmhouse</t>
  </si>
  <si>
    <t>12/26/2017</t>
  </si>
  <si>
    <t>AMAZON,KOHLDSN,MACY02,ROOMECOM,TGTDVS</t>
  </si>
  <si>
    <t>22066583-000-016</t>
  </si>
  <si>
    <t>3/19/2018</t>
  </si>
  <si>
    <t>5/29/2018</t>
  </si>
  <si>
    <t>UH10-2255</t>
  </si>
  <si>
    <t>Cotton Jacquard Comforter Set with Euro Shams and Throw Pillows</t>
  </si>
  <si>
    <t>PP000834;PF004683</t>
  </si>
  <si>
    <t>5/15/2019</t>
  </si>
  <si>
    <t>AMAZON,AMAZONDS,BLK01,CSNSTORES,KOHLDSN,OLLIIX,TGTDVS</t>
  </si>
  <si>
    <t>22066584-000-004</t>
  </si>
  <si>
    <t>6/7/2019</t>
  </si>
  <si>
    <t>UH12-2258</t>
  </si>
  <si>
    <t>5/14/2019</t>
  </si>
  <si>
    <t>22066583-000-007</t>
  </si>
  <si>
    <t>5/16/2019</t>
  </si>
  <si>
    <t>6/24/2019</t>
  </si>
  <si>
    <t>UH30-2378</t>
  </si>
  <si>
    <t>Other Pillows</t>
  </si>
  <si>
    <t>Cotton Jacquard Pom Pom Oblong Pillow</t>
  </si>
  <si>
    <t>14x20"</t>
  </si>
  <si>
    <t>4/8/2021</t>
  </si>
  <si>
    <t>26817827-000-010</t>
  </si>
  <si>
    <t>4/7/2021</t>
  </si>
  <si>
    <t>8/11/2021</t>
  </si>
  <si>
    <t>UH10-2161</t>
  </si>
  <si>
    <t>PP000834;PF004166</t>
  </si>
  <si>
    <t>AMAZON,AMERSIGNDS,BLK01,CSNSTORES,HSNDS,KOHLDSN,MACY02,OLLIIX,TGTDVS</t>
  </si>
  <si>
    <t>22066584-000-013</t>
  </si>
  <si>
    <t>4/2/2018</t>
  </si>
  <si>
    <t>MP40-4360</t>
  </si>
  <si>
    <t>Peyton</t>
  </si>
  <si>
    <t>Metallic Geo Embroidered Curtain Panel</t>
  </si>
  <si>
    <t>PF003864</t>
  </si>
  <si>
    <t>5/18/2017</t>
  </si>
  <si>
    <t>BLK01,CSNSTORES,JCPENNEY01,KOHLDSN,MACY02,OLLIIX,TGTDVS,WALMARTDS</t>
  </si>
  <si>
    <t>22077954-000-001</t>
  </si>
  <si>
    <t>7/5/2017</t>
  </si>
  <si>
    <t>MP40-4361</t>
  </si>
  <si>
    <t>CSNSTORES,HOUZZ,JCPENNEY01,TGTDVS</t>
  </si>
  <si>
    <t>22077954-000-002</t>
  </si>
  <si>
    <t>UH12-2264</t>
  </si>
  <si>
    <t>PP000834;PF004684</t>
  </si>
  <si>
    <t>5/10/2019</t>
  </si>
  <si>
    <t>22066583-000-004</t>
  </si>
  <si>
    <t>6/10/2019</t>
  </si>
  <si>
    <t>UH12-2265</t>
  </si>
  <si>
    <t>AMAZON,AMAZONDS,CSNSTORES,KOHLDSN,MACY02,TGTDVS</t>
  </si>
  <si>
    <t>22066583-000-005</t>
  </si>
  <si>
    <t>5/20/2019</t>
  </si>
  <si>
    <t>UH70-2242</t>
  </si>
  <si>
    <t>Brooklyn Cotton Jacquard Pom Pom Shower Curtain</t>
  </si>
  <si>
    <t>70x72"</t>
  </si>
  <si>
    <t>Pink</t>
  </si>
  <si>
    <t>PF002471;PP000834</t>
  </si>
  <si>
    <t>12/27/2018</t>
  </si>
  <si>
    <t>AMAZON,CSNSTORES,HDDS,JCPENNEY01,KOHLDSN,MACY02,OLLIIX,TGTDVS,WALMARTDS</t>
  </si>
  <si>
    <t>31010783-000-001</t>
  </si>
  <si>
    <t>4/26/2019</t>
  </si>
  <si>
    <t>UH10-2494</t>
  </si>
  <si>
    <t>Rust</t>
  </si>
  <si>
    <t>PP000834;PF006097</t>
  </si>
  <si>
    <t>12/30/2023</t>
  </si>
  <si>
    <t>22066584-000-019</t>
  </si>
  <si>
    <t>1/2/2024</t>
  </si>
  <si>
    <t>UH12-2497</t>
  </si>
  <si>
    <t>22066583-000-020</t>
  </si>
  <si>
    <t>1/21/2024</t>
  </si>
  <si>
    <t>3/6/2024</t>
  </si>
  <si>
    <t>UH12-2498</t>
  </si>
  <si>
    <t>CSNSTORES,KOHLDSN,MACY02</t>
  </si>
  <si>
    <t>22066583-000-018</t>
  </si>
  <si>
    <t>UH10-2496</t>
  </si>
  <si>
    <t>BLK01,JCPENNEY01,OLLIIX</t>
  </si>
  <si>
    <t>22066584-000-020</t>
  </si>
  <si>
    <t>1/8/2024</t>
  </si>
  <si>
    <t>MP40-4363</t>
  </si>
  <si>
    <t>PF003865</t>
  </si>
  <si>
    <t>CSNSTORES,JCPENNEY01,KOHLDSN,MACY02,TGTDVS,WALMARTDS</t>
  </si>
  <si>
    <t>22077954-000-004</t>
  </si>
  <si>
    <t>11/29/2017</t>
  </si>
  <si>
    <t>MP40-4364</t>
  </si>
  <si>
    <t>BEALLSDS,CSNSTORES,JCPENNEY01,KOHLDSN,OLLIIX,TGTDVS</t>
  </si>
  <si>
    <t>22077954-000-005</t>
  </si>
  <si>
    <t>PET66PT6198</t>
  </si>
  <si>
    <t>PET</t>
  </si>
  <si>
    <t>PET ACCESSORIES</t>
  </si>
  <si>
    <t>Pet Accessories</t>
  </si>
  <si>
    <t>Bumpi</t>
  </si>
  <si>
    <t>Avocado</t>
  </si>
  <si>
    <t>43809388-000-000</t>
  </si>
  <si>
    <t>PET66PT6022</t>
  </si>
  <si>
    <t>Dino Rubber Toy 2PK</t>
  </si>
  <si>
    <t>Citron/Orange</t>
  </si>
  <si>
    <t>3/31/2023</t>
  </si>
  <si>
    <t>43809386-000-004</t>
  </si>
  <si>
    <t>PET66PT6025-SM</t>
  </si>
  <si>
    <t>Kettlebell Rubber Toy SM</t>
  </si>
  <si>
    <t>Orange</t>
  </si>
  <si>
    <t>43809386-000-003</t>
  </si>
  <si>
    <t>7/25/2024</t>
  </si>
  <si>
    <t>PET66PT6024</t>
  </si>
  <si>
    <t>Fruit Toy 2PK</t>
  </si>
  <si>
    <t>Orange/Banana</t>
  </si>
  <si>
    <t>43809386-000-001</t>
  </si>
  <si>
    <t>PET66PT6023</t>
  </si>
  <si>
    <t>Dumbbell Rubber Toy 2PK</t>
  </si>
  <si>
    <t>Pink/Orange</t>
  </si>
  <si>
    <t>43809386-000-000</t>
  </si>
  <si>
    <t>PET66PT6195</t>
  </si>
  <si>
    <t>Hedgehog with tennis ball</t>
  </si>
  <si>
    <t>Rose Red Hedgehog</t>
  </si>
  <si>
    <t>43809385-000-000</t>
  </si>
  <si>
    <t>PET66PT6194</t>
  </si>
  <si>
    <t>Teal Hedgehog</t>
  </si>
  <si>
    <t>43809385-000-001</t>
  </si>
  <si>
    <t>PET66PT6199</t>
  </si>
  <si>
    <t>Tortoise Puzzle Dog Toy</t>
  </si>
  <si>
    <t>Tortoise Puzzle</t>
  </si>
  <si>
    <t>8/16/2023</t>
  </si>
  <si>
    <t>43809387-000-000</t>
  </si>
  <si>
    <t>PET66PT6025-LG</t>
  </si>
  <si>
    <t>Kettlebell Rubber Toy LG</t>
  </si>
  <si>
    <t>43809386-000-002</t>
  </si>
  <si>
    <t>9/30/2024</t>
  </si>
  <si>
    <t>II10-1330</t>
  </si>
  <si>
    <t>Cairo</t>
  </si>
  <si>
    <t>3 Piece Cotton Jacquard Comforter Set</t>
  </si>
  <si>
    <t>PF006275;PP001968</t>
  </si>
  <si>
    <t>7/24/2024</t>
  </si>
  <si>
    <t>KOHLDSN,MACY02</t>
  </si>
  <si>
    <t>44415541-000-000</t>
  </si>
  <si>
    <t>10/8/2024</t>
  </si>
  <si>
    <t>II10-1331</t>
  </si>
  <si>
    <t>CSNSTORES,KOHLDSN,MACY02,OLLIIX</t>
  </si>
  <si>
    <t>44415541-000-001</t>
  </si>
  <si>
    <t>8/1/2024</t>
  </si>
  <si>
    <t>II150-0153</t>
  </si>
  <si>
    <t>8-Light Metal Chandelier with Globe Bulbs</t>
  </si>
  <si>
    <t>43652589-000-000</t>
  </si>
  <si>
    <t>CCA70-0021</t>
  </si>
  <si>
    <t>Calistoga</t>
  </si>
  <si>
    <t>Matelasse Shower Curtain</t>
  </si>
  <si>
    <t>One Size</t>
  </si>
  <si>
    <t>42057694-000-000</t>
  </si>
  <si>
    <t>8/1/2023</t>
  </si>
  <si>
    <t>10/13/2023</t>
  </si>
  <si>
    <t>UH12-2299</t>
  </si>
  <si>
    <t>Calum</t>
  </si>
  <si>
    <t>Charlie</t>
  </si>
  <si>
    <t>Corey</t>
  </si>
  <si>
    <t>Cotton Duvet Cover Set</t>
  </si>
  <si>
    <t>PP001337;PF004808</t>
  </si>
  <si>
    <t>8/27/2019</t>
  </si>
  <si>
    <t>CSNSTORES,KOHLDSN,MACY02,OLLIIX,TGTDVS</t>
  </si>
  <si>
    <t>34332644-000-004</t>
  </si>
  <si>
    <t>9/16/2019</t>
  </si>
  <si>
    <t>11/19/2019</t>
  </si>
  <si>
    <t>UH10-2297</t>
  </si>
  <si>
    <t>Cotton Comforter Set</t>
  </si>
  <si>
    <t>BLK01,CSNSTORES,KOHLDSN,MACY02,OLLIIX,ROOMECOM,TGTDVS</t>
  </si>
  <si>
    <t>34332643-000-003</t>
  </si>
  <si>
    <t>10/10/2019</t>
  </si>
  <si>
    <t>UH12-2349</t>
  </si>
  <si>
    <t>Cotton Jacquard Duvet Cover Set</t>
  </si>
  <si>
    <t>PP001337;PF005185</t>
  </si>
  <si>
    <t>9/9/2020</t>
  </si>
  <si>
    <t>CSNSTORES,MACY02,NRTPORT,TGTDVS</t>
  </si>
  <si>
    <t>34332644-000-008</t>
  </si>
  <si>
    <t>10/19/2020</t>
  </si>
  <si>
    <t>MP51-2609</t>
  </si>
  <si>
    <t>Filled Blanket</t>
  </si>
  <si>
    <t>Cambria</t>
  </si>
  <si>
    <t>Parkman</t>
  </si>
  <si>
    <t>Oversized Down Alternative Blanket with Satin Trim</t>
  </si>
  <si>
    <t>PF002158;PP000919</t>
  </si>
  <si>
    <t>18666104-000-011</t>
  </si>
  <si>
    <t>5/2/2016</t>
  </si>
  <si>
    <t>MP51-7645</t>
  </si>
  <si>
    <t>Lilac</t>
  </si>
  <si>
    <t>PP000919;PF005510</t>
  </si>
  <si>
    <t>8/26/2021</t>
  </si>
  <si>
    <t>AMAZON,BLK01,CSNSTORES,DESINC,JCPENNEY01,KOHLDSN,MACY02,OLLIIX</t>
  </si>
  <si>
    <t>18666104-000-016</t>
  </si>
  <si>
    <t>8/27/2021</t>
  </si>
  <si>
    <t>10/20/2021</t>
  </si>
  <si>
    <t>MP51-2601</t>
  </si>
  <si>
    <t>PF002156;PP000919</t>
  </si>
  <si>
    <t>AMAZON,CSNSTORES,JCPENNEY01,KOHLDSN,MACY02,OLLIIX,TGTDVS,WALMARTDS</t>
  </si>
  <si>
    <t>18666104-000-003</t>
  </si>
  <si>
    <t>5/13/2016</t>
  </si>
  <si>
    <t>MT151-0067</t>
  </si>
  <si>
    <t>Camden</t>
  </si>
  <si>
    <t>4-Light Glass Bowl Shaped Chandelier</t>
  </si>
  <si>
    <t>Antique Brass</t>
  </si>
  <si>
    <t>40806913-000-000</t>
  </si>
  <si>
    <t>MP35-7569</t>
  </si>
  <si>
    <t>Camdyn</t>
  </si>
  <si>
    <t>Ellie</t>
  </si>
  <si>
    <t>Wendy</t>
  </si>
  <si>
    <t>Super Soft Polyester Shag Area Rug</t>
  </si>
  <si>
    <t>4x6'</t>
  </si>
  <si>
    <t>7/12/2021</t>
  </si>
  <si>
    <t>JCPENNEY01,KOHLDSN</t>
  </si>
  <si>
    <t>38687418-000-004</t>
  </si>
  <si>
    <t>8/12/2021</t>
  </si>
  <si>
    <t>3/18/2024</t>
  </si>
  <si>
    <t>MP35-7571</t>
  </si>
  <si>
    <t>HDDS,OLLIIX</t>
  </si>
  <si>
    <t>38687418-000-006</t>
  </si>
  <si>
    <t>4/2/2024</t>
  </si>
  <si>
    <t>MP35-7568</t>
  </si>
  <si>
    <t>Scatter</t>
  </si>
  <si>
    <t>38687418-000-007</t>
  </si>
  <si>
    <t>MP35-7573</t>
  </si>
  <si>
    <t>38687418-000-003</t>
  </si>
  <si>
    <t>4/8/2024</t>
  </si>
  <si>
    <t>MP35-7574</t>
  </si>
  <si>
    <t>CSNSTORES,JCPENNEY01,OLLIIX</t>
  </si>
  <si>
    <t>38687418-000-001</t>
  </si>
  <si>
    <t>MP35-7575</t>
  </si>
  <si>
    <t>BIGLOTSDS,CSNSTORES,KOHLDSN</t>
  </si>
  <si>
    <t>38687418-000-000</t>
  </si>
  <si>
    <t>4/7/2024</t>
  </si>
  <si>
    <t>MP35-7572</t>
  </si>
  <si>
    <t>JCPENNEY01,KOHLDSN,NRTPORT</t>
  </si>
  <si>
    <t>38687418-000-005</t>
  </si>
  <si>
    <t>MP103-0242</t>
  </si>
  <si>
    <t>Capstone</t>
  </si>
  <si>
    <t>Wilmette</t>
  </si>
  <si>
    <t>Milton</t>
  </si>
  <si>
    <t>Tufted Barrel Swivel Chair</t>
  </si>
  <si>
    <t>Slate</t>
  </si>
  <si>
    <t>PF001102</t>
  </si>
  <si>
    <t>5/25/2017</t>
  </si>
  <si>
    <t>AMERSIGNDS,ASHFURNDS,CASTLEGATE,CSNSTORES,HDDS,JCPENNEY01,KOHLDSN,ROOMECOM,ZOLA</t>
  </si>
  <si>
    <t>22701323-000-000</t>
  </si>
  <si>
    <t>6/25/2017</t>
  </si>
  <si>
    <t>II30-221</t>
  </si>
  <si>
    <t>Cario</t>
  </si>
  <si>
    <t>Embroidered Square Pillow</t>
  </si>
  <si>
    <t>18x18"</t>
  </si>
  <si>
    <t>PF003342;PP000371;PP000454;PP000478</t>
  </si>
  <si>
    <t>AMAZON,AMAZONDS,CSNSTORES,KOHLDSN,MACY02,OLLIIX</t>
  </si>
  <si>
    <t>17160777-000-000</t>
  </si>
  <si>
    <t>4/15/2015</t>
  </si>
  <si>
    <t>5DS122-0009</t>
  </si>
  <si>
    <t>Carlyle</t>
  </si>
  <si>
    <t xml:space="preserve">Carlyle  Desk</t>
  </si>
  <si>
    <t>Dark Coffee</t>
  </si>
  <si>
    <t>10/6/2021</t>
  </si>
  <si>
    <t>AMAZONDS,CSNSTORES,KIRKLANDDS,OLLIIX</t>
  </si>
  <si>
    <t>38980601-000-000</t>
  </si>
  <si>
    <t>10/14/2021</t>
  </si>
  <si>
    <t>MP10-8488</t>
  </si>
  <si>
    <t>Carolina</t>
  </si>
  <si>
    <t>Beverley</t>
  </si>
  <si>
    <t>7 Piece Stripe Comforter and Quilt Set</t>
  </si>
  <si>
    <t>PP001987;PF006372</t>
  </si>
  <si>
    <t>Casual|Transitional</t>
  </si>
  <si>
    <t>44835542-000-000</t>
  </si>
  <si>
    <t>9/24/2024</t>
  </si>
  <si>
    <t>MT120-1189</t>
  </si>
  <si>
    <t>Coffee Table</t>
  </si>
  <si>
    <t>Round Coffee Table with Interchangeable Wood and Glass Top</t>
  </si>
  <si>
    <t>8/31/2022</t>
  </si>
  <si>
    <t>40366098-000-000</t>
  </si>
  <si>
    <t>9/5/2022</t>
  </si>
  <si>
    <t>1/17/2024</t>
  </si>
  <si>
    <t>MPS10-493</t>
  </si>
  <si>
    <t>Carolyn</t>
  </si>
  <si>
    <t>9 Piece Floral Jacquard Comforter Set</t>
  </si>
  <si>
    <t>PF005706;PP001766</t>
  </si>
  <si>
    <t>Glam/Luxury|Traditional</t>
  </si>
  <si>
    <t>6/16/2022</t>
  </si>
  <si>
    <t>40094488-000-001</t>
  </si>
  <si>
    <t>6/20/2022</t>
  </si>
  <si>
    <t>8/17/2022</t>
  </si>
  <si>
    <t>MP104-1262</t>
  </si>
  <si>
    <t>Carson</t>
  </si>
  <si>
    <t>Fillmore</t>
  </si>
  <si>
    <t>Troy</t>
  </si>
  <si>
    <t>Counter Stool with Swivel Seat Set of 2</t>
  </si>
  <si>
    <t>Light Grey</t>
  </si>
  <si>
    <t>12/9/2019</t>
  </si>
  <si>
    <t>2/21/2025</t>
  </si>
  <si>
    <t>26360395-000-004</t>
  </si>
  <si>
    <t>4/22/2024</t>
  </si>
  <si>
    <t>5/17/2024</t>
  </si>
  <si>
    <t>MP108-0987</t>
  </si>
  <si>
    <t>Upholstered Wingback Dining Chair</t>
  </si>
  <si>
    <t>6/15/2020</t>
  </si>
  <si>
    <t>CASTLEGATE,CSNSTORES,KIRKLANDDS,KOHLDSN,OLLIIX</t>
  </si>
  <si>
    <t>26377787-000-001</t>
  </si>
  <si>
    <t>6/18/2020</t>
  </si>
  <si>
    <t>MP51-8428</t>
  </si>
  <si>
    <t>Carved Plush</t>
  </si>
  <si>
    <t>PP001953;PF006224</t>
  </si>
  <si>
    <t>Plush</t>
  </si>
  <si>
    <t>43785953-000-011</t>
  </si>
  <si>
    <t>6/12/2024</t>
  </si>
  <si>
    <t>MP51-8423</t>
  </si>
  <si>
    <t>PP001953;PF006223</t>
  </si>
  <si>
    <t>3/30/2024</t>
  </si>
  <si>
    <t>JCPENNEY01,KOHLDSN,MACY02</t>
  </si>
  <si>
    <t>43785953-000-013</t>
  </si>
  <si>
    <t>7/30/2024</t>
  </si>
  <si>
    <t>MP51-8424</t>
  </si>
  <si>
    <t>43785953-000-001</t>
  </si>
  <si>
    <t>5/30/2024</t>
  </si>
  <si>
    <t>MP51-8422</t>
  </si>
  <si>
    <t>PP001953;PF006222</t>
  </si>
  <si>
    <t>AMAZON,AMAZONDS,JCPENNEY01,KOHLDSN,MACY02,NRTPORT,TGTDVS</t>
  </si>
  <si>
    <t>43785953-000-014</t>
  </si>
  <si>
    <t>5/13/2024</t>
  </si>
  <si>
    <t>MP51-8414</t>
  </si>
  <si>
    <t>PP001953;PF006220</t>
  </si>
  <si>
    <t>43785953-000-007</t>
  </si>
  <si>
    <t>MP51-8415</t>
  </si>
  <si>
    <t>43785953-000-005</t>
  </si>
  <si>
    <t>8/19/2024</t>
  </si>
  <si>
    <t>ID12-2262</t>
  </si>
  <si>
    <t>Cassiopeia</t>
  </si>
  <si>
    <t>Lisa</t>
  </si>
  <si>
    <t>Watercolor Tie Dye Printed Duvet Cover Set with Throw Pillow</t>
  </si>
  <si>
    <t>PF005394;PP001904</t>
  </si>
  <si>
    <t>10/11/2023</t>
  </si>
  <si>
    <t>BLK01,CSNSTORES,JCPENNEY01,KOHLDSN,MACY02</t>
  </si>
  <si>
    <t>38019805-000-005</t>
  </si>
  <si>
    <t>ID10-2385</t>
  </si>
  <si>
    <t>Watercolor Tie Dye Printed Comforter Set with Throw Pillow</t>
  </si>
  <si>
    <t>PP001904;PF006265</t>
  </si>
  <si>
    <t>7/6/2024</t>
  </si>
  <si>
    <t>AMAZON,AMAZONDS,KOHLDSN,MACY02</t>
  </si>
  <si>
    <t>37999199-000-008</t>
  </si>
  <si>
    <t>7/11/2024</t>
  </si>
  <si>
    <t>ID12-2388</t>
  </si>
  <si>
    <t>7/5/2024</t>
  </si>
  <si>
    <t>38019805-000-007</t>
  </si>
  <si>
    <t>ID12-2389</t>
  </si>
  <si>
    <t>38019805-000-008</t>
  </si>
  <si>
    <t>ID12-2390</t>
  </si>
  <si>
    <t>38019805-000-006</t>
  </si>
  <si>
    <t>ID12-2260</t>
  </si>
  <si>
    <t>PP001904;PF006071</t>
  </si>
  <si>
    <t>BLK01,JCPENNEY01,KOHLDSN,OLLIIX</t>
  </si>
  <si>
    <t>38019805-000-002</t>
  </si>
  <si>
    <t>9/6/2023</t>
  </si>
  <si>
    <t>SS40-0006</t>
  </si>
  <si>
    <t>Cassius</t>
  </si>
  <si>
    <t>Odessa</t>
  </si>
  <si>
    <t>Aurora</t>
  </si>
  <si>
    <t>Jacquard Lined Total Blackout Rod Pocket/Back Tab Curtain Panel</t>
  </si>
  <si>
    <t>PF003944</t>
  </si>
  <si>
    <t>9/1/2017</t>
  </si>
  <si>
    <t>AMAZON,CSNSTORES,HDDS,JCPENNEY01,OLLIIX</t>
  </si>
  <si>
    <t>24130527-000-005</t>
  </si>
  <si>
    <t>9/20/2017</t>
  </si>
  <si>
    <t>1/16/2018</t>
  </si>
  <si>
    <t>SS40-0097</t>
  </si>
  <si>
    <t>Grey/Silver</t>
  </si>
  <si>
    <t>PF004522;PP001040</t>
  </si>
  <si>
    <t>12/9/2018</t>
  </si>
  <si>
    <t>AMAZONDS,CSNSTORES,DESINC,HDDS,JCPENNEY01,KOHLDSN</t>
  </si>
  <si>
    <t>24130527-000-006</t>
  </si>
  <si>
    <t>8/13/2020</t>
  </si>
  <si>
    <t>SS40-0098</t>
  </si>
  <si>
    <t>AMAZON,ASHFURNDS,CSNSTORES,DESINC,JCPENNEY01,KOHLDSN,OLLIIX</t>
  </si>
  <si>
    <t>24130527-000-007</t>
  </si>
  <si>
    <t>4/12/2019</t>
  </si>
  <si>
    <t>MT101-0135</t>
  </si>
  <si>
    <t>OTTOMAN</t>
  </si>
  <si>
    <t>Ottoman</t>
  </si>
  <si>
    <t>Cedric</t>
  </si>
  <si>
    <t>Accent Ottoman</t>
  </si>
  <si>
    <t>2/1/2021</t>
  </si>
  <si>
    <t>2/28/2025</t>
  </si>
  <si>
    <t>AMAZONDS,CSNSTORES,KIRKLANDDS,KOHLDSN,MACY02F,OLLIIX,TGTDVS</t>
  </si>
  <si>
    <t>34118473-000-001</t>
  </si>
  <si>
    <t>2/4/2021</t>
  </si>
  <si>
    <t>MP13-2533</t>
  </si>
  <si>
    <t>Celeste</t>
  </si>
  <si>
    <t>Isabella</t>
  </si>
  <si>
    <t>4 Piece Microfiber Reversible Ruffle Quilt Set with Throw Pillow</t>
  </si>
  <si>
    <t>PF002762</t>
  </si>
  <si>
    <t>Vintage/Shabby Chic</t>
  </si>
  <si>
    <t>Cottage/Country|Farm House</t>
  </si>
  <si>
    <t>AMAZON,BLK01,CSNSTORES,JCPENNEY01,KOHLDSN,MACY02,ROOMECOM,TGTDVS</t>
  </si>
  <si>
    <t>18524338-000-001</t>
  </si>
  <si>
    <t>3/28/2016</t>
  </si>
  <si>
    <t>MZK10-271</t>
  </si>
  <si>
    <t>Celia</t>
  </si>
  <si>
    <t>Ariella</t>
  </si>
  <si>
    <t>Isabel</t>
  </si>
  <si>
    <t>Starry Sky Metallic Comforter Set with Throw Pillow</t>
  </si>
  <si>
    <t>Charcoal/Gold</t>
  </si>
  <si>
    <t>PF006168;PP001935</t>
  </si>
  <si>
    <t>2/23/2024</t>
  </si>
  <si>
    <t>AMAZON,KOHLDSN,OLLIIX</t>
  </si>
  <si>
    <t>38070768-000-003</t>
  </si>
  <si>
    <t>3/1/2024</t>
  </si>
  <si>
    <t>4/5/2024</t>
  </si>
  <si>
    <t>MP40-7371</t>
  </si>
  <si>
    <t>Ceres</t>
  </si>
  <si>
    <t>Elowen</t>
  </si>
  <si>
    <t>Persis</t>
  </si>
  <si>
    <t>Twisted Tab Voile Sheer Window Pair</t>
  </si>
  <si>
    <t>2-PK 50x63"</t>
  </si>
  <si>
    <t>PP001184;PF005382</t>
  </si>
  <si>
    <t>4/6/2021</t>
  </si>
  <si>
    <t>AMAZON,CSNSTORES,JCPENNEY01,KOHLDSN,OLLIIX</t>
  </si>
  <si>
    <t>25510906-000-011</t>
  </si>
  <si>
    <t>4/14/2021</t>
  </si>
  <si>
    <t>MP40-6348</t>
  </si>
  <si>
    <t>Twist Tab Voile Sheer Window Pair</t>
  </si>
  <si>
    <t>PF004682;PP001184</t>
  </si>
  <si>
    <t>5/31/2019</t>
  </si>
  <si>
    <t>CSNSTORES,JCPENNEY01,KOHLDSN</t>
  </si>
  <si>
    <t>25510906-000-005</t>
  </si>
  <si>
    <t>7/2/2019</t>
  </si>
  <si>
    <t>MP40-6350</t>
  </si>
  <si>
    <t>2-PK 50x95"</t>
  </si>
  <si>
    <t>25510906-000-004</t>
  </si>
  <si>
    <t>7/12/2019</t>
  </si>
  <si>
    <t>MP35-8065</t>
  </si>
  <si>
    <t>Chadwick</t>
  </si>
  <si>
    <t>Earl</t>
  </si>
  <si>
    <t>Larry</t>
  </si>
  <si>
    <t>Distressed Vintage Persian Woven Area Rug</t>
  </si>
  <si>
    <t>PP001801;PF005789</t>
  </si>
  <si>
    <t>40689047-000-002</t>
  </si>
  <si>
    <t>MP35-8066</t>
  </si>
  <si>
    <t>NRTPORT</t>
  </si>
  <si>
    <t>40689047-000-000</t>
  </si>
  <si>
    <t>MP35-8067</t>
  </si>
  <si>
    <t>AMAZON,BLK01,HDDS,OLLIIX</t>
  </si>
  <si>
    <t>40689047-000-003</t>
  </si>
  <si>
    <t>4/3/2024</t>
  </si>
  <si>
    <t>MPS10-548</t>
  </si>
  <si>
    <t>Chapman</t>
  </si>
  <si>
    <t>Nuetual Ivory</t>
  </si>
  <si>
    <t>MPS10-549</t>
  </si>
  <si>
    <t>MT154-0065</t>
  </si>
  <si>
    <t>Charlton</t>
  </si>
  <si>
    <t>Metal Floor Lamp with Glass Cylinder Shade</t>
  </si>
  <si>
    <t>40804273-000-000</t>
  </si>
  <si>
    <t>11/22/2022</t>
  </si>
  <si>
    <t>1/23/2023</t>
  </si>
  <si>
    <t>HH11-496</t>
  </si>
  <si>
    <t>Sham</t>
  </si>
  <si>
    <t>Chelsea</t>
  </si>
  <si>
    <t>Cotton European Sham</t>
  </si>
  <si>
    <t>PF003320</t>
  </si>
  <si>
    <t>Border</t>
  </si>
  <si>
    <t>AMAZON,CSNSTORES,KOHLDSN,OLLIIX</t>
  </si>
  <si>
    <t>18467246-000-000</t>
  </si>
  <si>
    <t>ID20-300</t>
  </si>
  <si>
    <t>Chevron</t>
  </si>
  <si>
    <t>Printed Microfiber Sheet Set</t>
  </si>
  <si>
    <t>PF001578</t>
  </si>
  <si>
    <t>AMAZON,JCPENNEY01,TGTDVS,WALMARTDS</t>
  </si>
  <si>
    <t>17218050-000-015</t>
  </si>
  <si>
    <t>4/13/2015</t>
  </si>
  <si>
    <t>MP50N-5511</t>
  </si>
  <si>
    <t>Chloe</t>
  </si>
  <si>
    <t>Mila</t>
  </si>
  <si>
    <t>PP000792</t>
  </si>
  <si>
    <t>BOHO</t>
  </si>
  <si>
    <t>1/15/2018</t>
  </si>
  <si>
    <t>AMAZON,ASHFURNDS,BLK01,CSNSTORES,JCPENNEY01,KOHLDSN,MACY02,NRTPORT,OLLIIX,TGTDVS,WALMARTDS,Zulily</t>
  </si>
  <si>
    <t>26107195-000-000</t>
  </si>
  <si>
    <t>2/16/2018</t>
  </si>
  <si>
    <t>3/8/2018</t>
  </si>
  <si>
    <t>ID12-2328</t>
  </si>
  <si>
    <t>Christa</t>
  </si>
  <si>
    <t>Kaia</t>
  </si>
  <si>
    <t>Lena</t>
  </si>
  <si>
    <t>Floral Striped Duvet Cover Set</t>
  </si>
  <si>
    <t>PF006201</t>
  </si>
  <si>
    <t>43794270-000-000</t>
  </si>
  <si>
    <t>6/24/2024</t>
  </si>
  <si>
    <t>ID10-2327</t>
  </si>
  <si>
    <t>Floral Striped Comforter Set</t>
  </si>
  <si>
    <t>43787444-000-001</t>
  </si>
  <si>
    <t>4/24/2024</t>
  </si>
  <si>
    <t>ID12-2329</t>
  </si>
  <si>
    <t>3/26/2024</t>
  </si>
  <si>
    <t>BLK01,JCPENNEY01,KOHLDSN,MACY02,NRTPORT</t>
  </si>
  <si>
    <t>43794270-000-001</t>
  </si>
  <si>
    <t>5/16/2024</t>
  </si>
  <si>
    <t>MP103-1111</t>
  </si>
  <si>
    <t>Circa</t>
  </si>
  <si>
    <t>Emerson</t>
  </si>
  <si>
    <t>Upholstered Swivel Chair</t>
  </si>
  <si>
    <t>2/2/2022</t>
  </si>
  <si>
    <t>CSNSTORES,MACY02F</t>
  </si>
  <si>
    <t>39582783-000-000</t>
  </si>
  <si>
    <t>MPS10-596</t>
  </si>
  <si>
    <t>Cirque</t>
  </si>
  <si>
    <t>Jacquard Oversized Duvet Style Comforter Set</t>
  </si>
  <si>
    <t>MPS10-597</t>
  </si>
  <si>
    <t>FPF17-0188</t>
  </si>
  <si>
    <t>Wells</t>
  </si>
  <si>
    <t>PF000539;PP000121</t>
  </si>
  <si>
    <t>ASHFURNDS,CASTLEGATE,CSNSTORES,DESINC,KOHLDSN,OLLIIX</t>
  </si>
  <si>
    <t>18298231-000-000</t>
  </si>
  <si>
    <t>12/31/2015</t>
  </si>
  <si>
    <t>3/17/2016</t>
  </si>
  <si>
    <t>FPF18-0184</t>
  </si>
  <si>
    <t>Dining Chair (Set of 2)</t>
  </si>
  <si>
    <t>PF000003;PP000121</t>
  </si>
  <si>
    <t>5/16/2017</t>
  </si>
  <si>
    <t>18078888-000-000</t>
  </si>
  <si>
    <t>1/21/2016</t>
  </si>
  <si>
    <t>MP13-1420</t>
  </si>
  <si>
    <t>Claire</t>
  </si>
  <si>
    <t>Montecito</t>
  </si>
  <si>
    <t>Arbor</t>
  </si>
  <si>
    <t>6 Piece Printed Quilt Set with Throw Pillows</t>
  </si>
  <si>
    <t>PF002720;PP000401</t>
  </si>
  <si>
    <t>Boho</t>
  </si>
  <si>
    <t>Traditional|Casual</t>
  </si>
  <si>
    <t>AMAZON,AMAZONDS,BLK01,CSNSTORES,HSNDS,JCPENNEY01,KOHLDSN,MACY02,NEBFUR01,OLLIIX</t>
  </si>
  <si>
    <t>17160792-000-000</t>
  </si>
  <si>
    <t>4/21/2015</t>
  </si>
  <si>
    <t>II115-0577</t>
  </si>
  <si>
    <t>Bed</t>
  </si>
  <si>
    <t>Clark</t>
  </si>
  <si>
    <t>Platform Bed frame with Live-Edge Headboard and Built-in Nightstands/Drawers</t>
  </si>
  <si>
    <t>Dark Brown</t>
  </si>
  <si>
    <t>7/20/2024</t>
  </si>
  <si>
    <t>44668505-000-000</t>
  </si>
  <si>
    <t>IIF20-0028</t>
  </si>
  <si>
    <t>DINING TABLE</t>
  </si>
  <si>
    <t>Dining Table</t>
  </si>
  <si>
    <t>Round Dining/Pub Table</t>
  </si>
  <si>
    <t>Pecan</t>
  </si>
  <si>
    <t>PF000975;PP000018</t>
  </si>
  <si>
    <t>CSNSTORES,HDDS,KOHLDSN,LAMPDS,MACY02F,OLLIIX,TGTDVS</t>
  </si>
  <si>
    <t>19904423-000-000</t>
  </si>
  <si>
    <t>10/26/2016</t>
  </si>
  <si>
    <t>2/3/2017</t>
  </si>
  <si>
    <t>CCL11-0025</t>
  </si>
  <si>
    <t>Clermont</t>
  </si>
  <si>
    <t>European Pillow Sham</t>
  </si>
  <si>
    <t>DLCROSCILL,JCPENNEY01,MACY02,OLLIIX</t>
  </si>
  <si>
    <t>42067463-000-001</t>
  </si>
  <si>
    <t>5/20/2024</t>
  </si>
  <si>
    <t>MT154-0050</t>
  </si>
  <si>
    <t>Clyde</t>
  </si>
  <si>
    <t>Metal Tripod Floor Lamp 60"H</t>
  </si>
  <si>
    <t>8/4/2021</t>
  </si>
  <si>
    <t>CSNSTORES,JCPENNEY01,KOHLDSN,OLLIIX,TGTDVS</t>
  </si>
  <si>
    <t>38754847-000-000</t>
  </si>
  <si>
    <t>9/10/2021</t>
  </si>
  <si>
    <t>HH10-480</t>
  </si>
  <si>
    <t>Coastline</t>
  </si>
  <si>
    <t>Oversized Cotton Jacquard Comforter Set</t>
  </si>
  <si>
    <t>PF003317</t>
  </si>
  <si>
    <t>CSNSTORES,MACY02</t>
  </si>
  <si>
    <t>13429956-000-000</t>
  </si>
  <si>
    <t>CSP10-1481</t>
  </si>
  <si>
    <t>Cobi</t>
  </si>
  <si>
    <t>Miles</t>
  </si>
  <si>
    <t>Avery</t>
  </si>
  <si>
    <t>Striped Reversible Comforter Set</t>
  </si>
  <si>
    <t>PF005610</t>
  </si>
  <si>
    <t>5/14/2021</t>
  </si>
  <si>
    <t>BLK01,CSNSTORES,JCPENNEY01,KOHLDSN,NRTPORT</t>
  </si>
  <si>
    <t>39053022-000-000</t>
  </si>
  <si>
    <t>10/29/2021</t>
  </si>
  <si>
    <t>NS11-3662</t>
  </si>
  <si>
    <t>N Natori</t>
  </si>
  <si>
    <t>Cocoon</t>
  </si>
  <si>
    <t>Quilt Top Euro Sham</t>
  </si>
  <si>
    <t>PP001696;PF005608</t>
  </si>
  <si>
    <t>11/2/2021</t>
  </si>
  <si>
    <t>KOHLDSN,MACY02,OLLIIX</t>
  </si>
  <si>
    <t>39072237-000-000</t>
  </si>
  <si>
    <t>11/10/2021</t>
  </si>
  <si>
    <t>5/6/2022</t>
  </si>
  <si>
    <t>FPF18-0395</t>
  </si>
  <si>
    <t>Cody</t>
  </si>
  <si>
    <t>Embry</t>
  </si>
  <si>
    <t>Maren</t>
  </si>
  <si>
    <t>Open Back Accent Chair</t>
  </si>
  <si>
    <t>PF000690;PP000125</t>
  </si>
  <si>
    <t>AMAZON,CSNSTORES,OLLIIX,ROOMECOM</t>
  </si>
  <si>
    <t>17878759-000-000</t>
  </si>
  <si>
    <t>3/10/2016</t>
  </si>
  <si>
    <t>MP103-1217</t>
  </si>
  <si>
    <t>Coleman</t>
  </si>
  <si>
    <t>Sierra</t>
  </si>
  <si>
    <t>Glenroy</t>
  </si>
  <si>
    <t>Upholstered Manual Push Back Recliner</t>
  </si>
  <si>
    <t>2/27/2023</t>
  </si>
  <si>
    <t>AMERSIGNDS,ASHFURNDS,CSNSTORES,KIRKLANDDS,KOHLDSN,LAMPDS</t>
  </si>
  <si>
    <t>41141642-000-000</t>
  </si>
  <si>
    <t>3/2/2023</t>
  </si>
  <si>
    <t>5/10/2023</t>
  </si>
  <si>
    <t>MP100-1235</t>
  </si>
  <si>
    <t>Halford</t>
  </si>
  <si>
    <t>Donner</t>
  </si>
  <si>
    <t>Accent Chair Set of 2</t>
  </si>
  <si>
    <t>PP000344</t>
  </si>
  <si>
    <t>4/15/2021</t>
  </si>
  <si>
    <t>41353963-000-000</t>
  </si>
  <si>
    <t>4/10/2023</t>
  </si>
  <si>
    <t>6/27/2023</t>
  </si>
  <si>
    <t>MP100-0708</t>
  </si>
  <si>
    <t>Accent Wingback Chair</t>
  </si>
  <si>
    <t>7/25/2018</t>
  </si>
  <si>
    <t>ASHFURNDS,CSNSTORES,HDDS,KIRKLANDDS,KOHLDSN,MACY02F,OLLIIX,TGTDVS,ZOLA</t>
  </si>
  <si>
    <t>25017813-000-001</t>
  </si>
  <si>
    <t>7/27/2018</t>
  </si>
  <si>
    <t>9/16/2018</t>
  </si>
  <si>
    <t>MPS100-0303</t>
  </si>
  <si>
    <t>Collin</t>
  </si>
  <si>
    <t>Arm chair</t>
  </si>
  <si>
    <t>Cream/Dark Brown</t>
  </si>
  <si>
    <t>CSNSTORES,KIRKLANDDS,KOHLDSN,OLLIIX,ZOLA</t>
  </si>
  <si>
    <t>20820279-000-002</t>
  </si>
  <si>
    <t>5DS40-0227</t>
  </si>
  <si>
    <t>Colt</t>
  </si>
  <si>
    <t>Garett</t>
  </si>
  <si>
    <t>Bryce</t>
  </si>
  <si>
    <t>Room Darkening Metallic Printed Poly Velvet Rod Pocket/Back Tab Window Panel Pair</t>
  </si>
  <si>
    <t>37x63"</t>
  </si>
  <si>
    <t>PP000910;PF005231</t>
  </si>
  <si>
    <t>Velvet</t>
  </si>
  <si>
    <t>Room Darkening</t>
  </si>
  <si>
    <t>10/7/2020</t>
  </si>
  <si>
    <t>ASHFURNDS,HDDS,JCPENNEY01,KOHLDSN,OLLIIX,TGTDVS</t>
  </si>
  <si>
    <t>28110688-000-015</t>
  </si>
  <si>
    <t>12/29/2020</t>
  </si>
  <si>
    <t>5DS40-0228</t>
  </si>
  <si>
    <t>37x84"</t>
  </si>
  <si>
    <t>ASHFURNDS,DESINC,JCPENNEY01,KOHLDSN,NEBFUR01,OLLIIX,TGTDVS</t>
  </si>
  <si>
    <t>28110688-000-016</t>
  </si>
  <si>
    <t>11/15/2020</t>
  </si>
  <si>
    <t>5DS40-0229</t>
  </si>
  <si>
    <t>37x95"</t>
  </si>
  <si>
    <t>ASHFURNDS,CSNSTORES,JCPENNEY01,OLLIIX,TGTDVS</t>
  </si>
  <si>
    <t>28110688-000-017</t>
  </si>
  <si>
    <t>2/8/2021</t>
  </si>
  <si>
    <t>5DS40-0284</t>
  </si>
  <si>
    <t>PP000910;PF006008</t>
  </si>
  <si>
    <t>6/13/2023</t>
  </si>
  <si>
    <t>ASHFURNDS,BLK01,CSNSTORES,HDDS,JCPENNEY01</t>
  </si>
  <si>
    <t>28110688-000-025</t>
  </si>
  <si>
    <t>9/12/2023</t>
  </si>
  <si>
    <t>5DS40-0287</t>
  </si>
  <si>
    <t>Grey/Copper</t>
  </si>
  <si>
    <t>PP000910;PF006132</t>
  </si>
  <si>
    <t>5/24/2024</t>
  </si>
  <si>
    <t>28110688-000-028</t>
  </si>
  <si>
    <t>5DS40-0288</t>
  </si>
  <si>
    <t>28110688-000-029</t>
  </si>
  <si>
    <t>5DS40-0154</t>
  </si>
  <si>
    <t>PP000910;PF004316</t>
  </si>
  <si>
    <t>7/10/2018</t>
  </si>
  <si>
    <t>JCPENNEY01,KOHLDSN,OLLIIX,TGTDVS</t>
  </si>
  <si>
    <t>28110688-000-004</t>
  </si>
  <si>
    <t>7/9/2018</t>
  </si>
  <si>
    <t>7/14/2020</t>
  </si>
  <si>
    <t>5DS40-0155</t>
  </si>
  <si>
    <t>PP000910;PF004315</t>
  </si>
  <si>
    <t>CSNSTORES,DESINC,HDDS,JCPENNEY01,KOHLDSN,OLLIIX,TGTDVS</t>
  </si>
  <si>
    <t>28110688-000-008</t>
  </si>
  <si>
    <t>5/30/2019</t>
  </si>
  <si>
    <t>5DS40-0156</t>
  </si>
  <si>
    <t>ASHFURNDS,JCPENNEY01,OLLIIX,TGTDVS</t>
  </si>
  <si>
    <t>28110688-000-013</t>
  </si>
  <si>
    <t>5DS40-0160</t>
  </si>
  <si>
    <t>PP000910;PF004318</t>
  </si>
  <si>
    <t>CSNSTORES,HDDS,JCPENNEY01,KOHLDSN,NEBFUR01,OLLIIX,TGTDVS</t>
  </si>
  <si>
    <t>28110688-000-012</t>
  </si>
  <si>
    <t>9/12/2018</t>
  </si>
  <si>
    <t>5DS40-0162</t>
  </si>
  <si>
    <t>ASHFURNDS,BIGLOTSDS,BLK01,CSNSTORES,JCPENNEY01,KIRKLANDDS,KOHLDSN,OLLIIX,TGTDVS</t>
  </si>
  <si>
    <t>28110688-000-007</t>
  </si>
  <si>
    <t>8/27/2018</t>
  </si>
  <si>
    <t>5DS40-0285</t>
  </si>
  <si>
    <t>PP000910;PF006131</t>
  </si>
  <si>
    <t>1/20/2025</t>
  </si>
  <si>
    <t>CSNSTORES,JCPENNEY01,KOHLDSN,OLLIIX</t>
  </si>
  <si>
    <t>28110688-000-026</t>
  </si>
  <si>
    <t>6/5/2024</t>
  </si>
  <si>
    <t>5DS40-0286</t>
  </si>
  <si>
    <t>28110688-000-027</t>
  </si>
  <si>
    <t>10/9/2024</t>
  </si>
  <si>
    <t>FMY011JBH</t>
  </si>
  <si>
    <t>Colton</t>
  </si>
  <si>
    <t>Robin</t>
  </si>
  <si>
    <t>Track Arm Club Chair</t>
  </si>
  <si>
    <t>PF000577;PP000128</t>
  </si>
  <si>
    <t>AMAZONDS,AMERSIGNDS,ASHFURNDS,CASTLEGATE,CSNSTORES,KIRKLANDDS,LAMPDS,MACY02F,OLLIIX</t>
  </si>
  <si>
    <t>17880180-000-000</t>
  </si>
  <si>
    <t>11/30/2015</t>
  </si>
  <si>
    <t>UH20-2466</t>
  </si>
  <si>
    <t>Comfort Cool Jersey Knit</t>
  </si>
  <si>
    <t>Nylon Blend Sheet Set</t>
  </si>
  <si>
    <t>PP001859;PF005950</t>
  </si>
  <si>
    <t>Jersey</t>
  </si>
  <si>
    <t>4/18/2023</t>
  </si>
  <si>
    <t>41392078-000-007</t>
  </si>
  <si>
    <t>4/20/2023</t>
  </si>
  <si>
    <t>2/14/2024</t>
  </si>
  <si>
    <t>UH10-2506</t>
  </si>
  <si>
    <t>Down Alternative Comforter Filler</t>
  </si>
  <si>
    <t>Oversized Down Alternative Comforter</t>
  </si>
  <si>
    <t>PP001912;PF006110</t>
  </si>
  <si>
    <t>12/6/2023</t>
  </si>
  <si>
    <t>43139341-000-000</t>
  </si>
  <si>
    <t>12/5/2023</t>
  </si>
  <si>
    <t>1/16/2024</t>
  </si>
  <si>
    <t>UH20-2460</t>
  </si>
  <si>
    <t>PP001859;PF005949</t>
  </si>
  <si>
    <t>41392078-000-009</t>
  </si>
  <si>
    <t>6/25/2023</t>
  </si>
  <si>
    <t>UH10-2500</t>
  </si>
  <si>
    <t>PF006108;PP001912</t>
  </si>
  <si>
    <t>AMAZON,KOHLDSN,TGTDVS</t>
  </si>
  <si>
    <t>43139341-000-003</t>
  </si>
  <si>
    <t>UH20-2454</t>
  </si>
  <si>
    <t>PP001859;PF005948</t>
  </si>
  <si>
    <t>41392078-000-003</t>
  </si>
  <si>
    <t>UH10-2503</t>
  </si>
  <si>
    <t>PP001912;PF006109</t>
  </si>
  <si>
    <t>AMAZON,CSNSTORES,KOHLDSN,MACY02,TGTDVS</t>
  </si>
  <si>
    <t>43139341-000-004</t>
  </si>
  <si>
    <t>UH10-2505</t>
  </si>
  <si>
    <t>AMAZON,AMAZONDS,BLK01,KOHLDSN,MACY02,NRTPORT</t>
  </si>
  <si>
    <t>43139341-000-006</t>
  </si>
  <si>
    <t>SS40-0179</t>
  </si>
  <si>
    <t>Como</t>
  </si>
  <si>
    <t>Leighton</t>
  </si>
  <si>
    <t>Aberdeen</t>
  </si>
  <si>
    <t>Tonal Printed Faux Silk Room Darkening Curtain Panel Pair</t>
  </si>
  <si>
    <t>42x95"</t>
  </si>
  <si>
    <t>PP001428;PF005323</t>
  </si>
  <si>
    <t>1/27/2021</t>
  </si>
  <si>
    <t>AMAZONDS,ASHFURNDS,JCPENNEY01,KOHLDSN,OLLIIX,TGTDVS</t>
  </si>
  <si>
    <t>35381437-000-009</t>
  </si>
  <si>
    <t>3/11/2021</t>
  </si>
  <si>
    <t>MP40-7931</t>
  </si>
  <si>
    <t>Printed Faux Silk Room Darkening Cordless Roman Shade</t>
  </si>
  <si>
    <t>35x64"</t>
  </si>
  <si>
    <t>38024443-000-021</t>
  </si>
  <si>
    <t>9/15/2022</t>
  </si>
  <si>
    <t>MP40-7938</t>
  </si>
  <si>
    <t>31x64"</t>
  </si>
  <si>
    <t>PP001428;PF005726</t>
  </si>
  <si>
    <t>AMAZONDS,CSNSTORES,HDDS,KOHLDSN,NRTPORT</t>
  </si>
  <si>
    <t>38024443-000-016</t>
  </si>
  <si>
    <t>12/29/2023</t>
  </si>
  <si>
    <t>MP40-7939</t>
  </si>
  <si>
    <t>38024443-000-017</t>
  </si>
  <si>
    <t>4/7/2023</t>
  </si>
  <si>
    <t>MP40-7941</t>
  </si>
  <si>
    <t>39x64"</t>
  </si>
  <si>
    <t>AMAZONDS,CSNSTORES,HDDS,JCPENNEY01</t>
  </si>
  <si>
    <t>38024443-000-019</t>
  </si>
  <si>
    <t>SS40-0142</t>
  </si>
  <si>
    <t>PP001428;PF004984</t>
  </si>
  <si>
    <t>1/3/2020</t>
  </si>
  <si>
    <t>BLK01,CSNSTORES,DESINC,JCPENNEY01,KOHLDSN,TGTDVS</t>
  </si>
  <si>
    <t>35381437-000-003</t>
  </si>
  <si>
    <t>1/6/2020</t>
  </si>
  <si>
    <t>4/6/2020</t>
  </si>
  <si>
    <t>SS40-0143</t>
  </si>
  <si>
    <t>CSNSTORES,DESINC,JCPENNEY01,KOHLDSN,OLLIIX,TGTDVS</t>
  </si>
  <si>
    <t>35381437-000-000</t>
  </si>
  <si>
    <t>3/30/2020</t>
  </si>
  <si>
    <t>MP40-7443</t>
  </si>
  <si>
    <t>AMAZON,DESINC,HDDS,KOHLDSN,TGTDVS</t>
  </si>
  <si>
    <t>38024443-000-014</t>
  </si>
  <si>
    <t>5/15/2021</t>
  </si>
  <si>
    <t>12/31/2021</t>
  </si>
  <si>
    <t>SS40-0137</t>
  </si>
  <si>
    <t>PP001428;PF004982</t>
  </si>
  <si>
    <t>ASHFURNDS,CSNSTORES,DESINC,JCPENNEY01,KOHLDSN,NEBFUR01,OLLIIX,TGTDVS</t>
  </si>
  <si>
    <t>35381437-000-004</t>
  </si>
  <si>
    <t>3/24/2020</t>
  </si>
  <si>
    <t>MP40-7435</t>
  </si>
  <si>
    <t>27x64"</t>
  </si>
  <si>
    <t>AMAZON,CSNSTORES,DESINC,JCPENNEY01,KOHLDSN,OLLIIX,TGTDVS</t>
  </si>
  <si>
    <t>38024443-000-004</t>
  </si>
  <si>
    <t>6/3/2021</t>
  </si>
  <si>
    <t>MP40-7436</t>
  </si>
  <si>
    <t>AMAZONDS,CSNSTORES,DESINC,KOHLDSN,TGTDVS</t>
  </si>
  <si>
    <t>38024443-000-003</t>
  </si>
  <si>
    <t>5/19/2021</t>
  </si>
  <si>
    <t>MP40-7437</t>
  </si>
  <si>
    <t>AMAZON,CSNSTORES,DESINC,HDDS,JCPENNEY01,KIRKLANDDS,KOHLDSN,TGTDVS</t>
  </si>
  <si>
    <t>38024443-000-002</t>
  </si>
  <si>
    <t>7/19/2021</t>
  </si>
  <si>
    <t>MP40-7438</t>
  </si>
  <si>
    <t>AMAZONDS,CSNSTORES,HDDS,JCPENNEY01,TGTDVS</t>
  </si>
  <si>
    <t>38024443-000-006</t>
  </si>
  <si>
    <t>8/10/2021</t>
  </si>
  <si>
    <t>MP40-7439</t>
  </si>
  <si>
    <t>AMAZONDS,CSNSTORES,JCPENNEY01,KOHLDSN,TGTDVS</t>
  </si>
  <si>
    <t>38024443-000-007</t>
  </si>
  <si>
    <t>SS40-0139</t>
  </si>
  <si>
    <t>PP001428;PF004983</t>
  </si>
  <si>
    <t>AMAZONDS,BLK01,CSNSTORES,JCPENNEY01,KOHLDSN,OLLIIX,TGTDVS</t>
  </si>
  <si>
    <t>35381437-000-006</t>
  </si>
  <si>
    <t>3/16/2020</t>
  </si>
  <si>
    <t>SS40-0140</t>
  </si>
  <si>
    <t>AMAZONDS,ASHFURNDS,CSNSTORES,DESINC,HDDS,JCPENNEY01,KOHLDSN,OLLIIX,TGTDVS</t>
  </si>
  <si>
    <t>35381437-000-002</t>
  </si>
  <si>
    <t>4/14/2020</t>
  </si>
  <si>
    <t>MP40-7445</t>
  </si>
  <si>
    <t>CSNSTORES,DESINC,KOHLDSN</t>
  </si>
  <si>
    <t>38024443-000-008</t>
  </si>
  <si>
    <t>MP40-7446</t>
  </si>
  <si>
    <t>AMAZON,BLK01,DESINC,HDDS,JCPENNEY01,KOHLDSN,TGTDVS</t>
  </si>
  <si>
    <t>38024443-000-000</t>
  </si>
  <si>
    <t>MP40-7447</t>
  </si>
  <si>
    <t>AMAZONDS,HDDS,JCPENNEY01</t>
  </si>
  <si>
    <t>38024443-000-011</t>
  </si>
  <si>
    <t>MP40-7449</t>
  </si>
  <si>
    <t>38024443-000-005</t>
  </si>
  <si>
    <t>7/8/2021</t>
  </si>
  <si>
    <t>SI50-0024</t>
  </si>
  <si>
    <t>Filled Throw</t>
  </si>
  <si>
    <t>Cooling Touch</t>
  </si>
  <si>
    <t>Down Alternative Throw</t>
  </si>
  <si>
    <t>PP001964;PF006252</t>
  </si>
  <si>
    <t>Nylon</t>
  </si>
  <si>
    <t>6/4/2024</t>
  </si>
  <si>
    <t>AMAZON,HDDS,KOHLDSN,MACY02</t>
  </si>
  <si>
    <t>44440473-000-002</t>
  </si>
  <si>
    <t>Tier S-E</t>
  </si>
  <si>
    <t>10/7/2024</t>
  </si>
  <si>
    <t>SI50-0021</t>
  </si>
  <si>
    <t>PP001964;PF006249</t>
  </si>
  <si>
    <t>44440473-000-000</t>
  </si>
  <si>
    <t>SI50-0023</t>
  </si>
  <si>
    <t>PP001964;PF006251</t>
  </si>
  <si>
    <t>AMAZON,BLK01,KOHLDSN,MACY02,TGTDVS</t>
  </si>
  <si>
    <t>44440473-000-003</t>
  </si>
  <si>
    <t>SI50-0022</t>
  </si>
  <si>
    <t>PP001964;PF006250</t>
  </si>
  <si>
    <t>44440473-000-001</t>
  </si>
  <si>
    <t>SI51-0011</t>
  </si>
  <si>
    <t>Down Alternative Blanket</t>
  </si>
  <si>
    <t>PP001965;PF006253</t>
  </si>
  <si>
    <t>7/12/2024</t>
  </si>
  <si>
    <t>AMAZON,BLK01,KOHLDSN,TGTDVS</t>
  </si>
  <si>
    <t>44339903-000-001</t>
  </si>
  <si>
    <t>SI16-0014</t>
  </si>
  <si>
    <t>Overfilled Deep Pocket Mattress Pad</t>
  </si>
  <si>
    <t>PP001963;PF006248</t>
  </si>
  <si>
    <t>7/2/2024</t>
  </si>
  <si>
    <t>44315441-000-000</t>
  </si>
  <si>
    <t>SI10-0018</t>
  </si>
  <si>
    <t>PP001962;PF006247</t>
  </si>
  <si>
    <t>7/3/2024</t>
  </si>
  <si>
    <t>AMAZON,JCPENNEY01,KOHLDSN,TGTDVS</t>
  </si>
  <si>
    <t>44315636-000-002</t>
  </si>
  <si>
    <t>SI16-0015</t>
  </si>
  <si>
    <t>AMAZON,BLK01,CSNSTORES,KOHLDSN</t>
  </si>
  <si>
    <t>44315441-000-001</t>
  </si>
  <si>
    <t>SI10-0019</t>
  </si>
  <si>
    <t>AMAZON,BLK01,CSNSTORES,HDDS,JCPENNEY01,KOHLDSN,MACY02,TGTDVS</t>
  </si>
  <si>
    <t>44315636-000-001</t>
  </si>
  <si>
    <t>SI16-0016</t>
  </si>
  <si>
    <t>AMAZON,BLK01,CSNSTORES,JCPENNEY01,KOHLDSN,MACY02,TGTDVS</t>
  </si>
  <si>
    <t>44315441-000-003</t>
  </si>
  <si>
    <t>SI16-0017</t>
  </si>
  <si>
    <t>44315441-000-002</t>
  </si>
  <si>
    <t>PET63OP6011</t>
  </si>
  <si>
    <t>Copper</t>
  </si>
  <si>
    <t>Ortho Napper</t>
  </si>
  <si>
    <t>43822207-000-000</t>
  </si>
  <si>
    <t>4/13/2024</t>
  </si>
  <si>
    <t>MZK10-267</t>
  </si>
  <si>
    <t>Cora</t>
  </si>
  <si>
    <t>Elsie</t>
  </si>
  <si>
    <t>Sophie</t>
  </si>
  <si>
    <t>Pompom Clip Jacquard Comforter Set</t>
  </si>
  <si>
    <t>Pink Multi</t>
  </si>
  <si>
    <t>PF006137</t>
  </si>
  <si>
    <t>Polka Dots</t>
  </si>
  <si>
    <t>43736332-000-000</t>
  </si>
  <si>
    <t>MZK12-269</t>
  </si>
  <si>
    <t>Pompom Clip Jacquard Duvet Cover Set</t>
  </si>
  <si>
    <t>AMAZON,HDDS,JCPENNEY01,KOHLDSN,MACY02,TGTDVS</t>
  </si>
  <si>
    <t>43737943-000-001</t>
  </si>
  <si>
    <t>MZK10-268</t>
  </si>
  <si>
    <t>AMAZON,AMAZONDS,BLK01,CSNSTORES,JCPENNEY01,KOHLDSN,MACY02,OLLIIX,TGTDVS</t>
  </si>
  <si>
    <t>43736332-000-001</t>
  </si>
  <si>
    <t>MZK12-270</t>
  </si>
  <si>
    <t>CSNSTORES,HDDS,MACY02,TGTDVS</t>
  </si>
  <si>
    <t>43737943-000-000</t>
  </si>
  <si>
    <t>ST54-0292</t>
  </si>
  <si>
    <t>Serta</t>
  </si>
  <si>
    <t>Electric Blanket</t>
  </si>
  <si>
    <t>Corded Plush</t>
  </si>
  <si>
    <t>Heated Blanket</t>
  </si>
  <si>
    <t>PP001892;PF006035</t>
  </si>
  <si>
    <t>9/21/2023</t>
  </si>
  <si>
    <t>42738934-000-007</t>
  </si>
  <si>
    <t>10/16/2023</t>
  </si>
  <si>
    <t>ST54-0294</t>
  </si>
  <si>
    <t>PP001892;PF006036</t>
  </si>
  <si>
    <t>42738934-000-010</t>
  </si>
  <si>
    <t>ST54-0295</t>
  </si>
  <si>
    <t>BLK01,HDDS,JCPENNEY01,KOHLDSN,TGTDVS</t>
  </si>
  <si>
    <t>42738934-000-000</t>
  </si>
  <si>
    <t>8/12/2024</t>
  </si>
  <si>
    <t>ST54-0297</t>
  </si>
  <si>
    <t>42738934-000-008</t>
  </si>
  <si>
    <t>1/12/2024</t>
  </si>
  <si>
    <t>ST54-0286</t>
  </si>
  <si>
    <t>PP001892;PF006034</t>
  </si>
  <si>
    <t>42738934-000-014</t>
  </si>
  <si>
    <t>CCL40-0056</t>
  </si>
  <si>
    <t>Cornelli</t>
  </si>
  <si>
    <t>Embroidery Curtain Panel (Single)</t>
  </si>
  <si>
    <t>42036994-000-001</t>
  </si>
  <si>
    <t>9/22/2023</t>
  </si>
  <si>
    <t>CCL40-0055</t>
  </si>
  <si>
    <t>CSNSTORES,DLCROSCILL,JCPENNEY01</t>
  </si>
  <si>
    <t>42036994-000-000</t>
  </si>
  <si>
    <t>CCL40-0054</t>
  </si>
  <si>
    <t>42036994-000-003</t>
  </si>
  <si>
    <t>CCL40-0053</t>
  </si>
  <si>
    <t>42036994-000-002</t>
  </si>
  <si>
    <t>CC71-0041</t>
  </si>
  <si>
    <t>BATH ACCESSORIES</t>
  </si>
  <si>
    <t>Bath Accessory</t>
  </si>
  <si>
    <t>Corsica</t>
  </si>
  <si>
    <t>Gold Marbled Resin Jar</t>
  </si>
  <si>
    <t>10/17/2022</t>
  </si>
  <si>
    <t>42093669-000-001</t>
  </si>
  <si>
    <t>8/9/2023</t>
  </si>
  <si>
    <t>1/10/2024</t>
  </si>
  <si>
    <t>UH95C-0030</t>
  </si>
  <si>
    <t>Cosmic Curl</t>
  </si>
  <si>
    <t>3-piece Framed Canvas Wall Art Set</t>
  </si>
  <si>
    <t>Black/Taupe</t>
  </si>
  <si>
    <t>PP001611</t>
  </si>
  <si>
    <t>2/10/2021</t>
  </si>
  <si>
    <t>AMAZON,HDDS,JCPENNEY01,KIRKLANDDS,KOHLDSN,NEBFUR01,OLLIIX,ROOMECOM</t>
  </si>
  <si>
    <t>37419231-000-000</t>
  </si>
  <si>
    <t>2/11/2021</t>
  </si>
  <si>
    <t>2/25/2021</t>
  </si>
  <si>
    <t>5DS36-0298</t>
  </si>
  <si>
    <t>INFLATABLES</t>
  </si>
  <si>
    <t>Costa</t>
  </si>
  <si>
    <t>Keani</t>
  </si>
  <si>
    <t>Portable Water Repellent Inflatable Round Ottoman</t>
  </si>
  <si>
    <t>Dia 21x9"</t>
  </si>
  <si>
    <t>Navy/White</t>
  </si>
  <si>
    <t>PP001992;PF006398</t>
  </si>
  <si>
    <t>44477748-000-000</t>
  </si>
  <si>
    <t>8/20/2024</t>
  </si>
  <si>
    <t>CS20-1572</t>
  </si>
  <si>
    <t>Cotton 144TC</t>
  </si>
  <si>
    <t>Printed Cotton Sheets</t>
  </si>
  <si>
    <t>Parisienne Pink</t>
  </si>
  <si>
    <t>Novelty</t>
  </si>
  <si>
    <t>4/29/2022</t>
  </si>
  <si>
    <t>43972195-000-000</t>
  </si>
  <si>
    <t>5/15/2024</t>
  </si>
  <si>
    <t>6/3/2024</t>
  </si>
  <si>
    <t>BR55-0199</t>
  </si>
  <si>
    <t>ELEC MATT PAD</t>
  </si>
  <si>
    <t>Elect Matt Pad</t>
  </si>
  <si>
    <t>Cotton Blend</t>
  </si>
  <si>
    <t>Heated Mattress Pad</t>
  </si>
  <si>
    <t>A++</t>
  </si>
  <si>
    <t>PF003436</t>
  </si>
  <si>
    <t>AMAZON,ASHFURNDS,BLK01,CSNSTORES,JCPENNEY01,KOHLDSN,MACY02,OLLIIX</t>
  </si>
  <si>
    <t>14027869-000-000</t>
  </si>
  <si>
    <t>3/2/2015</t>
  </si>
  <si>
    <t>ID20-2461</t>
  </si>
  <si>
    <t>Cotton Blend Jersey Knit</t>
  </si>
  <si>
    <t>All Season Sheet Set</t>
  </si>
  <si>
    <t>PP001991;PF006396</t>
  </si>
  <si>
    <t>10/31/2024</t>
  </si>
  <si>
    <t>AMAZONDS,JCPENNEY01,KOHLDSN,TGTDVS</t>
  </si>
  <si>
    <t>18526070-000-073</t>
  </si>
  <si>
    <t>ID20-2462</t>
  </si>
  <si>
    <t>AMAZONDS,JCPENNEY01</t>
  </si>
  <si>
    <t>18526070-000-076</t>
  </si>
  <si>
    <t>ID20-2456</t>
  </si>
  <si>
    <t>PP001991;PF006395</t>
  </si>
  <si>
    <t>18526070-000-068</t>
  </si>
  <si>
    <t>ID20-2457</t>
  </si>
  <si>
    <t>AMAZONDS,JCPENNEY01,KOHLDSN</t>
  </si>
  <si>
    <t>18526070-000-070</t>
  </si>
  <si>
    <t>ID20-2458</t>
  </si>
  <si>
    <t>10/30/2024</t>
  </si>
  <si>
    <t>18526070-000-069</t>
  </si>
  <si>
    <t>ID20-2451</t>
  </si>
  <si>
    <t>PP001991;PF006394</t>
  </si>
  <si>
    <t>Ready To Offer</t>
  </si>
  <si>
    <t>ID20-2452</t>
  </si>
  <si>
    <t>WR20-3999</t>
  </si>
  <si>
    <t>Cotton Flannel</t>
  </si>
  <si>
    <t>Blue Snowflake</t>
  </si>
  <si>
    <t>PF002274;PP000952</t>
  </si>
  <si>
    <t>Flannel</t>
  </si>
  <si>
    <t>9/17/2024</t>
  </si>
  <si>
    <t>AMAZONDS,JCPENNEY01,KOHLDSN,MACY02</t>
  </si>
  <si>
    <t>19462540-000-089</t>
  </si>
  <si>
    <t>Tier 1-S</t>
  </si>
  <si>
    <t>WR20-4000</t>
  </si>
  <si>
    <t>AMAZONDS,JCPENNEY01,KOHLDSN,MACY02,OLLIIX,TGTDVS</t>
  </si>
  <si>
    <t>19462540-000-095</t>
  </si>
  <si>
    <t>WR20-3990</t>
  </si>
  <si>
    <t>Gray Deer Toile</t>
  </si>
  <si>
    <t>PP000952;PF006331</t>
  </si>
  <si>
    <t>Scenic</t>
  </si>
  <si>
    <t>AMAZON,JCPENNEY01,MACY02</t>
  </si>
  <si>
    <t>19462540-000-084</t>
  </si>
  <si>
    <t>10/21/2024</t>
  </si>
  <si>
    <t>WR20-4003</t>
  </si>
  <si>
    <t>PF002271;PP000952</t>
  </si>
  <si>
    <t>9/18/2024</t>
  </si>
  <si>
    <t>AMAZONDS,JCPENNEY01,KOHLDSN,MACY02,TGTDVS</t>
  </si>
  <si>
    <t>19462540-000-098</t>
  </si>
  <si>
    <t>WR20-4004</t>
  </si>
  <si>
    <t>19462540-000-093</t>
  </si>
  <si>
    <t>WR20-4005</t>
  </si>
  <si>
    <t>19462540-000-094</t>
  </si>
  <si>
    <t>WR20-3984</t>
  </si>
  <si>
    <t>Green Trees &amp; Trucks</t>
  </si>
  <si>
    <t>PP000952;PF006330</t>
  </si>
  <si>
    <t>19462540-000-074</t>
  </si>
  <si>
    <t>WR20-3985</t>
  </si>
  <si>
    <t>19462540-000-075</t>
  </si>
  <si>
    <t>WR20-3986</t>
  </si>
  <si>
    <t>AMAZON,KOHLDSN,MACY02,OLLIIX,TGTDVS</t>
  </si>
  <si>
    <t>19462540-000-076</t>
  </si>
  <si>
    <t>WR20-3987</t>
  </si>
  <si>
    <t>19462540-000-077</t>
  </si>
  <si>
    <t>WR20-3988</t>
  </si>
  <si>
    <t>AMAZON,AMAZONDS,JCPENNEY01,KOHLDSN,MACY02,OLLIIX,TGTDVS</t>
  </si>
  <si>
    <t>19462540-000-078</t>
  </si>
  <si>
    <t>WR20-4008</t>
  </si>
  <si>
    <t>Grey Ski Jump</t>
  </si>
  <si>
    <t>PP000952;PF006340</t>
  </si>
  <si>
    <t>19462540-000-099</t>
  </si>
  <si>
    <t>WR20-4009</t>
  </si>
  <si>
    <t>AMAZON,AMAZONDS,KOHLDSN,MACY02,TGTDVS</t>
  </si>
  <si>
    <t>19462540-000-100</t>
  </si>
  <si>
    <t>WR20-4011</t>
  </si>
  <si>
    <t>AMAZON,AMAZONDS,JCPENNEY01,KOHLDSN,MACY02</t>
  </si>
  <si>
    <t>19462540-000-090</t>
  </si>
  <si>
    <t>WR20-4012</t>
  </si>
  <si>
    <t>19462540-000-091</t>
  </si>
  <si>
    <t>WR20-4001</t>
  </si>
  <si>
    <t>Red Plaid</t>
  </si>
  <si>
    <t>PF002273;PP000952</t>
  </si>
  <si>
    <t>AMAZONDS,JCPENNEY01,MACY02,OLLIIX,TGTDVS</t>
  </si>
  <si>
    <t>19462540-000-096</t>
  </si>
  <si>
    <t>WR20-3994</t>
  </si>
  <si>
    <t>Tan Plaid</t>
  </si>
  <si>
    <t>PP000952;PF006332</t>
  </si>
  <si>
    <t>19462540-000-081</t>
  </si>
  <si>
    <t>WR20-3995</t>
  </si>
  <si>
    <t>19462540-000-082</t>
  </si>
  <si>
    <t>WR20-3996</t>
  </si>
  <si>
    <t>19462540-000-083</t>
  </si>
  <si>
    <t>WR20-3998</t>
  </si>
  <si>
    <t>19462540-000-088</t>
  </si>
  <si>
    <t>II121-0501</t>
  </si>
  <si>
    <t>Cove</t>
  </si>
  <si>
    <t>Rectangle Extension Dining Table</t>
  </si>
  <si>
    <t>2/24/2023</t>
  </si>
  <si>
    <t>CSNSTORES,HDDS,KOHLDSN,OLLIIX,TGTDVS</t>
  </si>
  <si>
    <t>41344794-000-000</t>
  </si>
  <si>
    <t>4/5/2023</t>
  </si>
  <si>
    <t>MP130-0824</t>
  </si>
  <si>
    <t>Cowley</t>
  </si>
  <si>
    <t>Niles</t>
  </si>
  <si>
    <t>Turpin</t>
  </si>
  <si>
    <t>Accent Chest</t>
  </si>
  <si>
    <t>Reclaimed Walnut/Antique Cream</t>
  </si>
  <si>
    <t>PP001141</t>
  </si>
  <si>
    <t>3/15/2019</t>
  </si>
  <si>
    <t>CSNSTORES,KOHLDSN,LAMPDS,OLLIIX</t>
  </si>
  <si>
    <t>32695090-000-000</t>
  </si>
  <si>
    <t>3/20/2019</t>
  </si>
  <si>
    <t>5/21/2019</t>
  </si>
  <si>
    <t>TN20-0222</t>
  </si>
  <si>
    <t>True North by Sleep Philosophy</t>
  </si>
  <si>
    <t>Cozy Cotton Flannel</t>
  </si>
  <si>
    <t>Printed Sheet Set</t>
  </si>
  <si>
    <t>Aqua French Bulldog</t>
  </si>
  <si>
    <t>PF002289</t>
  </si>
  <si>
    <t>9/29/2017</t>
  </si>
  <si>
    <t>1/17/2025</t>
  </si>
  <si>
    <t>AMAZON,AMAZONDS,BLK01,CSNSTORES,DESINC,FINGERHUTDS,JCPENNEY01,KOHLDSN,MACY02,NRTPORT,TGTDVS</t>
  </si>
  <si>
    <t>19463070-000-079</t>
  </si>
  <si>
    <t>10/13/2017</t>
  </si>
  <si>
    <t>11/24/2017</t>
  </si>
  <si>
    <t>TN20-0225</t>
  </si>
  <si>
    <t>AMAZON,AMAZONDS,BLK01,CSNSTORES,DESINC,FINGERHUTDS,KOHLDSN,MACY02,NRTPORT,TGTDVS</t>
  </si>
  <si>
    <t>19463070-000-082</t>
  </si>
  <si>
    <t>10/26/2017</t>
  </si>
  <si>
    <t>TN20-0470</t>
  </si>
  <si>
    <t>Blue Cars</t>
  </si>
  <si>
    <t>PP000954;PF005500</t>
  </si>
  <si>
    <t>9/7/2021</t>
  </si>
  <si>
    <t>AMAZON,AMAZONDS,CSNSTORES,FINGERHUTDS,KOHLDSN,MACY02,TGTDVS</t>
  </si>
  <si>
    <t>19463070-000-180</t>
  </si>
  <si>
    <t>9/24/2021</t>
  </si>
  <si>
    <t>11/4/2021</t>
  </si>
  <si>
    <t>TN20-0385</t>
  </si>
  <si>
    <t>Blue Forest</t>
  </si>
  <si>
    <t>PP000954;PF004392</t>
  </si>
  <si>
    <t>8/29/2018</t>
  </si>
  <si>
    <t>AMAZON,AMAZONDS,CSNSTORES,MACY02,TGTDVS,WALMARTDS</t>
  </si>
  <si>
    <t>19463070-000-141</t>
  </si>
  <si>
    <t>10/7/2018</t>
  </si>
  <si>
    <t>11/12/2018</t>
  </si>
  <si>
    <t>TN20-0084</t>
  </si>
  <si>
    <t>Blue Plaid</t>
  </si>
  <si>
    <t>PF002280</t>
  </si>
  <si>
    <t>AMAZON,AMAZONDS,BLK01,CSNSTORES,KOHLDSN,MACY02,OLLIIX,TGTDVS</t>
  </si>
  <si>
    <t>19463070-000-043</t>
  </si>
  <si>
    <t>9/13/2016</t>
  </si>
  <si>
    <t>11/14/2016</t>
  </si>
  <si>
    <t>TN20-0267</t>
  </si>
  <si>
    <t>Blue Polar Bears</t>
  </si>
  <si>
    <t>PF002295</t>
  </si>
  <si>
    <t>AMAZON,AMAZONDS,BLK01,CSNSTORES,FINGERHUTDS,HSNDS,JCPENNEY01,KOHLDSN,MACY02,OLLIIX</t>
  </si>
  <si>
    <t>19463070-000-118</t>
  </si>
  <si>
    <t>11/7/2017</t>
  </si>
  <si>
    <t>TN20-0571</t>
  </si>
  <si>
    <t>Gray Herringbone Check</t>
  </si>
  <si>
    <t>PP000954;PF006338</t>
  </si>
  <si>
    <t>Gingham</t>
  </si>
  <si>
    <t>19463070-000-195</t>
  </si>
  <si>
    <t>9/29/2024</t>
  </si>
  <si>
    <t>TN20-0572</t>
  </si>
  <si>
    <t>9/15/2024</t>
  </si>
  <si>
    <t>19463070-000-194</t>
  </si>
  <si>
    <t>TN20-0573</t>
  </si>
  <si>
    <t>AMAZON,AMAZONDS,CSNSTORES,JCPENNEY01,KOHLDSN,MACY02,OLLIIX,TGTDVS</t>
  </si>
  <si>
    <t>19463070-000-197</t>
  </si>
  <si>
    <t>TN20-0574</t>
  </si>
  <si>
    <t>AMAZON,AMAZONDS,JCPENNEY01,MACY02,NRTPORT,TGTDVS</t>
  </si>
  <si>
    <t>19463070-000-196</t>
  </si>
  <si>
    <t>TN20-0380</t>
  </si>
  <si>
    <t>Grey Dogs</t>
  </si>
  <si>
    <t>PP000954;PF004390</t>
  </si>
  <si>
    <t>AMAZON,AMAZONDS,JCPENNEY01,KOHLDSN,MACY02,NRTPORT,OLLIIX,TGTDVS,WALMARTDS</t>
  </si>
  <si>
    <t>19463070-000-139</t>
  </si>
  <si>
    <t>10/15/2018</t>
  </si>
  <si>
    <t>TN20-0239</t>
  </si>
  <si>
    <t>PF002291</t>
  </si>
  <si>
    <t>9/28/2017</t>
  </si>
  <si>
    <t>AMAZON,AMAZONDS,BLK01,JCPENNEY01,KOHLDSN,MACY02,TGTDVS,WALMARTDS</t>
  </si>
  <si>
    <t>19463070-000-090</t>
  </si>
  <si>
    <t>11/14/2017</t>
  </si>
  <si>
    <t>TN20-0106</t>
  </si>
  <si>
    <t>Grey Solid</t>
  </si>
  <si>
    <t>PF002287</t>
  </si>
  <si>
    <t>AMAZON,AMAZONDS,BLK01,FINGERHUTDS,JCPENNEY01,KOHLDSN,MACY02,TGTDVS,WALMARTDS</t>
  </si>
  <si>
    <t>19463070-000-000</t>
  </si>
  <si>
    <t>TN20-0107</t>
  </si>
  <si>
    <t>AMAZON,BLK01,JCPENNEY01,KOHLDSN,MACY02,TGTDVS,WALMARTDS</t>
  </si>
  <si>
    <t>19463070-000-001</t>
  </si>
  <si>
    <t>1/9/2017</t>
  </si>
  <si>
    <t>TN20-0111</t>
  </si>
  <si>
    <t>Ivory Solid</t>
  </si>
  <si>
    <t>PF002286</t>
  </si>
  <si>
    <t>AMAZON,BLK01,CSNSTORES,FINGERHUTDS,JCPENNEY01,KOHLDSN,MACY02,TGTDVS,WALMARTDS</t>
  </si>
  <si>
    <t>19463070-000-005</t>
  </si>
  <si>
    <t>TN20-0270</t>
  </si>
  <si>
    <t>Multi Forest Animals</t>
  </si>
  <si>
    <t>PF002296</t>
  </si>
  <si>
    <t>AMAZON,AMAZONDS,BLK01,CSNSTORES,FINGERHUTDS,JCPENNEY01,KOHLDSN,MACY02,NRTPORT,OLLIIX,TGTDVS,WALMARTDS</t>
  </si>
  <si>
    <t>19463070-000-121</t>
  </si>
  <si>
    <t>TN20-0251</t>
  </si>
  <si>
    <t>Multi Leaves</t>
  </si>
  <si>
    <t>PF002294</t>
  </si>
  <si>
    <t>AMAZON,AMAZONDS,BLK01,CSNSTORES,JCPENNEY01,KOHLDSN,MACY02,OLLIIX,WALMARTDS</t>
  </si>
  <si>
    <t>19463070-000-108</t>
  </si>
  <si>
    <t>TN20-0375</t>
  </si>
  <si>
    <t>Multi Sloth</t>
  </si>
  <si>
    <t>PP000954;PF004391</t>
  </si>
  <si>
    <t>8/7/2018</t>
  </si>
  <si>
    <t>AMAZON,AMAZONDS,BLK01,FINGERHUTDS,JCPENNEY01,KOHLDSN,MACY02,NRTPORT,TGTDVS,WALMARTDS</t>
  </si>
  <si>
    <t>19463070-000-135</t>
  </si>
  <si>
    <t>9/26/2018</t>
  </si>
  <si>
    <t>TN20-0231</t>
  </si>
  <si>
    <t>Pink French Bulldog</t>
  </si>
  <si>
    <t>PF002290</t>
  </si>
  <si>
    <t>AMAZON,AMAZONDS,BLK01,JCPENNEY01,KOHLDSN,MACY02,OLLIIX,TGTDVS</t>
  </si>
  <si>
    <t>19463070-000-088</t>
  </si>
  <si>
    <t>10/28/2017</t>
  </si>
  <si>
    <t>TN20-0277</t>
  </si>
  <si>
    <t>Pink Plaid</t>
  </si>
  <si>
    <t>PF002297</t>
  </si>
  <si>
    <t>AMAZON,AMAZONDS,BLK01,FINGERHUTDS,HOUZZ,JCPENNEY01,KOHLDSN,MACY02,NRTPORT,TGTDVS,WALMARTDS</t>
  </si>
  <si>
    <t>19463070-000-128</t>
  </si>
  <si>
    <t>TN20-0278</t>
  </si>
  <si>
    <t>19463070-000-129</t>
  </si>
  <si>
    <t>10/27/2017</t>
  </si>
  <si>
    <t>TN20-0279</t>
  </si>
  <si>
    <t>AMAZON,BLK01,FINGERHUTDS,JCPENNEY01,KOHLDSN,MACY02,TGTDVS</t>
  </si>
  <si>
    <t>19463070-000-130</t>
  </si>
  <si>
    <t>5/1/2018</t>
  </si>
  <si>
    <t>TN20-0066</t>
  </si>
  <si>
    <t>Pink/Grey Snowflakes</t>
  </si>
  <si>
    <t>A+</t>
  </si>
  <si>
    <t>PF002277</t>
  </si>
  <si>
    <t>9/8/2017</t>
  </si>
  <si>
    <t>AMAZON,AMAZONDS,BLK01,CSNSTORES,FINGERHUTDS,JCPENNEY01,KOHLDSN,MACY02,TGTDVS,WALMARTDS</t>
  </si>
  <si>
    <t>19463070-000-025</t>
  </si>
  <si>
    <t>11/8/2016</t>
  </si>
  <si>
    <t>TN20-0069</t>
  </si>
  <si>
    <t>6/30/2017</t>
  </si>
  <si>
    <t>AMAZON,AMAZONDS,BLK01,CSNSTORES,KOHLDSN,MACY02,TGTDVS,WALMARTDS</t>
  </si>
  <si>
    <t>19463070-000-028</t>
  </si>
  <si>
    <t>10/19/2016</t>
  </si>
  <si>
    <t>TN20-0080</t>
  </si>
  <si>
    <t>PF002279</t>
  </si>
  <si>
    <t>AMAZON,AMAZONDS,BLK01,CSNSTORES,JCPENNEY01,KOHLDSN,MACY02,OLLIIX,TGTDVS,WALMARTDS</t>
  </si>
  <si>
    <t>19463070-000-039</t>
  </si>
  <si>
    <t>TN20-0424</t>
  </si>
  <si>
    <t>Reindeer</t>
  </si>
  <si>
    <t>PP000954;PF004716</t>
  </si>
  <si>
    <t>7/25/2019</t>
  </si>
  <si>
    <t>AMAZON,BLK01,DESINC,FINGERHUTDS,MACY02,WALMARTDS</t>
  </si>
  <si>
    <t>19463070-000-172</t>
  </si>
  <si>
    <t>7/30/2019</t>
  </si>
  <si>
    <t>9/27/2019</t>
  </si>
  <si>
    <t>TN20-0120</t>
  </si>
  <si>
    <t>Tan Solid</t>
  </si>
  <si>
    <t>PF002285</t>
  </si>
  <si>
    <t>AMAZON,AMAZONDS,BLK01,JCPENNEY01,KOHLDSN,MACY02,NRTPORT,TGTDVS,WALMARTDS</t>
  </si>
  <si>
    <t>19463070-000-014</t>
  </si>
  <si>
    <t>11/21/2016</t>
  </si>
  <si>
    <t>TN20-0557</t>
  </si>
  <si>
    <t>Tan Woodland Winter</t>
  </si>
  <si>
    <t>PP000954;PF006336</t>
  </si>
  <si>
    <t>AMAZON,AMAZONDS,BLK01,CSNSTORES,HDDS,JCPENNEY01,KOHLDSN,MACY02,NRTPORT,TGTDVS</t>
  </si>
  <si>
    <t>19463070-000-199</t>
  </si>
  <si>
    <t>TN20-0559</t>
  </si>
  <si>
    <t>9/19/2024</t>
  </si>
  <si>
    <t>AMAZON,AMAZONDS,JCPENNEY01,KOHLDSN,MACY02,NRTPORT,OLLIIX,TGTDVS</t>
  </si>
  <si>
    <t>19463070-000-200</t>
  </si>
  <si>
    <t>TN20-0560</t>
  </si>
  <si>
    <t>AMAZON,AMAZONDS,CSNSTORES,JCPENNEY01,KOHLDSN,MACY02,NRTPORT,TGTDVS</t>
  </si>
  <si>
    <t>19463070-000-202</t>
  </si>
  <si>
    <t>TN20-0561</t>
  </si>
  <si>
    <t>19463070-000-201</t>
  </si>
  <si>
    <t>TN20-0564</t>
  </si>
  <si>
    <t>White Village Print</t>
  </si>
  <si>
    <t>PP000954;PF006337</t>
  </si>
  <si>
    <t>19463070-000-206</t>
  </si>
  <si>
    <t>TN20-0568</t>
  </si>
  <si>
    <t>19463070-000-210</t>
  </si>
  <si>
    <t>ID20-1536</t>
  </si>
  <si>
    <t>Cozy Soft</t>
  </si>
  <si>
    <t>Cotton Flannel Printed Sheet Set</t>
  </si>
  <si>
    <t>Blue Stars</t>
  </si>
  <si>
    <t>PP000944;PF004352</t>
  </si>
  <si>
    <t>6/21/2018</t>
  </si>
  <si>
    <t>AMAZON,BLK01,JCPENNEY01,KOHLDSN,MACY02,OLLIIX,TGTDVS</t>
  </si>
  <si>
    <t>27441193-000-008</t>
  </si>
  <si>
    <t>5/28/2018</t>
  </si>
  <si>
    <t>7/16/2018</t>
  </si>
  <si>
    <t>ID20-1559</t>
  </si>
  <si>
    <t>Grey/Pink Dots</t>
  </si>
  <si>
    <t>PP000944;PF004357</t>
  </si>
  <si>
    <t>27441193-000-020</t>
  </si>
  <si>
    <t>9/4/2018</t>
  </si>
  <si>
    <t>ID20-1750</t>
  </si>
  <si>
    <t>Pink/Grey Hedgehogs</t>
  </si>
  <si>
    <t>PP000944;PF004717</t>
  </si>
  <si>
    <t>AMAZONDS,BLK01,CSNSTORES,JCPENNEY01,KOHLDSN,MACY02,TGTDVS,WALMARTDS</t>
  </si>
  <si>
    <t>27441193-000-030</t>
  </si>
  <si>
    <t>11/23/2020</t>
  </si>
  <si>
    <t>ID20-1751</t>
  </si>
  <si>
    <t>AMAZON,CSNSTORES,FINGERHUTDS,JCPENNEY01,KOHLDSN,MACY02,TGTDVS</t>
  </si>
  <si>
    <t>27441193-000-031</t>
  </si>
  <si>
    <t>11/30/2019</t>
  </si>
  <si>
    <t>ID20-2449</t>
  </si>
  <si>
    <t>White Holiday Trees</t>
  </si>
  <si>
    <t>PP000944;PF006314</t>
  </si>
  <si>
    <t>AMAZON,AMAZONDS,CSNSTORES,JCPENNEY01,KOHLDSN,MACY02,TGTDVS</t>
  </si>
  <si>
    <t>27441193-000-054</t>
  </si>
  <si>
    <t>8/28/2024</t>
  </si>
  <si>
    <t>IIF18-0054</t>
  </si>
  <si>
    <t>Crackle</t>
  </si>
  <si>
    <t>PF000207;PP000022</t>
  </si>
  <si>
    <t>CSNSTORES,HDDS,LAMPDS,MACY02F,OLLIIX,TGTDVS</t>
  </si>
  <si>
    <t>19586467-000-000</t>
  </si>
  <si>
    <t>9/21/2016</t>
  </si>
  <si>
    <t>5DS153-0045</t>
  </si>
  <si>
    <t>Crewe</t>
  </si>
  <si>
    <t>Textured Resin Table Lamp</t>
  </si>
  <si>
    <t>12/21/2022</t>
  </si>
  <si>
    <t>40917635-000-000</t>
  </si>
  <si>
    <t>12/28/2022</t>
  </si>
  <si>
    <t>2/6/2023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</si>
  <si>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</si>
  <si>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</si>
  <si>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</si>
  <si>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</si>
  <si>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</si>
  <si>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</si>
  <si>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</si>
  <si>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ASHFURNDS,CSNSTORES,HDDS,HOUZZ,MACY02F,OLLIIX</t>
  </si>
  <si>
    <t>21706935-000-000</t>
  </si>
  <si>
    <t>4/17/2017</t>
  </si>
  <si>
    <t>FB150-1191</t>
  </si>
  <si>
    <t>Curiana</t>
  </si>
  <si>
    <t>5-light Linear Chandelier with Textured Glass Shades</t>
  </si>
  <si>
    <t>9/26/2024</t>
  </si>
  <si>
    <t>44996241-000-000</t>
  </si>
  <si>
    <t>II150-0011</t>
  </si>
  <si>
    <t>Cyrus</t>
  </si>
  <si>
    <t>6-Globe Light Architectural Metal Chandelier</t>
  </si>
  <si>
    <t>PF002787</t>
  </si>
  <si>
    <t>19346819-000-000</t>
  </si>
  <si>
    <t>9/6/2016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</si>
  <si>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</si>
  <si>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</si>
  <si>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</si>
  <si>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</si>
  <si>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</si>
  <si>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</si>
  <si>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</si>
  <si>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Textured Fabric</t>
  </si>
  <si>
    <t>CSNSTORES,JCPENNEY01,KOHLDSN,MACY02,OLLIIX</t>
  </si>
  <si>
    <t>43333359-000-001</t>
  </si>
  <si>
    <t>1/1/2024</t>
  </si>
  <si>
    <t>2/9/2024</t>
  </si>
  <si>
    <t>MP10-8356</t>
  </si>
  <si>
    <t>AMAZON,BLK01,CSNSTORES,DESINC,JCPENNEY01,KOHLDSN,MACY02</t>
  </si>
  <si>
    <t>43333359-000-000</t>
  </si>
  <si>
    <t>MP35-7070</t>
  </si>
  <si>
    <t>Dakota</t>
  </si>
  <si>
    <t>Hanford</t>
  </si>
  <si>
    <t>Tiled Border Area Rug</t>
  </si>
  <si>
    <t>Beige/Cream</t>
  </si>
  <si>
    <t>12/13/2019</t>
  </si>
  <si>
    <t>CSNSTORES,JCPENNEY01,NRTPORT</t>
  </si>
  <si>
    <t>35376031-000-000</t>
  </si>
  <si>
    <t>MP35-7556</t>
  </si>
  <si>
    <t>35376031-000-002</t>
  </si>
  <si>
    <t>12/6/2022</t>
  </si>
  <si>
    <t>MP35-7071</t>
  </si>
  <si>
    <t>AMAZON,BLK01,CSNSTORES,HDDS,JCPENNEY01,OLLIIX</t>
  </si>
  <si>
    <t>35376031-000-001</t>
  </si>
  <si>
    <t>7/28/2020</t>
  </si>
  <si>
    <t>MP35-7558</t>
  </si>
  <si>
    <t>Blue/Cream</t>
  </si>
  <si>
    <t>KIRKLANDDS</t>
  </si>
  <si>
    <t>35376031-000-005</t>
  </si>
  <si>
    <t>MP35-7559</t>
  </si>
  <si>
    <t>35376031-000-007</t>
  </si>
  <si>
    <t>11/15/2022</t>
  </si>
  <si>
    <t>MP95B-0231</t>
  </si>
  <si>
    <t>Damask Wood Panel</t>
  </si>
  <si>
    <t>Two-tone Geometric Wall Decor</t>
  </si>
  <si>
    <t>Wood</t>
  </si>
  <si>
    <t>PP001412;PF004958</t>
  </si>
  <si>
    <t>Global</t>
  </si>
  <si>
    <t>10/2/2019</t>
  </si>
  <si>
    <t>AMAZON,AMAZONDS,CSNSTORES,HOUZZ,JCPENNEY01,KIRKLANDDS,KOHLDSN,MACY02,OLLIIX,TGTDVS</t>
  </si>
  <si>
    <t>35137208-000-000</t>
  </si>
  <si>
    <t>12/17/2019</t>
  </si>
  <si>
    <t>5DS100-0040</t>
  </si>
  <si>
    <t>Dani</t>
  </si>
  <si>
    <t>Tufted back Accent Chair</t>
  </si>
  <si>
    <t>41846672-000-004</t>
  </si>
  <si>
    <t>5DS100-0039</t>
  </si>
  <si>
    <t>Denim Blue</t>
  </si>
  <si>
    <t>41846672-000-003</t>
  </si>
  <si>
    <t>5DS100-0038</t>
  </si>
  <si>
    <t>Grey 2</t>
  </si>
  <si>
    <t>2/24/2024</t>
  </si>
  <si>
    <t>41846672-000-002</t>
  </si>
  <si>
    <t>MP131-1179</t>
  </si>
  <si>
    <t>BOOKCASE/SHELF</t>
  </si>
  <si>
    <t>Shelving</t>
  </si>
  <si>
    <t>Darley</t>
  </si>
  <si>
    <t>Pagosa</t>
  </si>
  <si>
    <t>Callan</t>
  </si>
  <si>
    <t>3-Shelf Bookcase with Storage Cabinet</t>
  </si>
  <si>
    <t>7/21/2022</t>
  </si>
  <si>
    <t>40185271-000-000</t>
  </si>
  <si>
    <t>7/25/2022</t>
  </si>
  <si>
    <t>1/19/2024</t>
  </si>
  <si>
    <t>GP35-0006</t>
  </si>
  <si>
    <t>Darya</t>
  </si>
  <si>
    <t>Maya</t>
  </si>
  <si>
    <t>Siesta</t>
  </si>
  <si>
    <t>Moroccan Indoor/Outdoor Rug</t>
  </si>
  <si>
    <t>3x7' Runner</t>
  </si>
  <si>
    <t>Grey/White</t>
  </si>
  <si>
    <t>2/21/2020</t>
  </si>
  <si>
    <t>AMAZON,DESINC,JCPENNEY01,OLLIIX</t>
  </si>
  <si>
    <t>35974172-000-001</t>
  </si>
  <si>
    <t>GP35-0005</t>
  </si>
  <si>
    <t>JCPENNEY01,OLLIIX</t>
  </si>
  <si>
    <t>35974172-000-000</t>
  </si>
  <si>
    <t>MP12-390</t>
  </si>
  <si>
    <t>Dawn</t>
  </si>
  <si>
    <t>Vanessa</t>
  </si>
  <si>
    <t>Stella</t>
  </si>
  <si>
    <t>9 Piece Cotton Percale Duvet Cover Set</t>
  </si>
  <si>
    <t>PF003403;PP000407</t>
  </si>
  <si>
    <t>Percale</t>
  </si>
  <si>
    <t>Shabby Chic|Transitional</t>
  </si>
  <si>
    <t>AMAZON,BLK01,CSNSTORES,JCPENNEY01,KOHLDSN,MACY02,OLLIIX,ROOMECOM,TGTDVS</t>
  </si>
  <si>
    <t>15685750-000-001</t>
  </si>
  <si>
    <t>MP12-391</t>
  </si>
  <si>
    <t>15685750-000-002</t>
  </si>
  <si>
    <t>MP13-8601</t>
  </si>
  <si>
    <t>6 Piece Cotton Percale Quilt Set with Throw Pillows</t>
  </si>
  <si>
    <t>Sage Green</t>
  </si>
  <si>
    <t>PP000407</t>
  </si>
  <si>
    <t>MP10-8598</t>
  </si>
  <si>
    <t>9 Piece Cotton Percale Comforter Set</t>
  </si>
  <si>
    <t>MP10-8599</t>
  </si>
  <si>
    <t>MP13-8602</t>
  </si>
  <si>
    <t>MP10-8600</t>
  </si>
  <si>
    <t>MP103-0243</t>
  </si>
  <si>
    <t>Deanna</t>
  </si>
  <si>
    <t>Morton</t>
  </si>
  <si>
    <t>Sparta</t>
  </si>
  <si>
    <t>Upholstered Swivel Accent Chair</t>
  </si>
  <si>
    <t>PF001103</t>
  </si>
  <si>
    <t>ASHFURNDS,CSNSTORES,HDDS,KIRKLANDDS,KOHLDSN,MACY02F,OLLIIX</t>
  </si>
  <si>
    <t>22701263-000-000</t>
  </si>
  <si>
    <t>MP103-0480</t>
  </si>
  <si>
    <t>24752656-000-000</t>
  </si>
  <si>
    <t>11/15/2017</t>
  </si>
  <si>
    <t>1/2/2018</t>
  </si>
  <si>
    <t>MT100-0174</t>
  </si>
  <si>
    <t>Decker</t>
  </si>
  <si>
    <t>Accent Armchair Set of 2</t>
  </si>
  <si>
    <t>PP001268</t>
  </si>
  <si>
    <t>33732336-000-002</t>
  </si>
  <si>
    <t>FPF18-0256</t>
  </si>
  <si>
    <t>Della</t>
  </si>
  <si>
    <t>Lucas</t>
  </si>
  <si>
    <t>Isaac</t>
  </si>
  <si>
    <t>Soft Close Storage Ottoman</t>
  </si>
  <si>
    <t>PF000680;PP000088</t>
  </si>
  <si>
    <t>AMERSIGNDS,CSNSTORES,HDDS,KIRKLANDDS,KOHLDSN,MACY02F,OLLIIX,ROOMECOM</t>
  </si>
  <si>
    <t>17161691-000-001</t>
  </si>
  <si>
    <t>3/23/2015</t>
  </si>
  <si>
    <t>II95C-0157</t>
  </si>
  <si>
    <t>Derby</t>
  </si>
  <si>
    <t>Hand Embellished Horse Framed Canvas Wall Art</t>
  </si>
  <si>
    <t>DESINC,KIRKLANDDS,MACY02,OLLIIX</t>
  </si>
  <si>
    <t>42721567-000-000</t>
  </si>
  <si>
    <t>1/15/2024</t>
  </si>
  <si>
    <t>5DS150-0044</t>
  </si>
  <si>
    <t>Devon</t>
  </si>
  <si>
    <t>6-Light Chandelier with Bowl Shaped Glass Shades</t>
  </si>
  <si>
    <t>KIRKLANDDS,OLLIIX</t>
  </si>
  <si>
    <t>40565434-000-000</t>
  </si>
  <si>
    <t>10/6/2022</t>
  </si>
  <si>
    <t>MP95C-0216</t>
  </si>
  <si>
    <t>Dewy Forest</t>
  </si>
  <si>
    <t>Gold Foil Abstract 3-piece Canvas Wall Art Set</t>
  </si>
  <si>
    <t>PP001323;PF004768</t>
  </si>
  <si>
    <t>AMAZON,BLK01,CSNSTORES,KIRKLANDDS,KOHLDSN,OLLIIX</t>
  </si>
  <si>
    <t>33781534-000-000</t>
  </si>
  <si>
    <t>7/15/2019</t>
  </si>
  <si>
    <t>8/5/2019</t>
  </si>
  <si>
    <t>MP100-1228</t>
  </si>
  <si>
    <t>Donohue</t>
  </si>
  <si>
    <t>Sunnee</t>
  </si>
  <si>
    <t>Lyla</t>
  </si>
  <si>
    <t>Accent chair Set of 2</t>
  </si>
  <si>
    <t>1/21/2025</t>
  </si>
  <si>
    <t>44062242-000-000</t>
  </si>
  <si>
    <t>ID12-1593</t>
  </si>
  <si>
    <t>Dorsey</t>
  </si>
  <si>
    <t>Renee</t>
  </si>
  <si>
    <t>Floral Print Duvet Cover Set</t>
  </si>
  <si>
    <t>Black/White</t>
  </si>
  <si>
    <t>PF004478;PP001844</t>
  </si>
  <si>
    <t>10/16/2018</t>
  </si>
  <si>
    <t>AMAZON,CSNSTORES,JCPENNEY01</t>
  </si>
  <si>
    <t>29530407-000-001</t>
  </si>
  <si>
    <t>10/17/2018</t>
  </si>
  <si>
    <t>MT153-0068</t>
  </si>
  <si>
    <t>Doyer</t>
  </si>
  <si>
    <t>Metal Table Lamp</t>
  </si>
  <si>
    <t>Gold/White</t>
  </si>
  <si>
    <t>HOUZZ,OLLIIX</t>
  </si>
  <si>
    <t>40807345-000-000</t>
  </si>
  <si>
    <t>3/19/2023</t>
  </si>
  <si>
    <t>ID10-2313</t>
  </si>
  <si>
    <t>Dream Puff</t>
  </si>
  <si>
    <t>Down Alternative Comforter Set</t>
  </si>
  <si>
    <t>PP001937;PF006180</t>
  </si>
  <si>
    <t>44054527-000-010</t>
  </si>
  <si>
    <t>5/29/2024</t>
  </si>
  <si>
    <t>ID10-2309</t>
  </si>
  <si>
    <t>Rose</t>
  </si>
  <si>
    <t>PP001937;PF006178</t>
  </si>
  <si>
    <t>44054527-000-008</t>
  </si>
  <si>
    <t>ID10-2304</t>
  </si>
  <si>
    <t>PP001937;PF006177</t>
  </si>
  <si>
    <t>44054527-000-004</t>
  </si>
  <si>
    <t>ID10-2305</t>
  </si>
  <si>
    <t>4/30/2024</t>
  </si>
  <si>
    <t>44054527-000-009</t>
  </si>
  <si>
    <t>ID10-2306</t>
  </si>
  <si>
    <t>BLK01,KOHLDSN,MACY02</t>
  </si>
  <si>
    <t>44054527-000-003</t>
  </si>
  <si>
    <t>ID16-2316</t>
  </si>
  <si>
    <t>Overfilled Down Alternative Mattress Pad</t>
  </si>
  <si>
    <t>PP001938;PF006181</t>
  </si>
  <si>
    <t>43823219-000-001</t>
  </si>
  <si>
    <t>ID16-2317</t>
  </si>
  <si>
    <t>43823219-000-002</t>
  </si>
  <si>
    <t>ID16-2318</t>
  </si>
  <si>
    <t>43823219-000-000</t>
  </si>
  <si>
    <t>BR51-4440</t>
  </si>
  <si>
    <t>Dream Soft</t>
  </si>
  <si>
    <t>PP001948;PF006208</t>
  </si>
  <si>
    <t>43727975-000-008</t>
  </si>
  <si>
    <t>BR51-4441</t>
  </si>
  <si>
    <t>AMAZON,BLOOM02,JCPENNEY01,KOHLDSN,MACY02</t>
  </si>
  <si>
    <t>43727975-000-004</t>
  </si>
  <si>
    <t>5/22/2024</t>
  </si>
  <si>
    <t>BR51-4442</t>
  </si>
  <si>
    <t>43727975-000-011</t>
  </si>
  <si>
    <t>BR51-4446</t>
  </si>
  <si>
    <t>Navy Blue</t>
  </si>
  <si>
    <t>PP001948;PF006210</t>
  </si>
  <si>
    <t>43727975-000-007</t>
  </si>
  <si>
    <t>BR51-4447</t>
  </si>
  <si>
    <t>AMAZON,BLOOM02,JCPENNEY01,KOHLDSN,MACY02,OLLIIX,TGTDVS</t>
  </si>
  <si>
    <t>43727975-000-005</t>
  </si>
  <si>
    <t>BR51-4448</t>
  </si>
  <si>
    <t>AMAZON,BLOOM02,JCPENNEY01,KOHLDSN,MACY02,TGTDVS</t>
  </si>
  <si>
    <t>43727975-000-000</t>
  </si>
  <si>
    <t>BR51-4443</t>
  </si>
  <si>
    <t>PP001948;PF006209</t>
  </si>
  <si>
    <t>43727975-000-001</t>
  </si>
  <si>
    <t>BR51-4444</t>
  </si>
  <si>
    <t>AMAZON,BLOOM02,CSNSTORES,DESINC,JCPENNEY01,KOHLDSN,MACY02,TGTDVS</t>
  </si>
  <si>
    <t>43727975-000-006</t>
  </si>
  <si>
    <t>BR51-4437</t>
  </si>
  <si>
    <t>PP001948;PF006207</t>
  </si>
  <si>
    <t>43727975-000-009</t>
  </si>
  <si>
    <t>BR51-4438</t>
  </si>
  <si>
    <t>43727975-000-003</t>
  </si>
  <si>
    <t>10/14/2024</t>
  </si>
  <si>
    <t>BR51-4439</t>
  </si>
  <si>
    <t>43727975-000-002</t>
  </si>
  <si>
    <t>ST54-3579</t>
  </si>
  <si>
    <t>Dream Soft Heated</t>
  </si>
  <si>
    <t>PP001983;PF006359</t>
  </si>
  <si>
    <t>10/16/2024</t>
  </si>
  <si>
    <t>44996970-000-008</t>
  </si>
  <si>
    <t>ST54-3580</t>
  </si>
  <si>
    <t>44996970-000-012</t>
  </si>
  <si>
    <t>ST54-3575</t>
  </si>
  <si>
    <t>PP001983;PF006358</t>
  </si>
  <si>
    <t>44996970-000-018</t>
  </si>
  <si>
    <t>10/18/2024</t>
  </si>
  <si>
    <t>ST54-3576</t>
  </si>
  <si>
    <t>BLK01,DESINC,KOHLDSN,MACY02,TGTDVS</t>
  </si>
  <si>
    <t>44996970-000-015</t>
  </si>
  <si>
    <t>ST54-3577</t>
  </si>
  <si>
    <t>44996970-000-011</t>
  </si>
  <si>
    <t>ST54-3578</t>
  </si>
  <si>
    <t>44996970-000-019</t>
  </si>
  <si>
    <t>ST54-3588</t>
  </si>
  <si>
    <t>PP001983;PF006361</t>
  </si>
  <si>
    <t>44996970-000-009</t>
  </si>
  <si>
    <t>MP10-8160</t>
  </si>
  <si>
    <t>Hendry</t>
  </si>
  <si>
    <t>Knox</t>
  </si>
  <si>
    <t>5 Piece Clipped Jacquard Comforter Set with Throw Pillows</t>
  </si>
  <si>
    <t>PP001839;PF005895</t>
  </si>
  <si>
    <t>4/6/2023</t>
  </si>
  <si>
    <t>CSNSTORES,JCPENNEY01,KIRKLANDDS,KOHLDSN,MACY02,TGTDVS</t>
  </si>
  <si>
    <t>41353062-000-001</t>
  </si>
  <si>
    <t>MP30-2997</t>
  </si>
  <si>
    <t>Duke</t>
  </si>
  <si>
    <t>York</t>
  </si>
  <si>
    <t>Faux Fur Square Pillow</t>
  </si>
  <si>
    <t>PF003536;PP000412</t>
  </si>
  <si>
    <t>ASHFURNDS,BLK01,FINGERHUTDS,HDDS,JCPENNEY01,KOHLDSN,MACY02,TGTDVS,WALMARTDS</t>
  </si>
  <si>
    <t>18986986-000-000</t>
  </si>
  <si>
    <t>7/11/2016</t>
  </si>
  <si>
    <t>MP50-453</t>
  </si>
  <si>
    <t>Long Fur Throw</t>
  </si>
  <si>
    <t>AMAZON,AMAZONDS,BEALLSDS,BLK01,CSNSTORES,DESINC,FINGERHUTDS,JCPENNEY01,KOHLDSN,MACY02,NRTPORT,OLLIIX,TGTDVS</t>
  </si>
  <si>
    <t>15574045-000-000</t>
  </si>
  <si>
    <t>MP30-5785</t>
  </si>
  <si>
    <t>PP000412;PF004332</t>
  </si>
  <si>
    <t>5/8/2018</t>
  </si>
  <si>
    <t>CSNSTORES,JCPENNEY01,KOHLDSN,MACY02,OLLIIX,TGTDVS</t>
  </si>
  <si>
    <t>18986986-000-005</t>
  </si>
  <si>
    <t>6/6/2018</t>
  </si>
  <si>
    <t>6/15/2018</t>
  </si>
  <si>
    <t>MP50-5784</t>
  </si>
  <si>
    <t>1/2/2025</t>
  </si>
  <si>
    <t>AMAZON,AMAZONDS,BLK01,CSNSTORES,DESINC,FINGERHUTDS,HSNDS,JCPENNEY01,KOHLDSN,MACY02,OLLIIX,TGTDVS</t>
  </si>
  <si>
    <t>15574045-000-005</t>
  </si>
  <si>
    <t>6/8/2018</t>
  </si>
  <si>
    <t>6/20/2018</t>
  </si>
  <si>
    <t>MP30-3000</t>
  </si>
  <si>
    <t>PF003567;PP000412</t>
  </si>
  <si>
    <t>CSNSTORES,FINGERHUTDS,HDDS,JCPENNEY01,KOHLDSN,MACY02,OLLIIX,TGTDVS</t>
  </si>
  <si>
    <t>18986986-000-003</t>
  </si>
  <si>
    <t>9/12/2016</t>
  </si>
  <si>
    <t>MP50-1593</t>
  </si>
  <si>
    <t>AMAZON,AMAZONDS,BLK01,CSNSTORES,DESINC,FINGERHUTDS,JCPENNEY01,KOHLDSN,MACY02,OLLIIX,TGTDVS</t>
  </si>
  <si>
    <t>15574045-000-003</t>
  </si>
  <si>
    <t>1/18/2016</t>
  </si>
  <si>
    <t>MP50-454</t>
  </si>
  <si>
    <t>PF003547;PP000412</t>
  </si>
  <si>
    <t>AMAZONDS,ASHFURNDS,BLK01,CSNSTORES,DESINC,FINGERHUTDS,JCPENNEY01,KOHLDSN,MACY02,OLLIIX,TGTDVS</t>
  </si>
  <si>
    <t>15574045-000-001</t>
  </si>
  <si>
    <t>5/18/2015</t>
  </si>
  <si>
    <t>UH13-2523</t>
  </si>
  <si>
    <t>Dune</t>
  </si>
  <si>
    <t>Toren</t>
  </si>
  <si>
    <t>Ryland</t>
  </si>
  <si>
    <t>Poly Gauze Quilt Set</t>
  </si>
  <si>
    <t>PP001940;PF006185</t>
  </si>
  <si>
    <t>43786359-000-001</t>
  </si>
  <si>
    <t>SYNC66-0023</t>
  </si>
  <si>
    <t>Durable</t>
  </si>
  <si>
    <t>Dog Seatbelt for Carseat Adjustable Black Nylon 2-Pack Set</t>
  </si>
  <si>
    <t>16"-27"</t>
  </si>
  <si>
    <t>11/30/2016</t>
  </si>
  <si>
    <t>43976042-000-000</t>
  </si>
  <si>
    <t>MP40-7805</t>
  </si>
  <si>
    <t>Eastfield</t>
  </si>
  <si>
    <t>Lyndon</t>
  </si>
  <si>
    <t>Wren</t>
  </si>
  <si>
    <t>29x64"</t>
  </si>
  <si>
    <t>Grey Ash</t>
  </si>
  <si>
    <t>PP001722;PF005637</t>
  </si>
  <si>
    <t>AMAZONDS,CSNSTORES,DESINC,KOHLDSN</t>
  </si>
  <si>
    <t>39828324-000-001</t>
  </si>
  <si>
    <t>4/11/2022</t>
  </si>
  <si>
    <t>11/9/2022</t>
  </si>
  <si>
    <t>MP40-7800</t>
  </si>
  <si>
    <t>Natural Ash</t>
  </si>
  <si>
    <t>PP001722;PF005636</t>
  </si>
  <si>
    <t>AMAZONDS,CSNSTORES,HDDS,JCPENNEY01,KIRKLANDDS,KOHLDSN,OLLIIX</t>
  </si>
  <si>
    <t>39828324-000-014</t>
  </si>
  <si>
    <t>10/3/2022</t>
  </si>
  <si>
    <t>MP40-7801</t>
  </si>
  <si>
    <t>AMAZONDS,CSNSTORES,HDDS,KOHLDSN,NRTPORT,OLLIIX</t>
  </si>
  <si>
    <t>39828324-000-008</t>
  </si>
  <si>
    <t>MP40-7802</t>
  </si>
  <si>
    <t>AMAZONDS,CSNSTORES,HDDS,JCPENNEY01,KOHLDSN,NEBFUR01,NRTPORT,OLLIIX</t>
  </si>
  <si>
    <t>39828324-000-013</t>
  </si>
  <si>
    <t>II40-1329</t>
  </si>
  <si>
    <t>Ebby</t>
  </si>
  <si>
    <t>Alaia</t>
  </si>
  <si>
    <t>2pk Poly Printed Curtain Panel with Tufted Stripe</t>
  </si>
  <si>
    <t>White/Taupe</t>
  </si>
  <si>
    <t>PP001971;PF006280</t>
  </si>
  <si>
    <t>6/11/2024</t>
  </si>
  <si>
    <t>44334703-000-001</t>
  </si>
  <si>
    <t>ID31-1933</t>
  </si>
  <si>
    <t>Edelia</t>
  </si>
  <si>
    <t>Arwen</t>
  </si>
  <si>
    <t>Alder</t>
  </si>
  <si>
    <t>Poly Chenille Lounge Floor Pillow Cushion</t>
  </si>
  <si>
    <t>27" x 74"</t>
  </si>
  <si>
    <t>PF004188;PP000937</t>
  </si>
  <si>
    <t>7/2/2020</t>
  </si>
  <si>
    <t>AMAZON,AMAZONDS,ASHFURNDS,BLK01,CSNSTORES,KOHLDSN,MACY02,OLLIIX,TGTDVS</t>
  </si>
  <si>
    <t>27248389-000-003</t>
  </si>
  <si>
    <t>7/6/2020</t>
  </si>
  <si>
    <t>MP40-3781</t>
  </si>
  <si>
    <t>Eden</t>
  </si>
  <si>
    <t>Laya</t>
  </si>
  <si>
    <t>Zoe</t>
  </si>
  <si>
    <t>Fretwork Burnout Sheer Curtain Panel</t>
  </si>
  <si>
    <t>PF003819</t>
  </si>
  <si>
    <t>AMAZON,CSNSTORES,JCPENNEY01,KOHLDSN</t>
  </si>
  <si>
    <t>20741027-000-008</t>
  </si>
  <si>
    <t>1/19/2017</t>
  </si>
  <si>
    <t>4/5/2017</t>
  </si>
  <si>
    <t>MP40-3776</t>
  </si>
  <si>
    <t>50x63"</t>
  </si>
  <si>
    <t>PF003820</t>
  </si>
  <si>
    <t>BEALLSDS,CSNSTORES,JCPENNEY01,KOHLDSN,WALMARTDS</t>
  </si>
  <si>
    <t>20741027-000-003</t>
  </si>
  <si>
    <t>3/10/2017</t>
  </si>
  <si>
    <t>ID10-2104</t>
  </si>
  <si>
    <t>Effie AZ</t>
  </si>
  <si>
    <t>Shaggy Fur Reversible Comforter Set</t>
  </si>
  <si>
    <t>2/17/2022</t>
  </si>
  <si>
    <t>DESINC</t>
  </si>
  <si>
    <t>43944077-000-005</t>
  </si>
  <si>
    <t>ID10-2100</t>
  </si>
  <si>
    <t>DESINC,NRTPORT</t>
  </si>
  <si>
    <t>43944077-000-007</t>
  </si>
  <si>
    <t>7/22/2024</t>
  </si>
  <si>
    <t>ID10-2101</t>
  </si>
  <si>
    <t>AMAZONDS,DESINC,NRTPORT</t>
  </si>
  <si>
    <t>43944077-000-008</t>
  </si>
  <si>
    <t>7/1/2024</t>
  </si>
  <si>
    <t>ID10-2197</t>
  </si>
  <si>
    <t>12/1/2022</t>
  </si>
  <si>
    <t>43944077-000-002</t>
  </si>
  <si>
    <t>10/11/2024</t>
  </si>
  <si>
    <t>ID10-2198</t>
  </si>
  <si>
    <t>43944077-000-001</t>
  </si>
  <si>
    <t>9/23/2024</t>
  </si>
  <si>
    <t>MT150-0080</t>
  </si>
  <si>
    <t>Elegenza</t>
  </si>
  <si>
    <t>6-light Chandelier with Fabric Drum Shades</t>
  </si>
  <si>
    <t>Antique Gold</t>
  </si>
  <si>
    <t>45480285-000-000</t>
  </si>
  <si>
    <t>MT150-0079</t>
  </si>
  <si>
    <t>Chrome</t>
  </si>
  <si>
    <t>45480285-000-001</t>
  </si>
  <si>
    <t>MP41-4955</t>
  </si>
  <si>
    <t>Elena</t>
  </si>
  <si>
    <t>Juline</t>
  </si>
  <si>
    <t>Gail</t>
  </si>
  <si>
    <t>Faux Silk Waterfall Embellished Valance</t>
  </si>
  <si>
    <t>38x46"</t>
  </si>
  <si>
    <t>Bronze</t>
  </si>
  <si>
    <t>PF003966</t>
  </si>
  <si>
    <t>8/5/2017</t>
  </si>
  <si>
    <t>AMAZON,BIGLOTSDS,BLK01,CSNSTORES,FINGERHUTDS,HDDS,JCPENNEY01,KOHLDSN,OLLIIX,TGTDVS</t>
  </si>
  <si>
    <t>23314418-000-002</t>
  </si>
  <si>
    <t>8/2/2017</t>
  </si>
  <si>
    <t>8/9/2017</t>
  </si>
  <si>
    <t>MP41-7411</t>
  </si>
  <si>
    <t>PP001164;PF004653</t>
  </si>
  <si>
    <t>4/20/2021</t>
  </si>
  <si>
    <t>23314418-000-006</t>
  </si>
  <si>
    <t>4/25/2021</t>
  </si>
  <si>
    <t>5/3/2021</t>
  </si>
  <si>
    <t>5DS150-0042</t>
  </si>
  <si>
    <t>39817466-000-000</t>
  </si>
  <si>
    <t>4/7/2022</t>
  </si>
  <si>
    <t>9/1/2022</t>
  </si>
  <si>
    <t>II12-1054</t>
  </si>
  <si>
    <t>Ellipse</t>
  </si>
  <si>
    <t>PP001094;PF004582</t>
  </si>
  <si>
    <t>3/1/2019</t>
  </si>
  <si>
    <t>AMAZON,BLK01,CSNSTORES,MACY02,OLLIIX,TGTDVS,ZOLA</t>
  </si>
  <si>
    <t>31826629-000-000</t>
  </si>
  <si>
    <t>3/8/2019</t>
  </si>
  <si>
    <t>5/6/2019</t>
  </si>
  <si>
    <t>FB151-1161</t>
  </si>
  <si>
    <t>Elm</t>
  </si>
  <si>
    <t>Bell-Shaped Glass Pendant</t>
  </si>
  <si>
    <t>Smoke Grey</t>
  </si>
  <si>
    <t>39918993-000-000</t>
  </si>
  <si>
    <t>MP108-0911</t>
  </si>
  <si>
    <t>Elmwood</t>
  </si>
  <si>
    <t>Bernardo</t>
  </si>
  <si>
    <t>Steven</t>
  </si>
  <si>
    <t>Dining Chair Set of 2</t>
  </si>
  <si>
    <t>AMERSIGNDS,CSNSTORES,HDDS,HOUZZ,JCPENNEY01,LAMPDS,MACY02F,OLLIIX</t>
  </si>
  <si>
    <t>35543250-000-000</t>
  </si>
  <si>
    <t>8/19/2020</t>
  </si>
  <si>
    <t>II150-0140</t>
  </si>
  <si>
    <t>Ely</t>
  </si>
  <si>
    <t>3-Light Spiked Chandelier</t>
  </si>
  <si>
    <t>Matte Black /Gold</t>
  </si>
  <si>
    <t>Glam/Luxury|Industrial</t>
  </si>
  <si>
    <t>40804403-000-000</t>
  </si>
  <si>
    <t>MP20-8173</t>
  </si>
  <si>
    <t>Embroidered Microfiber</t>
  </si>
  <si>
    <t>4 PC Sheet Set</t>
  </si>
  <si>
    <t>Green Vine Leaves</t>
  </si>
  <si>
    <t>PP001840;PF005898</t>
  </si>
  <si>
    <t>12/15/2022</t>
  </si>
  <si>
    <t>AMAZON,AMAZONDS,HDDS,KOHLDSN,MACY02,TGTDVS</t>
  </si>
  <si>
    <t>40923839-000-008</t>
  </si>
  <si>
    <t>12/30/2022</t>
  </si>
  <si>
    <t>MP20-8176</t>
  </si>
  <si>
    <t>Taupe Geo</t>
  </si>
  <si>
    <t>PP001840;PF005899</t>
  </si>
  <si>
    <t>AMAZON,DESINC,KOHLDSN,MACY02,TGTDVS</t>
  </si>
  <si>
    <t>40923839-000-011</t>
  </si>
  <si>
    <t>2/13/2023</t>
  </si>
  <si>
    <t>MP20-8179</t>
  </si>
  <si>
    <t>Teal Medallion</t>
  </si>
  <si>
    <t>PP001840;PF005900</t>
  </si>
  <si>
    <t>AMAZON,KOHLDSN,MACY02,NEBFUR01,TGTDVS</t>
  </si>
  <si>
    <t>40923839-000-003</t>
  </si>
  <si>
    <t>MP20-8181</t>
  </si>
  <si>
    <t>40923839-000-010</t>
  </si>
  <si>
    <t>9/19/2023</t>
  </si>
  <si>
    <t>MP40-8329</t>
  </si>
  <si>
    <t>Emilia</t>
  </si>
  <si>
    <t>Natalie</t>
  </si>
  <si>
    <t>Lillian</t>
  </si>
  <si>
    <t>Twist Tab Lined Window Curtain Panel</t>
  </si>
  <si>
    <t>PP001164;PF006098</t>
  </si>
  <si>
    <t>11/15/2023</t>
  </si>
  <si>
    <t>15855802-000-049</t>
  </si>
  <si>
    <t>12/19/2023</t>
  </si>
  <si>
    <t>1/3/2024</t>
  </si>
  <si>
    <t>MP40-8330</t>
  </si>
  <si>
    <t>CSNSTORES,JCPENNEY01,NRTPORT,OLLIIX</t>
  </si>
  <si>
    <t>15855802-000-050</t>
  </si>
  <si>
    <t>MP40-8332</t>
  </si>
  <si>
    <t>50x120"</t>
  </si>
  <si>
    <t>15855802-000-052</t>
  </si>
  <si>
    <t>2/27/2024</t>
  </si>
  <si>
    <t>MP40-8336</t>
  </si>
  <si>
    <t>Twist Tab Total Blackout Window Curtain Panel</t>
  </si>
  <si>
    <t>50x95" Blackout</t>
  </si>
  <si>
    <t>33704698-000-008</t>
  </si>
  <si>
    <t>MP40-6324</t>
  </si>
  <si>
    <t>PP001164;PF004652</t>
  </si>
  <si>
    <t>5/9/2019</t>
  </si>
  <si>
    <t>15855802-000-038</t>
  </si>
  <si>
    <t>6/4/2019</t>
  </si>
  <si>
    <t>MP41-6325</t>
  </si>
  <si>
    <t>Lightweight Faux Silk Valance With Beads</t>
  </si>
  <si>
    <t>50x26"</t>
  </si>
  <si>
    <t>22670044-000-009</t>
  </si>
  <si>
    <t>6/19/2019</t>
  </si>
  <si>
    <t>WIN40-118</t>
  </si>
  <si>
    <t>AMAZON,AMAZONDS,BLK01,CSNSTORES,HDDS,HSNDS,JCPENNEY01,KOHLDSN</t>
  </si>
  <si>
    <t>15855802-000-006</t>
  </si>
  <si>
    <t>WIN40-122</t>
  </si>
  <si>
    <t>AMAZON,CSNSTORES,HDDS,JCPENNEY01,KOHLDSN,OLLIIX</t>
  </si>
  <si>
    <t>15855802-000-007</t>
  </si>
  <si>
    <t>MP40-2686</t>
  </si>
  <si>
    <t>AMAZON,AMAZONDS,BLK01,CSNSTORES,JCPENNEY01,KOHLDSN</t>
  </si>
  <si>
    <t>15855802-000-020</t>
  </si>
  <si>
    <t>8/18/2016</t>
  </si>
  <si>
    <t>WIN40-116</t>
  </si>
  <si>
    <t>PF003964</t>
  </si>
  <si>
    <t>AMAZON,AMAZONDS,AMERSIGNDS,CSNSTORES,DESINC,HDDS,HSNDS,JCPENNEY01,KOHLDSN</t>
  </si>
  <si>
    <t>15855802-000-002</t>
  </si>
  <si>
    <t>MP40-3559</t>
  </si>
  <si>
    <t>AMAZON,AMAZONDS,CSNSTORES,DESINC,HDDS,JCPENNEY01,KOHLDSN,OLLIIX</t>
  </si>
  <si>
    <t>15855802-000-028</t>
  </si>
  <si>
    <t>MP41-4454</t>
  </si>
  <si>
    <t>6/2/2017</t>
  </si>
  <si>
    <t>AMERSIGNDS,CSNSTORES,DESINC,FINGERHUTDS,JCPENNEY01,KOHLDSN,TGTDVS</t>
  </si>
  <si>
    <t>22670044-000-004</t>
  </si>
  <si>
    <t>8/14/2017</t>
  </si>
  <si>
    <t>MP40-6557</t>
  </si>
  <si>
    <t>PP001164;PF004762</t>
  </si>
  <si>
    <t>7/27/2019</t>
  </si>
  <si>
    <t>AMAZON,AMAZONDS,BLK01,CSNSTORES,FINGERHUTDS,JCPENNEY01,KOHLDSN,NEBFUR01</t>
  </si>
  <si>
    <t>15855802-000-046</t>
  </si>
  <si>
    <t>9/20/2019</t>
  </si>
  <si>
    <t>MP40-6559</t>
  </si>
  <si>
    <t>15855802-000-044</t>
  </si>
  <si>
    <t>MP41-6560</t>
  </si>
  <si>
    <t>AMAZON,AMAZONDS,CSNSTORES,FINGERHUTDS,JCPENNEY01,KOHLDSN</t>
  </si>
  <si>
    <t>22670044-000-011</t>
  </si>
  <si>
    <t>11/11/2019</t>
  </si>
  <si>
    <t>WIN40-117</t>
  </si>
  <si>
    <t>Dusty Aqua</t>
  </si>
  <si>
    <t>PF003965</t>
  </si>
  <si>
    <t>AMAZON,AMAZONDS,CSNSTORES,HDDS,HSNDS,JCPENNEY01,KOHLDSN</t>
  </si>
  <si>
    <t>15855802-000-004</t>
  </si>
  <si>
    <t>WIN40-121</t>
  </si>
  <si>
    <t>AMAZON,AMAZONDS,CSNSTORES,HDDS,JCPENNEY01,KOHLDSN</t>
  </si>
  <si>
    <t>15855802-000-005</t>
  </si>
  <si>
    <t>1/8/2015</t>
  </si>
  <si>
    <t>MP40-2685</t>
  </si>
  <si>
    <t>CSNSTORES,JCPENNEY01,KIRKLANDDS,KOHLDSN</t>
  </si>
  <si>
    <t>15855802-000-019</t>
  </si>
  <si>
    <t>MP40-3560</t>
  </si>
  <si>
    <t>AMAZONDS,CSNSTORES,JCPENNEY01,KOHLDSN</t>
  </si>
  <si>
    <t>15855802-000-029</t>
  </si>
  <si>
    <t>10/25/2016</t>
  </si>
  <si>
    <t>MP41-4455</t>
  </si>
  <si>
    <t>22670044-000-005</t>
  </si>
  <si>
    <t>9/15/2017</t>
  </si>
  <si>
    <t>MP40-8333</t>
  </si>
  <si>
    <t>PP001164;PF006099</t>
  </si>
  <si>
    <t>AMAZON,AMAZONDS,CSNSTORES,JCPENNEY01,KOHLDSN</t>
  </si>
  <si>
    <t>15855802-000-053</t>
  </si>
  <si>
    <t>2/19/2024</t>
  </si>
  <si>
    <t>MP40-8334</t>
  </si>
  <si>
    <t>AMAZON,CSNSTORES,DESINC,JCPENNEY01,KOHLDSN</t>
  </si>
  <si>
    <t>15855802-000-054</t>
  </si>
  <si>
    <t>MP40-6317</t>
  </si>
  <si>
    <t>AMAZON,AMAZONDS,BLK01,CSNSTORES,DESINC,HDDS,JCPENNEY01,KOHLDSN,OLLIIX,TGTDVS</t>
  </si>
  <si>
    <t>15855802-000-042</t>
  </si>
  <si>
    <t>6/5/2019</t>
  </si>
  <si>
    <t>MP40-6319</t>
  </si>
  <si>
    <t>AMAZONDS,CSNSTORES,JCPENNEY01</t>
  </si>
  <si>
    <t>15855802-000-040</t>
  </si>
  <si>
    <t>6/3/2019</t>
  </si>
  <si>
    <t>MP41-6320</t>
  </si>
  <si>
    <t>CSNSTORES,JCPENNEY01,KOHLDSN,TGTDVS</t>
  </si>
  <si>
    <t>22670044-000-008</t>
  </si>
  <si>
    <t>MP40-1299</t>
  </si>
  <si>
    <t>Pewter</t>
  </si>
  <si>
    <t>PF003967</t>
  </si>
  <si>
    <t>AMAZON,AMERSIGNDS,BLK01,CSNSTORES,HDDS,HSNDS,JCPENNEY01,KOHLDSN</t>
  </si>
  <si>
    <t>15855802-000-008</t>
  </si>
  <si>
    <t>2/2/2015</t>
  </si>
  <si>
    <t>MP40-1300</t>
  </si>
  <si>
    <t>AMAZON,AMAZONDS,BLK01,CSNSTORES,FINGERHUTDS,JCPENNEY01,KOHLDSN</t>
  </si>
  <si>
    <t>15855802-000-009</t>
  </si>
  <si>
    <t>MP40-2682</t>
  </si>
  <si>
    <t>AMAZON,AMAZONDS,CSNSTORES,DESINC,HSNDS,JCPENNEY01,KOHLDSN</t>
  </si>
  <si>
    <t>15855802-000-016</t>
  </si>
  <si>
    <t>8/22/2016</t>
  </si>
  <si>
    <t>MP40-3557</t>
  </si>
  <si>
    <t>15855802-000-026</t>
  </si>
  <si>
    <t>MP40-7408</t>
  </si>
  <si>
    <t>PF003967;PP001164</t>
  </si>
  <si>
    <t>3/12/2021</t>
  </si>
  <si>
    <t>33704698-000-004</t>
  </si>
  <si>
    <t>4/1/2021</t>
  </si>
  <si>
    <t>5/12/2021</t>
  </si>
  <si>
    <t>MP40-3552</t>
  </si>
  <si>
    <t>PF003970</t>
  </si>
  <si>
    <t>AMAZON,BLK01,CSNSTORES,HDDS,JCPENNEY01,KOHLDSN</t>
  </si>
  <si>
    <t>15855802-000-021</t>
  </si>
  <si>
    <t>10/12/2016</t>
  </si>
  <si>
    <t>MP40-3554</t>
  </si>
  <si>
    <t>15855802-000-023</t>
  </si>
  <si>
    <t>10/6/2016</t>
  </si>
  <si>
    <t>MP40-3555</t>
  </si>
  <si>
    <t>15855802-000-024</t>
  </si>
  <si>
    <t>10/3/2016</t>
  </si>
  <si>
    <t>MP41-4476</t>
  </si>
  <si>
    <t>AMAZON,AMAZONDS,CSNSTORES,DESINC,FINGERHUTDS,JCPENNEY01,KOHLDSN</t>
  </si>
  <si>
    <t>22670044-000-007</t>
  </si>
  <si>
    <t>MP10-8439</t>
  </si>
  <si>
    <t>Maisie</t>
  </si>
  <si>
    <t>Grace</t>
  </si>
  <si>
    <t>12 Piece Jacquard Comforter Set with Bed Sheets</t>
  </si>
  <si>
    <t>PP001528;PF006230</t>
  </si>
  <si>
    <t>5/31/2024</t>
  </si>
  <si>
    <t>36562553-000-004</t>
  </si>
  <si>
    <t>7/4/2024</t>
  </si>
  <si>
    <t>MP40-6326</t>
  </si>
  <si>
    <t>PP001164;PF004651</t>
  </si>
  <si>
    <t>AMAZON,AMAZONDS,BLK01,CSNSTORES,DESINC,HDDS,JCPENNEY01,KOHLDSN</t>
  </si>
  <si>
    <t>15855802-000-037</t>
  </si>
  <si>
    <t>7/24/2019</t>
  </si>
  <si>
    <t>MP40-6328</t>
  </si>
  <si>
    <t>15855802-000-033</t>
  </si>
  <si>
    <t>MP40-6329</t>
  </si>
  <si>
    <t>15855802-000-032</t>
  </si>
  <si>
    <t>MP41-6330</t>
  </si>
  <si>
    <t>22670044-000-010</t>
  </si>
  <si>
    <t>10/7/2019</t>
  </si>
  <si>
    <t>MP41-4451</t>
  </si>
  <si>
    <t>PF003968</t>
  </si>
  <si>
    <t>AMAZON,ASHFURNDS,CSNSTORES,JCPENNEY01,KOHLDSN</t>
  </si>
  <si>
    <t>22670044-000-001</t>
  </si>
  <si>
    <t>WR10-3863</t>
  </si>
  <si>
    <t>Emmet Creek</t>
  </si>
  <si>
    <t>Down Alternative Comforter Set with Throw Pillow</t>
  </si>
  <si>
    <t>Softspun</t>
  </si>
  <si>
    <t>Southwest</t>
  </si>
  <si>
    <t>AMAZONDS,CSNSTORES,DESINC,JCPENNEY01,KOHLDSN</t>
  </si>
  <si>
    <t>42801335-000-000</t>
  </si>
  <si>
    <t>10/25/2023</t>
  </si>
  <si>
    <t>WR10-3864</t>
  </si>
  <si>
    <t>42801335-000-002</t>
  </si>
  <si>
    <t>WR10-3860</t>
  </si>
  <si>
    <t>AMAZONDS,DESINC,JCPENNEY01,KOHLDSN</t>
  </si>
  <si>
    <t>42801335-000-001</t>
  </si>
  <si>
    <t>4/1/2024</t>
  </si>
  <si>
    <t>MP95G-0306</t>
  </si>
  <si>
    <t>Enchanted Forest</t>
  </si>
  <si>
    <t>Hand Painted Abstract Landscape Framed and Matted Wall Art</t>
  </si>
  <si>
    <t>Grey/Gold</t>
  </si>
  <si>
    <t>10/26/2022</t>
  </si>
  <si>
    <t>40692442-000-000</t>
  </si>
  <si>
    <t>10/28/2022</t>
  </si>
  <si>
    <t>BASI16-0572</t>
  </si>
  <si>
    <t>Energy Recovery</t>
  </si>
  <si>
    <t>Energy Recovery Waterproof Mattress Pad</t>
  </si>
  <si>
    <t>PP001726;PF005643</t>
  </si>
  <si>
    <t>2/1/2022</t>
  </si>
  <si>
    <t>AMAZONDS,CSNSTORES,DESINC,JCPENNEY01,KOHLDSN,MACY02,NRTPORT,OLLIIX,TGTDVS</t>
  </si>
  <si>
    <t>39599988-000-002</t>
  </si>
  <si>
    <t>2/15/2022</t>
  </si>
  <si>
    <t>BASI10-0577</t>
  </si>
  <si>
    <t>Energy Recovery Oversized Down Alternative Comforter</t>
  </si>
  <si>
    <t>PF005643;PP001727</t>
  </si>
  <si>
    <t>AMAZONDS,BLK01,CSNSTORES,JCPENNEY01,KOHLDSN,MACY02,OLLIIX</t>
  </si>
  <si>
    <t>39599923-000-000</t>
  </si>
  <si>
    <t>7/4/2022</t>
  </si>
  <si>
    <t>BASI10-0578</t>
  </si>
  <si>
    <t>AMAZONDS,BIGLOTSDS,BLK01,CSNSTORES,JCPENNEY01,KOHLDSN,MACY02,OLLIIX,TGTDVS</t>
  </si>
  <si>
    <t>39599923-000-002</t>
  </si>
  <si>
    <t>8/5/2022</t>
  </si>
  <si>
    <t>MP40-6750</t>
  </si>
  <si>
    <t>Englewood</t>
  </si>
  <si>
    <t>Oslow</t>
  </si>
  <si>
    <t>Lincoln</t>
  </si>
  <si>
    <t>Solid Piece Dyed Grommet Top Curtain Panel</t>
  </si>
  <si>
    <t>PP001398;PF004938</t>
  </si>
  <si>
    <t>10/15/2019</t>
  </si>
  <si>
    <t>35010479-000-008</t>
  </si>
  <si>
    <t>11/12/2019</t>
  </si>
  <si>
    <t>MP100-0993</t>
  </si>
  <si>
    <t>Erika</t>
  </si>
  <si>
    <t>Bree</t>
  </si>
  <si>
    <t>Laura</t>
  </si>
  <si>
    <t>AMAZONDS,ASHFURNDS,CSNSTORES,HDDS,JCPENNEY01,MACY02F,OLLIIX,ROOMECOM,TGTDVS</t>
  </si>
  <si>
    <t>18677288-000-001</t>
  </si>
  <si>
    <t>6/29/2020</t>
  </si>
  <si>
    <t>MP100-0994</t>
  </si>
  <si>
    <t>Escher</t>
  </si>
  <si>
    <t>Valeria</t>
  </si>
  <si>
    <t>Denton</t>
  </si>
  <si>
    <t>6/24/2020</t>
  </si>
  <si>
    <t>23118675-000-001</t>
  </si>
  <si>
    <t>8/4/2020</t>
  </si>
  <si>
    <t>MPS10-551</t>
  </si>
  <si>
    <t>Essence</t>
  </si>
  <si>
    <t>Oversized Cotton Clipped Jacquard Comforter Set with Euro Shams and Throw Pillows</t>
  </si>
  <si>
    <t>MPS10-552</t>
  </si>
  <si>
    <t>MT95G-0030</t>
  </si>
  <si>
    <t>Estuary</t>
  </si>
  <si>
    <t>Abstract Landscape Framed Glass Wall Art</t>
  </si>
  <si>
    <t>PP001449;PF005016</t>
  </si>
  <si>
    <t>AMAZONDS,ASHFURNDS,BLK01,CSNSTORES,DESINC,JCPENNEY01,KIRKLANDDS,KOHLDSN,OLLIIX,ZOLA</t>
  </si>
  <si>
    <t>35147143-000-000</t>
  </si>
  <si>
    <t>MP95C-0117</t>
  </si>
  <si>
    <t>Ethereal</t>
  </si>
  <si>
    <t>Diptych 2-piece Framed Canvas Wall Art Set</t>
  </si>
  <si>
    <t>PF002035</t>
  </si>
  <si>
    <t>8/26/2017</t>
  </si>
  <si>
    <t>AMAZON,AMERSIGNDS,BEALLSDS,CSNSTORES,KIRKLANDDS,KOHLDSN,LAMPDS,OLLIIX,ROOMECOM,TGTDVS</t>
  </si>
  <si>
    <t>23745774-000-000</t>
  </si>
  <si>
    <t>8/29/2017</t>
  </si>
  <si>
    <t>9/11/2017</t>
  </si>
  <si>
    <t>II153-0161</t>
  </si>
  <si>
    <t>Ethra</t>
  </si>
  <si>
    <t>Ceramic Table Lamp</t>
  </si>
  <si>
    <t>44671080-000-000</t>
  </si>
  <si>
    <t>MT105-0147</t>
  </si>
  <si>
    <t>Bench</t>
  </si>
  <si>
    <t>Eve</t>
  </si>
  <si>
    <t>2/11/2022</t>
  </si>
  <si>
    <t>39608090-000-000</t>
  </si>
  <si>
    <t>2/18/2022</t>
  </si>
  <si>
    <t>3/22/2022</t>
  </si>
  <si>
    <t>MP10-8397</t>
  </si>
  <si>
    <t>Evelyn</t>
  </si>
  <si>
    <t>Liliana</t>
  </si>
  <si>
    <t>Josie</t>
  </si>
  <si>
    <t>3 Piece Stripe Ruched Comforter Set</t>
  </si>
  <si>
    <t>PP001947;PF006206</t>
  </si>
  <si>
    <t>3/28/2024</t>
  </si>
  <si>
    <t>AMAZON,KOHLDSN,ZOLA</t>
  </si>
  <si>
    <t>43787551-000-000</t>
  </si>
  <si>
    <t>MP10-8398</t>
  </si>
  <si>
    <t>43787551-000-001</t>
  </si>
  <si>
    <t>MPE10-894</t>
  </si>
  <si>
    <t>Everest</t>
  </si>
  <si>
    <t>Colebrook</t>
  </si>
  <si>
    <t>Rochester</t>
  </si>
  <si>
    <t>6 Piece Reversible Comforter Set with Bed Sheets</t>
  </si>
  <si>
    <t>PP001499;PF005107</t>
  </si>
  <si>
    <t>6/17/2020</t>
  </si>
  <si>
    <t>AMAZON,AMAZONDS,BLK01,CSNSTORES,JCPENNEY01,KOHLDSN,MACY02,NRTPORT,TGTDVS</t>
  </si>
  <si>
    <t>36030180-000-002</t>
  </si>
  <si>
    <t>7/15/2020</t>
  </si>
  <si>
    <t>MP10-8303</t>
  </si>
  <si>
    <t>Everly</t>
  </si>
  <si>
    <t>Maeve</t>
  </si>
  <si>
    <t>Selena</t>
  </si>
  <si>
    <t>3 Piece Tufted Woven Medallion Comforter Set</t>
  </si>
  <si>
    <t>PP001905;PF006074</t>
  </si>
  <si>
    <t>AMAZON,CSNSTORES,DESINC,KOHLDSN,MACY02,OLLIIX,TGTDVS</t>
  </si>
  <si>
    <t>42825324-000-001</t>
  </si>
  <si>
    <t>10/31/2023</t>
  </si>
  <si>
    <t>MP12-8305</t>
  </si>
  <si>
    <t>3 Piece Tufted Woven Medallion Duvet Cover Set</t>
  </si>
  <si>
    <t>42825325-000-001</t>
  </si>
  <si>
    <t>1/4/2024</t>
  </si>
  <si>
    <t>5DS108-0053</t>
  </si>
  <si>
    <t>Upholstered Channel-back Dining Chair Set of 2</t>
  </si>
  <si>
    <t>7/23/2024</t>
  </si>
  <si>
    <t>41922410-000-004</t>
  </si>
  <si>
    <t>5DS108-0042</t>
  </si>
  <si>
    <t>CSNSTORES,HDDS,KOHLDSN,OLLIIX</t>
  </si>
  <si>
    <t>41922410-000-003</t>
  </si>
  <si>
    <t>5DS108-0034</t>
  </si>
  <si>
    <t>1/31/2024</t>
  </si>
  <si>
    <t>CSNSTORES,HDDS</t>
  </si>
  <si>
    <t>41922410-000-002</t>
  </si>
  <si>
    <t>II153-0107</t>
  </si>
  <si>
    <t>Ceramic Table Lamp with Handles</t>
  </si>
  <si>
    <t>39463174-000-000</t>
  </si>
  <si>
    <t>6/8/2022</t>
  </si>
  <si>
    <t>MP95B-0276</t>
  </si>
  <si>
    <t>Exton</t>
  </si>
  <si>
    <t>Two-tone Overlapping Geometric Wood Panel Wall Decor</t>
  </si>
  <si>
    <t>Natural/White</t>
  </si>
  <si>
    <t>PP001636</t>
  </si>
  <si>
    <t>9/18/2021</t>
  </si>
  <si>
    <t>38900155-000-000</t>
  </si>
  <si>
    <t>9/28/2021</t>
  </si>
  <si>
    <t>II150-0118</t>
  </si>
  <si>
    <t>Ezra</t>
  </si>
  <si>
    <t>5-Light Metal Chandelier</t>
  </si>
  <si>
    <t>Antique Brass/White</t>
  </si>
  <si>
    <t>39936217-000-000</t>
  </si>
  <si>
    <t>7/6/2022</t>
  </si>
  <si>
    <t>FB150-1169</t>
  </si>
  <si>
    <t>Fairmount</t>
  </si>
  <si>
    <t>8-Light Traditional Chandelier with Drum Shades</t>
  </si>
  <si>
    <t>Black/Silver</t>
  </si>
  <si>
    <t>40565580-000-000</t>
  </si>
  <si>
    <t>6/6/2023</t>
  </si>
  <si>
    <t>MP35-8052</t>
  </si>
  <si>
    <t>Faith</t>
  </si>
  <si>
    <t>Kendra</t>
  </si>
  <si>
    <t>Caitlyn</t>
  </si>
  <si>
    <t>Persian Bordered Traditional Woven Area Rug</t>
  </si>
  <si>
    <t>Blue/Red</t>
  </si>
  <si>
    <t>PP001797;PF005785</t>
  </si>
  <si>
    <t>10/12/2022</t>
  </si>
  <si>
    <t>CSNSTORES,KIRKLANDDS,KOHLDSN</t>
  </si>
  <si>
    <t>40639753-000-003</t>
  </si>
  <si>
    <t>10/19/2022</t>
  </si>
  <si>
    <t>MP35-8053</t>
  </si>
  <si>
    <t>40639753-000-002</t>
  </si>
  <si>
    <t>ID10-2400</t>
  </si>
  <si>
    <t>Felicia</t>
  </si>
  <si>
    <t>Alyssa</t>
  </si>
  <si>
    <t>Velvet Comforter Set with Throw Pillow</t>
  </si>
  <si>
    <t>PP001091;PF006267</t>
  </si>
  <si>
    <t>Modern/Contemporary|Transitional</t>
  </si>
  <si>
    <t>AMAZON,CSNSTORES,MACY02,NRTPORT,OLLIIX,TGTDVS</t>
  </si>
  <si>
    <t>32471150-000-029</t>
  </si>
  <si>
    <t>7/7/2024</t>
  </si>
  <si>
    <t>ID12-2403</t>
  </si>
  <si>
    <t>Velvet Duvet Cover Set with Throw Pillow</t>
  </si>
  <si>
    <t>1/24/2025</t>
  </si>
  <si>
    <t>AMAZON,MACY02,TGTDVS</t>
  </si>
  <si>
    <t>33908184-000-028</t>
  </si>
  <si>
    <t>ID12-2404</t>
  </si>
  <si>
    <t>AMAZON,AMAZONDS,AMERSIGNDS,KOHLDSN,MACY02,TGTDVS</t>
  </si>
  <si>
    <t>33908184-000-029</t>
  </si>
  <si>
    <t>ID12-2405</t>
  </si>
  <si>
    <t>33908184-000-026</t>
  </si>
  <si>
    <t>ID10-2412</t>
  </si>
  <si>
    <t>PP001091;PF006269</t>
  </si>
  <si>
    <t>AMAZON,CSNSTORES,HDDS,KOHLDSN,MACY02,NRTPORT,TGTDVS</t>
  </si>
  <si>
    <t>32471150-000-023</t>
  </si>
  <si>
    <t>ID12-2415</t>
  </si>
  <si>
    <t>33908184-000-025</t>
  </si>
  <si>
    <t>ID12-2416</t>
  </si>
  <si>
    <t>BLK01,KOHLDSN,MACY02,TGTDVS</t>
  </si>
  <si>
    <t>33908184-000-021</t>
  </si>
  <si>
    <t>ID12-2417</t>
  </si>
  <si>
    <t>33908184-000-022</t>
  </si>
  <si>
    <t>ID12-1793</t>
  </si>
  <si>
    <t>PP001091;PF004858</t>
  </si>
  <si>
    <t>AMAZON,JCPENNEY01,MACY02,TGTDVS,WALMARTDS</t>
  </si>
  <si>
    <t>33908184-000-004</t>
  </si>
  <si>
    <t>9/28/2019</t>
  </si>
  <si>
    <t>10/18/2019</t>
  </si>
  <si>
    <t>ID13-2142</t>
  </si>
  <si>
    <t>Velvet Quilt Set</t>
  </si>
  <si>
    <t>9/14/2022</t>
  </si>
  <si>
    <t>CSNSTORES,JCPENNEY01,MACY02,TGTDVS</t>
  </si>
  <si>
    <t>40487073-000-003</t>
  </si>
  <si>
    <t>9/22/2022</t>
  </si>
  <si>
    <t>12/15/2023</t>
  </si>
  <si>
    <t>ID10-1660</t>
  </si>
  <si>
    <t>PP001091;PF004576</t>
  </si>
  <si>
    <t>3/11/2019</t>
  </si>
  <si>
    <t>AMAZON,AMAZONDS,CSNSTORES,FINGERHUTDS,HDDS,JCPENNEY01,KOHLDSN,MACY02,NRTPORT,OLLIIX,TGTDVS</t>
  </si>
  <si>
    <t>32471150-000-001</t>
  </si>
  <si>
    <t>3/13/2019</t>
  </si>
  <si>
    <t>ID10-2406</t>
  </si>
  <si>
    <t>PP001091;PF006268</t>
  </si>
  <si>
    <t>32471150-000-026</t>
  </si>
  <si>
    <t>ID12-2409</t>
  </si>
  <si>
    <t>33908184-000-027</t>
  </si>
  <si>
    <t>ID12-2411</t>
  </si>
  <si>
    <t>33908184-000-024</t>
  </si>
  <si>
    <t>MP101-0712</t>
  </si>
  <si>
    <t>Ferris</t>
  </si>
  <si>
    <t>Oval Ottoman</t>
  </si>
  <si>
    <t>8/2/2018</t>
  </si>
  <si>
    <t>CASTLEGATE,HDDS,KIRKLANDDS,OLLIIX,ZOLA</t>
  </si>
  <si>
    <t>20932362-000-001</t>
  </si>
  <si>
    <t>7/26/2018</t>
  </si>
  <si>
    <t>10/25/2018</t>
  </si>
  <si>
    <t>MT108-1186</t>
  </si>
  <si>
    <t>Fiona</t>
  </si>
  <si>
    <t>Upholstered Dining Chair with Turned Wood Legs Set of 2</t>
  </si>
  <si>
    <t>40538393-000-000</t>
  </si>
  <si>
    <t>7/26/2023</t>
  </si>
  <si>
    <t>CHM13-0009</t>
  </si>
  <si>
    <t>Croscill Home</t>
  </si>
  <si>
    <t>Fiore</t>
  </si>
  <si>
    <t>3 Piece Coverlet Set</t>
  </si>
  <si>
    <t>Marshmallow</t>
  </si>
  <si>
    <t>10/4/2022</t>
  </si>
  <si>
    <t>CSNSTORES,MACY02,OLLIIX</t>
  </si>
  <si>
    <t>42041893-000-001</t>
  </si>
  <si>
    <t>7/28/2023</t>
  </si>
  <si>
    <t>II30-549</t>
  </si>
  <si>
    <t>Fleur</t>
  </si>
  <si>
    <t>PF003356;PP000486</t>
  </si>
  <si>
    <t>Global Inspired|Mid-Century</t>
  </si>
  <si>
    <t>AMAZON,AMAZONDS,BLK01,CSNSTORES,JCPENNEY01,KOHLDSN,MACY02</t>
  </si>
  <si>
    <t>17632913-000-000</t>
  </si>
  <si>
    <t>9/15/2015</t>
  </si>
  <si>
    <t>ID95C-0027</t>
  </si>
  <si>
    <t>Flight Time</t>
  </si>
  <si>
    <t>Triptych 3-piece Canvas Wall Art Set</t>
  </si>
  <si>
    <t>4/21/2017</t>
  </si>
  <si>
    <t>AMERSIGNDS,CSNSTORES,KIRKLANDDS,KOHLDSN,LAMPDS,OLLIIX</t>
  </si>
  <si>
    <t>22077438-000-000</t>
  </si>
  <si>
    <t>5/30/2017</t>
  </si>
  <si>
    <t>II153-0150</t>
  </si>
  <si>
    <t>Flinn</t>
  </si>
  <si>
    <t>23" Resin Table Lamp with Faux Wood Texture</t>
  </si>
  <si>
    <t>Natural Whitewash</t>
  </si>
  <si>
    <t>43356933-000-000</t>
  </si>
  <si>
    <t>CHM30-0014</t>
  </si>
  <si>
    <t>Florio</t>
  </si>
  <si>
    <t>Square Decor Pillow</t>
  </si>
  <si>
    <t>Linen</t>
  </si>
  <si>
    <t>Figurative</t>
  </si>
  <si>
    <t>CSNSTORES,JCPENNEY01,MACY02,NRTPORT,OLLIIX</t>
  </si>
  <si>
    <t>42067837-000-000</t>
  </si>
  <si>
    <t>10/21/2023</t>
  </si>
  <si>
    <t>MT95C-0025</t>
  </si>
  <si>
    <t>Foggy Morning</t>
  </si>
  <si>
    <t>Abstract Landscape Framed Canvas Wall Art</t>
  </si>
  <si>
    <t>PP001444;PF005011</t>
  </si>
  <si>
    <t>AMAZONDS,CSNSTORES,JCPENNEY01,KOHLDSN,OLLIIX,ZOLA</t>
  </si>
  <si>
    <t>35145515-000-000</t>
  </si>
  <si>
    <t>4/15/2020</t>
  </si>
  <si>
    <t>MP133-0532</t>
  </si>
  <si>
    <t>BUFFET</t>
  </si>
  <si>
    <t>Folio</t>
  </si>
  <si>
    <t>Doughrty</t>
  </si>
  <si>
    <t>Tilden</t>
  </si>
  <si>
    <t>Buffet</t>
  </si>
  <si>
    <t>PP000633</t>
  </si>
  <si>
    <t>12/6/2017</t>
  </si>
  <si>
    <t>25450057-000-000</t>
  </si>
  <si>
    <t>12/27/2017</t>
  </si>
  <si>
    <t>BR54-0858</t>
  </si>
  <si>
    <t>Foot-throw</t>
  </si>
  <si>
    <t>Throw with Foot Pocket 52"x62"</t>
  </si>
  <si>
    <t>50x62"</t>
  </si>
  <si>
    <t>PP001378;PF004898</t>
  </si>
  <si>
    <t>AMAZONDS,DESINC</t>
  </si>
  <si>
    <t>33834753-000-000</t>
  </si>
  <si>
    <t>7/19/2019</t>
  </si>
  <si>
    <t>10/30/2019</t>
  </si>
  <si>
    <t>BR54-0857</t>
  </si>
  <si>
    <t>PP001378;PF004897</t>
  </si>
  <si>
    <t>AMAZON,DESINC</t>
  </si>
  <si>
    <t>33834753-000-001</t>
  </si>
  <si>
    <t>TN51-0485</t>
  </si>
  <si>
    <t>Four Seasons</t>
  </si>
  <si>
    <t>Goose Feather and Down Filling All Seasons Blanket</t>
  </si>
  <si>
    <t>PP001805;PF005798</t>
  </si>
  <si>
    <t>CSNSTORES,DESINC,JCPENNEY01,KOHLDSN,MACY02,TGTDVS</t>
  </si>
  <si>
    <t>40804195-000-000</t>
  </si>
  <si>
    <t>11/30/2022</t>
  </si>
  <si>
    <t>7/25/2023</t>
  </si>
  <si>
    <t>TN51-0487</t>
  </si>
  <si>
    <t>AMAZON,CSNSTORES,HOUZZ,JCPENNEY01,KOHLDSN,MACY02,OLLIIX,TGTDVS</t>
  </si>
  <si>
    <t>40804195-000-002</t>
  </si>
  <si>
    <t>4/12/2023</t>
  </si>
  <si>
    <t>II112-0520</t>
  </si>
  <si>
    <t>DINING BENCH</t>
  </si>
  <si>
    <t>Frank</t>
  </si>
  <si>
    <t>Dining Bench</t>
  </si>
  <si>
    <t>41775304-000-000</t>
  </si>
  <si>
    <t>6/19/2023</t>
  </si>
  <si>
    <t>MP13-8152</t>
  </si>
  <si>
    <t>Franklin</t>
  </si>
  <si>
    <t>Cameron</t>
  </si>
  <si>
    <t>3 Piece Crinkled Microfiber Quilt Set</t>
  </si>
  <si>
    <t>PP001837;PF005891</t>
  </si>
  <si>
    <t>40888728-000-001</t>
  </si>
  <si>
    <t>12/16/2022</t>
  </si>
  <si>
    <t>4/13/2023</t>
  </si>
  <si>
    <t>MP13-8153</t>
  </si>
  <si>
    <t>PP001837;PF005892</t>
  </si>
  <si>
    <t>AMAZON,BLK01,DESINC,JCPENNEY01,KOHLDSN,MACY02,OLLIIX,TGTDVS</t>
  </si>
  <si>
    <t>40888728-000-002</t>
  </si>
  <si>
    <t>8/28/2023</t>
  </si>
  <si>
    <t>MP13-8154</t>
  </si>
  <si>
    <t>AMAZON,CSNSTORES,HDDS,JCPENNEY01,KOHLDSN,OLLIIX,TGTDVS</t>
  </si>
  <si>
    <t>40888728-000-003</t>
  </si>
  <si>
    <t>3/14/2023</t>
  </si>
  <si>
    <t>MP13-8468</t>
  </si>
  <si>
    <t>Fraser</t>
  </si>
  <si>
    <t>Joshua</t>
  </si>
  <si>
    <t>3 Piece Printed Microfiber Seersucker Quilt Set</t>
  </si>
  <si>
    <t>Ivory/Black</t>
  </si>
  <si>
    <t>PP001818;PF006291</t>
  </si>
  <si>
    <t>Seersucker</t>
  </si>
  <si>
    <t>5/18/2024</t>
  </si>
  <si>
    <t>40710813-000-002</t>
  </si>
  <si>
    <t>MP51N-8382</t>
  </si>
  <si>
    <t>Freshspun Basketweave</t>
  </si>
  <si>
    <t>Cotton Blanket</t>
  </si>
  <si>
    <t>PP001933;PF006166</t>
  </si>
  <si>
    <t>18986578-000-026</t>
  </si>
  <si>
    <t>MP51N-8384</t>
  </si>
  <si>
    <t>18986578-000-024</t>
  </si>
  <si>
    <t>BL51N-0862</t>
  </si>
  <si>
    <t>PF003483</t>
  </si>
  <si>
    <t>2/14/2025</t>
  </si>
  <si>
    <t>AMAZON,BLK01,CSNSTORES,HSNDS,JCPENNEY01,KOHLDSN,MACY02,OLLIIX,TGTDVS,WALMARTDS</t>
  </si>
  <si>
    <t>18986578-000-017</t>
  </si>
  <si>
    <t>8/1/2016</t>
  </si>
  <si>
    <t>CCL10-0071</t>
  </si>
  <si>
    <t>Gabrielle</t>
  </si>
  <si>
    <t>CCL10-0072</t>
  </si>
  <si>
    <t>CCL10-0073</t>
  </si>
  <si>
    <t>MP40-7317</t>
  </si>
  <si>
    <t>Galen</t>
  </si>
  <si>
    <t>Colm</t>
  </si>
  <si>
    <t>Paxton</t>
  </si>
  <si>
    <t>Basketweave Room Darkening Cordless Roman Shade</t>
  </si>
  <si>
    <t>PP001307;PF005661</t>
  </si>
  <si>
    <t>1/5/2021</t>
  </si>
  <si>
    <t>AMAZON,BEALLSDS,CSNSTORES,HDDS,HOUZZ,KOHLDSN,TGTDVS</t>
  </si>
  <si>
    <t>34381036-000-017</t>
  </si>
  <si>
    <t>1/11/2021</t>
  </si>
  <si>
    <t>MP40-7319</t>
  </si>
  <si>
    <t>AMAZON,CSNSTORES,HDDS,TGTDVS</t>
  </si>
  <si>
    <t>34381036-000-015</t>
  </si>
  <si>
    <t>1/21/2021</t>
  </si>
  <si>
    <t>MP40-7872</t>
  </si>
  <si>
    <t>34x64"</t>
  </si>
  <si>
    <t>3/21/2022</t>
  </si>
  <si>
    <t>34381036-000-033</t>
  </si>
  <si>
    <t>MP40-8089</t>
  </si>
  <si>
    <t>12/14/2022</t>
  </si>
  <si>
    <t>CSNSTORES,HDDS,KOHLDSN,MACY02</t>
  </si>
  <si>
    <t>34381036-000-044</t>
  </si>
  <si>
    <t>1/4/2023</t>
  </si>
  <si>
    <t>MP40-7925</t>
  </si>
  <si>
    <t>Basketweave Room Darkening Curtain Panel Pair</t>
  </si>
  <si>
    <t>2-PK 40x84"</t>
  </si>
  <si>
    <t>PP001307;PF004746</t>
  </si>
  <si>
    <t>40253096-000-002</t>
  </si>
  <si>
    <t>8/11/2022</t>
  </si>
  <si>
    <t>MP40-7750</t>
  </si>
  <si>
    <t>11/23/2021</t>
  </si>
  <si>
    <t>34381036-000-025</t>
  </si>
  <si>
    <t>11/29/2021</t>
  </si>
  <si>
    <t>12/3/2021</t>
  </si>
  <si>
    <t>MP40-6553</t>
  </si>
  <si>
    <t>34381036-000-001</t>
  </si>
  <si>
    <t>9/18/2019</t>
  </si>
  <si>
    <t>MP40-7989</t>
  </si>
  <si>
    <t>Basketweave Total Blackout Roman Shade</t>
  </si>
  <si>
    <t>27x64" Blackout</t>
  </si>
  <si>
    <t>AMAZONDS,CSNSTORES,DESINC,HDDS,JCPENNEY01</t>
  </si>
  <si>
    <t>40328911-000-002</t>
  </si>
  <si>
    <t>MP40-7990</t>
  </si>
  <si>
    <t>31x64" Blackout</t>
  </si>
  <si>
    <t>AMAZONDS,CSNSTORES,HDDS,JCPENNEY01,KOHLDSN,NRTPORT</t>
  </si>
  <si>
    <t>40328911-000-001</t>
  </si>
  <si>
    <t>6/29/2023</t>
  </si>
  <si>
    <t>MP40-7991</t>
  </si>
  <si>
    <t>35x64" Blackout</t>
  </si>
  <si>
    <t>AMAZONDS,CSNSTORES,DESINC,HDDS,JCPENNEY01,KOHLDSN,NRTPORT</t>
  </si>
  <si>
    <t>40328911-000-003</t>
  </si>
  <si>
    <t>MP40-7323</t>
  </si>
  <si>
    <t>PP001307;PF005660</t>
  </si>
  <si>
    <t>AMAZON,AMAZONDS,BLK01,CSNSTORES,HDDS,JCPENNEY01,KOHLDSN,OLLIIX,TGTDVS</t>
  </si>
  <si>
    <t>34381036-000-018</t>
  </si>
  <si>
    <t>1/14/2021</t>
  </si>
  <si>
    <t>MP40-7326</t>
  </si>
  <si>
    <t>AMAZON,AMAZONDS,CSNSTORES,HDDS,JCPENNEY01,KOHLDSN,OLLIIX,TGTDVS</t>
  </si>
  <si>
    <t>34381036-000-022</t>
  </si>
  <si>
    <t>1/6/2021</t>
  </si>
  <si>
    <t>MP40-7865</t>
  </si>
  <si>
    <t>PP001307;PF005195</t>
  </si>
  <si>
    <t>AMAZONDS,CSNSTORES,HDDS,JCPENNEY01,KOHLDSN</t>
  </si>
  <si>
    <t>34381036-000-038</t>
  </si>
  <si>
    <t>4/12/2022</t>
  </si>
  <si>
    <t>MP40-7225</t>
  </si>
  <si>
    <t>9/2/2020</t>
  </si>
  <si>
    <t>AMAZON,AMAZONDS,CSNSTORES,HDDS,JCPENNEY01,KIRKLANDDS,KOHLDSN,TGTDVS</t>
  </si>
  <si>
    <t>34381036-000-014</t>
  </si>
  <si>
    <t>9/1/2020</t>
  </si>
  <si>
    <t>MP40-7987</t>
  </si>
  <si>
    <t>40328911-000-008</t>
  </si>
  <si>
    <t>3/29/2023</t>
  </si>
  <si>
    <t>CCL10-0015</t>
  </si>
  <si>
    <t>Galleria</t>
  </si>
  <si>
    <t>4 Piece Brown Comforter Set</t>
  </si>
  <si>
    <t>Patchwork</t>
  </si>
  <si>
    <t>10/25/2022</t>
  </si>
  <si>
    <t>BLK01,CSNSTORES,KOHLDSN,MACY02,OLLIIX</t>
  </si>
  <si>
    <t>42181772-000-004</t>
  </si>
  <si>
    <t>FPF20-0279</t>
  </si>
  <si>
    <t>Garbo</t>
  </si>
  <si>
    <t>Sydney</t>
  </si>
  <si>
    <t>London</t>
  </si>
  <si>
    <t>Captains Dining Chair</t>
  </si>
  <si>
    <t>PF000777;PP000163</t>
  </si>
  <si>
    <t>CASTLEGATE,CSNSTORES,JCPENNEY01,KOHLDSN,OLLIIX</t>
  </si>
  <si>
    <t>17681035-000-000</t>
  </si>
  <si>
    <t>II150-0131</t>
  </si>
  <si>
    <t>Gardham</t>
  </si>
  <si>
    <t>8-Light Sputnik Sphere Chandelier</t>
  </si>
  <si>
    <t>40565600-000-000</t>
  </si>
  <si>
    <t>CSP51N-1530</t>
  </si>
  <si>
    <t>Gauze</t>
  </si>
  <si>
    <t>100% Cotton Lightweight Blanket</t>
  </si>
  <si>
    <t>PP001581;PF006165</t>
  </si>
  <si>
    <t>2/13/2024</t>
  </si>
  <si>
    <t>AMAZON,CSNSTORES,KOHLDSN,OLLIIX,TGTDVS,ZOLA</t>
  </si>
  <si>
    <t>37310914-000-010</t>
  </si>
  <si>
    <t>3/20/2024</t>
  </si>
  <si>
    <t>5/3/2024</t>
  </si>
  <si>
    <t>CSP51N-1531</t>
  </si>
  <si>
    <t>HDDS,KOHLDSN,MACY02,OLLIIX,TGTDVS</t>
  </si>
  <si>
    <t>37310914-000-009</t>
  </si>
  <si>
    <t>CCA13-0009</t>
  </si>
  <si>
    <t>Gema</t>
  </si>
  <si>
    <t>3 Piece Grey Coverlet Set</t>
  </si>
  <si>
    <t>AMAZON,CSNSTORES,DLCROSCILL,JCPENNEY01,MACY02,OLLIIX</t>
  </si>
  <si>
    <t>42041895-000-002</t>
  </si>
  <si>
    <t>CCA11-0012</t>
  </si>
  <si>
    <t>CSNSTORES,DLCROSCILL,MACY02,OLLIIX</t>
  </si>
  <si>
    <t>42067027-000-000</t>
  </si>
  <si>
    <t>CCA13-0007</t>
  </si>
  <si>
    <t>3 Piece White Coverlet Set</t>
  </si>
  <si>
    <t>Soft White</t>
  </si>
  <si>
    <t>42041895-000-003</t>
  </si>
  <si>
    <t>9/25/2023</t>
  </si>
  <si>
    <t>CCA11-0011</t>
  </si>
  <si>
    <t>42067027-000-001</t>
  </si>
  <si>
    <t>MP40-1594</t>
  </si>
  <si>
    <t>Gemma</t>
  </si>
  <si>
    <t>Kida</t>
  </si>
  <si>
    <t>Vera</t>
  </si>
  <si>
    <t>Sheer Embroidered Window Curtain</t>
  </si>
  <si>
    <t>PF004018</t>
  </si>
  <si>
    <t>BLK01,CSNSTORES,FINGERHUTDS,JCPENNEY01,KOHLDSN,OLLIIX,TGTDVS</t>
  </si>
  <si>
    <t>17488496-000-000</t>
  </si>
  <si>
    <t>7/28/2015</t>
  </si>
  <si>
    <t>MP10-8283</t>
  </si>
  <si>
    <t>Ada</t>
  </si>
  <si>
    <t>4 Piece Floral Comforter Set with Throw Pillow</t>
  </si>
  <si>
    <t>White/Multi</t>
  </si>
  <si>
    <t>PF006061;PP001899</t>
  </si>
  <si>
    <t>11/14/2023</t>
  </si>
  <si>
    <t>AMAZON,AMERSIGNDS,CSNSTORES,DESINC,JCPENNEY01,KOHLDSN,MACY02,TGTDVS</t>
  </si>
  <si>
    <t>43000614-000-001</t>
  </si>
  <si>
    <t>11/16/2023</t>
  </si>
  <si>
    <t>MP12-8286</t>
  </si>
  <si>
    <t>3 Piece Floral Duvet Cover Set</t>
  </si>
  <si>
    <t>42820354-000-000</t>
  </si>
  <si>
    <t>PET63PT6028</t>
  </si>
  <si>
    <t>Geo</t>
  </si>
  <si>
    <t>Pet Throw</t>
  </si>
  <si>
    <t>Navy/Grey</t>
  </si>
  <si>
    <t>4/14/2023</t>
  </si>
  <si>
    <t>43822302-000-000</t>
  </si>
  <si>
    <t>MP10-8546</t>
  </si>
  <si>
    <t>Gia</t>
  </si>
  <si>
    <t>Margot</t>
  </si>
  <si>
    <t>Solid Faux Fur Comforter Mini Set</t>
  </si>
  <si>
    <t>PP001110;PF006430</t>
  </si>
  <si>
    <t>BLK01,KOHLDSN,TGTDVS</t>
  </si>
  <si>
    <t>32785666-000-011</t>
  </si>
  <si>
    <t>MP10-8543</t>
  </si>
  <si>
    <t>PP001110;PF006429</t>
  </si>
  <si>
    <t>32785666-000-007</t>
  </si>
  <si>
    <t>UH95C-0002</t>
  </si>
  <si>
    <t>Gilded Feathers</t>
  </si>
  <si>
    <t>Gold Foil 2-piece Canvas Wall Art Set</t>
  </si>
  <si>
    <t>PF001877</t>
  </si>
  <si>
    <t>AMAZON,AMAZONDS,BLK01,CSNSTORES,KIRKLANDDS,OLLIIX,TGTDVS</t>
  </si>
  <si>
    <t>19507335-000-000</t>
  </si>
  <si>
    <t>9/14/2016</t>
  </si>
  <si>
    <t>10/5/2016</t>
  </si>
  <si>
    <t>MT95G-0081</t>
  </si>
  <si>
    <t>Gilded Nature</t>
  </si>
  <si>
    <t>Gold Metallic Leaf Panel Framed Graphic Wall Decor 3-Piece Set</t>
  </si>
  <si>
    <t>Black/Gold</t>
  </si>
  <si>
    <t>MT Lily Pond</t>
  </si>
  <si>
    <t>2/7/2024</t>
  </si>
  <si>
    <t>43651869-000-000</t>
  </si>
  <si>
    <t>3/3/2024</t>
  </si>
  <si>
    <t>MT95G-0087</t>
  </si>
  <si>
    <t>Gilded Trio</t>
  </si>
  <si>
    <t>Gold Metallic Leaf Square Framed Graphic Wall Decor 3-Piece Set</t>
  </si>
  <si>
    <t>43651870-000-000</t>
  </si>
  <si>
    <t>MP35-7562</t>
  </si>
  <si>
    <t>Kathryn</t>
  </si>
  <si>
    <t>Aimee</t>
  </si>
  <si>
    <t>Abstract Wave Area Rug</t>
  </si>
  <si>
    <t>9/16/2021</t>
  </si>
  <si>
    <t>AMAZONDS,BIGLOTSDS,BLK01,CSNSTORES,JCPENNEY01,KOHLDSN,OLLIIX</t>
  </si>
  <si>
    <t>38878885-000-000</t>
  </si>
  <si>
    <t>10/27/2021</t>
  </si>
  <si>
    <t>MP35-7564</t>
  </si>
  <si>
    <t>BIGLOTSDS,CSNSTORES,DESINC,JCPENNEY01,OLLIIX</t>
  </si>
  <si>
    <t>38878885-000-001</t>
  </si>
  <si>
    <t>10/25/2021</t>
  </si>
  <si>
    <t>MP35-7563</t>
  </si>
  <si>
    <t>BIGLOTSDS,BLK01,DESINC,HDDS,JCPENNEY01,KOHLDSN,OLLIIX</t>
  </si>
  <si>
    <t>38878885-000-002</t>
  </si>
  <si>
    <t>II153-0146</t>
  </si>
  <si>
    <t>Grace Ivy</t>
  </si>
  <si>
    <t>Textured Dot Table Lamp</t>
  </si>
  <si>
    <t>6/9/2023</t>
  </si>
  <si>
    <t>AMAZON,AMAZONDS,HDDS,HOUZZ,JCPENNEY01,KOHLDSN,OLLIIX,ROOMECOM,TGTDVS</t>
  </si>
  <si>
    <t>41728194-000-000</t>
  </si>
  <si>
    <t>6/11/2023</t>
  </si>
  <si>
    <t>6/28/2023</t>
  </si>
  <si>
    <t>MP13-8190</t>
  </si>
  <si>
    <t>Graham</t>
  </si>
  <si>
    <t>Halston</t>
  </si>
  <si>
    <t>3 Piece Jacquard Patchwork Quilt Set</t>
  </si>
  <si>
    <t>PP001849;PF005922</t>
  </si>
  <si>
    <t>41028484-000-001</t>
  </si>
  <si>
    <t>1/27/2023</t>
  </si>
  <si>
    <t>8/23/2023</t>
  </si>
  <si>
    <t>DLFBA40-0006</t>
  </si>
  <si>
    <t>Grasscloth</t>
  </si>
  <si>
    <t>Foam Back Panel Pair</t>
  </si>
  <si>
    <t>40x95"</t>
  </si>
  <si>
    <t>5/12/2017</t>
  </si>
  <si>
    <t>43972757-000-000</t>
  </si>
  <si>
    <t>5/19/2024</t>
  </si>
  <si>
    <t>MP101-1164</t>
  </si>
  <si>
    <t>Cocktail Ottoman</t>
  </si>
  <si>
    <t>Greenwich</t>
  </si>
  <si>
    <t>Orrell</t>
  </si>
  <si>
    <t>Padma</t>
  </si>
  <si>
    <t>Square Shape Button-tufted Upholstered Metal Base Ottoman/Coffee Table</t>
  </si>
  <si>
    <t>4/19/2022</t>
  </si>
  <si>
    <t>CSNSTORES,KOHLDSN,MACY02F,OLLIIX</t>
  </si>
  <si>
    <t>39940830-000-000</t>
  </si>
  <si>
    <t>5/10/2022</t>
  </si>
  <si>
    <t>UH95C-0020</t>
  </si>
  <si>
    <t>Grey Rock Garden</t>
  </si>
  <si>
    <t>Gel Coat Framed Canvas 2 Piece Set</t>
  </si>
  <si>
    <t>PP000611</t>
  </si>
  <si>
    <t>10/12/2017</t>
  </si>
  <si>
    <t>25582616-000-000</t>
  </si>
  <si>
    <t>1/5/2018</t>
  </si>
  <si>
    <t>7/11/2018</t>
  </si>
  <si>
    <t>MP95C-0330</t>
  </si>
  <si>
    <t>Grumpy Cats</t>
  </si>
  <si>
    <t>I Don't Care Canvas Wall Art</t>
  </si>
  <si>
    <t>I Don't Care/Multi</t>
  </si>
  <si>
    <t>1/6/2024</t>
  </si>
  <si>
    <t>43440164-000-005</t>
  </si>
  <si>
    <t>MP95C-0335</t>
  </si>
  <si>
    <t>I'm Not Listening Canvas Wall Art</t>
  </si>
  <si>
    <t>I'm Not Listening/Multi</t>
  </si>
  <si>
    <t>43440164-000-006</t>
  </si>
  <si>
    <t>MP95C-0332</t>
  </si>
  <si>
    <t>I'm Not Your Therapist Canvas Wall Art</t>
  </si>
  <si>
    <t>I'm Not Your Therapist/Multi</t>
  </si>
  <si>
    <t>43440164-000-000</t>
  </si>
  <si>
    <t>MP95C-0331</t>
  </si>
  <si>
    <t>My House, My Rules Canvas Wall Art</t>
  </si>
  <si>
    <t>My House, My Rules/Multi</t>
  </si>
  <si>
    <t>43440164-000-003</t>
  </si>
  <si>
    <t>MP95C-0329</t>
  </si>
  <si>
    <t>Not Today Canvas Wall Art</t>
  </si>
  <si>
    <t>Not Today/Multi</t>
  </si>
  <si>
    <t>43440164-000-004</t>
  </si>
  <si>
    <t>MP95C-0334</t>
  </si>
  <si>
    <t>Whatever Canvas Wall Art</t>
  </si>
  <si>
    <t>Whatever/Multi</t>
  </si>
  <si>
    <t>43440164-000-002</t>
  </si>
  <si>
    <t>MP95C-0333</t>
  </si>
  <si>
    <t>You Wish Canvas Wall Art</t>
  </si>
  <si>
    <t>You Wish/Multi</t>
  </si>
  <si>
    <t>43440164-000-001</t>
  </si>
  <si>
    <t>BR13-3872</t>
  </si>
  <si>
    <t>Guthrie</t>
  </si>
  <si>
    <t>3 Piece Striated Cationic Dyed Oversized Quilt Set</t>
  </si>
  <si>
    <t>PP001829;PF005871</t>
  </si>
  <si>
    <t>11/28/2022</t>
  </si>
  <si>
    <t>40849411-000-000</t>
  </si>
  <si>
    <t>12/5/2022</t>
  </si>
  <si>
    <t>3/28/2023</t>
  </si>
  <si>
    <t>BR13-3874</t>
  </si>
  <si>
    <t>PP001829;PF005872</t>
  </si>
  <si>
    <t>40849411-000-002</t>
  </si>
  <si>
    <t>5/21/2023</t>
  </si>
  <si>
    <t>5DS153-0030</t>
  </si>
  <si>
    <t>Gypsy</t>
  </si>
  <si>
    <t>Embossed Boho Table Lamp</t>
  </si>
  <si>
    <t>12/7/2018</t>
  </si>
  <si>
    <t>CSNSTORES,HDDS,KIRKLANDDS,KOHLDSN,OLLIIX,ROOMECOM,TGTDVS,Zulily</t>
  </si>
  <si>
    <t>31694933-000-000</t>
  </si>
  <si>
    <t>1/11/2019</t>
  </si>
  <si>
    <t>1/29/2019</t>
  </si>
  <si>
    <t>MP35-7591</t>
  </si>
  <si>
    <t>Haley</t>
  </si>
  <si>
    <t>Alexandria</t>
  </si>
  <si>
    <t>Emily</t>
  </si>
  <si>
    <t>Cozy Shag Abstract Area Rug</t>
  </si>
  <si>
    <t>Grey/Cream</t>
  </si>
  <si>
    <t>6/21/2021</t>
  </si>
  <si>
    <t>38754848-000-001</t>
  </si>
  <si>
    <t>1/9/2023</t>
  </si>
  <si>
    <t>MP35-7590</t>
  </si>
  <si>
    <t>Runner</t>
  </si>
  <si>
    <t>38754848-000-000</t>
  </si>
  <si>
    <t>2/16/2023</t>
  </si>
  <si>
    <t>MP104-1047</t>
  </si>
  <si>
    <t>Hancock</t>
  </si>
  <si>
    <t>Irvine</t>
  </si>
  <si>
    <t>Silloth</t>
  </si>
  <si>
    <t>High Wingback Button Tufted Upholstered 27" Swivel Counter Stool with Nailhead Accent</t>
  </si>
  <si>
    <t>8/10/2020</t>
  </si>
  <si>
    <t>AMERSIGNDS,KOHLDSN,LAMPDS</t>
  </si>
  <si>
    <t>25456816-000-002</t>
  </si>
  <si>
    <t>9/7/2020</t>
  </si>
  <si>
    <t>MP35-7577</t>
  </si>
  <si>
    <t>Reese</t>
  </si>
  <si>
    <t>Jessica</t>
  </si>
  <si>
    <t>Moroccan Global Woven Area Rug</t>
  </si>
  <si>
    <t>38658555-000-003</t>
  </si>
  <si>
    <t>MP35-7578</t>
  </si>
  <si>
    <t>BIGLOTSDS,BLK01,CSNSTORES,JCPENNEY01,KIRKLANDDS,OLLIIX</t>
  </si>
  <si>
    <t>38658555-000-001</t>
  </si>
  <si>
    <t>6/19/2024</t>
  </si>
  <si>
    <t>MP35-7579</t>
  </si>
  <si>
    <t>BIGLOTSDS,BLK01,CSNSTORES,JCPENNEY01,KIRKLANDDS,KOHLDSN,NRTPORT</t>
  </si>
  <si>
    <t>38658555-000-002</t>
  </si>
  <si>
    <t>2/8/2024</t>
  </si>
  <si>
    <t>MP35-8018</t>
  </si>
  <si>
    <t>PF005776;PP001793</t>
  </si>
  <si>
    <t>38658555-000-007</t>
  </si>
  <si>
    <t>MP35-8020</t>
  </si>
  <si>
    <t>BLK01,CSNSTORES,KIRKLANDDS,KOHLDSN</t>
  </si>
  <si>
    <t>38658555-000-005</t>
  </si>
  <si>
    <t>MP35-8022</t>
  </si>
  <si>
    <t>CSNSTORES,JCPENNEY01,KIRKLANDDS,OLLIIX</t>
  </si>
  <si>
    <t>38658555-000-012</t>
  </si>
  <si>
    <t>12/3/2022</t>
  </si>
  <si>
    <t>FPF18-0403</t>
  </si>
  <si>
    <t>Isa</t>
  </si>
  <si>
    <t>Lilith</t>
  </si>
  <si>
    <t>Button Tufted Wing Chair</t>
  </si>
  <si>
    <t>PF000694;PP000170</t>
  </si>
  <si>
    <t>CSNSTORES,HDDS,MACY02F,OLLIIX,TGTDVS</t>
  </si>
  <si>
    <t>18800681-000-000</t>
  </si>
  <si>
    <t>MP13-8307</t>
  </si>
  <si>
    <t>Harlow</t>
  </si>
  <si>
    <t>Raine</t>
  </si>
  <si>
    <t>Lux</t>
  </si>
  <si>
    <t>3 Piece Reversible Matelasse Coverlet Set</t>
  </si>
  <si>
    <t>PP001908;PF006089</t>
  </si>
  <si>
    <t>42825150-000-003</t>
  </si>
  <si>
    <t>MP13-8309</t>
  </si>
  <si>
    <t>Indigo</t>
  </si>
  <si>
    <t>PP001908;PF006090</t>
  </si>
  <si>
    <t>10/26/2023</t>
  </si>
  <si>
    <t>JCPENNEY01,TGTDVS</t>
  </si>
  <si>
    <t>42825150-000-001</t>
  </si>
  <si>
    <t>5/1/2024</t>
  </si>
  <si>
    <t>MP13-8310</t>
  </si>
  <si>
    <t>42825150-000-000</t>
  </si>
  <si>
    <t>MP40-4489</t>
  </si>
  <si>
    <t>Harper</t>
  </si>
  <si>
    <t>Kaylee</t>
  </si>
  <si>
    <t>Solid Crushed Curtain Panel Pair</t>
  </si>
  <si>
    <t>PF003908</t>
  </si>
  <si>
    <t>7/14/2017</t>
  </si>
  <si>
    <t>AMAZONDS,BLK01,JCPENNEY01,KOHLDSN,OLLIIX,TGTDVS</t>
  </si>
  <si>
    <t>23304113-000-005</t>
  </si>
  <si>
    <t>7/28/2017</t>
  </si>
  <si>
    <t>8/22/2017</t>
  </si>
  <si>
    <t>MP40-4525</t>
  </si>
  <si>
    <t>PF003909</t>
  </si>
  <si>
    <t>AMAZON,AMAZONDS,BLK01,CSNSTORES,DESINC,JCPENNEY01,KOHLDSN,TGTDVS,WALMARTDS</t>
  </si>
  <si>
    <t>23304113-000-021</t>
  </si>
  <si>
    <t>10/3/2017</t>
  </si>
  <si>
    <t>MP40-4485</t>
  </si>
  <si>
    <t>PF003910</t>
  </si>
  <si>
    <t>23304113-000-001</t>
  </si>
  <si>
    <t>11/10/2017</t>
  </si>
  <si>
    <t>MP40-4486</t>
  </si>
  <si>
    <t>CSNSTORES,DESINC,JCPENNEY01,KOHLDSN,OLLIIX</t>
  </si>
  <si>
    <t>23304113-000-002</t>
  </si>
  <si>
    <t>9/7/2017</t>
  </si>
  <si>
    <t>CH10-013</t>
  </si>
  <si>
    <t>Oversized Cotton Matelasse Comforter Set</t>
  </si>
  <si>
    <t>PF006289</t>
  </si>
  <si>
    <t>9/12/2024</t>
  </si>
  <si>
    <t>CH10-014</t>
  </si>
  <si>
    <t>MP40-4501</t>
  </si>
  <si>
    <t>PF003912</t>
  </si>
  <si>
    <t>AMAZON,BLK01,CSNSTORES,DESINC,JCPENNEY01,KOHLDSN,OLLIIX,WALMARTDS</t>
  </si>
  <si>
    <t>23304113-000-017</t>
  </si>
  <si>
    <t>MP40-4502</t>
  </si>
  <si>
    <t>DESINC,JCPENNEY01,KOHLDSN</t>
  </si>
  <si>
    <t>23304113-000-018</t>
  </si>
  <si>
    <t>MP50-8242</t>
  </si>
  <si>
    <t>Haven</t>
  </si>
  <si>
    <t>Amaya</t>
  </si>
  <si>
    <t>Faux Fur Throw 50x60"</t>
  </si>
  <si>
    <t>PP001877;PF005989</t>
  </si>
  <si>
    <t>7/6/2023</t>
  </si>
  <si>
    <t>BLK01,CSNSTORES,JCPENNEY01,KOHLDSN,MACY02,OLLIIX,TGTDVS,Zulily</t>
  </si>
  <si>
    <t>42014984-000-002</t>
  </si>
  <si>
    <t>7/24/2023</t>
  </si>
  <si>
    <t>10/29/2023</t>
  </si>
  <si>
    <t>MP40-7235</t>
  </si>
  <si>
    <t>Hayden</t>
  </si>
  <si>
    <t>Jasper</t>
  </si>
  <si>
    <t>Jacey</t>
  </si>
  <si>
    <t>Woven Faux Linen Striped Window Sheer</t>
  </si>
  <si>
    <t>Neutral</t>
  </si>
  <si>
    <t>PF005205;PP001544</t>
  </si>
  <si>
    <t>9/5/2020</t>
  </si>
  <si>
    <t>CSNSTORES,JCPENNEY01,KOHLDSN,OLLIIX,TGTDVS,WALMARTDS</t>
  </si>
  <si>
    <t>22976432-000-006</t>
  </si>
  <si>
    <t>9/14/2020</t>
  </si>
  <si>
    <t>BR54-0896</t>
  </si>
  <si>
    <t>Elect Blanket</t>
  </si>
  <si>
    <t>Heated Berber Wrap</t>
  </si>
  <si>
    <t>Beautyrest - Soft Sherpa Heated Blanket Wrap - Lattice Pattern - 50" x 64" - Lattice Lavender - With 3-Setting Heat Controller</t>
  </si>
  <si>
    <t>50x64"</t>
  </si>
  <si>
    <t>10/21/2018</t>
  </si>
  <si>
    <t>BR54-0389</t>
  </si>
  <si>
    <t>Heated Microlight to Berber</t>
  </si>
  <si>
    <t>PF003604</t>
  </si>
  <si>
    <t>Berber</t>
  </si>
  <si>
    <t>AMAZON,AMAZONDS,BLK01,CSNSTORES,HDDS,HSNDS,KOHLDSN,MACY02,OLLIIX,TGTDVS</t>
  </si>
  <si>
    <t>16659779-000-012</t>
  </si>
  <si>
    <t>CS54-0999</t>
  </si>
  <si>
    <t>Electric Throw Wrap</t>
  </si>
  <si>
    <t>Heated Wrap Sock Set</t>
  </si>
  <si>
    <t>Heated Wrap with Sock Set</t>
  </si>
  <si>
    <t>PP001383;PF004912</t>
  </si>
  <si>
    <t>34433362-000-002</t>
  </si>
  <si>
    <t>10/14/2019</t>
  </si>
  <si>
    <t>TN10-0539</t>
  </si>
  <si>
    <t>Down Comforter Filler</t>
  </si>
  <si>
    <t>Heavy Warmth</t>
  </si>
  <si>
    <t>Goose Feather and Down Oversize Comforter</t>
  </si>
  <si>
    <t>PP001803;PF006107</t>
  </si>
  <si>
    <t>11/28/2023</t>
  </si>
  <si>
    <t>40804196-000-004</t>
  </si>
  <si>
    <t>11/27/2023</t>
  </si>
  <si>
    <t>TN10-0537</t>
  </si>
  <si>
    <t>PP001803;PF006106</t>
  </si>
  <si>
    <t>40804196-000-006</t>
  </si>
  <si>
    <t>12/3/2023</t>
  </si>
  <si>
    <t>MPS104-0301</t>
  </si>
  <si>
    <t>Helena</t>
  </si>
  <si>
    <t>25.5" Upholstered Counter Stool</t>
  </si>
  <si>
    <t>39542447-000-000</t>
  </si>
  <si>
    <t>9/13/2022</t>
  </si>
  <si>
    <t>II104-0463</t>
  </si>
  <si>
    <t>Henrick</t>
  </si>
  <si>
    <t>Grey Multi</t>
  </si>
  <si>
    <t>1/10/2022</t>
  </si>
  <si>
    <t>39490814-000-000</t>
  </si>
  <si>
    <t>HH12-1878</t>
  </si>
  <si>
    <t>Herbal</t>
  </si>
  <si>
    <t>5 Piece Cotton Sateen Print Duvet Set</t>
  </si>
  <si>
    <t>4/2/2025</t>
  </si>
  <si>
    <t>HH10-1875</t>
  </si>
  <si>
    <t>6 Piece Cotton Sateen Print Oversized Comforter Set</t>
  </si>
  <si>
    <t>HH10-1876</t>
  </si>
  <si>
    <t>HH12-1879</t>
  </si>
  <si>
    <t>HH10-1877</t>
  </si>
  <si>
    <t>MP104-1208</t>
  </si>
  <si>
    <t>Hermosa</t>
  </si>
  <si>
    <t>Carmel</t>
  </si>
  <si>
    <t>Rosita</t>
  </si>
  <si>
    <t>Woven Counter Stool 25"</t>
  </si>
  <si>
    <t>38796271-000-001</t>
  </si>
  <si>
    <t>4/17/2023</t>
  </si>
  <si>
    <t>BASI16-0237</t>
  </si>
  <si>
    <t>Highline</t>
  </si>
  <si>
    <t>Montview</t>
  </si>
  <si>
    <t>3M Microfiber Mattress Pad</t>
  </si>
  <si>
    <t>PF002082</t>
  </si>
  <si>
    <t>BIGLOTSDS,CSNSTORES,JCPENNEY01,KOHLDSN,MACY02,NRTPORT,OLLIIX,TGTDVS</t>
  </si>
  <si>
    <t>16347369-000-001</t>
  </si>
  <si>
    <t>MP103-0247</t>
  </si>
  <si>
    <t>Hoffman</t>
  </si>
  <si>
    <t>Lerna</t>
  </si>
  <si>
    <t>Thayer</t>
  </si>
  <si>
    <t>Beige Multi</t>
  </si>
  <si>
    <t>PF001107</t>
  </si>
  <si>
    <t>6/10/2017</t>
  </si>
  <si>
    <t>AMERSIGNDS,ASHFURNDS,CASTLEGATE,CSNSTORES,HDDS,KIRKLANDDS,KOHLDSN,MACY02F,OLLIIX,ROOMECOM</t>
  </si>
  <si>
    <t>22930392-000-000</t>
  </si>
  <si>
    <t>6/26/2017</t>
  </si>
  <si>
    <t>MPS154-0087</t>
  </si>
  <si>
    <t>Holloway</t>
  </si>
  <si>
    <t>3-Globe Light Floor Lamp with Marble Base</t>
  </si>
  <si>
    <t>AMAZONDS,CSNSTORES,JCPENNEY01,KOHLDSN,OLLIIX,TGTDVS</t>
  </si>
  <si>
    <t>24748570-000-000</t>
  </si>
  <si>
    <t>11/30/2017</t>
  </si>
  <si>
    <t>CS14-0207</t>
  </si>
  <si>
    <t>Howdy Hoots</t>
  </si>
  <si>
    <t>Quilt Set</t>
  </si>
  <si>
    <t>43954355-000-001</t>
  </si>
  <si>
    <t>CS14-0208</t>
  </si>
  <si>
    <t>43954355-000-000</t>
  </si>
  <si>
    <t>WR13-3474</t>
  </si>
  <si>
    <t>Quilt</t>
  </si>
  <si>
    <t>Oversized Cotton Quilt Mini Set</t>
  </si>
  <si>
    <t>PP001705;PF005622</t>
  </si>
  <si>
    <t>9/20/2021</t>
  </si>
  <si>
    <t>38897999-000-001</t>
  </si>
  <si>
    <t>9/27/2021</t>
  </si>
  <si>
    <t>10/19/2021</t>
  </si>
  <si>
    <t>WR10-3854</t>
  </si>
  <si>
    <t>Hudson Valley</t>
  </si>
  <si>
    <t>Grey/Black Buffalo Check</t>
  </si>
  <si>
    <t>PP001847;PF005908</t>
  </si>
  <si>
    <t>9/2/2022</t>
  </si>
  <si>
    <t>AMAZONDS,CSNSTORES,DESINC,JCPENNEY01,KOHLDSN,TGTDVS</t>
  </si>
  <si>
    <t>40366198-000-003</t>
  </si>
  <si>
    <t>9/9/2022</t>
  </si>
  <si>
    <t>10/31/2022</t>
  </si>
  <si>
    <t>UH95G-0034</t>
  </si>
  <si>
    <t>Humming Birds</t>
  </si>
  <si>
    <t>2-Piece Framed Graphics Wall Art Set</t>
  </si>
  <si>
    <t>AMAZON,CSNSTORES,LAMPDS,OLLIIX</t>
  </si>
  <si>
    <t>42149176-000-000</t>
  </si>
  <si>
    <t>MP100-1162</t>
  </si>
  <si>
    <t>Ian</t>
  </si>
  <si>
    <t>Upholstered Tufted Mid-Century Accent Chair</t>
  </si>
  <si>
    <t>5/3/2022</t>
  </si>
  <si>
    <t>39918901-000-000</t>
  </si>
  <si>
    <t>5/9/2022</t>
  </si>
  <si>
    <t>3/6/2023</t>
  </si>
  <si>
    <t>LAF04-0017</t>
  </si>
  <si>
    <t>II000133</t>
  </si>
  <si>
    <t>Cotton Solid Terry Robe</t>
  </si>
  <si>
    <t>S/M</t>
  </si>
  <si>
    <t>AMAZONDS,BLK01,JCPENNEY01,MACY02</t>
  </si>
  <si>
    <t>37254726-000-001</t>
  </si>
  <si>
    <t>12/16/2020</t>
  </si>
  <si>
    <t>12/28/2020</t>
  </si>
  <si>
    <t>II04-3016</t>
  </si>
  <si>
    <t>Cotton Terry Solid Robe</t>
  </si>
  <si>
    <t>L/XL</t>
  </si>
  <si>
    <t>Mint</t>
  </si>
  <si>
    <t>BLK01,JCPENNEY01,KIRKLANDDS,MACY02</t>
  </si>
  <si>
    <t>43658574-000-001</t>
  </si>
  <si>
    <t>II04-6823</t>
  </si>
  <si>
    <t>II000188</t>
  </si>
  <si>
    <t>Waffle Robe</t>
  </si>
  <si>
    <t>Blue 400</t>
  </si>
  <si>
    <t>43634614-000-000</t>
  </si>
  <si>
    <t>II04-6824</t>
  </si>
  <si>
    <t>43634614-000-005</t>
  </si>
  <si>
    <t>3/12/2024</t>
  </si>
  <si>
    <t>II04-6827</t>
  </si>
  <si>
    <t>Rose 661</t>
  </si>
  <si>
    <t>BLK01,JCPENNEY01,KOHLDSN,MACY02</t>
  </si>
  <si>
    <t>43634614-000-002</t>
  </si>
  <si>
    <t>II04-6828</t>
  </si>
  <si>
    <t>BLK01,CSNSTORES,JCPENNEY01,KIRKLANDDS,KOHLDSN,MACY02</t>
  </si>
  <si>
    <t>43634614-000-001</t>
  </si>
  <si>
    <t>II04-6825</t>
  </si>
  <si>
    <t>White 100</t>
  </si>
  <si>
    <t>43634614-000-004</t>
  </si>
  <si>
    <t>II04-6826</t>
  </si>
  <si>
    <t>43634614-000-003</t>
  </si>
  <si>
    <t>II04-3014</t>
  </si>
  <si>
    <t>II000350</t>
  </si>
  <si>
    <t>100% Cotton Solid Terry Wrap W/Straps(roll pack) W/Hanger</t>
  </si>
  <si>
    <t>43658575-000-000</t>
  </si>
  <si>
    <t>6/13/2024</t>
  </si>
  <si>
    <t>II04-2462</t>
  </si>
  <si>
    <t>100% Cotton Solid Terry Wrap W/Straps No Hanger (No roll pack)</t>
  </si>
  <si>
    <t>37254655-000-000</t>
  </si>
  <si>
    <t>2/2/2021</t>
  </si>
  <si>
    <t>II04-1260</t>
  </si>
  <si>
    <t>CSNSTORES,JCPENNEY01,KIRKLANDDS,MACY02</t>
  </si>
  <si>
    <t>43658576-000-000</t>
  </si>
  <si>
    <t>4/15/2024</t>
  </si>
  <si>
    <t>II04-6819</t>
  </si>
  <si>
    <t>II000380</t>
  </si>
  <si>
    <t>Waffle Wrap</t>
  </si>
  <si>
    <t>43634613-000-002</t>
  </si>
  <si>
    <t>II04-6820</t>
  </si>
  <si>
    <t>Mint 321</t>
  </si>
  <si>
    <t>43634613-000-000</t>
  </si>
  <si>
    <t>5/21/2024</t>
  </si>
  <si>
    <t>II04-6817</t>
  </si>
  <si>
    <t>43634613-000-001</t>
  </si>
  <si>
    <t>II04-1588</t>
  </si>
  <si>
    <t>II317125</t>
  </si>
  <si>
    <t>L/S Paisley Print Lite Micro 42" Robe</t>
  </si>
  <si>
    <t>Bedouin gray 057</t>
  </si>
  <si>
    <t>11/6/2017</t>
  </si>
  <si>
    <t>AMAZON,AMAZONDS,MACY02</t>
  </si>
  <si>
    <t>43663099-000-001</t>
  </si>
  <si>
    <t>3/7/2024</t>
  </si>
  <si>
    <t>II04-8041</t>
  </si>
  <si>
    <t>II422101</t>
  </si>
  <si>
    <t>Women's printed plush robe</t>
  </si>
  <si>
    <t>5/13/2022</t>
  </si>
  <si>
    <t>43663532-000-001</t>
  </si>
  <si>
    <t>II04-8045</t>
  </si>
  <si>
    <t>Winter Damask</t>
  </si>
  <si>
    <t>5/18/2022</t>
  </si>
  <si>
    <t>43663532-000-004</t>
  </si>
  <si>
    <t>II04-8046</t>
  </si>
  <si>
    <t>Winter Floral</t>
  </si>
  <si>
    <t>43663532-000-002</t>
  </si>
  <si>
    <t>II04-8047</t>
  </si>
  <si>
    <t>43663532-000-003</t>
  </si>
  <si>
    <t>II04-8101</t>
  </si>
  <si>
    <t>II422156</t>
  </si>
  <si>
    <t>Women's Zip front plush robe</t>
  </si>
  <si>
    <t>Chalky Rose</t>
  </si>
  <si>
    <t>AMAZONDS,KIRKLANDDS,MACY02</t>
  </si>
  <si>
    <t>43639017-000-004</t>
  </si>
  <si>
    <t>II04-8103</t>
  </si>
  <si>
    <t>43639017-000-017</t>
  </si>
  <si>
    <t>II04-8093</t>
  </si>
  <si>
    <t>XS</t>
  </si>
  <si>
    <t>Quiet Gray</t>
  </si>
  <si>
    <t>43639017-000-000</t>
  </si>
  <si>
    <t>II04-8094</t>
  </si>
  <si>
    <t>43639017-000-009</t>
  </si>
  <si>
    <t>II04-8095</t>
  </si>
  <si>
    <t>43639017-000-015</t>
  </si>
  <si>
    <t>4/16/2024</t>
  </si>
  <si>
    <t>II04-8097</t>
  </si>
  <si>
    <t>43639017-000-010</t>
  </si>
  <si>
    <t>II04-8098</t>
  </si>
  <si>
    <t>XXL</t>
  </si>
  <si>
    <t>43639017-000-011</t>
  </si>
  <si>
    <t>II04-8105</t>
  </si>
  <si>
    <t>Rich Concord</t>
  </si>
  <si>
    <t>43639017-000-008</t>
  </si>
  <si>
    <t>II04-8106</t>
  </si>
  <si>
    <t>43639017-000-012</t>
  </si>
  <si>
    <t>II04-8107</t>
  </si>
  <si>
    <t>43639017-000-016</t>
  </si>
  <si>
    <t>II04-8108</t>
  </si>
  <si>
    <t>43639017-000-001</t>
  </si>
  <si>
    <t>II04-8109</t>
  </si>
  <si>
    <t>43639017-000-003</t>
  </si>
  <si>
    <t>II04-8110</t>
  </si>
  <si>
    <t>43639017-000-007</t>
  </si>
  <si>
    <t>II04-9609</t>
  </si>
  <si>
    <t>IM222101</t>
  </si>
  <si>
    <t>XS/S IM222101 Robe</t>
  </si>
  <si>
    <t>XS/S</t>
  </si>
  <si>
    <t>Black 001</t>
  </si>
  <si>
    <t>43663098-000-013</t>
  </si>
  <si>
    <t>II04-9610</t>
  </si>
  <si>
    <t>M/L IM222101 Robe</t>
  </si>
  <si>
    <t>M/L</t>
  </si>
  <si>
    <t>43663098-000-006</t>
  </si>
  <si>
    <t>II04-9611</t>
  </si>
  <si>
    <t>XL/XXL IM222101 Robe</t>
  </si>
  <si>
    <t>XL/XXL</t>
  </si>
  <si>
    <t>43663098-000-002</t>
  </si>
  <si>
    <t>II04-8419</t>
  </si>
  <si>
    <t>Men cotton robe</t>
  </si>
  <si>
    <t>Claret 657</t>
  </si>
  <si>
    <t>11/4/2022</t>
  </si>
  <si>
    <t>43663098-000-001</t>
  </si>
  <si>
    <t>II04-8421</t>
  </si>
  <si>
    <t>AMAZONDS,BLK01,JCPENNEY01,KOHLDSN,MACY02</t>
  </si>
  <si>
    <t>43663098-000-014</t>
  </si>
  <si>
    <t>II04-8416</t>
  </si>
  <si>
    <t>Denim 459</t>
  </si>
  <si>
    <t>43663098-000-010</t>
  </si>
  <si>
    <t>II04-8417</t>
  </si>
  <si>
    <t>43663098-000-003</t>
  </si>
  <si>
    <t>II04-8410</t>
  </si>
  <si>
    <t>Med Navy 411</t>
  </si>
  <si>
    <t>43663098-000-004</t>
  </si>
  <si>
    <t>II04-8412</t>
  </si>
  <si>
    <t>AMAZONDS,BLK01,CSNSTORES,JCPENNEY01,KOHLDSN,MACY02</t>
  </si>
  <si>
    <t>43663098-000-009</t>
  </si>
  <si>
    <t>II04-8413</t>
  </si>
  <si>
    <t>Steel 030</t>
  </si>
  <si>
    <t>AMAZONDS,KOHLDSN,MACY02</t>
  </si>
  <si>
    <t>43663098-000-016</t>
  </si>
  <si>
    <t>II04-8415</t>
  </si>
  <si>
    <t>43663098-000-000</t>
  </si>
  <si>
    <t>4/4/2024</t>
  </si>
  <si>
    <t>II04-8407</t>
  </si>
  <si>
    <t>43663098-000-012</t>
  </si>
  <si>
    <t>II04-8408</t>
  </si>
  <si>
    <t>43663098-000-015</t>
  </si>
  <si>
    <t>II04-8409</t>
  </si>
  <si>
    <t>43663098-000-005</t>
  </si>
  <si>
    <t>8/6/2024</t>
  </si>
  <si>
    <t>II40-1350</t>
  </si>
  <si>
    <t>Imani</t>
  </si>
  <si>
    <t>Cotton Printed Curtain Panel with Chenille Stripe and Lining</t>
  </si>
  <si>
    <t>II40-1351</t>
  </si>
  <si>
    <t>II40-1352</t>
  </si>
  <si>
    <t>II40-1345</t>
  </si>
  <si>
    <t>Farm House|Light Filtering</t>
  </si>
  <si>
    <t>11/16/2024</t>
  </si>
  <si>
    <t>II10-1346</t>
  </si>
  <si>
    <t>Cotton Printed Comforter Set with Chenille</t>
  </si>
  <si>
    <t>Sage/Ivory</t>
  </si>
  <si>
    <t>1/27/2025</t>
  </si>
  <si>
    <t>II12-1348</t>
  </si>
  <si>
    <t>Cotton Printed Duvet Cover Set with Chenille</t>
  </si>
  <si>
    <t>II10-1347</t>
  </si>
  <si>
    <t>II12-1349</t>
  </si>
  <si>
    <t>II40-1344</t>
  </si>
  <si>
    <t>White/Navy</t>
  </si>
  <si>
    <t>II70-1319</t>
  </si>
  <si>
    <t>Cotton Printed Shower Curtain with Chenille</t>
  </si>
  <si>
    <t>PP000428;PF005760</t>
  </si>
  <si>
    <t>Casual|Farm House</t>
  </si>
  <si>
    <t>36737143-000-003</t>
  </si>
  <si>
    <t>MT95B-0065</t>
  </si>
  <si>
    <t>Indigo Shells</t>
  </si>
  <si>
    <t>Framed Sea Urchin Shadow Box Wall Decor</t>
  </si>
  <si>
    <t>PP001690</t>
  </si>
  <si>
    <t>AMAZON,CSNSTORES,JCPENNEY01,KIRKLANDDS,LAMPDS,OLLIIX,TGTDVS</t>
  </si>
  <si>
    <t>39266115-000-000</t>
  </si>
  <si>
    <t>3/8/2022</t>
  </si>
  <si>
    <t>MP40-1066</t>
  </si>
  <si>
    <t>Irina</t>
  </si>
  <si>
    <t>Iris</t>
  </si>
  <si>
    <t>Clarissa</t>
  </si>
  <si>
    <t>Diamond Sheer Window Curtain Panel</t>
  </si>
  <si>
    <t>PF004007</t>
  </si>
  <si>
    <t>16620318-000-002</t>
  </si>
  <si>
    <t>1/12/2015</t>
  </si>
  <si>
    <t>MP40-2334</t>
  </si>
  <si>
    <t>HDDS,KOHLDSN,TGTDVS</t>
  </si>
  <si>
    <t>16620318-000-005</t>
  </si>
  <si>
    <t>6/22/2016</t>
  </si>
  <si>
    <t>MP41-4941</t>
  </si>
  <si>
    <t>Diamond Sheer Embroidered Waterfall Valance</t>
  </si>
  <si>
    <t>AMAZON,ASHFURNDS,BIGLOTSDS,CSNSTORES,DESINC,JCPENNEY01,KOHLDSN,TGTDVS</t>
  </si>
  <si>
    <t>23864062-000-002</t>
  </si>
  <si>
    <t>MP40-2333</t>
  </si>
  <si>
    <t>PF004006</t>
  </si>
  <si>
    <t>BLK01,CSNSTORES,HDDS,JCPENNEY01,TGTDVS</t>
  </si>
  <si>
    <t>16620318-000-004</t>
  </si>
  <si>
    <t>2/26/2017</t>
  </si>
  <si>
    <t>MP40-4938</t>
  </si>
  <si>
    <t>Window Scarf</t>
  </si>
  <si>
    <t>Diamond Sheer Embroidered Window Scarf</t>
  </si>
  <si>
    <t>50x144"</t>
  </si>
  <si>
    <t>AMAZON,BLK01,CSNSTORES,DESINC,JCPENNEY01,KOHLDSN,WALMARTDS</t>
  </si>
  <si>
    <t>23864061-000-002</t>
  </si>
  <si>
    <t>10/20/2017</t>
  </si>
  <si>
    <t>MP41-4937</t>
  </si>
  <si>
    <t>BLK01,CSNSTORES,JCPENNEY01,KOHLDSN,OLLIIX</t>
  </si>
  <si>
    <t>23864062-000-001</t>
  </si>
  <si>
    <t>1/17/2018</t>
  </si>
  <si>
    <t>MP40-1064</t>
  </si>
  <si>
    <t>PF004005</t>
  </si>
  <si>
    <t>AMAZON,AMAZONDS,ASHFURNDS,HDDS,KOHLDSN,TGTDVS</t>
  </si>
  <si>
    <t>16620318-000-000</t>
  </si>
  <si>
    <t>MP41-4933</t>
  </si>
  <si>
    <t>23864062-000-000</t>
  </si>
  <si>
    <t>MP40-2331</t>
  </si>
  <si>
    <t>PF004008</t>
  </si>
  <si>
    <t>DESINC,KOHLDSN,NEBFUR01</t>
  </si>
  <si>
    <t>16620318-000-007</t>
  </si>
  <si>
    <t>8/4/2016</t>
  </si>
  <si>
    <t>MP40-4946</t>
  </si>
  <si>
    <t>AMAZON,AMAZONDS,BLK01,CSNSTORES,DESINC,JCPENNEY01,KOHLDSN,OLLIIX,TGTDVS</t>
  </si>
  <si>
    <t>23864061-000-006</t>
  </si>
  <si>
    <t>9/12/2017</t>
  </si>
  <si>
    <t>MP41-4945</t>
  </si>
  <si>
    <t>23864062-000-003</t>
  </si>
  <si>
    <t>10/23/2017</t>
  </si>
  <si>
    <t>UHK13-0224</t>
  </si>
  <si>
    <t>Urban Habitat Kids</t>
  </si>
  <si>
    <t>Kinsley</t>
  </si>
  <si>
    <t>Woodland Animals Reversible Cotton Quilt Set</t>
  </si>
  <si>
    <t>PF005316</t>
  </si>
  <si>
    <t>7/12/2023</t>
  </si>
  <si>
    <t>AMAZON,AMAZONDS,CSNSTORES,HDDS,JCPENNEY01,KOHLDSN,TGTDVS</t>
  </si>
  <si>
    <t>41988848-000-000</t>
  </si>
  <si>
    <t>7/17/2023</t>
  </si>
  <si>
    <t>MP104-1085</t>
  </si>
  <si>
    <t>Isadora</t>
  </si>
  <si>
    <t>Andrina</t>
  </si>
  <si>
    <t>Faustina</t>
  </si>
  <si>
    <t>Counter stool</t>
  </si>
  <si>
    <t>Brown/Gold</t>
  </si>
  <si>
    <t>CSNSTORES,MACY02F,OLLIIX</t>
  </si>
  <si>
    <t>37890065-000-000</t>
  </si>
  <si>
    <t>6/23/2021</t>
  </si>
  <si>
    <t>MT100-0018</t>
  </si>
  <si>
    <t>Isla</t>
  </si>
  <si>
    <t>Accent Armchair</t>
  </si>
  <si>
    <t>PP001282</t>
  </si>
  <si>
    <t>AMAZON,AMAZONDS,CSNSTORES,KIRKLANDDS,KOHLDSN,MACY02F,OLLIIX,Zulily</t>
  </si>
  <si>
    <t>34092817-000-000</t>
  </si>
  <si>
    <t>8/21/2019</t>
  </si>
  <si>
    <t>9/24/2019</t>
  </si>
  <si>
    <t>MT100-0163</t>
  </si>
  <si>
    <t>5/10/2021</t>
  </si>
  <si>
    <t>44063499-000-000</t>
  </si>
  <si>
    <t>MP12-5806</t>
  </si>
  <si>
    <t>Loleta</t>
  </si>
  <si>
    <t>Lian</t>
  </si>
  <si>
    <t>3 Piece Cotton Floral Printed Reversible Duvet Cover Set</t>
  </si>
  <si>
    <t>PF004254;PP000879</t>
  </si>
  <si>
    <t>BIGLOTSDS,BLK01,CSNSTORES,HOUZZ,JCPENNEY01,KOHLDSN,MACY02,NRTPORT,TGTDVS</t>
  </si>
  <si>
    <t>26979179-000-001</t>
  </si>
  <si>
    <t>4/27/2018</t>
  </si>
  <si>
    <t>TN54-0395</t>
  </si>
  <si>
    <t>Jacob</t>
  </si>
  <si>
    <t>Oversized Plaid Plush Heated Throw</t>
  </si>
  <si>
    <t>60x70"</t>
  </si>
  <si>
    <t>PP000961;PF004397</t>
  </si>
  <si>
    <t>7/20/2019</t>
  </si>
  <si>
    <t>AMAZON,BLK01,FINGERHUTDS,KOHLDSN,MACY02,NEBFUR01,OLLIIX,TGTDVS,WALMARTDS,ZOLA</t>
  </si>
  <si>
    <t>24111993-000-002</t>
  </si>
  <si>
    <t>9/25/2019</t>
  </si>
  <si>
    <t>MT100-1183</t>
  </si>
  <si>
    <t>Jada</t>
  </si>
  <si>
    <t>Upholstered Accent Chair</t>
  </si>
  <si>
    <t>11/2/2022</t>
  </si>
  <si>
    <t>40538354-000-000</t>
  </si>
  <si>
    <t>4/27/2023</t>
  </si>
  <si>
    <t>II115-0555</t>
  </si>
  <si>
    <t>Jameson</t>
  </si>
  <si>
    <t>Woven Faux Leather Bed Queen</t>
  </si>
  <si>
    <t>43333363-000-000</t>
  </si>
  <si>
    <t>MP10-8442</t>
  </si>
  <si>
    <t>Jasmine</t>
  </si>
  <si>
    <t>3 Piece Faux Fur Comforter Set</t>
  </si>
  <si>
    <t>PP001941;PF006188</t>
  </si>
  <si>
    <t>8/3/2024</t>
  </si>
  <si>
    <t>AMAZON,DESINC,OLLIIX</t>
  </si>
  <si>
    <t>44446474-000-000</t>
  </si>
  <si>
    <t>MP35-8046</t>
  </si>
  <si>
    <t>Larissa</t>
  </si>
  <si>
    <t>Vintage Medallion Woven Area Rug</t>
  </si>
  <si>
    <t>3x5' Scatter</t>
  </si>
  <si>
    <t>PP001796;PF005784</t>
  </si>
  <si>
    <t>40640331-000-001</t>
  </si>
  <si>
    <t>MP35-8048</t>
  </si>
  <si>
    <t>BLK01,KIRKLANDDS,NRTPORT</t>
  </si>
  <si>
    <t>40640331-000-000</t>
  </si>
  <si>
    <t>MP35-8049</t>
  </si>
  <si>
    <t>BLK01,KIRKLANDDS,OLLIIX</t>
  </si>
  <si>
    <t>40640331-000-003</t>
  </si>
  <si>
    <t>MPS10-598</t>
  </si>
  <si>
    <t>Javis</t>
  </si>
  <si>
    <t>Embroidery Oversized Duvet Style Comforter Set</t>
  </si>
  <si>
    <t>MPS10-599</t>
  </si>
  <si>
    <t>MPE10-1071</t>
  </si>
  <si>
    <t>Jaxon</t>
  </si>
  <si>
    <t>Deacon</t>
  </si>
  <si>
    <t>Ryder</t>
  </si>
  <si>
    <t>Stripe Comforter Set with Bed Sheets</t>
  </si>
  <si>
    <t>Green/Grey</t>
  </si>
  <si>
    <t>PP001834;PF006309</t>
  </si>
  <si>
    <t>40804241-000-015</t>
  </si>
  <si>
    <t>9/10/2024</t>
  </si>
  <si>
    <t>MPE10-1072</t>
  </si>
  <si>
    <t>40804241-000-018</t>
  </si>
  <si>
    <t>II151-0115</t>
  </si>
  <si>
    <t>Jaxson</t>
  </si>
  <si>
    <t>Metal Mesh Pendant</t>
  </si>
  <si>
    <t>39584122-000-000</t>
  </si>
  <si>
    <t>II153-0106</t>
  </si>
  <si>
    <t>Jayda</t>
  </si>
  <si>
    <t>Geometric Ceramic Table Lamp</t>
  </si>
  <si>
    <t>AMERSIGNDS,HDDS,JCPENNEY01,OLLIIX,ROOMECOM,TGTDVS</t>
  </si>
  <si>
    <t>39471169-000-000</t>
  </si>
  <si>
    <t>1/31/2022</t>
  </si>
  <si>
    <t>MP10-8321</t>
  </si>
  <si>
    <t>Jenson</t>
  </si>
  <si>
    <t>Denver</t>
  </si>
  <si>
    <t>Clement</t>
  </si>
  <si>
    <t>7 Piece Color Block Stripe Comforter Set with Throw Pillows</t>
  </si>
  <si>
    <t>PP001911;PF006094</t>
  </si>
  <si>
    <t>1/27/2024</t>
  </si>
  <si>
    <t>43474584-000-003</t>
  </si>
  <si>
    <t>MP10-8322</t>
  </si>
  <si>
    <t>43474584-000-001</t>
  </si>
  <si>
    <t>MP10-8323</t>
  </si>
  <si>
    <t>43474584-000-004</t>
  </si>
  <si>
    <t>MP10-8324</t>
  </si>
  <si>
    <t>PP001911;PF006095</t>
  </si>
  <si>
    <t>1/26/2024</t>
  </si>
  <si>
    <t>43474584-000-002</t>
  </si>
  <si>
    <t>1/30/2024</t>
  </si>
  <si>
    <t>MP10-8325</t>
  </si>
  <si>
    <t>43474584-000-005</t>
  </si>
  <si>
    <t>MP10-8326</t>
  </si>
  <si>
    <t>43474584-000-000</t>
  </si>
  <si>
    <t>II103-0578</t>
  </si>
  <si>
    <t>Jessel</t>
  </si>
  <si>
    <t>Shearling Sherpa Swivel Chair with Wood Base</t>
  </si>
  <si>
    <t>44986868-000-001</t>
  </si>
  <si>
    <t>II103-0579</t>
  </si>
  <si>
    <t>3/29/2025</t>
  </si>
  <si>
    <t>44986868-000-000</t>
  </si>
  <si>
    <t>II95C-0161</t>
  </si>
  <si>
    <t>Jeweled Geo</t>
  </si>
  <si>
    <t>Hand-Embellished Abstract 2-Piece Framed Canvas Wall Art Set</t>
  </si>
  <si>
    <t>TGTDVS</t>
  </si>
  <si>
    <t>43114604-000-000</t>
  </si>
  <si>
    <t>8/5/2024</t>
  </si>
  <si>
    <t>MP100-1219</t>
  </si>
  <si>
    <t>Josefine</t>
  </si>
  <si>
    <t>Percy</t>
  </si>
  <si>
    <t>Wilbur</t>
  </si>
  <si>
    <t>Spindle Accent Armchair with Removable Back Pillow</t>
  </si>
  <si>
    <t>CSNSTORES,OLLIIX,TGTDVS</t>
  </si>
  <si>
    <t>41594064-000-000</t>
  </si>
  <si>
    <t>5/15/2023</t>
  </si>
  <si>
    <t>MP10-8207</t>
  </si>
  <si>
    <t>Jules</t>
  </si>
  <si>
    <t>Alaina</t>
  </si>
  <si>
    <t>5 Piece Cotton Floral Comforter Set with Throw Pillows</t>
  </si>
  <si>
    <t>PP001865;PF005964</t>
  </si>
  <si>
    <t>41592115-000-000</t>
  </si>
  <si>
    <t>MP103-0246</t>
  </si>
  <si>
    <t>Julian</t>
  </si>
  <si>
    <t>Evanston</t>
  </si>
  <si>
    <t>Lenox</t>
  </si>
  <si>
    <t>Sand</t>
  </si>
  <si>
    <t>PF001106</t>
  </si>
  <si>
    <t>6/11/2017</t>
  </si>
  <si>
    <t>ASHFURNDS,CSNSTORES,JCPENNEY01,KIRKLANDDS,KOHLDSN,MACY02F,OLLIIX,ROOMECOM</t>
  </si>
  <si>
    <t>22858581-000-000</t>
  </si>
  <si>
    <t>6/22/2017</t>
  </si>
  <si>
    <t>8/15/2017</t>
  </si>
  <si>
    <t>SS40-0025</t>
  </si>
  <si>
    <t>Julie</t>
  </si>
  <si>
    <t>April</t>
  </si>
  <si>
    <t>Lila</t>
  </si>
  <si>
    <t>Printed Botanical Blackout Curtain Panel</t>
  </si>
  <si>
    <t>PF003952</t>
  </si>
  <si>
    <t>9/19/2017</t>
  </si>
  <si>
    <t>CSNSTORES,DESINC,JCPENNEY01,KOHLDSN,TGTDVS</t>
  </si>
  <si>
    <t>23998106-000-003</t>
  </si>
  <si>
    <t>9/17/2017</t>
  </si>
  <si>
    <t>CS13-1604</t>
  </si>
  <si>
    <t>Juliette</t>
  </si>
  <si>
    <t>Coverlet Set</t>
  </si>
  <si>
    <t>8/2/2022</t>
  </si>
  <si>
    <t>43948801-000-005</t>
  </si>
  <si>
    <t>CS13-1605</t>
  </si>
  <si>
    <t>43948801-000-000</t>
  </si>
  <si>
    <t>CS13-1606</t>
  </si>
  <si>
    <t>43948801-000-001</t>
  </si>
  <si>
    <t>CS13-1607</t>
  </si>
  <si>
    <t>43948801-000-004</t>
  </si>
  <si>
    <t>CS13-1608</t>
  </si>
  <si>
    <t>43948801-000-002</t>
  </si>
  <si>
    <t>CS13-1609</t>
  </si>
  <si>
    <t>43948801-000-003</t>
  </si>
  <si>
    <t>CCL10-0068</t>
  </si>
  <si>
    <t>Julius</t>
  </si>
  <si>
    <t>CCL10-0069</t>
  </si>
  <si>
    <t>CCL10-0070</t>
  </si>
  <si>
    <t>PET66TP6027</t>
  </si>
  <si>
    <t>Jumpi</t>
  </si>
  <si>
    <t>Dog Treat Pouch</t>
  </si>
  <si>
    <t>43808190-000-000</t>
  </si>
  <si>
    <t>MP95C-0337</t>
  </si>
  <si>
    <t>Jungle Feline</t>
  </si>
  <si>
    <t>Jungle Cheetah Canvas Wall Art</t>
  </si>
  <si>
    <t>Cheetah Green Multi</t>
  </si>
  <si>
    <t>43440165-000-000</t>
  </si>
  <si>
    <t>MP95C-0336</t>
  </si>
  <si>
    <t>Jungle Lion Canvas Wall Art</t>
  </si>
  <si>
    <t>Lion Green Multi</t>
  </si>
  <si>
    <t>43440165-000-001</t>
  </si>
  <si>
    <t>MP95C-0338</t>
  </si>
  <si>
    <t>Jungle Tiger Canvas Wall Art</t>
  </si>
  <si>
    <t>Tiger Green Multi</t>
  </si>
  <si>
    <t>43440165-000-002</t>
  </si>
  <si>
    <t>UH10-2518</t>
  </si>
  <si>
    <t>Juniper</t>
  </si>
  <si>
    <t>Poly Jersey Puffy Comforter Set</t>
  </si>
  <si>
    <t>PP001939;PF006184</t>
  </si>
  <si>
    <t>43794453-000-000</t>
  </si>
  <si>
    <t>UH10-2519</t>
  </si>
  <si>
    <t>43794453-000-005</t>
  </si>
  <si>
    <t>UH10-2520</t>
  </si>
  <si>
    <t>43794453-000-001</t>
  </si>
  <si>
    <t>UH10-2515</t>
  </si>
  <si>
    <t>PP001939;PF006183</t>
  </si>
  <si>
    <t>JCPENNEY01,MACY02</t>
  </si>
  <si>
    <t>43794453-000-003</t>
  </si>
  <si>
    <t>5DS100-0037</t>
  </si>
  <si>
    <t>Juno</t>
  </si>
  <si>
    <t>Upholstered Accent Armchair</t>
  </si>
  <si>
    <t>41847220-000-002</t>
  </si>
  <si>
    <t>5DS100-0054</t>
  </si>
  <si>
    <t>41847220-000-004</t>
  </si>
  <si>
    <t>5DS100-0032</t>
  </si>
  <si>
    <t>JCPENNEY01,KIRKLANDDS,KOHLDSN,MACY02F</t>
  </si>
  <si>
    <t>Declined</t>
  </si>
  <si>
    <t>5DS36-0301</t>
  </si>
  <si>
    <t>Mana</t>
  </si>
  <si>
    <t>Portable Water Repellent Inflatable Sofa</t>
  </si>
  <si>
    <t>41x32x29"</t>
  </si>
  <si>
    <t>PP001994;PF006401</t>
  </si>
  <si>
    <t>44618622-000-001</t>
  </si>
  <si>
    <t>8/21/2024</t>
  </si>
  <si>
    <t>5DS36-0303</t>
  </si>
  <si>
    <t>67x33x28"</t>
  </si>
  <si>
    <t>PP001994;PF006403</t>
  </si>
  <si>
    <t>44618622-000-003</t>
  </si>
  <si>
    <t>5DS36-0304</t>
  </si>
  <si>
    <t>PP001994;PF006404</t>
  </si>
  <si>
    <t>44618622-000-000</t>
  </si>
  <si>
    <t>5DS36-0302</t>
  </si>
  <si>
    <t>PP001994;PF006402</t>
  </si>
  <si>
    <t>44618622-000-002</t>
  </si>
  <si>
    <t>PET63OP6186-LG</t>
  </si>
  <si>
    <t>Kato</t>
  </si>
  <si>
    <t>Large Reversible Ortho Pet Napper</t>
  </si>
  <si>
    <t>AMAZON,CSNSTORES,DESINC,KOHLDSN</t>
  </si>
  <si>
    <t>43822960-000-007</t>
  </si>
  <si>
    <t>MP13-6132</t>
  </si>
  <si>
    <t>Keaton</t>
  </si>
  <si>
    <t>2 Piece Quilt Set</t>
  </si>
  <si>
    <t>PF004530</t>
  </si>
  <si>
    <t>1/4/2019</t>
  </si>
  <si>
    <t>15854488-000-017</t>
  </si>
  <si>
    <t>1/6/2019</t>
  </si>
  <si>
    <t>2/12/2019</t>
  </si>
  <si>
    <t>II120-0568</t>
  </si>
  <si>
    <t>Keegan</t>
  </si>
  <si>
    <t>Round Mixed Material Coffee Table with Shelf</t>
  </si>
  <si>
    <t>Oak/Marble</t>
  </si>
  <si>
    <t>3/15/2024</t>
  </si>
  <si>
    <t>44668504-000-000</t>
  </si>
  <si>
    <t>II154-0117</t>
  </si>
  <si>
    <t>Keller</t>
  </si>
  <si>
    <t>Adjustable Arched Floor Lamp with Drum Shade</t>
  </si>
  <si>
    <t>Oil Rubbed Bronze/Cream</t>
  </si>
  <si>
    <t>CSNSTORES,HDDS,KIRKLANDDS,OLLIIX,ZOLA</t>
  </si>
  <si>
    <t>39936233-000-000</t>
  </si>
  <si>
    <t>9/20/2022</t>
  </si>
  <si>
    <t>FPF18-0090</t>
  </si>
  <si>
    <t>Kelsey</t>
  </si>
  <si>
    <t>Round Pouf Ottoman</t>
  </si>
  <si>
    <t>PF000595;PP000187</t>
  </si>
  <si>
    <t>AMAZONDS,AMERSIGNDS,ASHFURNDS,CASTLEGATE,CSNSTORES,KIRKLANDDS,KOHLDSN,MACY02F,NEBFUR01,OLLIIX,ROOMECOM,TGTDVS</t>
  </si>
  <si>
    <t>15952464-000-001</t>
  </si>
  <si>
    <t>MP101-0214</t>
  </si>
  <si>
    <t>PF001090;PP000187</t>
  </si>
  <si>
    <t>AMAZONDS,AMERSIGNDS,ASHFURNDS,CSNSTORES,KOHLDSN,OLLIIX,TGTDVS,ZOLA</t>
  </si>
  <si>
    <t>15952464-000-009</t>
  </si>
  <si>
    <t>3/17/2017</t>
  </si>
  <si>
    <t>3/24/2017</t>
  </si>
  <si>
    <t>II121-0499</t>
  </si>
  <si>
    <t>Kennedy</t>
  </si>
  <si>
    <t>44" Round Dining Table</t>
  </si>
  <si>
    <t>12/2/2022</t>
  </si>
  <si>
    <t>3/14/2025</t>
  </si>
  <si>
    <t>CSNSTORES,HDDS,KIRKLANDDS,OLLIIX</t>
  </si>
  <si>
    <t>40852516-000-000</t>
  </si>
  <si>
    <t>1/31/2023</t>
  </si>
  <si>
    <t>BR12-3859</t>
  </si>
  <si>
    <t>Kent</t>
  </si>
  <si>
    <t>3 Piece Striped Herringbone Oversized Duvet Cover Set</t>
  </si>
  <si>
    <t>PP001827;PF005866</t>
  </si>
  <si>
    <t>40849041-000-002</t>
  </si>
  <si>
    <t>5/7/2023</t>
  </si>
  <si>
    <t>MP35-8071</t>
  </si>
  <si>
    <t>Kenzie</t>
  </si>
  <si>
    <t>Talia</t>
  </si>
  <si>
    <t>Nikki</t>
  </si>
  <si>
    <t>Moroccan Bordered Global Woven Area Rug</t>
  </si>
  <si>
    <t>PP001802;PF005790</t>
  </si>
  <si>
    <t>BIGLOTSDS,BLK01,CSNSTORES,KOHLDSN</t>
  </si>
  <si>
    <t>40580885-000-000</t>
  </si>
  <si>
    <t>4/19/2024</t>
  </si>
  <si>
    <t>MP103-1051</t>
  </si>
  <si>
    <t>Kirby</t>
  </si>
  <si>
    <t>Oscar</t>
  </si>
  <si>
    <t>Docker</t>
  </si>
  <si>
    <t>Navy Multi</t>
  </si>
  <si>
    <t>11/25/2020</t>
  </si>
  <si>
    <t>AMAZONDS,AMERSIGNDS,ASHFURNDS,CSNSTORES,JCPENNEY01,KIRKLANDDS,KOHLDSN,OLLIIX,ROOMECOM</t>
  </si>
  <si>
    <t>36995724-000-000</t>
  </si>
  <si>
    <t>11/27/2020</t>
  </si>
  <si>
    <t>12/11/2020</t>
  </si>
  <si>
    <t>MP122-1136</t>
  </si>
  <si>
    <t>Kirtley</t>
  </si>
  <si>
    <t>Abram</t>
  </si>
  <si>
    <t>Addison</t>
  </si>
  <si>
    <t>Writing Desk With Drawer</t>
  </si>
  <si>
    <t>White/Brown</t>
  </si>
  <si>
    <t>39583040-000-000</t>
  </si>
  <si>
    <t>II153-0126</t>
  </si>
  <si>
    <t>Kittery</t>
  </si>
  <si>
    <t>Metal Table Lamp with Glass Drum Shade</t>
  </si>
  <si>
    <t>Black Base/Frosted Shade</t>
  </si>
  <si>
    <t>AMERSIGNDS,JCPENNEY01,OLLIIX,ROOMECOM,TGTDVS</t>
  </si>
  <si>
    <t>39817541-000-000</t>
  </si>
  <si>
    <t>MP104-1150</t>
  </si>
  <si>
    <t>Kobe</t>
  </si>
  <si>
    <t>Heyes</t>
  </si>
  <si>
    <t>Bryant</t>
  </si>
  <si>
    <t>Counter Stool with Swivel Seat</t>
  </si>
  <si>
    <t>CSNSTORES,HOUZZ,KOHLDSN</t>
  </si>
  <si>
    <t>26758927-000-001</t>
  </si>
  <si>
    <t>3/7/2022</t>
  </si>
  <si>
    <t>7/14/2022</t>
  </si>
  <si>
    <t>MZK10-247</t>
  </si>
  <si>
    <t>Kristie AZ</t>
  </si>
  <si>
    <t>100% Polyester Printed Comforter Set</t>
  </si>
  <si>
    <t>43960897-000-001</t>
  </si>
  <si>
    <t>7/28/2024</t>
  </si>
  <si>
    <t>MP40-7973</t>
  </si>
  <si>
    <t>Kyler</t>
  </si>
  <si>
    <t>Suvi</t>
  </si>
  <si>
    <t>Linen Blend Light Filtering Cordless Roman Shade</t>
  </si>
  <si>
    <t>PP001787;PF005749</t>
  </si>
  <si>
    <t>AMAZON,CSNSTORES,JCPENNEY01,KOHLDSN,NRTPORT</t>
  </si>
  <si>
    <t>40368620-000-008</t>
  </si>
  <si>
    <t>MP40-7976</t>
  </si>
  <si>
    <t>AMAZON,AMAZONDS,CSNSTORES,JCPENNEY01,NRTPORT,OLLIIX</t>
  </si>
  <si>
    <t>40368620-000-010</t>
  </si>
  <si>
    <t>MP10-8343</t>
  </si>
  <si>
    <t>Lacey</t>
  </si>
  <si>
    <t>Marla</t>
  </si>
  <si>
    <t>Arliss</t>
  </si>
  <si>
    <t>7 Piece Lace Trim Comforter Set with Throw Pillows</t>
  </si>
  <si>
    <t>PP001915;PF006120</t>
  </si>
  <si>
    <t>1/11/2024</t>
  </si>
  <si>
    <t>1/14/2025</t>
  </si>
  <si>
    <t>43424540-000-003</t>
  </si>
  <si>
    <t>1/14/2024</t>
  </si>
  <si>
    <t>MP10-8345</t>
  </si>
  <si>
    <t>1/13/2024</t>
  </si>
  <si>
    <t>43424540-000-001</t>
  </si>
  <si>
    <t>MP10-8346</t>
  </si>
  <si>
    <t>PP001915;PF006121</t>
  </si>
  <si>
    <t>43424540-000-002</t>
  </si>
  <si>
    <t>MP10-8347</t>
  </si>
  <si>
    <t>43424540-000-004</t>
  </si>
  <si>
    <t>MP10-8348</t>
  </si>
  <si>
    <t>43424540-000-000</t>
  </si>
  <si>
    <t>2/26/2024</t>
  </si>
  <si>
    <t>MT95C-0024</t>
  </si>
  <si>
    <t>Lake Walk</t>
  </si>
  <si>
    <t>PP001443;PF005010</t>
  </si>
  <si>
    <t>AMAZON,BLK01,CSNSTORES,DESINC,HDDS,JCPENNEY01,KIRKLANDDS,KOHLDSN,OLLIIX,ZOLA</t>
  </si>
  <si>
    <t>35145500-000-000</t>
  </si>
  <si>
    <t>4/9/2020</t>
  </si>
  <si>
    <t>II122-0451</t>
  </si>
  <si>
    <t>Lancaster</t>
  </si>
  <si>
    <t>Reclaimed White</t>
  </si>
  <si>
    <t>ASHFURNDS,CSNSTORES,OLLIIX</t>
  </si>
  <si>
    <t>20712778-000-002</t>
  </si>
  <si>
    <t>MT153-0069</t>
  </si>
  <si>
    <t>Landsdown</t>
  </si>
  <si>
    <t>Black Faceted Table Lamp 24.25"H</t>
  </si>
  <si>
    <t>41728196-000-000</t>
  </si>
  <si>
    <t>MP12-8167</t>
  </si>
  <si>
    <t>Langley</t>
  </si>
  <si>
    <t xml:space="preserve">3 Piece Clipped Jacquard  Duvet Cover Set</t>
  </si>
  <si>
    <t>PP001838;PF005894</t>
  </si>
  <si>
    <t>CSNSTORES,HDDS,KOHLDSN,NRTPORT,TGTDVS</t>
  </si>
  <si>
    <t>40910935-000-000</t>
  </si>
  <si>
    <t>12/27/2022</t>
  </si>
  <si>
    <t>4/21/2023</t>
  </si>
  <si>
    <t>ID12-2421</t>
  </si>
  <si>
    <t>Zara</t>
  </si>
  <si>
    <t>Animal Chenille Duvet Cover Set</t>
  </si>
  <si>
    <t>PF006270</t>
  </si>
  <si>
    <t>44339048-000-000</t>
  </si>
  <si>
    <t>ID12-2422</t>
  </si>
  <si>
    <t>CSNSTORES,MACY02,OLLIIX,TGTDVS</t>
  </si>
  <si>
    <t>44339048-000-002</t>
  </si>
  <si>
    <t>BASI10-0281</t>
  </si>
  <si>
    <t>Larkspur</t>
  </si>
  <si>
    <t>Windsor</t>
  </si>
  <si>
    <t>3M Scotchgard Diamond Quilting Reversible Down Alternative Comforter Set</t>
  </si>
  <si>
    <t>Black/Black</t>
  </si>
  <si>
    <t>PF002062</t>
  </si>
  <si>
    <t>BLK01,CSNSTORES,FINGERHUTDS,JCPENNEY01,KOHLDSN,MACY02,NRTPORT,OLLIIX,TGTDVS</t>
  </si>
  <si>
    <t>15646449-000-012</t>
  </si>
  <si>
    <t>7/21/2015</t>
  </si>
  <si>
    <t>BASI10-0201</t>
  </si>
  <si>
    <t>Black/Grey</t>
  </si>
  <si>
    <t>PF002061</t>
  </si>
  <si>
    <t>BLK01,CSNSTORES,FINGERHUTDS,JCPENNEY01,KOHLDSN,MACY02,OLLIIX,TGTDVS,WALMARTDS</t>
  </si>
  <si>
    <t>15646449-000-006</t>
  </si>
  <si>
    <t>BASI10-0197</t>
  </si>
  <si>
    <t>Brown/Sand</t>
  </si>
  <si>
    <t>PF002059</t>
  </si>
  <si>
    <t>ASHFURNDS,BLK01,FINGERHUTDS,JCPENNEY01,KOHLDSN,MACY02,OLLIIX,TGTDVS</t>
  </si>
  <si>
    <t>15646449-000-002</t>
  </si>
  <si>
    <t>1/30/2015</t>
  </si>
  <si>
    <t>BASI10-0198</t>
  </si>
  <si>
    <t>Navy/Light Blue</t>
  </si>
  <si>
    <t>PF002060</t>
  </si>
  <si>
    <t>BEALLSDS,BLK01,CSNSTORES,FINGERHUTDS,JCPENNEY01,KOHLDSN,MACY02,OLLIIX,TGTDVS</t>
  </si>
  <si>
    <t>15646449-000-003</t>
  </si>
  <si>
    <t>MP72-5829</t>
  </si>
  <si>
    <t>Lasso</t>
  </si>
  <si>
    <t>Copula</t>
  </si>
  <si>
    <t>Braide</t>
  </si>
  <si>
    <t>100% Cotton Chenille Chain Stitch Rug</t>
  </si>
  <si>
    <t>17x24"</t>
  </si>
  <si>
    <t>PP000880;PF004257</t>
  </si>
  <si>
    <t>AMAZON,CSNSTORES,HDDS,HOUZZ,JCPENNEY01,KOHLDSN,MACY02,OLLIIX,TGTDVS</t>
  </si>
  <si>
    <t>27404669-000-010</t>
  </si>
  <si>
    <t>5/24/2018</t>
  </si>
  <si>
    <t>MP10-434</t>
  </si>
  <si>
    <t>Laurel</t>
  </si>
  <si>
    <t>Vivian</t>
  </si>
  <si>
    <t>Piedmont</t>
  </si>
  <si>
    <t>7 Piece Tufted Comforter Set</t>
  </si>
  <si>
    <t>PF002430;PP000440</t>
  </si>
  <si>
    <t>Satin/Polyoni</t>
  </si>
  <si>
    <t>BLK01,CSNSTORES,DESINC,HSNDS,JCPENNEY01,KOHLDSN,MACY02,NRTPORT,OLLIIX</t>
  </si>
  <si>
    <t>39620303-000-032</t>
  </si>
  <si>
    <t>5DS122-0010</t>
  </si>
  <si>
    <t>Laurel Desk</t>
  </si>
  <si>
    <t>38980655-000-000</t>
  </si>
  <si>
    <t>1/14/2022</t>
  </si>
  <si>
    <t>MP10-2578</t>
  </si>
  <si>
    <t>PF002426;PP000440</t>
  </si>
  <si>
    <t>AAFESDS,ASHFURNDS,BIGLOTSDS,CSNSTORES,JCPENNEY01,KOHLDSN,MACY02,NRTPORT,OLLIIX,TGTDVS</t>
  </si>
  <si>
    <t>39620303-000-026</t>
  </si>
  <si>
    <t>MP10-740</t>
  </si>
  <si>
    <t>AMAZON,AMAZONDS,ASHFURNDS,BLK01,CSNSTORES,HSNDS,JCPENNEY01,KOHLDSN,MACY02,NRTPORT,OLLIIX,TGTDVS</t>
  </si>
  <si>
    <t>39620303-000-023</t>
  </si>
  <si>
    <t>MPS115-0261A</t>
  </si>
  <si>
    <t>Lauren</t>
  </si>
  <si>
    <t>HB:64.5"W X 52"H X 2.5"T; FB:64.5" X 38"H X 2.5"T</t>
  </si>
  <si>
    <t>TN10-0475</t>
  </si>
  <si>
    <t>Laurie</t>
  </si>
  <si>
    <t>Whitney</t>
  </si>
  <si>
    <t>Plush to Sherpa Comforter Set</t>
  </si>
  <si>
    <t>PP001674;PF005567</t>
  </si>
  <si>
    <t>DESINC,JCPENNEY01,KOHLDSN,MACY02,OLLIIX,TGTDVS</t>
  </si>
  <si>
    <t>38963710-000-003</t>
  </si>
  <si>
    <t>10/13/2021</t>
  </si>
  <si>
    <t>MP10-4045</t>
  </si>
  <si>
    <t>Lavine</t>
  </si>
  <si>
    <t>Anouk</t>
  </si>
  <si>
    <t>Octavia</t>
  </si>
  <si>
    <t>12 Piece Comforter Set with Cotton Bed Sheets</t>
  </si>
  <si>
    <t>PF002740</t>
  </si>
  <si>
    <t>19634131-000-001</t>
  </si>
  <si>
    <t>9/30/2016</t>
  </si>
  <si>
    <t>12/28/2016</t>
  </si>
  <si>
    <t>II120-0574</t>
  </si>
  <si>
    <t>Layana</t>
  </si>
  <si>
    <t>Faux White Marble Console Table with Reeded Wooden Pillar Legs</t>
  </si>
  <si>
    <t>Natural/Faux White Marble</t>
  </si>
  <si>
    <t>44655037-000-000</t>
  </si>
  <si>
    <t>MP95B-0273</t>
  </si>
  <si>
    <t>Leah</t>
  </si>
  <si>
    <t xml:space="preserve">Leah </t>
  </si>
  <si>
    <t>Round Two-tone Medallion Wall Decor</t>
  </si>
  <si>
    <t>PP001633</t>
  </si>
  <si>
    <t>AMAZON,AMERSIGNDS,BLK01,JCPENNEY01,KIRKLANDDS,KOHLDSN,MACY02,OLLIIX,TGTDVS,ZOLA</t>
  </si>
  <si>
    <t>38900782-000-000</t>
  </si>
  <si>
    <t>2/14/2022</t>
  </si>
  <si>
    <t>MP10-8350</t>
  </si>
  <si>
    <t>Lee</t>
  </si>
  <si>
    <t>Reagan</t>
  </si>
  <si>
    <t>Callaway</t>
  </si>
  <si>
    <t>5 Piece Crinkle Velvet Comforter Set</t>
  </si>
  <si>
    <t>PP001914;PF006117</t>
  </si>
  <si>
    <t>43446531-000-004</t>
  </si>
  <si>
    <t>MP40-7491</t>
  </si>
  <si>
    <t>Leilani</t>
  </si>
  <si>
    <t>Kauna</t>
  </si>
  <si>
    <t>Maui</t>
  </si>
  <si>
    <t>Palm Leaf Burnout Window Sheer</t>
  </si>
  <si>
    <t>PP001628;PF005464</t>
  </si>
  <si>
    <t>AMAZONDS,CSNSTORES,JCPENNEY01,KOHLDSN,OLLIIX</t>
  </si>
  <si>
    <t>22281011-000-003</t>
  </si>
  <si>
    <t>10/11/2021</t>
  </si>
  <si>
    <t>II108-0500</t>
  </si>
  <si>
    <t>Lemmy</t>
  </si>
  <si>
    <t>Armless Upholstered Dining Chair Set of 2</t>
  </si>
  <si>
    <t>40983761-000-000</t>
  </si>
  <si>
    <t>1/16/2023</t>
  </si>
  <si>
    <t>MP40-8633</t>
  </si>
  <si>
    <t>Lexus</t>
  </si>
  <si>
    <t>Rod Pocket with Back Tab Privacy Curtain Pair</t>
  </si>
  <si>
    <t>52x63"</t>
  </si>
  <si>
    <t>MP40-8634</t>
  </si>
  <si>
    <t>MP40-8635</t>
  </si>
  <si>
    <t>52x95"</t>
  </si>
  <si>
    <t>MP40-8636</t>
  </si>
  <si>
    <t>52x108"</t>
  </si>
  <si>
    <t>MP40-8637</t>
  </si>
  <si>
    <t>52x120"</t>
  </si>
  <si>
    <t>MT95B-0079</t>
  </si>
  <si>
    <t>Awd</t>
  </si>
  <si>
    <t>Framed Rice Paper Shadow Box Gingko Leaf Wall Decor Art</t>
  </si>
  <si>
    <t>AMAZON,CSNSTORES,MACY02,OLLIIX,TGTDVS</t>
  </si>
  <si>
    <t>42877874-000-000</t>
  </si>
  <si>
    <t>MP100-1218</t>
  </si>
  <si>
    <t>Lillie</t>
  </si>
  <si>
    <t>Handcrafted Seagrass Back Armchair with Removable Seat Cushion and Back Pillow</t>
  </si>
  <si>
    <t>41594065-000-000</t>
  </si>
  <si>
    <t>ID12-1868</t>
  </si>
  <si>
    <t>Serena</t>
  </si>
  <si>
    <t>Metallic Animal Printed Duvet Cover Set</t>
  </si>
  <si>
    <t>Ivory/Gold</t>
  </si>
  <si>
    <t>PF005053</t>
  </si>
  <si>
    <t>2/26/2020</t>
  </si>
  <si>
    <t>AMAZONDS,BLK01,CSNSTORES,HDDS,KOHLDSN,MACY02,OLLIIX,WALMARTDS</t>
  </si>
  <si>
    <t>35628676-000-001</t>
  </si>
  <si>
    <t>5/10/2020</t>
  </si>
  <si>
    <t>MP10-8407</t>
  </si>
  <si>
    <t>Lily</t>
  </si>
  <si>
    <t>Annette</t>
  </si>
  <si>
    <t>Eloise</t>
  </si>
  <si>
    <t>6 Piece Jacquard Comforter Set with Throw Pillows</t>
  </si>
  <si>
    <t>PF006215;PP001951</t>
  </si>
  <si>
    <t>6/1/2024</t>
  </si>
  <si>
    <t>44276507-000-001</t>
  </si>
  <si>
    <t>MP10-8408</t>
  </si>
  <si>
    <t>Plum</t>
  </si>
  <si>
    <t>PP001951;PF006216</t>
  </si>
  <si>
    <t>44276507-000-002</t>
  </si>
  <si>
    <t>MP10-8409</t>
  </si>
  <si>
    <t>44276507-000-003</t>
  </si>
  <si>
    <t>MP95G-0256</t>
  </si>
  <si>
    <t>Linden</t>
  </si>
  <si>
    <t>Fern 2-piece Framed Glass Wall Art Set</t>
  </si>
  <si>
    <t>AMAZONDS,JCPENNEY01,KIRKLANDDS,KOHLDSN,OLLIIX,ROOMECOM,TGTDVS</t>
  </si>
  <si>
    <t>36760223-000-000</t>
  </si>
  <si>
    <t>9/11/2020</t>
  </si>
  <si>
    <t>11/3/2020</t>
  </si>
  <si>
    <t>MP101-1137</t>
  </si>
  <si>
    <t>Lindsey</t>
  </si>
  <si>
    <t>Alice</t>
  </si>
  <si>
    <t>Kylie</t>
  </si>
  <si>
    <t>Tufted Square Cocktail Ottoman</t>
  </si>
  <si>
    <t>CSNSTORES,JCPENNEY01,KIRKLANDDS,KOHLDSN,MACY02F</t>
  </si>
  <si>
    <t>16977705-000-002</t>
  </si>
  <si>
    <t>1/13/2022</t>
  </si>
  <si>
    <t>MP95C-0037</t>
  </si>
  <si>
    <t>Linen Botanicals</t>
  </si>
  <si>
    <t>Illustration 3-piece Canvas Wall Art Set</t>
  </si>
  <si>
    <t>PF001908</t>
  </si>
  <si>
    <t>BIGLOTSDS,BLK01,KIRKLANDDS,KOHLDSN,OLLIIX,ROOMECOM,TGTDVS</t>
  </si>
  <si>
    <t>18755591-000-000</t>
  </si>
  <si>
    <t>5/24/2016</t>
  </si>
  <si>
    <t>MT135-0036</t>
  </si>
  <si>
    <t>BAR CART</t>
  </si>
  <si>
    <t>Bar Cart</t>
  </si>
  <si>
    <t>Lionel</t>
  </si>
  <si>
    <t>Two Tier Bar Cart on Wheels</t>
  </si>
  <si>
    <t>PP001245</t>
  </si>
  <si>
    <t>AMAZONDS,CSNSTORES,HOUZZ,KOHLDSN,MACY02F,OLLIIX,ROOMECOM,TGTDVS</t>
  </si>
  <si>
    <t>34118860-000-000</t>
  </si>
  <si>
    <t>8/23/2019</t>
  </si>
  <si>
    <t>10/11/2019</t>
  </si>
  <si>
    <t>5DS153-0049</t>
  </si>
  <si>
    <t>Liora</t>
  </si>
  <si>
    <t>2-Tone Ceramic Table Lamp Set of 2</t>
  </si>
  <si>
    <t>43453100-000-001</t>
  </si>
  <si>
    <t>5DS153-0048</t>
  </si>
  <si>
    <t>White/Silver</t>
  </si>
  <si>
    <t>AMERSIGNDS,CSNSTORES</t>
  </si>
  <si>
    <t>43453100-000-002</t>
  </si>
  <si>
    <t>BL51N-0608</t>
  </si>
  <si>
    <t>Liquid Cotton</t>
  </si>
  <si>
    <t>PF003447</t>
  </si>
  <si>
    <t>1/5/2025</t>
  </si>
  <si>
    <t>AMAZON,BEALLSDS,CSNSTORES,JCPENNEY01,KOHLDSN,MACY02,OLLIIX,TGTDVS</t>
  </si>
  <si>
    <t>14944585-000-003</t>
  </si>
  <si>
    <t>BL51N-0675</t>
  </si>
  <si>
    <t>PF003469</t>
  </si>
  <si>
    <t>3/9/2025</t>
  </si>
  <si>
    <t>AAFESDS,AMAZON,CSNSTORES,JCPENNEY01,KOHLDSN,MACY02,OLLIIX,TGTDVS,WALMARTDS</t>
  </si>
  <si>
    <t>14944585-000-009</t>
  </si>
  <si>
    <t>1/14/2015</t>
  </si>
  <si>
    <t>BL51N-0735</t>
  </si>
  <si>
    <t>PF003502</t>
  </si>
  <si>
    <t>AMAZON,AMAZONDS,BEALLSDS,CSNSTORES,HDDS,JCPENNEY01,KOHLDSN,MACY02,OLLIIX,TGTDVS,WALMARTDS</t>
  </si>
  <si>
    <t>14944585-000-018</t>
  </si>
  <si>
    <t>6/22/2015</t>
  </si>
  <si>
    <t>ID73-2058</t>
  </si>
  <si>
    <t>FASHION TOWEL</t>
  </si>
  <si>
    <t>Lita AZ</t>
  </si>
  <si>
    <t>6 Piece Cotton Jacquard Towel Set</t>
  </si>
  <si>
    <t>Chartruse Green</t>
  </si>
  <si>
    <t>AMAZONDS,HDDS,KOHLDSN</t>
  </si>
  <si>
    <t>44160709-000-000</t>
  </si>
  <si>
    <t>ID73-2060</t>
  </si>
  <si>
    <t>44160709-000-001</t>
  </si>
  <si>
    <t>FB153-1168</t>
  </si>
  <si>
    <t>Livy</t>
  </si>
  <si>
    <t>Oval Textured Ceramic Table Lamp</t>
  </si>
  <si>
    <t>Silver Base/White Shade</t>
  </si>
  <si>
    <t>39771276-000-000</t>
  </si>
  <si>
    <t>3/28/2022</t>
  </si>
  <si>
    <t>ID31-2034</t>
  </si>
  <si>
    <t>Loretta</t>
  </si>
  <si>
    <t>Lara</t>
  </si>
  <si>
    <t>Lorissa</t>
  </si>
  <si>
    <t>Poly Chenille Round Floor Pillow Cushion</t>
  </si>
  <si>
    <t>Dia 22"x6"</t>
  </si>
  <si>
    <t>5/8/2021</t>
  </si>
  <si>
    <t>AMAZON,AMAZONDS,CSNSTORES,KOHLDSN,MACY02,OLLIIX,TGTDVS</t>
  </si>
  <si>
    <t>38241495-000-000</t>
  </si>
  <si>
    <t>7/23/2021</t>
  </si>
  <si>
    <t>CCL10-0009</t>
  </si>
  <si>
    <t>4 Piece Comforter Set</t>
  </si>
  <si>
    <t>42155571-000-002</t>
  </si>
  <si>
    <t>9/3/2023</t>
  </si>
  <si>
    <t>ID10-1217</t>
  </si>
  <si>
    <t>Eleni</t>
  </si>
  <si>
    <t>Boho Comforter Set with Bed Sheets</t>
  </si>
  <si>
    <t>PF001689</t>
  </si>
  <si>
    <t>6/27/2017</t>
  </si>
  <si>
    <t>22779124-000-001</t>
  </si>
  <si>
    <t>6/19/2017</t>
  </si>
  <si>
    <t>MP10-8436</t>
  </si>
  <si>
    <t>Lori</t>
  </si>
  <si>
    <t>Monroe</t>
  </si>
  <si>
    <t>Tessa</t>
  </si>
  <si>
    <t>Teal/Silver</t>
  </si>
  <si>
    <t>PP001956;PF006232</t>
  </si>
  <si>
    <t>6/7/2024</t>
  </si>
  <si>
    <t>44270204-000-002</t>
  </si>
  <si>
    <t>ID10-2369</t>
  </si>
  <si>
    <t>Lucy</t>
  </si>
  <si>
    <t>Elise</t>
  </si>
  <si>
    <t>Clip Jacquard Comforter Set</t>
  </si>
  <si>
    <t>PP001813;PF006254</t>
  </si>
  <si>
    <t>CSNSTORES,HDDS,JCPENNEY01,MACY02</t>
  </si>
  <si>
    <t>40850769-000-015</t>
  </si>
  <si>
    <t>ID12-2372</t>
  </si>
  <si>
    <t>40850749-000-010</t>
  </si>
  <si>
    <t>ID12-2373</t>
  </si>
  <si>
    <t>40850749-000-011</t>
  </si>
  <si>
    <t>ID12-2377</t>
  </si>
  <si>
    <t>PP001813;PF006255</t>
  </si>
  <si>
    <t>40850749-000-012</t>
  </si>
  <si>
    <t>ID10-2376</t>
  </si>
  <si>
    <t>BLK01,CSNSTORES,KOHLDSN,MACY02,TGTDVS</t>
  </si>
  <si>
    <t>40850769-000-016</t>
  </si>
  <si>
    <t>6/9/2024</t>
  </si>
  <si>
    <t>ID10-2282</t>
  </si>
  <si>
    <t>PP001813;PF006085</t>
  </si>
  <si>
    <t>40850769-000-014</t>
  </si>
  <si>
    <t>11/13/2023</t>
  </si>
  <si>
    <t>3/14/2024</t>
  </si>
  <si>
    <t>ID12-2285</t>
  </si>
  <si>
    <t>40850749-000-006</t>
  </si>
  <si>
    <t>7/19/2024</t>
  </si>
  <si>
    <t>ID12-2286</t>
  </si>
  <si>
    <t>10/19/2023</t>
  </si>
  <si>
    <t>40850749-000-007</t>
  </si>
  <si>
    <t>ID12-2280</t>
  </si>
  <si>
    <t>PP001813;PF006084</t>
  </si>
  <si>
    <t>AMERSIGNDS,JCPENNEY01,KOHLDSN,MACY02,TGTDVS</t>
  </si>
  <si>
    <t>40850749-000-004</t>
  </si>
  <si>
    <t>ID12-2281</t>
  </si>
  <si>
    <t>40850749-000-005</t>
  </si>
  <si>
    <t>MP10-3662</t>
  </si>
  <si>
    <t>Georgia</t>
  </si>
  <si>
    <t>9 Piece Cotton Twill Reversible Comforter Set</t>
  </si>
  <si>
    <t>PF002610</t>
  </si>
  <si>
    <t>4/4/2017</t>
  </si>
  <si>
    <t>AMAZON,CSNSTORES,KOHLDSN,NRTPORT,TGTDVS</t>
  </si>
  <si>
    <t>19601065-000-002</t>
  </si>
  <si>
    <t>9/25/2016</t>
  </si>
  <si>
    <t>11/2/2016</t>
  </si>
  <si>
    <t>ID12-2276</t>
  </si>
  <si>
    <t>PP001813;PF006083</t>
  </si>
  <si>
    <t>40850749-000-009</t>
  </si>
  <si>
    <t>ID12-2013</t>
  </si>
  <si>
    <t>Lumi</t>
  </si>
  <si>
    <t>Striped Duvet Cover Set</t>
  </si>
  <si>
    <t>PP001607;PF005400</t>
  </si>
  <si>
    <t>5/7/2021</t>
  </si>
  <si>
    <t>38019921-000-002</t>
  </si>
  <si>
    <t>MP95C-0269</t>
  </si>
  <si>
    <t>Luminous</t>
  </si>
  <si>
    <t>Heavily Embellished 3-piece Canvas Wall Art Set</t>
  </si>
  <si>
    <t>1/12/2025</t>
  </si>
  <si>
    <t>AMAZON,AMAZONDS,AMERSIGNDS,CSNSTORES,JCPENNEY01,KIRKLANDDS,KOHLDSN,MACY02,OLLIIX,TGTDVS</t>
  </si>
  <si>
    <t>26922711-000-001</t>
  </si>
  <si>
    <t>4/28/2021</t>
  </si>
  <si>
    <t>5/18/2021</t>
  </si>
  <si>
    <t>MPE10-1061</t>
  </si>
  <si>
    <t>Luna</t>
  </si>
  <si>
    <t>Piper</t>
  </si>
  <si>
    <t>Floral Comforter Set with Bed Sheets</t>
  </si>
  <si>
    <t>PF002742;PP001974</t>
  </si>
  <si>
    <t>44439848-000-008</t>
  </si>
  <si>
    <t>MPE10-1062</t>
  </si>
  <si>
    <t>7/26/2024</t>
  </si>
  <si>
    <t>44439848-000-000</t>
  </si>
  <si>
    <t>FB153-1180</t>
  </si>
  <si>
    <t>Luxuria</t>
  </si>
  <si>
    <t>Textured Glass and Acrylic Base Table Lamp</t>
  </si>
  <si>
    <t>43446596-000-001</t>
  </si>
  <si>
    <t>FB153-1178</t>
  </si>
  <si>
    <t>43446596-000-000</t>
  </si>
  <si>
    <t>CCS20-009</t>
  </si>
  <si>
    <t>Luxury Egyptian</t>
  </si>
  <si>
    <t>500TC Cotton Pillowcases</t>
  </si>
  <si>
    <t>Standard</t>
  </si>
  <si>
    <t>12/20/2022</t>
  </si>
  <si>
    <t>2/24/2025</t>
  </si>
  <si>
    <t>42024797-000-002</t>
  </si>
  <si>
    <t>CCS20-005</t>
  </si>
  <si>
    <t>42024797-000-005</t>
  </si>
  <si>
    <t>4/29/2024</t>
  </si>
  <si>
    <t>CCS20-004</t>
  </si>
  <si>
    <t>42024797-000-004</t>
  </si>
  <si>
    <t>9/20/2023</t>
  </si>
  <si>
    <t>WR10-4042</t>
  </si>
  <si>
    <t>Lyon</t>
  </si>
  <si>
    <t>Waffle Washed Comforter Set</t>
  </si>
  <si>
    <t>WR12-4044</t>
  </si>
  <si>
    <t>Waffle Washed Duvet Set</t>
  </si>
  <si>
    <t>WR10-4043</t>
  </si>
  <si>
    <t>WR12-4045</t>
  </si>
  <si>
    <t>WR10-4038</t>
  </si>
  <si>
    <t>WR12-4040</t>
  </si>
  <si>
    <t>WR10-4039</t>
  </si>
  <si>
    <t>WR12-4041</t>
  </si>
  <si>
    <t>FB153-1189</t>
  </si>
  <si>
    <t>Lysandria</t>
  </si>
  <si>
    <t>Glass Table Lamp</t>
  </si>
  <si>
    <t>44671192-000-000</t>
  </si>
  <si>
    <t>5DS153-0039</t>
  </si>
  <si>
    <t>Macey</t>
  </si>
  <si>
    <t>1/1/2025</t>
  </si>
  <si>
    <t>39463610-000-000</t>
  </si>
  <si>
    <t>MP153-0179</t>
  </si>
  <si>
    <t>Macon</t>
  </si>
  <si>
    <t>Glass Cylinder Table Lamp</t>
  </si>
  <si>
    <t>Clear</t>
  </si>
  <si>
    <t>3/13/2018</t>
  </si>
  <si>
    <t>CSNSTORES,JCPENNEY01,KOHLDSN,MACY02</t>
  </si>
  <si>
    <t>26757895-000-000</t>
  </si>
  <si>
    <t>II100-0291</t>
  </si>
  <si>
    <t>Madden</t>
  </si>
  <si>
    <t>1/27/2018</t>
  </si>
  <si>
    <t>ASHFURNDS,CSNSTORES,KOHLDSN,LAMPDS,OLLIIX</t>
  </si>
  <si>
    <t>26106887-000-000</t>
  </si>
  <si>
    <t>5/23/2018</t>
  </si>
  <si>
    <t>MP120-0175</t>
  </si>
  <si>
    <t>Madison</t>
  </si>
  <si>
    <t>Kayden</t>
  </si>
  <si>
    <t>Mankato</t>
  </si>
  <si>
    <t>End Table</t>
  </si>
  <si>
    <t>Antique Bronze</t>
  </si>
  <si>
    <t>PF000369;PP000200</t>
  </si>
  <si>
    <t>AMERSIGNDS,ASHFURNDS,CSNSTORES,HDDS,HOUZZ,KIRKLANDDS,KOHLDSN,LAMPDS,MACY02F,OLLIIX</t>
  </si>
  <si>
    <t>21253665-000-000</t>
  </si>
  <si>
    <t>3/29/2017</t>
  </si>
  <si>
    <t>6/7/2017</t>
  </si>
  <si>
    <t>MT103-1188</t>
  </si>
  <si>
    <t>Madrid</t>
  </si>
  <si>
    <t>360 Degree Upholstered Swivel Chair</t>
  </si>
  <si>
    <t>40538347-000-000</t>
  </si>
  <si>
    <t>5/2/2024</t>
  </si>
  <si>
    <t>FB153-1181</t>
  </si>
  <si>
    <t>Maelle</t>
  </si>
  <si>
    <t>Blue Aqua Swirl Blown Glass Table Lamp</t>
  </si>
  <si>
    <t>43672567-000-000</t>
  </si>
  <si>
    <t>3/10/2024</t>
  </si>
  <si>
    <t>MPE10-859</t>
  </si>
  <si>
    <t>Maible</t>
  </si>
  <si>
    <t>Caldwell</t>
  </si>
  <si>
    <t>Calla</t>
  </si>
  <si>
    <t>7 Piece Comforter Set with Cotton Bed Sheets</t>
  </si>
  <si>
    <t>Blush/Grey</t>
  </si>
  <si>
    <t>PF004932</t>
  </si>
  <si>
    <t>11/8/2019</t>
  </si>
  <si>
    <t>AMAZON,CSNSTORES,JCPENNEY01,KOHLDSN,MACY02,NRTPORT,TGTDVS</t>
  </si>
  <si>
    <t>26790030-000-007</t>
  </si>
  <si>
    <t>3/25/2020</t>
  </si>
  <si>
    <t>MPE10-863</t>
  </si>
  <si>
    <t>9 Piece Comforter Set with Cotton Bed Sheets</t>
  </si>
  <si>
    <t>BLK01,CSNSTORES,HSNDS,JCPENNEY01,KOHLDSN,MACY02,WALMARTDS</t>
  </si>
  <si>
    <t>26790030-000-006</t>
  </si>
  <si>
    <t>12/19/2019</t>
  </si>
  <si>
    <t>MP104-1247</t>
  </si>
  <si>
    <t>Maison</t>
  </si>
  <si>
    <t>Marc</t>
  </si>
  <si>
    <t>Eugene</t>
  </si>
  <si>
    <t>Dark Grey/Antique Gold</t>
  </si>
  <si>
    <t>ID10-2438</t>
  </si>
  <si>
    <t>Malea</t>
  </si>
  <si>
    <t>Leena</t>
  </si>
  <si>
    <t>Shaggy Faux Fur Comforter Mini Set</t>
  </si>
  <si>
    <t>Green/White</t>
  </si>
  <si>
    <t>PP001109;PF006284</t>
  </si>
  <si>
    <t>8/16/2024</t>
  </si>
  <si>
    <t>32517355-000-019</t>
  </si>
  <si>
    <t>ID10-2442</t>
  </si>
  <si>
    <t>Pink/White</t>
  </si>
  <si>
    <t>PP001109;PF006285</t>
  </si>
  <si>
    <t>32517355-000-021</t>
  </si>
  <si>
    <t>9/13/2024</t>
  </si>
  <si>
    <t>IIF18-0046</t>
  </si>
  <si>
    <t>Malibu</t>
  </si>
  <si>
    <t>PF000204;PP000035</t>
  </si>
  <si>
    <t>AMAZONDS,CSNSTORES,OLLIIX,ROOMECOM</t>
  </si>
  <si>
    <t>19889612-000-000</t>
  </si>
  <si>
    <t>11/10/2016</t>
  </si>
  <si>
    <t>II100-0488</t>
  </si>
  <si>
    <t>1/12/2023</t>
  </si>
  <si>
    <t>19889612-000-002</t>
  </si>
  <si>
    <t>3/8/2023</t>
  </si>
  <si>
    <t>MP95A-0115</t>
  </si>
  <si>
    <t>ALT. GRAPHICS</t>
  </si>
  <si>
    <t>Alt. Graphics</t>
  </si>
  <si>
    <t>Mandala</t>
  </si>
  <si>
    <t>Triptych 3-piece Dimensional Resin Canvas Wall Art Set</t>
  </si>
  <si>
    <t>Offwhite</t>
  </si>
  <si>
    <t>PF002033</t>
  </si>
  <si>
    <t>7/20/2017</t>
  </si>
  <si>
    <t>AMAZON,ASHFURNDS,CSNSTORES,KIRKLANDDS,KOHLDSN,OLLIIX,ROOMECOM,TGTDVS</t>
  </si>
  <si>
    <t>23613953-000-000</t>
  </si>
  <si>
    <t>8/28/2017</t>
  </si>
  <si>
    <t>MT100-0137</t>
  </si>
  <si>
    <t>Manhattan</t>
  </si>
  <si>
    <t>38772978-000-000</t>
  </si>
  <si>
    <t>8/31/2021</t>
  </si>
  <si>
    <t>4/2/2022</t>
  </si>
  <si>
    <t>MP120-0082</t>
  </si>
  <si>
    <t>Marbury</t>
  </si>
  <si>
    <t>Aniston</t>
  </si>
  <si>
    <t>PP000202</t>
  </si>
  <si>
    <t>5/26/2017</t>
  </si>
  <si>
    <t>CSNSTORES,HOUZZ,MACY02F,OLLIIX</t>
  </si>
  <si>
    <t>20422451-000-000</t>
  </si>
  <si>
    <t>12/6/2016</t>
  </si>
  <si>
    <t>12/15/2016</t>
  </si>
  <si>
    <t>MP10-8410</t>
  </si>
  <si>
    <t>Marfa</t>
  </si>
  <si>
    <t>Peony</t>
  </si>
  <si>
    <t>Cassia</t>
  </si>
  <si>
    <t>4 Piece Pintuck Comforter Set with Throw Pillow</t>
  </si>
  <si>
    <t>PP001950;PF006214</t>
  </si>
  <si>
    <t>Farmhouse/Country /Cottage</t>
  </si>
  <si>
    <t>44280019-000-000</t>
  </si>
  <si>
    <t>MP12-8412</t>
  </si>
  <si>
    <t>3 Piece Pintuck Duvet Cover Set</t>
  </si>
  <si>
    <t>44308116-000-000</t>
  </si>
  <si>
    <t>10/22/2024</t>
  </si>
  <si>
    <t>MP10-8411</t>
  </si>
  <si>
    <t>44280019-000-001</t>
  </si>
  <si>
    <t>MP12-8413</t>
  </si>
  <si>
    <t>44308116-000-001</t>
  </si>
  <si>
    <t>MP104-1127</t>
  </si>
  <si>
    <t>Marian</t>
  </si>
  <si>
    <t>Misha</t>
  </si>
  <si>
    <t>Khloe</t>
  </si>
  <si>
    <t>Tufted Counter Stool</t>
  </si>
  <si>
    <t>3/17/2022</t>
  </si>
  <si>
    <t>CSNSTORES,KIRKLANDDS,KOHLDSN,MACY02F</t>
  </si>
  <si>
    <t>21851040-000-001</t>
  </si>
  <si>
    <t>3/19/2022</t>
  </si>
  <si>
    <t>2/21/2023</t>
  </si>
  <si>
    <t>MPS95F-0042</t>
  </si>
  <si>
    <t>Mirrors</t>
  </si>
  <si>
    <t>Marlowe</t>
  </si>
  <si>
    <t>27" Medium Decorative Round Wall Mirror with Beaded Metal Frame</t>
  </si>
  <si>
    <t>27" Dia</t>
  </si>
  <si>
    <t>11/26/2022</t>
  </si>
  <si>
    <t>AMAZON,AMAZONDS,CSNSTORES,DESINC,HDDS,KOHLDSN,OLLIIX,TGTDVS</t>
  </si>
  <si>
    <t>24185324-000-007</t>
  </si>
  <si>
    <t>Tier S</t>
  </si>
  <si>
    <t>PET66-0017</t>
  </si>
  <si>
    <t>Martingale</t>
  </si>
  <si>
    <t>Reflective No Pull Dog Collar for Training Large/Medium Breed Dogs</t>
  </si>
  <si>
    <t>43976046-000-000</t>
  </si>
  <si>
    <t>PET66-0018</t>
  </si>
  <si>
    <t>43976046-000-001</t>
  </si>
  <si>
    <t>II12-1015</t>
  </si>
  <si>
    <t>Masie</t>
  </si>
  <si>
    <t>3 Piece Elastic Embroidered Cotton Duvet Cover Set</t>
  </si>
  <si>
    <t>PP000451;PF004164</t>
  </si>
  <si>
    <t>JCPENNEY01,MACY02,TGTDVS</t>
  </si>
  <si>
    <t>25797292-000-001</t>
  </si>
  <si>
    <t>2/6/2018</t>
  </si>
  <si>
    <t>2/14/2018</t>
  </si>
  <si>
    <t>II10-1045</t>
  </si>
  <si>
    <t>3 Piece Elastic Embroidered Cotton Comforter Set</t>
  </si>
  <si>
    <t>PP000451;PF004499</t>
  </si>
  <si>
    <t>AMAZON,AMAZONDS,ASHFURNDS,CSNSTORES,KOHLDSN,MACY02,OLLIIX,TGTDVS,ZOLA</t>
  </si>
  <si>
    <t>18662942-000-003</t>
  </si>
  <si>
    <t>11/1/2018</t>
  </si>
  <si>
    <t>II10-800</t>
  </si>
  <si>
    <t>PF001680;PP000451</t>
  </si>
  <si>
    <t>AMAZON,AMAZONDS,BEALLSDS,CSNSTORES,JCPENNEY01,KOHLDSN,MACY02,TGTDVS</t>
  </si>
  <si>
    <t>19427161-000-001</t>
  </si>
  <si>
    <t>12/8/2016</t>
  </si>
  <si>
    <t>MP35-8054</t>
  </si>
  <si>
    <t>Mateo</t>
  </si>
  <si>
    <t>Kenneth</t>
  </si>
  <si>
    <t>Siren</t>
  </si>
  <si>
    <t>Boho Medallion Woven Area Rug</t>
  </si>
  <si>
    <t>Blue Multi</t>
  </si>
  <si>
    <t>PP001798;PF005786</t>
  </si>
  <si>
    <t>BLK01,CSNSTORES,KIRKLANDDS,KOHLDSN,OLLIIX</t>
  </si>
  <si>
    <t>40587884-000-000</t>
  </si>
  <si>
    <t>MP35-8057</t>
  </si>
  <si>
    <t>BLK01,KIRKLANDDS,KOHLDSN,OLLIIX</t>
  </si>
  <si>
    <t>40587884-000-003</t>
  </si>
  <si>
    <t>MP104-1104</t>
  </si>
  <si>
    <t>Quarry</t>
  </si>
  <si>
    <t>Powell</t>
  </si>
  <si>
    <t>35542320-000-001</t>
  </si>
  <si>
    <t>5/26/2021</t>
  </si>
  <si>
    <t>ID10-2228</t>
  </si>
  <si>
    <t>Maude</t>
  </si>
  <si>
    <t>Floral Reversible Comforter Set</t>
  </si>
  <si>
    <t>PF005945</t>
  </si>
  <si>
    <t>3/3/2023</t>
  </si>
  <si>
    <t>AMAZON,AMAZONDS,BLK01,CSNSTORES,HDDS,JCPENNEY01,KOHLDSN,MACY02,TGTDVS</t>
  </si>
  <si>
    <t>41162348-000-001</t>
  </si>
  <si>
    <t>FPF18-0435</t>
  </si>
  <si>
    <t>Maxwell</t>
  </si>
  <si>
    <t>Roan</t>
  </si>
  <si>
    <t>Lyle</t>
  </si>
  <si>
    <t>PF000714;PP000209</t>
  </si>
  <si>
    <t>ASHFURNDS,CSNSTORES,HDDS,JCPENNEY01,KIRKLANDDS,KOHLDSN,LAMPDS,OLLIIX</t>
  </si>
  <si>
    <t>19746214-000-000</t>
  </si>
  <si>
    <t>10/14/2016</t>
  </si>
  <si>
    <t>10/21/2016</t>
  </si>
  <si>
    <t>SS40-0036</t>
  </si>
  <si>
    <t>Arlie</t>
  </si>
  <si>
    <t>Rune</t>
  </si>
  <si>
    <t>Printed Heathered Blackout Grommet Top Curtain Panel</t>
  </si>
  <si>
    <t>Dusty Seafoam</t>
  </si>
  <si>
    <t>PF003954</t>
  </si>
  <si>
    <t>AMAZON,BLK01,CSNSTORES,DESINC,JCPENNEY01,KOHLDSN,OLLIIX,TGTDVS</t>
  </si>
  <si>
    <t>23998010-000-010</t>
  </si>
  <si>
    <t>10/16/2017</t>
  </si>
  <si>
    <t>SS40-0034</t>
  </si>
  <si>
    <t>50x54"</t>
  </si>
  <si>
    <t>23998010-000-008</t>
  </si>
  <si>
    <t>SS40-0032</t>
  </si>
  <si>
    <t>PF003956</t>
  </si>
  <si>
    <t>23998010-000-006</t>
  </si>
  <si>
    <t>11/20/2017</t>
  </si>
  <si>
    <t>SS40-0030</t>
  </si>
  <si>
    <t>AMAZON,AMAZONDS,CSNSTORES,JCPENNEY01,NEBFUR01,OLLIIX,TGTDVS</t>
  </si>
  <si>
    <t>23998010-000-004</t>
  </si>
  <si>
    <t>WR10-4033</t>
  </si>
  <si>
    <t>Mckenzie</t>
  </si>
  <si>
    <t>Twill Washed Comforter Set</t>
  </si>
  <si>
    <t>WR10-4034</t>
  </si>
  <si>
    <t>WR12-4036</t>
  </si>
  <si>
    <t>Twill Washed Duvet Set</t>
  </si>
  <si>
    <t>WR10-4035</t>
  </si>
  <si>
    <t>WR12-4037</t>
  </si>
  <si>
    <t>WR10-4028</t>
  </si>
  <si>
    <t>WR10-4029</t>
  </si>
  <si>
    <t>WR12-4031</t>
  </si>
  <si>
    <t>WR10-4030</t>
  </si>
  <si>
    <t>WR12-4032</t>
  </si>
  <si>
    <t>5DS36-0300</t>
  </si>
  <si>
    <t>Mele</t>
  </si>
  <si>
    <t>Kalea</t>
  </si>
  <si>
    <t>Portable Water Repellent Inflatable Cube Ottoman</t>
  </si>
  <si>
    <t>23x23x9"</t>
  </si>
  <si>
    <t>PP001993;PF006400</t>
  </si>
  <si>
    <t>44512690-000-001</t>
  </si>
  <si>
    <t>CHM30-0015</t>
  </si>
  <si>
    <t>Melodia</t>
  </si>
  <si>
    <t>MACY02,NRTPORT</t>
  </si>
  <si>
    <t>42067838-000-000</t>
  </si>
  <si>
    <t>CHM30-0019</t>
  </si>
  <si>
    <t>DLCROSCILL,MACY02</t>
  </si>
  <si>
    <t>42067838-000-001</t>
  </si>
  <si>
    <t>FB150-1159</t>
  </si>
  <si>
    <t>Melrose</t>
  </si>
  <si>
    <t>2-Light Beaded Chandelier</t>
  </si>
  <si>
    <t>2/23/2022</t>
  </si>
  <si>
    <t>OLLIIX,TGTDVS</t>
  </si>
  <si>
    <t>39700603-000-000</t>
  </si>
  <si>
    <t>3/16/2022</t>
  </si>
  <si>
    <t>7/28/2022</t>
  </si>
  <si>
    <t>II121-0417</t>
  </si>
  <si>
    <t>Mercer</t>
  </si>
  <si>
    <t>Oval Dining Table</t>
  </si>
  <si>
    <t>19134574-000-001</t>
  </si>
  <si>
    <t>II115-0419</t>
  </si>
  <si>
    <t>Queen Bed</t>
  </si>
  <si>
    <t>Brown/Bronze</t>
  </si>
  <si>
    <t>39624111-000-000</t>
  </si>
  <si>
    <t>2/25/2022</t>
  </si>
  <si>
    <t>UH13-2321</t>
  </si>
  <si>
    <t>Ronan</t>
  </si>
  <si>
    <t>3 Piece Cotton Quilt Set with Chenille Trims</t>
  </si>
  <si>
    <t>PP001460;PF005049</t>
  </si>
  <si>
    <t>4/24/2020</t>
  </si>
  <si>
    <t>35761410-000-002</t>
  </si>
  <si>
    <t>UH13-2322</t>
  </si>
  <si>
    <t>BLK01,KOHLDSN,OLLIIX</t>
  </si>
  <si>
    <t>35761410-000-000</t>
  </si>
  <si>
    <t>5/27/2020</t>
  </si>
  <si>
    <t>ID20-1739</t>
  </si>
  <si>
    <t>Metallic Dot</t>
  </si>
  <si>
    <t>Aqua/Silver</t>
  </si>
  <si>
    <t>PP000922;PF004701</t>
  </si>
  <si>
    <t>6/6/2019</t>
  </si>
  <si>
    <t>AMAZONDS,CSNSTORES,JCPENNEY01,KOHLDSN,MACY02,TGTDVS</t>
  </si>
  <si>
    <t>27266912-000-008</t>
  </si>
  <si>
    <t>6/18/2019</t>
  </si>
  <si>
    <t>6/28/2019</t>
  </si>
  <si>
    <t>ID20-1474</t>
  </si>
  <si>
    <t>Blush/Gold</t>
  </si>
  <si>
    <t>PP000922</t>
  </si>
  <si>
    <t>5/25/2018</t>
  </si>
  <si>
    <t>AMAZON,BLK01,KOHLDSN,MACY02,TGTDVS,WALMARTDS</t>
  </si>
  <si>
    <t>27266912-000-002</t>
  </si>
  <si>
    <t>5/17/2018</t>
  </si>
  <si>
    <t>6/7/2018</t>
  </si>
  <si>
    <t>II100-0515</t>
  </si>
  <si>
    <t>SECTIONAL SOFA</t>
  </si>
  <si>
    <t>Sectional Sofa Set</t>
  </si>
  <si>
    <t>Metro</t>
  </si>
  <si>
    <t>4 Piece Upholstered Sectional</t>
  </si>
  <si>
    <t>4PC Sectional</t>
  </si>
  <si>
    <t>5/5/2022</t>
  </si>
  <si>
    <t>39940944-000-002</t>
  </si>
  <si>
    <t>MP95F-0327</t>
  </si>
  <si>
    <t>Mia</t>
  </si>
  <si>
    <t>Gold Metal Arch Wall Mirror</t>
  </si>
  <si>
    <t>CSNSTORES,HDDS,KIRKLANDDS,OLLIIX,TGTDVS</t>
  </si>
  <si>
    <t>43921713-000-000</t>
  </si>
  <si>
    <t>TN20-0589</t>
  </si>
  <si>
    <t>Micro Fleece</t>
  </si>
  <si>
    <t>PP001622;PF006393</t>
  </si>
  <si>
    <t>8/31/2024</t>
  </si>
  <si>
    <t>13709532-000-150</t>
  </si>
  <si>
    <t>TN20-0590</t>
  </si>
  <si>
    <t>13709532-000-151</t>
  </si>
  <si>
    <t>TN20-0591</t>
  </si>
  <si>
    <t>13709532-000-153</t>
  </si>
  <si>
    <t>TN20-0460</t>
  </si>
  <si>
    <t>PP001622;PF005448</t>
  </si>
  <si>
    <t>5/27/2021</t>
  </si>
  <si>
    <t>13709532-000-130</t>
  </si>
  <si>
    <t>TN20-0461</t>
  </si>
  <si>
    <t>AMAZON,DESINC,JCPENNEY01,KOHLDSN,MACY02,TGTDVS</t>
  </si>
  <si>
    <t>13709532-000-132</t>
  </si>
  <si>
    <t>TN20-0462</t>
  </si>
  <si>
    <t>AMAZON,AMAZONDS,BLK01,CSNSTORES,FINGERHUTDS,JCPENNEY01,KOHLDSN,MACY02,TGTDVS</t>
  </si>
  <si>
    <t>13709532-000-131</t>
  </si>
  <si>
    <t>SHET20-745</t>
  </si>
  <si>
    <t>PF001563</t>
  </si>
  <si>
    <t>AMAZON,JCPENNEY01,KOHLDSN,MACY02,WALMARTDS</t>
  </si>
  <si>
    <t>13709532-000-051</t>
  </si>
  <si>
    <t>3/23/2016</t>
  </si>
  <si>
    <t>SHET20-746</t>
  </si>
  <si>
    <t>13709532-000-052</t>
  </si>
  <si>
    <t>1/17/2017</t>
  </si>
  <si>
    <t>SHET20-531</t>
  </si>
  <si>
    <t>PF001775</t>
  </si>
  <si>
    <t>AMAZON,AMAZONDS,CSNSTORES,FINGERHUTDS,JCPENNEY01,KOHLDSN,MACY02,OLLIIX</t>
  </si>
  <si>
    <t>13709532-000-021</t>
  </si>
  <si>
    <t>1/13/2015</t>
  </si>
  <si>
    <t>PC20-005</t>
  </si>
  <si>
    <t>PF001735</t>
  </si>
  <si>
    <t>13709532-000-001</t>
  </si>
  <si>
    <t>4/8/2015</t>
  </si>
  <si>
    <t>SHET20-736</t>
  </si>
  <si>
    <t>PF001774</t>
  </si>
  <si>
    <t>AMAZON,AMAZONDS,CSNSTORES,JCPENNEY01,KOHLDSN,MACY02,WALMARTDS</t>
  </si>
  <si>
    <t>13709532-000-042</t>
  </si>
  <si>
    <t>TN20-0528</t>
  </si>
  <si>
    <t>PP001622;PF006087</t>
  </si>
  <si>
    <t>13709532-000-137</t>
  </si>
  <si>
    <t>11/10/2023</t>
  </si>
  <si>
    <t>TN20-0533</t>
  </si>
  <si>
    <t>Grey Snowflake</t>
  </si>
  <si>
    <t>PP001622;PF006088</t>
  </si>
  <si>
    <t>13709532-000-142</t>
  </si>
  <si>
    <t>PC20-124</t>
  </si>
  <si>
    <t>PF001746</t>
  </si>
  <si>
    <t>AMAZON,AMAZONDS,BLK01,DESINC,KOHLDSN,MACY02,WALMARTDS</t>
  </si>
  <si>
    <t>13709532-000-012</t>
  </si>
  <si>
    <t>1/23/2015</t>
  </si>
  <si>
    <t>SHET20-742</t>
  </si>
  <si>
    <t>PF001674</t>
  </si>
  <si>
    <t>13709532-000-048</t>
  </si>
  <si>
    <t>11/29/2016</t>
  </si>
  <si>
    <t>SHET20-739</t>
  </si>
  <si>
    <t>PF001776</t>
  </si>
  <si>
    <t>AMAZON,AMAZONDS,CSNSTORES,JCPENNEY01,KOHLDSN,MACY02</t>
  </si>
  <si>
    <t>13709532-000-045</t>
  </si>
  <si>
    <t>4/18/2016</t>
  </si>
  <si>
    <t>ID20-2208</t>
  </si>
  <si>
    <t>All Season Soft Touch Sheet Set</t>
  </si>
  <si>
    <t>PP001853;PF005933</t>
  </si>
  <si>
    <t>6/23/2023</t>
  </si>
  <si>
    <t>16342274-000-046</t>
  </si>
  <si>
    <t>ID20-2209</t>
  </si>
  <si>
    <t>16342274-000-045</t>
  </si>
  <si>
    <t>ID20-2212</t>
  </si>
  <si>
    <t>BEALLSDS,KOHLDSN,MACY02,TGTDVS</t>
  </si>
  <si>
    <t>16342274-000-051</t>
  </si>
  <si>
    <t>ID20-2204</t>
  </si>
  <si>
    <t>PP001853;PF005932</t>
  </si>
  <si>
    <t>16342274-000-048</t>
  </si>
  <si>
    <t>ID20-2207</t>
  </si>
  <si>
    <t>16342274-000-049</t>
  </si>
  <si>
    <t>ID20-1074</t>
  </si>
  <si>
    <t>PF001772</t>
  </si>
  <si>
    <t>AMAZONDS,HSNDS,JCPENNEY01,KOHLDSN,MACY02,OLLIIX,TGTDVS,WALMARTDS</t>
  </si>
  <si>
    <t>16342274-000-033</t>
  </si>
  <si>
    <t>1/20/2017</t>
  </si>
  <si>
    <t>ID20-1914</t>
  </si>
  <si>
    <t>Sheet Set with Side Storage Pockets</t>
  </si>
  <si>
    <t>5/13/2020</t>
  </si>
  <si>
    <t>AMAZONDS,HDDS,JCPENNEY01,KOHLDSN,MACY02,OLLIIX,TGTDVS</t>
  </si>
  <si>
    <t>27441431-000-021</t>
  </si>
  <si>
    <t>5/14/2020</t>
  </si>
  <si>
    <t>ID20-1916</t>
  </si>
  <si>
    <t>AMAZONDS,BLK01,JCPENNEY01,KOHLDSN,MACY02,OLLIIX,TGTDVS</t>
  </si>
  <si>
    <t>27441431-000-016</t>
  </si>
  <si>
    <t>ID20-1917</t>
  </si>
  <si>
    <t>AMAZONDS,BLK01,HDDS,JCPENNEY01,KOHLDSN,MACY02,OLLIIX,TGTDVS</t>
  </si>
  <si>
    <t>27441431-000-018</t>
  </si>
  <si>
    <t>6/2/2020</t>
  </si>
  <si>
    <t>ID20-1454</t>
  </si>
  <si>
    <t>PF001767</t>
  </si>
  <si>
    <t>AMAZON,HDDS,JCPENNEY01,KOHLDSN,MACY02,OLLIIX,TGTDVS,WALMARTDS</t>
  </si>
  <si>
    <t>27441431-000-000</t>
  </si>
  <si>
    <t>11/22/2019</t>
  </si>
  <si>
    <t>ID20-133</t>
  </si>
  <si>
    <t>AMAZONDS,FINGERHUTDS,HSNDS,JCPENNEY01,KOHLDSN,MACY02,WALMARTDS</t>
  </si>
  <si>
    <t>16342274-000-011</t>
  </si>
  <si>
    <t>ID20-134</t>
  </si>
  <si>
    <t>AMAZONDS,BLK01,HSNDS,JCPENNEY01,KOHLDSN,MACY02,TGTDVS,WALMARTDS</t>
  </si>
  <si>
    <t>16342274-000-012</t>
  </si>
  <si>
    <t>2/9/2015</t>
  </si>
  <si>
    <t>ID20-1456</t>
  </si>
  <si>
    <t>AMAZON,BLK01,JCPENNEY01,KOHLDSN,MACY02,TGTDVS</t>
  </si>
  <si>
    <t>27441431-000-013</t>
  </si>
  <si>
    <t>5/30/2018</t>
  </si>
  <si>
    <t>ID20-135</t>
  </si>
  <si>
    <t>AMAZONDS,BEALLSDS,BLK01,DESINC,FINGERHUTDS,HSNDS,JCPENNEY01,KOHLDSN,MACY02,OLLIIX,TGTDVS,WALMARTDS</t>
  </si>
  <si>
    <t>16342274-000-013</t>
  </si>
  <si>
    <t>ID20-1457</t>
  </si>
  <si>
    <t>AMAZON,BLK01,HDDS,JCPENNEY01,KOHLDSN,MACY02,OLLIIX,TGTDVS</t>
  </si>
  <si>
    <t>27441431-000-015</t>
  </si>
  <si>
    <t>12/11/2018</t>
  </si>
  <si>
    <t>ID20-136</t>
  </si>
  <si>
    <t>AMAZON,AMAZONDS,BLK01,CSNSTORES,FINGERHUTDS,HSNDS,KOHLDSN,MACY02,TGTDVS</t>
  </si>
  <si>
    <t>16342274-000-014</t>
  </si>
  <si>
    <t>2/4/2015</t>
  </si>
  <si>
    <t>ID20-2213</t>
  </si>
  <si>
    <t>PP001853;PF005934</t>
  </si>
  <si>
    <t>16342274-000-054</t>
  </si>
  <si>
    <t>ID20-2214</t>
  </si>
  <si>
    <t>16342274-000-053</t>
  </si>
  <si>
    <t>ID20-2216</t>
  </si>
  <si>
    <t>BEALLSDS,JCPENNEY01,KOHLDSN,MACY02,TGTDVS</t>
  </si>
  <si>
    <t>16342274-000-056</t>
  </si>
  <si>
    <t>ID20-137</t>
  </si>
  <si>
    <t>PF001769</t>
  </si>
  <si>
    <t>16342274-000-015</t>
  </si>
  <si>
    <t>ID20-138</t>
  </si>
  <si>
    <t>FINGERHUTDS,HSNDS,JCPENNEY01,KOHLDSN,MACY02,TGTDVS,WALMARTDS</t>
  </si>
  <si>
    <t>16342274-000-016</t>
  </si>
  <si>
    <t>2/20/2015</t>
  </si>
  <si>
    <t>ID20-1459</t>
  </si>
  <si>
    <t>27441431-000-006</t>
  </si>
  <si>
    <t>ID20-140</t>
  </si>
  <si>
    <t>BEALLSDS,BLK01,FINGERHUTDS,HSNDS,JCPENNEY01,KOHLDSN,MACY02,TGTDVS</t>
  </si>
  <si>
    <t>16342274-000-018</t>
  </si>
  <si>
    <t>ID20-1080</t>
  </si>
  <si>
    <t>PF001773</t>
  </si>
  <si>
    <t>AMAZONDS,BLK01,HSNDS,MACY02,TGTDVS,WALMARTDS</t>
  </si>
  <si>
    <t>16342274-000-039</t>
  </si>
  <si>
    <t>12/29/2016</t>
  </si>
  <si>
    <t>ID20-1081</t>
  </si>
  <si>
    <t>AMAZON,BEALLSDS,FINGERHUTDS,HSNDS,JCPENNEY01,KOHLDSN,MACY02,OLLIIX,TGTDVS</t>
  </si>
  <si>
    <t>16342274-000-040</t>
  </si>
  <si>
    <t>1/3/2017</t>
  </si>
  <si>
    <t>ID20-143</t>
  </si>
  <si>
    <t>PF001770</t>
  </si>
  <si>
    <t>FINGERHUTDS,HSNDS,JCPENNEY01,KOHLDSN,MACY02,OLLIIX,TGTDVS,WALMARTDS</t>
  </si>
  <si>
    <t>16342274-000-021</t>
  </si>
  <si>
    <t>ID20-1912</t>
  </si>
  <si>
    <t>27441431-000-019</t>
  </si>
  <si>
    <t>CS20-0246</t>
  </si>
  <si>
    <t>Microfiber 75GSM</t>
  </si>
  <si>
    <t>Microfiber 75GSM Solid Sheet Set 4 PC</t>
  </si>
  <si>
    <t>43972194-000-002</t>
  </si>
  <si>
    <t>TN51-0555</t>
  </si>
  <si>
    <t>Microfleece</t>
  </si>
  <si>
    <t>PP001936;PF006176</t>
  </si>
  <si>
    <t>44354334-000-005</t>
  </si>
  <si>
    <t>7/18/2024</t>
  </si>
  <si>
    <t>TN51-0556</t>
  </si>
  <si>
    <t>KOHLDSN,MACY02,OLLIIX,TGTDVS</t>
  </si>
  <si>
    <t>44354334-000-007</t>
  </si>
  <si>
    <t>TN51-0548</t>
  </si>
  <si>
    <t>PP001936;PF006174</t>
  </si>
  <si>
    <t>44354334-000-001</t>
  </si>
  <si>
    <t>TN51-0549</t>
  </si>
  <si>
    <t>44354334-000-011</t>
  </si>
  <si>
    <t>TN51-0550</t>
  </si>
  <si>
    <t>BLK01,KOHLDSN,MACY02,OLLIIX,TGTDVS</t>
  </si>
  <si>
    <t>44354334-000-004</t>
  </si>
  <si>
    <t>TN51-0542</t>
  </si>
  <si>
    <t>PP001936;PF006172</t>
  </si>
  <si>
    <t>44354334-000-008</t>
  </si>
  <si>
    <t>TN51-0543</t>
  </si>
  <si>
    <t>44354334-000-002</t>
  </si>
  <si>
    <t>TN51-0546</t>
  </si>
  <si>
    <t>PP001936;PF006173</t>
  </si>
  <si>
    <t>AMAZON,BLK01,KOHLDSN,MACY02</t>
  </si>
  <si>
    <t>44354334-000-000</t>
  </si>
  <si>
    <t>ID51-1086</t>
  </si>
  <si>
    <t>Microlight Plush</t>
  </si>
  <si>
    <t>Oversized Blanket</t>
  </si>
  <si>
    <t>PF003476</t>
  </si>
  <si>
    <t>AMAZON,BEALLSDS,CSNSTORES,KOHLDSN,MACY02,NEBFUR01,NRTPORT,OLLIIX,TGTDVS</t>
  </si>
  <si>
    <t>18631076-000-012</t>
  </si>
  <si>
    <t>1/10/2017</t>
  </si>
  <si>
    <t>3/20/2017</t>
  </si>
  <si>
    <t>ID50-844</t>
  </si>
  <si>
    <t>Oversized Throw</t>
  </si>
  <si>
    <t>PF003473</t>
  </si>
  <si>
    <t>AMAZON,AMAZONDS,FINGERHUTDS,JCPENNEY01,KOHLDSN,MACY02,OLLIIX,TGTDVS</t>
  </si>
  <si>
    <t>18660058-000-002</t>
  </si>
  <si>
    <t>6/14/2016</t>
  </si>
  <si>
    <t>ID51-1089</t>
  </si>
  <si>
    <t>PF003477</t>
  </si>
  <si>
    <t>AMAZON,ASHFURNDS,BLK01,CSNSTORES,JCPENNEY01,KOHLDSN,MACY02,OLLIIX,TGTDVS,WALMARTDS</t>
  </si>
  <si>
    <t>18631076-000-015</t>
  </si>
  <si>
    <t>MP95C-0112</t>
  </si>
  <si>
    <t>Midday Bloom Florals</t>
  </si>
  <si>
    <t>Embellished Canvas Wall Art</t>
  </si>
  <si>
    <t>PF002014</t>
  </si>
  <si>
    <t>6/21/2017</t>
  </si>
  <si>
    <t>KOHLDSN,MACY02,OLLIIX,TGTDVS,Zulily</t>
  </si>
  <si>
    <t>22896855-000-000</t>
  </si>
  <si>
    <t>II10-1315</t>
  </si>
  <si>
    <t>3 Piece Cotton Comforter Set with Chenille Tufting</t>
  </si>
  <si>
    <t>PP001321;PF006111</t>
  </si>
  <si>
    <t>11/21/2023</t>
  </si>
  <si>
    <t>43956462-000-001</t>
  </si>
  <si>
    <t>II10-1316</t>
  </si>
  <si>
    <t>AMERSIGNDS,MACY02,TGTDVS</t>
  </si>
  <si>
    <t>43956462-000-000</t>
  </si>
  <si>
    <t>II12-1318</t>
  </si>
  <si>
    <t>3 Piece Cotton Duvet Cover Set with Chenille Tufting</t>
  </si>
  <si>
    <t>43956461-000-001</t>
  </si>
  <si>
    <t>ID10-2320</t>
  </si>
  <si>
    <t>Lana</t>
  </si>
  <si>
    <t>Checkered Comforter Set</t>
  </si>
  <si>
    <t>PF006199</t>
  </si>
  <si>
    <t>43736000-000-001</t>
  </si>
  <si>
    <t>II152-0142</t>
  </si>
  <si>
    <t>LGT-FLUSHMOUNTS</t>
  </si>
  <si>
    <t>Flushmounts</t>
  </si>
  <si>
    <t>Mililani</t>
  </si>
  <si>
    <t>Boho Bamboo Flush Mount Ceiling Light</t>
  </si>
  <si>
    <t>1/19/2025</t>
  </si>
  <si>
    <t>40806221-000-000</t>
  </si>
  <si>
    <t>1/6/2023</t>
  </si>
  <si>
    <t>MP101-0225</t>
  </si>
  <si>
    <t>Miller</t>
  </si>
  <si>
    <t>Javier</t>
  </si>
  <si>
    <t>Millie</t>
  </si>
  <si>
    <t>Round Storage Ottoman</t>
  </si>
  <si>
    <t>Denim/Brown</t>
  </si>
  <si>
    <t>PF000280;PP000213</t>
  </si>
  <si>
    <t>6/9/2017</t>
  </si>
  <si>
    <t>CSNSTORES,HDDS,KOHLDSN,LAMPDS</t>
  </si>
  <si>
    <t>22752070-000-000</t>
  </si>
  <si>
    <t>6/15/2017</t>
  </si>
  <si>
    <t>7/11/2017</t>
  </si>
  <si>
    <t>II150-0119</t>
  </si>
  <si>
    <t>Milo</t>
  </si>
  <si>
    <t>40002939-000-000</t>
  </si>
  <si>
    <t>IIF17-0149</t>
  </si>
  <si>
    <t>PP000041</t>
  </si>
  <si>
    <t>20691716-000-000</t>
  </si>
  <si>
    <t>ID10-2379</t>
  </si>
  <si>
    <t>Mira</t>
  </si>
  <si>
    <t>Arabella</t>
  </si>
  <si>
    <t>Crushed Velvet Sherpa Reversible Comforter Set</t>
  </si>
  <si>
    <t>PP001907;PF006259</t>
  </si>
  <si>
    <t>42733819-000-009</t>
  </si>
  <si>
    <t>ID10-2381</t>
  </si>
  <si>
    <t>42733819-000-013</t>
  </si>
  <si>
    <t>ID10-2271</t>
  </si>
  <si>
    <t>PP001907;PF006082</t>
  </si>
  <si>
    <t>10/3/2023</t>
  </si>
  <si>
    <t>BLK01,CSNSTORES,JCPENNEY01,KOHLDSN,NRTPORT,OLLIIX,TGTDVS</t>
  </si>
  <si>
    <t>42733819-000-004</t>
  </si>
  <si>
    <t>ID10-2263</t>
  </si>
  <si>
    <t>PP001907;PF006080</t>
  </si>
  <si>
    <t>42733819-000-005</t>
  </si>
  <si>
    <t>SS40-0019</t>
  </si>
  <si>
    <t>Mirage</t>
  </si>
  <si>
    <t>Elysia</t>
  </si>
  <si>
    <t>Azalea</t>
  </si>
  <si>
    <t>Knitted Jacquard Damask Total Blackout Grommet Top Curtain Panel</t>
  </si>
  <si>
    <t>Luxury</t>
  </si>
  <si>
    <t>AMAZON,CSNSTORES,HDDS,JCPENNEY01,KOHLDSN</t>
  </si>
  <si>
    <t>23909103-000-006</t>
  </si>
  <si>
    <t>9/4/2017</t>
  </si>
  <si>
    <t>12/11/2017</t>
  </si>
  <si>
    <t>SS40-0020</t>
  </si>
  <si>
    <t>23909103-000-007</t>
  </si>
  <si>
    <t>10/2/2017</t>
  </si>
  <si>
    <t>BR12-3850</t>
  </si>
  <si>
    <t>Miro</t>
  </si>
  <si>
    <t>3 Piece Gauze Oversized Duvet Cover Set</t>
  </si>
  <si>
    <t>PP001826;PF005864</t>
  </si>
  <si>
    <t>40888685-000-002</t>
  </si>
  <si>
    <t>BR10-3852</t>
  </si>
  <si>
    <t>3 Piece Gauze Oversized Comforter Set</t>
  </si>
  <si>
    <t>PP001826;PF005865</t>
  </si>
  <si>
    <t>40888646-000-003</t>
  </si>
  <si>
    <t>II100-0544</t>
  </si>
  <si>
    <t>Sectional Sofa</t>
  </si>
  <si>
    <t>Molly</t>
  </si>
  <si>
    <t>Modular Armless Chair</t>
  </si>
  <si>
    <t>41053312-000-004</t>
  </si>
  <si>
    <t>II101-0545</t>
  </si>
  <si>
    <t>Modular Ottoman</t>
  </si>
  <si>
    <t>41053312-000-005</t>
  </si>
  <si>
    <t>II100-0556</t>
  </si>
  <si>
    <t>2-Piece Modular Loveseat Sofa</t>
  </si>
  <si>
    <t>43987867-000-001</t>
  </si>
  <si>
    <t>II100-0558</t>
  </si>
  <si>
    <t>5-Piece Modular L-Shape Sofa</t>
  </si>
  <si>
    <t>43928755-000-001</t>
  </si>
  <si>
    <t>II100-0560</t>
  </si>
  <si>
    <t>3-Piece Modular Sofa</t>
  </si>
  <si>
    <t>43928758-000-001</t>
  </si>
  <si>
    <t>II100-0561</t>
  </si>
  <si>
    <t>5-Piece Modular U-Shape Sofa</t>
  </si>
  <si>
    <t>43928757-000-000</t>
  </si>
  <si>
    <t>II90-0557</t>
  </si>
  <si>
    <t>3-Piece Modular L-Shape Sofa</t>
  </si>
  <si>
    <t>43928759-000-001</t>
  </si>
  <si>
    <t>II90-0559</t>
  </si>
  <si>
    <t>4-Piece Modular Sofa with Ottoman</t>
  </si>
  <si>
    <t>43928756-000-000</t>
  </si>
  <si>
    <t>II100-0506</t>
  </si>
  <si>
    <t>Silver Grey</t>
  </si>
  <si>
    <t>KIRKLANDDS,LAMPDS,OLLIIX</t>
  </si>
  <si>
    <t>41053312-000-002</t>
  </si>
  <si>
    <t>2/1/2023</t>
  </si>
  <si>
    <t>II100-0505</t>
  </si>
  <si>
    <t>Modular Corner Chair</t>
  </si>
  <si>
    <t>Corner Chair</t>
  </si>
  <si>
    <t>CSNSTORES,KIRKLANDDS,OLLIIX</t>
  </si>
  <si>
    <t>41053312-000-000</t>
  </si>
  <si>
    <t>II101-0507</t>
  </si>
  <si>
    <t>3/3/2025</t>
  </si>
  <si>
    <t>CSNSTORES,NRTPORT,OLLIIX</t>
  </si>
  <si>
    <t>41053312-000-001</t>
  </si>
  <si>
    <t>II100-0532</t>
  </si>
  <si>
    <t>43987867-000-000</t>
  </si>
  <si>
    <t>II100-0534</t>
  </si>
  <si>
    <t>43928755-000-000</t>
  </si>
  <si>
    <t>II100-0536</t>
  </si>
  <si>
    <t>43928758-000-000</t>
  </si>
  <si>
    <t>4/23/2024</t>
  </si>
  <si>
    <t>II100-0537</t>
  </si>
  <si>
    <t>43928757-000-001</t>
  </si>
  <si>
    <t>II90-0533</t>
  </si>
  <si>
    <t>43928759-000-000</t>
  </si>
  <si>
    <t>II90-0535</t>
  </si>
  <si>
    <t>43928756-000-001</t>
  </si>
  <si>
    <t>5DS120-0011</t>
  </si>
  <si>
    <t>Monarch</t>
  </si>
  <si>
    <t>Monarch Coffee Table</t>
  </si>
  <si>
    <t>Dark Coffee/Black</t>
  </si>
  <si>
    <t>ASHFURNDS,CSNSTORES,TGTDVS</t>
  </si>
  <si>
    <t>38980698-000-000</t>
  </si>
  <si>
    <t>CCL11-0020</t>
  </si>
  <si>
    <t>Montague</t>
  </si>
  <si>
    <t>CSNSTORES,DLCROSCILL,JCPENNEY01,MACY02</t>
  </si>
  <si>
    <t>42067462-000-000</t>
  </si>
  <si>
    <t>CCL11-0021</t>
  </si>
  <si>
    <t>42067462-000-001</t>
  </si>
  <si>
    <t>MP95C-0325</t>
  </si>
  <si>
    <t>Moody Coast</t>
  </si>
  <si>
    <t>Hand Embellished Landscape Framed Canvas Wall Art</t>
  </si>
  <si>
    <t>Blue/Pink</t>
  </si>
  <si>
    <t>MACY02,OLLIIX,TGTDVS</t>
  </si>
  <si>
    <t>42794029-000-000</t>
  </si>
  <si>
    <t>HH10-1864</t>
  </si>
  <si>
    <t>Morgan</t>
  </si>
  <si>
    <t>6 Piece Cotton Jacquard Oversized Comforter Set</t>
  </si>
  <si>
    <t>White/Blue</t>
  </si>
  <si>
    <t>PP001753;PF006226</t>
  </si>
  <si>
    <t>Farm House|Lodge/Cabin</t>
  </si>
  <si>
    <t>40856399-000-007</t>
  </si>
  <si>
    <t>4/18/2024</t>
  </si>
  <si>
    <t>HH12-1869</t>
  </si>
  <si>
    <t>5 Piece Cotton Jaquard Duvet Set</t>
  </si>
  <si>
    <t>40856409-000-003</t>
  </si>
  <si>
    <t>MP95A-0001</t>
  </si>
  <si>
    <t>Moroccan Tile</t>
  </si>
  <si>
    <t>4-piece Framed Art Set</t>
  </si>
  <si>
    <t>PF001830</t>
  </si>
  <si>
    <t>AMAZON,ASHFURNDS,BLK01,CSNSTORES,HSNDS,KOHLDSN,TGTDVS</t>
  </si>
  <si>
    <t>18109269-000-000</t>
  </si>
  <si>
    <t>1/25/2016</t>
  </si>
  <si>
    <t>MP04-0037</t>
  </si>
  <si>
    <t>MP125100P</t>
  </si>
  <si>
    <t>100% Polyester Box packaged Satin Fleece Lining Robe</t>
  </si>
  <si>
    <t>MP04-0038</t>
  </si>
  <si>
    <t>MP04-0039</t>
  </si>
  <si>
    <t>XL/1X</t>
  </si>
  <si>
    <t>MP04-0040</t>
  </si>
  <si>
    <t>2X/3X</t>
  </si>
  <si>
    <t>MP04-0041</t>
  </si>
  <si>
    <t>MP04-0042</t>
  </si>
  <si>
    <t>MP04-0043</t>
  </si>
  <si>
    <t>MP04-0044</t>
  </si>
  <si>
    <t>MP04-0045</t>
  </si>
  <si>
    <t>MP04-0046</t>
  </si>
  <si>
    <t>MP04-0047</t>
  </si>
  <si>
    <t>MP04-0048</t>
  </si>
  <si>
    <t>UH10-2150</t>
  </si>
  <si>
    <t>Myla</t>
  </si>
  <si>
    <t>Jojo</t>
  </si>
  <si>
    <t>Kira</t>
  </si>
  <si>
    <t>7 Piece Cotton Jacquard Comforter Set</t>
  </si>
  <si>
    <t>PP000835;PF004167</t>
  </si>
  <si>
    <t>AMAZON,KOHLDSN,OLLIIX,TGTDVS</t>
  </si>
  <si>
    <t>26488682-000-001</t>
  </si>
  <si>
    <t>ID73-2062</t>
  </si>
  <si>
    <t>Nadia AZ</t>
  </si>
  <si>
    <t>43976170-000-000</t>
  </si>
  <si>
    <t>ID73-2061</t>
  </si>
  <si>
    <t>43976170-000-001</t>
  </si>
  <si>
    <t>PET63HM6012</t>
  </si>
  <si>
    <t>Nala</t>
  </si>
  <si>
    <t>Hide Mat SM</t>
  </si>
  <si>
    <t>AMAZON,AMAZONDS,CSNSTORES,DESINC,OLLIIX</t>
  </si>
  <si>
    <t>43826956-000-000</t>
  </si>
  <si>
    <t>ID10-2237</t>
  </si>
  <si>
    <t>Naomi</t>
  </si>
  <si>
    <t>Madelyn</t>
  </si>
  <si>
    <t>Metallic Print Faux Fur Comforter Set</t>
  </si>
  <si>
    <t>PF006026;PP001891</t>
  </si>
  <si>
    <t>8/2/2023</t>
  </si>
  <si>
    <t>41294106-000-008</t>
  </si>
  <si>
    <t>8/6/2023</t>
  </si>
  <si>
    <t>ID12-2243</t>
  </si>
  <si>
    <t>Metallic Print Faux Fur Duvet Cover Set</t>
  </si>
  <si>
    <t>42078313-000-000</t>
  </si>
  <si>
    <t>ID12-2247</t>
  </si>
  <si>
    <t>PP001891;PF006028</t>
  </si>
  <si>
    <t>42078313-000-001</t>
  </si>
  <si>
    <t>MT95F-0088</t>
  </si>
  <si>
    <t>Rectangular Wood and Rattan Mirror</t>
  </si>
  <si>
    <t>KIRKLANDDS,TGTDVS</t>
  </si>
  <si>
    <t>43922587-000-001</t>
  </si>
  <si>
    <t>MT95F-0089</t>
  </si>
  <si>
    <t>43922587-000-000</t>
  </si>
  <si>
    <t>FB150-1170</t>
  </si>
  <si>
    <t>Nava</t>
  </si>
  <si>
    <t>3-Light Metal Chandelier with Adjustable Chain</t>
  </si>
  <si>
    <t>40624676-000-000</t>
  </si>
  <si>
    <t>5/23/2023</t>
  </si>
  <si>
    <t>MP12-8318</t>
  </si>
  <si>
    <t>Neko</t>
  </si>
  <si>
    <t>Penelope</t>
  </si>
  <si>
    <t>3 Piece Floral Printed Duvet Cover Set</t>
  </si>
  <si>
    <t>PP001910;PF006092</t>
  </si>
  <si>
    <t>CSNSTORES,KOHLDSN,MACY02,NRTPORT</t>
  </si>
  <si>
    <t>43642759-000-001</t>
  </si>
  <si>
    <t>MP10-8317</t>
  </si>
  <si>
    <t>3 Piece Floral Printed Comforter Set</t>
  </si>
  <si>
    <t>CSNSTORES,KIRKLANDDS,KOHLDSN,MACY02,OLLIIX,TGTDVS</t>
  </si>
  <si>
    <t>43626572-000-001</t>
  </si>
  <si>
    <t>3/8/2024</t>
  </si>
  <si>
    <t>MP12-8319</t>
  </si>
  <si>
    <t>43642759-000-000</t>
  </si>
  <si>
    <t>II153-0144</t>
  </si>
  <si>
    <t>Nelia</t>
  </si>
  <si>
    <t>Frosted Glass Globe Resin Table Lamp</t>
  </si>
  <si>
    <t>2/10/2023</t>
  </si>
  <si>
    <t>AMAZONDS,CSNSTORES,KOHLDSN,OLLIIX,ROOMECOM,TGTDVS,ZOLA</t>
  </si>
  <si>
    <t>41075651-000-000</t>
  </si>
  <si>
    <t>5DS153-0052</t>
  </si>
  <si>
    <t>Neonova</t>
  </si>
  <si>
    <t>44300080-000-000</t>
  </si>
  <si>
    <t>II110-0590</t>
  </si>
  <si>
    <t>Newport</t>
  </si>
  <si>
    <t>Lounge Chair Set of 2</t>
  </si>
  <si>
    <t>20675185-000-006</t>
  </si>
  <si>
    <t>II100-0382</t>
  </si>
  <si>
    <t>Newport Wide Mid-Century Modern Lounge Chair</t>
  </si>
  <si>
    <t>7/31/2018</t>
  </si>
  <si>
    <t>ASHFURNDS,CASTLEGATE,CSNSTORES,HDDS,KOHLDSN,MACY02F,OLLIIX</t>
  </si>
  <si>
    <t>20675185-000-001</t>
  </si>
  <si>
    <t>7/12/2018</t>
  </si>
  <si>
    <t>8/8/2018</t>
  </si>
  <si>
    <t>II100-0588</t>
  </si>
  <si>
    <t>4/17/2018</t>
  </si>
  <si>
    <t>20675185-000-007</t>
  </si>
  <si>
    <t>II110-0589</t>
  </si>
  <si>
    <t>8/30/2019</t>
  </si>
  <si>
    <t>20675185-000-009</t>
  </si>
  <si>
    <t>MP35-7552</t>
  </si>
  <si>
    <t>Fielding</t>
  </si>
  <si>
    <t>Abstract Area Rug</t>
  </si>
  <si>
    <t>BIGLOTSDS,BLK01,JCPENNEY01,KOHLDSN,OLLIIX</t>
  </si>
  <si>
    <t>35376033-000-007</t>
  </si>
  <si>
    <t>MP35-7554</t>
  </si>
  <si>
    <t>BLK01,DESINC</t>
  </si>
  <si>
    <t>35376033-000-004</t>
  </si>
  <si>
    <t>7/19/2022</t>
  </si>
  <si>
    <t>MP35-7553</t>
  </si>
  <si>
    <t>BIGLOTSDS,DESINC,JCPENNEY01,OLLIIX</t>
  </si>
  <si>
    <t>35376033-000-005</t>
  </si>
  <si>
    <t>7/26/2022</t>
  </si>
  <si>
    <t>II100-0591</t>
  </si>
  <si>
    <t>Pale Green</t>
  </si>
  <si>
    <t>PF000954;PP000045</t>
  </si>
  <si>
    <t>20675185-000-010</t>
  </si>
  <si>
    <t>IIF18-0015</t>
  </si>
  <si>
    <t>20675185-000-013</t>
  </si>
  <si>
    <t>11/28/2016</t>
  </si>
  <si>
    <t>II100-0468</t>
  </si>
  <si>
    <t>1/3/2022</t>
  </si>
  <si>
    <t>AMAZONDS,ASHFURNDS,CASTLEGATE,CSNSTORES,KIRKLANDDS,KOHLDSN,LAMPDS,MACY02F,OLLIIX,ROOMECOM</t>
  </si>
  <si>
    <t>20675185-000-005</t>
  </si>
  <si>
    <t>II100-0586</t>
  </si>
  <si>
    <t>7/9/2021</t>
  </si>
  <si>
    <t>20675185-000-011</t>
  </si>
  <si>
    <t>5DS153-0037</t>
  </si>
  <si>
    <t>Nicolo</t>
  </si>
  <si>
    <t>Textured Ceramic Table Lamp</t>
  </si>
  <si>
    <t>AMERSIGNDS,CSNSTORES,HDDS,KOHLDSN,OLLIIX,ROOMECOM,TGTDVS</t>
  </si>
  <si>
    <t>39467327-000-000</t>
  </si>
  <si>
    <t>5DS153-0036</t>
  </si>
  <si>
    <t>CSNSTORES,JCPENNEY01,KOHLDSN,OLLIIX,ROOMECOM,TGTDVS</t>
  </si>
  <si>
    <t>39467327-000-001</t>
  </si>
  <si>
    <t>5/17/2022</t>
  </si>
  <si>
    <t>HH12-1873</t>
  </si>
  <si>
    <t>Nile</t>
  </si>
  <si>
    <t>3 Piece Cotton Sateen with Embroidery Duvet Set</t>
  </si>
  <si>
    <t>HH10-1870</t>
  </si>
  <si>
    <t>4 Piece Cotton Sateen With Embroidery Oversized Comforter Set</t>
  </si>
  <si>
    <t>HH10-1871</t>
  </si>
  <si>
    <t>HH12-1874</t>
  </si>
  <si>
    <t>HH10-1872</t>
  </si>
  <si>
    <t>MPE10-956</t>
  </si>
  <si>
    <t>Nimbus</t>
  </si>
  <si>
    <t>Cirrus</t>
  </si>
  <si>
    <t>Alto</t>
  </si>
  <si>
    <t>5 Piece Comforter Set with Bed Sheets</t>
  </si>
  <si>
    <t>PP001703;PF005620</t>
  </si>
  <si>
    <t>CSNSTORES,FINGERHUTDS,JCPENNEY01,KOHLDSN,OLLIIX</t>
  </si>
  <si>
    <t>39242488-000-007</t>
  </si>
  <si>
    <t>4/1/2022</t>
  </si>
  <si>
    <t>II100-0357</t>
  </si>
  <si>
    <t>Noe</t>
  </si>
  <si>
    <t>6/1/2018</t>
  </si>
  <si>
    <t>ASHFURNDS,CSNSTORES,KOHLDSN,LAMPDS,OLLIIX,ZOLA</t>
  </si>
  <si>
    <t>27457674-000-000</t>
  </si>
  <si>
    <t>6/12/2018</t>
  </si>
  <si>
    <t>II73-1255</t>
  </si>
  <si>
    <t>Rhett</t>
  </si>
  <si>
    <t>Cotton Dobby Slub 6 Piece Towel Set</t>
  </si>
  <si>
    <t>6-Piece</t>
  </si>
  <si>
    <t>PP001772;PF005718</t>
  </si>
  <si>
    <t>AMAZONDS,KOHLDSN,OLLIIX,TGTDVS,ZOLA</t>
  </si>
  <si>
    <t>40252919-000-003</t>
  </si>
  <si>
    <t>PET63CM6018</t>
  </si>
  <si>
    <t>Back Printed Microberber Bumper Crate Mat</t>
  </si>
  <si>
    <t>43827513-000-000</t>
  </si>
  <si>
    <t>PET63CM6019</t>
  </si>
  <si>
    <t>43827513-000-001</t>
  </si>
  <si>
    <t>PET63CM6020</t>
  </si>
  <si>
    <t>AMAZON,AMAZONDS,CSNSTORES</t>
  </si>
  <si>
    <t>43827513-000-003</t>
  </si>
  <si>
    <t>PET63CM6021</t>
  </si>
  <si>
    <t>43827513-000-002</t>
  </si>
  <si>
    <t>PET63CM6014</t>
  </si>
  <si>
    <t>Oxford Bumper Crate Mat</t>
  </si>
  <si>
    <t>Olive Green</t>
  </si>
  <si>
    <t>4/11/2023</t>
  </si>
  <si>
    <t>43827514-000-003</t>
  </si>
  <si>
    <t>PET63CM6015</t>
  </si>
  <si>
    <t>43827514-000-000</t>
  </si>
  <si>
    <t>PET63CM6016</t>
  </si>
  <si>
    <t>43827514-000-002</t>
  </si>
  <si>
    <t>PET63CM6017</t>
  </si>
  <si>
    <t>43827514-000-001</t>
  </si>
  <si>
    <t>II100-0585</t>
  </si>
  <si>
    <t>Novak</t>
  </si>
  <si>
    <t>1/6/2022</t>
  </si>
  <si>
    <t>2/23/2025</t>
  </si>
  <si>
    <t>20226921-000-010</t>
  </si>
  <si>
    <t>4/20/2024</t>
  </si>
  <si>
    <t>8/14/2024</t>
  </si>
  <si>
    <t>ID20-1439</t>
  </si>
  <si>
    <t>Print Sheet Set</t>
  </si>
  <si>
    <t>TXL</t>
  </si>
  <si>
    <t>Aqua Dogs</t>
  </si>
  <si>
    <t>PP000909;PF004369</t>
  </si>
  <si>
    <t>5/10/2018</t>
  </si>
  <si>
    <t>AMAZON,BLK01,CSNSTORES,KOHLDSN,MACY02,OLLIIX,WALMARTDS</t>
  </si>
  <si>
    <t>26991463-000-002</t>
  </si>
  <si>
    <t>4/29/2018</t>
  </si>
  <si>
    <t>ID20-1440</t>
  </si>
  <si>
    <t>26991463-000-005</t>
  </si>
  <si>
    <t>6/5/2018</t>
  </si>
  <si>
    <t>ID20-1426</t>
  </si>
  <si>
    <t>Grey/Blue Road Trip</t>
  </si>
  <si>
    <t>PP000909;PF004366</t>
  </si>
  <si>
    <t>2/25/2025</t>
  </si>
  <si>
    <t>AMAZON,AMAZONDS,BLK01,CSNSTORES,KOHLDSN,MACY02,OLLIIX</t>
  </si>
  <si>
    <t>26991463-000-007</t>
  </si>
  <si>
    <t>ID20-1427</t>
  </si>
  <si>
    <t>26991463-000-020</t>
  </si>
  <si>
    <t>ID20-1428</t>
  </si>
  <si>
    <t>26991463-000-012</t>
  </si>
  <si>
    <t>6/11/2018</t>
  </si>
  <si>
    <t>ID20-1431</t>
  </si>
  <si>
    <t>Pink Cats</t>
  </si>
  <si>
    <t>PP000909;PF004367</t>
  </si>
  <si>
    <t>26991463-000-019</t>
  </si>
  <si>
    <t>LCN73-0129</t>
  </si>
  <si>
    <t>Nurture</t>
  </si>
  <si>
    <t>Sustainable Antimicrobial Bath Towel 6 Piece Set</t>
  </si>
  <si>
    <t>PP001624;PF005450</t>
  </si>
  <si>
    <t>9/6/2021</t>
  </si>
  <si>
    <t>HDDS,JCPENNEY01,KOHLDSN,MACY02,OLLIIX,ZOLA</t>
  </si>
  <si>
    <t>38820878-000-002</t>
  </si>
  <si>
    <t>9/14/2021</t>
  </si>
  <si>
    <t>MPS10-515</t>
  </si>
  <si>
    <t>Oasis</t>
  </si>
  <si>
    <t>Oversized Chenille Jacquard Striped Comforter Set with Euro Shams and Throw Pillows</t>
  </si>
  <si>
    <t>PF006076</t>
  </si>
  <si>
    <t>43731222-000-000</t>
  </si>
  <si>
    <t>8/4/2024</t>
  </si>
  <si>
    <t>MPS10-516</t>
  </si>
  <si>
    <t>10/22/2023</t>
  </si>
  <si>
    <t>43731222-000-001</t>
  </si>
  <si>
    <t>MP95C-0062</t>
  </si>
  <si>
    <t>Ocean Seashells</t>
  </si>
  <si>
    <t>4-piece Framed Canvas Wall Art Set</t>
  </si>
  <si>
    <t>PF001950</t>
  </si>
  <si>
    <t>4/22/2017</t>
  </si>
  <si>
    <t>AMAZON,AMERSIGNDS,BLK01,DESINC,KIRKLANDDS,KOHLDSN,LAMPDS,MACY02,OLLIIX</t>
  </si>
  <si>
    <t>19308172-000-000</t>
  </si>
  <si>
    <t>8/27/2016</t>
  </si>
  <si>
    <t>MP50-3509</t>
  </si>
  <si>
    <t>Ogee</t>
  </si>
  <si>
    <t>PF003637;PP000475</t>
  </si>
  <si>
    <t>AMAZON,ASHFURNDS,BLK01,CSNSTORES,FINGERHUTDS,HSNDS,JCPENNEY01,KOHLDSN,MACY02,OLLIIX,TGTDVS</t>
  </si>
  <si>
    <t>17690739-000-006</t>
  </si>
  <si>
    <t>MP50-1731</t>
  </si>
  <si>
    <t>PF003634;PP000475</t>
  </si>
  <si>
    <t>AMAZON,CSNSTORES,FINGERHUTDS,HSNDS,JCPENNEY01,KOHLDSN,MACY02,OLLIIX,TGTDVS</t>
  </si>
  <si>
    <t>17690739-000-003</t>
  </si>
  <si>
    <t>11/8/2015</t>
  </si>
  <si>
    <t>ID10-2322</t>
  </si>
  <si>
    <t>Oliena</t>
  </si>
  <si>
    <t>Elodie</t>
  </si>
  <si>
    <t>Floral Paisley Comforter Set</t>
  </si>
  <si>
    <t>PF006200</t>
  </si>
  <si>
    <t>43792213-000-000</t>
  </si>
  <si>
    <t>ID12-2324</t>
  </si>
  <si>
    <t>Floral Paisley Duvet Cover Set</t>
  </si>
  <si>
    <t>43794458-000-000</t>
  </si>
  <si>
    <t>ID10-2323</t>
  </si>
  <si>
    <t>43792213-000-001</t>
  </si>
  <si>
    <t>ID12-2325</t>
  </si>
  <si>
    <t>AMAZON,JCPENNEY01,KOHLDSN,MACY02,NRTPORT,TGTDVS</t>
  </si>
  <si>
    <t>43794458-000-001</t>
  </si>
  <si>
    <t>II108-0457</t>
  </si>
  <si>
    <t>Oliver</t>
  </si>
  <si>
    <t>Dining Side Chair Set of 2</t>
  </si>
  <si>
    <t>3/15/2022</t>
  </si>
  <si>
    <t>27160197-000-001</t>
  </si>
  <si>
    <t>3/18/2022</t>
  </si>
  <si>
    <t>3/30/2022</t>
  </si>
  <si>
    <t>ID12-2302</t>
  </si>
  <si>
    <t>Cationic Dyed Clip Jacquard Duvet Cover Set with Throw Pillow</t>
  </si>
  <si>
    <t>PF006163</t>
  </si>
  <si>
    <t>43757959-000-001</t>
  </si>
  <si>
    <t>ID10-2301</t>
  </si>
  <si>
    <t>Cationic Dyed Clip Jacquard Comforter Set with Throw Pillow</t>
  </si>
  <si>
    <t>43757614-000-000</t>
  </si>
  <si>
    <t>MP104-1197</t>
  </si>
  <si>
    <t>Onyx</t>
  </si>
  <si>
    <t>Boyle</t>
  </si>
  <si>
    <t>Grattan</t>
  </si>
  <si>
    <t>Upholstered 360 Degree Swivel Counter Stool 26" H</t>
  </si>
  <si>
    <t>26768229-000-002</t>
  </si>
  <si>
    <t>MP10-8722</t>
  </si>
  <si>
    <t>Ophelia</t>
  </si>
  <si>
    <t>Sibley</t>
  </si>
  <si>
    <t>8PCS Comforter Set</t>
  </si>
  <si>
    <t>4/18/2025</t>
  </si>
  <si>
    <t>MP10-8723</t>
  </si>
  <si>
    <t>MP10-8724</t>
  </si>
  <si>
    <t>FB150-1190</t>
  </si>
  <si>
    <t>Opulentia</t>
  </si>
  <si>
    <t>9-light Round Tiered Chandelier with Textured Glass Shades</t>
  </si>
  <si>
    <t>44989230-000-000</t>
  </si>
  <si>
    <t>NS30-3729</t>
  </si>
  <si>
    <t>Origami</t>
  </si>
  <si>
    <t>Knit Quilted Top Decorative Square Pillow 18x18"</t>
  </si>
  <si>
    <t>PP001768;PF005709</t>
  </si>
  <si>
    <t>Global Inspired|Casual</t>
  </si>
  <si>
    <t>40297867-000-000</t>
  </si>
  <si>
    <t>8/24/2022</t>
  </si>
  <si>
    <t>II151-0139</t>
  </si>
  <si>
    <t>Orion</t>
  </si>
  <si>
    <t>Natural Rope and Metal Mesh Cylinder Pendant</t>
  </si>
  <si>
    <t>Natural/Black</t>
  </si>
  <si>
    <t>40632365-000-000</t>
  </si>
  <si>
    <t>MT103-0143</t>
  </si>
  <si>
    <t>Osborne</t>
  </si>
  <si>
    <t>360 Degree Swivel Chair</t>
  </si>
  <si>
    <t>39674033-000-000</t>
  </si>
  <si>
    <t>MP40-8182</t>
  </si>
  <si>
    <t>Otis</t>
  </si>
  <si>
    <t>Leo</t>
  </si>
  <si>
    <t>Ivan</t>
  </si>
  <si>
    <t>Faux Linen Cordless Total Blackout Roman Shade</t>
  </si>
  <si>
    <t>PP001845;PF005903</t>
  </si>
  <si>
    <t>2/2/2023</t>
  </si>
  <si>
    <t>42129401-000-007</t>
  </si>
  <si>
    <t>10/30/2023</t>
  </si>
  <si>
    <t>MP40-8184</t>
  </si>
  <si>
    <t>42129401-000-004</t>
  </si>
  <si>
    <t>MP40-8188</t>
  </si>
  <si>
    <t>PP001845;PF005904</t>
  </si>
  <si>
    <t>42129401-000-002</t>
  </si>
  <si>
    <t>5DS13-0033</t>
  </si>
  <si>
    <t>Otto</t>
  </si>
  <si>
    <t>Nash</t>
  </si>
  <si>
    <t>Trace</t>
  </si>
  <si>
    <t>3 Piece Reversible Quilt Set</t>
  </si>
  <si>
    <t>PF004288;PP000894</t>
  </si>
  <si>
    <t>2/8/2018</t>
  </si>
  <si>
    <t>BLK01,CSNSTORES,JCPENNEY01,KOHLDSN,MACY02,OLLIIX,TGTDVS</t>
  </si>
  <si>
    <t>26132655-000-001</t>
  </si>
  <si>
    <t>BR20-1858</t>
  </si>
  <si>
    <t>Oversized Cotton Flannel</t>
  </si>
  <si>
    <t>4 Piece Sheet Set</t>
  </si>
  <si>
    <t>Beige Windowpane</t>
  </si>
  <si>
    <t>PP001510;PF005125</t>
  </si>
  <si>
    <t>AMAZONDS,BLK01,CSNSTORES,DESINC,HDDS,JCPENNEY01,KOHLDSN,MACY02,NORDSTRACKDS,OLLIIX,TGTDVS,ZOLA</t>
  </si>
  <si>
    <t>36614943-000-012</t>
  </si>
  <si>
    <t>9/17/2020</t>
  </si>
  <si>
    <t>BR20-4668</t>
  </si>
  <si>
    <t>Black Snowflakes</t>
  </si>
  <si>
    <t>PP001510;PF006333</t>
  </si>
  <si>
    <t>AMAZON,CSNSTORES,JCPENNEY01,MACY02,OLLIIX,TGTDVS</t>
  </si>
  <si>
    <t>36614943-000-039</t>
  </si>
  <si>
    <t>BR20-4669</t>
  </si>
  <si>
    <t>AMAZON,CSNSTORES,HDDS,JCPENNEY01,KOHLDSN,MACY02,TGTDVS</t>
  </si>
  <si>
    <t>36614943-000-038</t>
  </si>
  <si>
    <t>BR20-4670</t>
  </si>
  <si>
    <t>36614943-000-037</t>
  </si>
  <si>
    <t>BR20-4671</t>
  </si>
  <si>
    <t>36614943-000-036</t>
  </si>
  <si>
    <t>BR20-1851</t>
  </si>
  <si>
    <t>PP001510;PF005126</t>
  </si>
  <si>
    <t>AMAZONDS,BLK01,DESINC,JCPENNEY01,KOHLDSN,MACY02,OLLIIX,TGTDVS</t>
  </si>
  <si>
    <t>36614943-000-002</t>
  </si>
  <si>
    <t>1/18/2021</t>
  </si>
  <si>
    <t>BR20-4672</t>
  </si>
  <si>
    <t>Rust Floral</t>
  </si>
  <si>
    <t>PP001510;PF006334</t>
  </si>
  <si>
    <t>36614943-000-035</t>
  </si>
  <si>
    <t>BR20-4673</t>
  </si>
  <si>
    <t>36614943-000-034</t>
  </si>
  <si>
    <t>BR20-4675</t>
  </si>
  <si>
    <t>36614943-000-032</t>
  </si>
  <si>
    <t>BR20-4676</t>
  </si>
  <si>
    <t>Sage Winter Fauna</t>
  </si>
  <si>
    <t>PP001510;PF006335</t>
  </si>
  <si>
    <t>36614943-000-043</t>
  </si>
  <si>
    <t>BR20-4677</t>
  </si>
  <si>
    <t>36614943-000-042</t>
  </si>
  <si>
    <t>BR20-1846</t>
  </si>
  <si>
    <t>Seafoam Solid</t>
  </si>
  <si>
    <t>PP001510;PF005124</t>
  </si>
  <si>
    <t>AMAZONDS,BLK01,CSNSTORES,HDDS,JCPENNEY01,KOHLDSN,MACY02,NORDSTRACKDS,OLLIIX,TGTDVS</t>
  </si>
  <si>
    <t>36614943-000-007</t>
  </si>
  <si>
    <t>9/28/2020</t>
  </si>
  <si>
    <t>ID30-1481</t>
  </si>
  <si>
    <t>Oversized Headboard</t>
  </si>
  <si>
    <t>100% Cotton Canvas Pillow</t>
  </si>
  <si>
    <t>4/13/2018</t>
  </si>
  <si>
    <t>BLK01,CSNSTORES,KOHLDSN,TGTDVS</t>
  </si>
  <si>
    <t>26940753-000-001</t>
  </si>
  <si>
    <t>4/25/2018</t>
  </si>
  <si>
    <t>6/14/2018</t>
  </si>
  <si>
    <t>MP103-0678</t>
  </si>
  <si>
    <t>Owen</t>
  </si>
  <si>
    <t>Admiral</t>
  </si>
  <si>
    <t>Roxbury</t>
  </si>
  <si>
    <t>Swivel Chair</t>
  </si>
  <si>
    <t>27420786-000-000</t>
  </si>
  <si>
    <t>7/30/2018</t>
  </si>
  <si>
    <t>FPF18-0219</t>
  </si>
  <si>
    <t>Oxford</t>
  </si>
  <si>
    <t>Nathan</t>
  </si>
  <si>
    <t>Mid-Century Accent Chair</t>
  </si>
  <si>
    <t>Burnt Orange</t>
  </si>
  <si>
    <t>PF000651;PP000226</t>
  </si>
  <si>
    <t>ASHFURNDS,CSNSTORES,KOHLDSN,MACY02F,OLLIIX</t>
  </si>
  <si>
    <t>16977709-000-002</t>
  </si>
  <si>
    <t>3/11/2015</t>
  </si>
  <si>
    <t>FPF18-0217</t>
  </si>
  <si>
    <t>PF000649;PP000226</t>
  </si>
  <si>
    <t>CSNSTORES,HDDS,KOHLDSN,MACY02F,ROOMECOM</t>
  </si>
  <si>
    <t>16977709-000-000</t>
  </si>
  <si>
    <t>MP100-1048</t>
  </si>
  <si>
    <t>10/8/2020</t>
  </si>
  <si>
    <t>AMERSIGNDS,CSNSTORES,HDDS,KOHLDSN,MACY02F,OLLIIX</t>
  </si>
  <si>
    <t>20822208-000-001</t>
  </si>
  <si>
    <t>10/10/2020</t>
  </si>
  <si>
    <t>10/18/2020</t>
  </si>
  <si>
    <t>FPF18-0218</t>
  </si>
  <si>
    <t>PF000650;PP000226</t>
  </si>
  <si>
    <t>ASHFURNDS,CSNSTORES,DESINC,HDDS,KIRKLANDDS,KOHLDSN,MACY02F,OLLIIX,ROOMECOM</t>
  </si>
  <si>
    <t>16977709-000-001</t>
  </si>
  <si>
    <t>II151-0105</t>
  </si>
  <si>
    <t>Pacific</t>
  </si>
  <si>
    <t>Metal Pendant with Drum Shade</t>
  </si>
  <si>
    <t>Plated Nickel</t>
  </si>
  <si>
    <t>1/28/2021</t>
  </si>
  <si>
    <t>37377053-000-000</t>
  </si>
  <si>
    <t>II150-0077</t>
  </si>
  <si>
    <t>Paige</t>
  </si>
  <si>
    <t>12-Light Chandelier with Oversized Globe Bulbs</t>
  </si>
  <si>
    <t>PF002785</t>
  </si>
  <si>
    <t>1/20/2018</t>
  </si>
  <si>
    <t>AMERSIGNDS,CASTLEGATE,CSNSTORES,LAMPDS</t>
  </si>
  <si>
    <t>19071072-000-001</t>
  </si>
  <si>
    <t>3/5/2018</t>
  </si>
  <si>
    <t>3/25/2018</t>
  </si>
  <si>
    <t>MP10-6177</t>
  </si>
  <si>
    <t>Palisades</t>
  </si>
  <si>
    <t>Hanover</t>
  </si>
  <si>
    <t>Overland</t>
  </si>
  <si>
    <t>7 Piece Faux Suede Comforter Set</t>
  </si>
  <si>
    <t>PP000481;PF004572</t>
  </si>
  <si>
    <t>2/15/2019</t>
  </si>
  <si>
    <t>AMAZON,BLK01,FINGERHUTDS,JCPENNEY01,KOHLDSN,MACY02,NRTPORT,OLLIIX</t>
  </si>
  <si>
    <t>13946108-000-005</t>
  </si>
  <si>
    <t>4/3/2019</t>
  </si>
  <si>
    <t>4/10/2019</t>
  </si>
  <si>
    <t>MP95B-0224</t>
  </si>
  <si>
    <t>Paper Cloaked Leaves</t>
  </si>
  <si>
    <t>Metal Framed Decor Panel</t>
  </si>
  <si>
    <t>9/13/2019</t>
  </si>
  <si>
    <t>AMAZON,BLK01,JCPENNEY01,KIRKLANDDS,KOHLDSN,LAMPDS,OLLIIX,TGTDVS</t>
  </si>
  <si>
    <t>35137200-000-000</t>
  </si>
  <si>
    <t>12/3/2019</t>
  </si>
  <si>
    <t>BASI50-0429</t>
  </si>
  <si>
    <t>Parker</t>
  </si>
  <si>
    <t>Williams</t>
  </si>
  <si>
    <t>Oversized Plush Down Alternative Filled Throw</t>
  </si>
  <si>
    <t>PF002132</t>
  </si>
  <si>
    <t>19195715-000-003</t>
  </si>
  <si>
    <t>8/9/2016</t>
  </si>
  <si>
    <t>8/23/2016</t>
  </si>
  <si>
    <t>MP122-0097</t>
  </si>
  <si>
    <t>Avalon</t>
  </si>
  <si>
    <t>Avenu</t>
  </si>
  <si>
    <t>Off-White/Pecan</t>
  </si>
  <si>
    <t>PF001174;PP000227</t>
  </si>
  <si>
    <t>ASHFURNDS,CSNSTORES,HDDS,KOHLDSN,LAMPDS,MACY02F,OLLIIX</t>
  </si>
  <si>
    <t>24641592-000-000</t>
  </si>
  <si>
    <t>11/5/2017</t>
  </si>
  <si>
    <t>11/28/2017</t>
  </si>
  <si>
    <t>MPE10-948</t>
  </si>
  <si>
    <t>Parkston</t>
  </si>
  <si>
    <t>Hartford</t>
  </si>
  <si>
    <t>3M Scotchgard Down Alternative All Season Comforter Set</t>
  </si>
  <si>
    <t>PP001340;PF005481</t>
  </si>
  <si>
    <t>16339273-000-010</t>
  </si>
  <si>
    <t>7/28/2021</t>
  </si>
  <si>
    <t>MPE10-950</t>
  </si>
  <si>
    <t>16339273-000-006</t>
  </si>
  <si>
    <t>8/5/2021</t>
  </si>
  <si>
    <t>MPE10-598</t>
  </si>
  <si>
    <t>PF002084</t>
  </si>
  <si>
    <t>8/23/2017</t>
  </si>
  <si>
    <t>AMAZON,CSNSTORES,HSNDS,JCPENNEY01,KOHLDSN,MACY02,TGTDVS,WALMARTDS</t>
  </si>
  <si>
    <t>23718199-000-000</t>
  </si>
  <si>
    <t>8/25/2017</t>
  </si>
  <si>
    <t>II95B-0159</t>
  </si>
  <si>
    <t>Paths Collide</t>
  </si>
  <si>
    <t>Textured Framed Carved Resin Dimensional Wall Décor</t>
  </si>
  <si>
    <t>43051392-000-000</t>
  </si>
  <si>
    <t>MP20-5411</t>
  </si>
  <si>
    <t>Peached Percale</t>
  </si>
  <si>
    <t>200 Thread Count Relaxed Cotton Percale Sheet Set</t>
  </si>
  <si>
    <t>PF004094</t>
  </si>
  <si>
    <t>3/23/2018</t>
  </si>
  <si>
    <t>26575275-000-028</t>
  </si>
  <si>
    <t>3/29/2018</t>
  </si>
  <si>
    <t>4/9/2018</t>
  </si>
  <si>
    <t>MP20-5416</t>
  </si>
  <si>
    <t>FINGERHUTDS,JCPENNEY01,KOHLDSN,MACY02,OLLIIX,TGTDVS</t>
  </si>
  <si>
    <t>26575275-000-021</t>
  </si>
  <si>
    <t>6/26/2018</t>
  </si>
  <si>
    <t>MP20-5387</t>
  </si>
  <si>
    <t>PF004090</t>
  </si>
  <si>
    <t>FINGERHUTDS,HDDS,JCPENNEY01,KOHLDSN,MACY02,OLLIIX</t>
  </si>
  <si>
    <t>26575275-000-018</t>
  </si>
  <si>
    <t>MP20-5390</t>
  </si>
  <si>
    <t>BEALLSDS,BLK01,JCPENNEY01,KOHLDSN,MACY02,OLLIIX,TGTDVS,Zulily</t>
  </si>
  <si>
    <t>26575275-000-016</t>
  </si>
  <si>
    <t>MP20-5405</t>
  </si>
  <si>
    <t>PF004093</t>
  </si>
  <si>
    <t>26575275-000-000</t>
  </si>
  <si>
    <t>6/29/2018</t>
  </si>
  <si>
    <t>MP20-6638</t>
  </si>
  <si>
    <t>PP001365;PF004864</t>
  </si>
  <si>
    <t>26575275-000-043</t>
  </si>
  <si>
    <t>1/28/2020</t>
  </si>
  <si>
    <t>MP20-6640</t>
  </si>
  <si>
    <t>26575275-000-038</t>
  </si>
  <si>
    <t>10/24/2019</t>
  </si>
  <si>
    <t>MP20-6642</t>
  </si>
  <si>
    <t>BLK01,HDDS,JCPENNEY01,KIRKLANDDS,KOHLDSN,MACY02</t>
  </si>
  <si>
    <t>26575275-000-036</t>
  </si>
  <si>
    <t>11/4/2019</t>
  </si>
  <si>
    <t>MP20-6643</t>
  </si>
  <si>
    <t>26575275-000-035</t>
  </si>
  <si>
    <t>3/31/2020</t>
  </si>
  <si>
    <t>MP20-5398</t>
  </si>
  <si>
    <t>PF004091</t>
  </si>
  <si>
    <t>JCPENNEY01,KOHLDSN,MACY02,OLLIIX,TGTDVS,WALMARTDS</t>
  </si>
  <si>
    <t>26575275-000-003</t>
  </si>
  <si>
    <t>MP20-5385</t>
  </si>
  <si>
    <t>PF004089</t>
  </si>
  <si>
    <t>BLK01,JCPENNEY01,KOHLDSN,MACY02,OLLIIX,TGTDVS,WALMARTDS</t>
  </si>
  <si>
    <t>26575275-000-025</t>
  </si>
  <si>
    <t>MP20-5386</t>
  </si>
  <si>
    <t>BLK01,DESINC,JCPENNEY01,KOHLDSN,MACY02,WALMARTDS</t>
  </si>
  <si>
    <t>26575275-000-012</t>
  </si>
  <si>
    <t>6/25/2018</t>
  </si>
  <si>
    <t>MP20-5399</t>
  </si>
  <si>
    <t>PF004092</t>
  </si>
  <si>
    <t>26575275-000-022</t>
  </si>
  <si>
    <t>MP20-5403</t>
  </si>
  <si>
    <t>2/17/2025</t>
  </si>
  <si>
    <t>BLK01,DESINC,JCPENNEY01,KOHLDSN,MACY02,OLLIIX,TGTDVS</t>
  </si>
  <si>
    <t>26575275-000-029</t>
  </si>
  <si>
    <t>5/2/2018</t>
  </si>
  <si>
    <t>MP104-1148</t>
  </si>
  <si>
    <t>Swivel Bar Stool</t>
  </si>
  <si>
    <t>Pearce</t>
  </si>
  <si>
    <t>Walsh</t>
  </si>
  <si>
    <t>Howard</t>
  </si>
  <si>
    <t>Bar Stool with Swivel Seat</t>
  </si>
  <si>
    <t>26360394-000-011</t>
  </si>
  <si>
    <t>6/14/2022</t>
  </si>
  <si>
    <t>MP104-1146</t>
  </si>
  <si>
    <t>Pearce Swivel Upholstered Counter Stool with Solid Wood Legs &amp; Metal Footrest</t>
  </si>
  <si>
    <t>1/28/2022</t>
  </si>
  <si>
    <t>AMERSIGNDS,CSNSTORES,KOHLDSN,LAMPDS,MACY02F,OLLIIX</t>
  </si>
  <si>
    <t>26360394-000-002</t>
  </si>
  <si>
    <t>3/3/2022</t>
  </si>
  <si>
    <t>MP104-1257</t>
  </si>
  <si>
    <t>Pearce Swivel Upholstered Counter Stool with Solid Wood Legs &amp; Metal Footrest (Set of 2)</t>
  </si>
  <si>
    <t>26360394-000-005</t>
  </si>
  <si>
    <t>6/26/2024</t>
  </si>
  <si>
    <t>MP104-1259</t>
  </si>
  <si>
    <t>Bar Stool with Swivel Seat Set of 2</t>
  </si>
  <si>
    <t>5/20/2020</t>
  </si>
  <si>
    <t>26360394-000-008</t>
  </si>
  <si>
    <t>8/23/2024</t>
  </si>
  <si>
    <t>CHM11-0011</t>
  </si>
  <si>
    <t>Perla</t>
  </si>
  <si>
    <t>10/20/2022</t>
  </si>
  <si>
    <t>42067461-000-001</t>
  </si>
  <si>
    <t>MPS10-521</t>
  </si>
  <si>
    <t>Pescal</t>
  </si>
  <si>
    <t>Oversized Velvet Comforter Set with Euro Shams and Throw Pillows</t>
  </si>
  <si>
    <t>PP001955;PF006227</t>
  </si>
  <si>
    <t>44363124-000-000</t>
  </si>
  <si>
    <t>Yes</t>
  </si>
  <si>
    <t>ID95C-0041</t>
  </si>
  <si>
    <t>Pet Portrait</t>
  </si>
  <si>
    <t>Bohemian Cat In Forest Framed Canvas Wall Art</t>
  </si>
  <si>
    <t>Bohemian Cat</t>
  </si>
  <si>
    <t>AMAZON,AMAZONDS,DESINC,JCPENNEY01,KOHLDSN</t>
  </si>
  <si>
    <t>42721568-000-001</t>
  </si>
  <si>
    <t>ID95C-0045</t>
  </si>
  <si>
    <t>Captain's Guard Pug Framed Canvas Wall Art</t>
  </si>
  <si>
    <t>Captain Pug</t>
  </si>
  <si>
    <t>42721568-000-006</t>
  </si>
  <si>
    <t>ID95C-0047</t>
  </si>
  <si>
    <t>King Charles Spaniel III Framed Canvas Wall Art</t>
  </si>
  <si>
    <t>King Charles Spaniel III</t>
  </si>
  <si>
    <t>42721568-000-002</t>
  </si>
  <si>
    <t>ID95C-0046</t>
  </si>
  <si>
    <t>Kitty Queen Charlotte Framed Canvas Wall Art</t>
  </si>
  <si>
    <t>Kitty Queen Charlotte</t>
  </si>
  <si>
    <t>AMAZON,AMAZONDS,DESINC,JCPENNEY01</t>
  </si>
  <si>
    <t>42721568-000-003</t>
  </si>
  <si>
    <t>ID95C-0042</t>
  </si>
  <si>
    <t>Kitty Queen Belle Framed Canvas Wall Art</t>
  </si>
  <si>
    <t>Queen Belle</t>
  </si>
  <si>
    <t>42721568-000-005</t>
  </si>
  <si>
    <t>ID95C-0044</t>
  </si>
  <si>
    <t>Bridger Kitty Framed Canvas Wall Art</t>
  </si>
  <si>
    <t>Queen Bridger</t>
  </si>
  <si>
    <t>42721568-000-000</t>
  </si>
  <si>
    <t>ID95C-0043</t>
  </si>
  <si>
    <t>Rosie the Feline Framed Canvas Wall Art</t>
  </si>
  <si>
    <t>Rosie Feline</t>
  </si>
  <si>
    <t>AMAZON,AMAZONDS,KOHLDSN,MACY02,OLLIIX,TGTDVS</t>
  </si>
  <si>
    <t>42721568-000-004</t>
  </si>
  <si>
    <t>MT106-1205</t>
  </si>
  <si>
    <t>LOVESEAT &amp; SOFA</t>
  </si>
  <si>
    <t>Settee</t>
  </si>
  <si>
    <t>Philippe</t>
  </si>
  <si>
    <t>Loveseat</t>
  </si>
  <si>
    <t>Morocco Brown/Taupe</t>
  </si>
  <si>
    <t>AMAZONDS,CSNSTORES,JCPENNEY01,OLLIIX</t>
  </si>
  <si>
    <t>44657048-000-000</t>
  </si>
  <si>
    <t>HH12-1841</t>
  </si>
  <si>
    <t>Pismo Beach</t>
  </si>
  <si>
    <t>5 Piece Cotton Duvet Cover Set with Throw Pillows</t>
  </si>
  <si>
    <t>Blue/White</t>
  </si>
  <si>
    <t>PP001857;PF005939</t>
  </si>
  <si>
    <t>41367448-000-000</t>
  </si>
  <si>
    <t>BR73-2436</t>
  </si>
  <si>
    <t>Plume</t>
  </si>
  <si>
    <t>100% Cotton Feather Touch Antimicrobial Towel 6 Piece Set</t>
  </si>
  <si>
    <t>PP001590;PF005337</t>
  </si>
  <si>
    <t>BLK01,JCPENNEY01,KOHLDSN,MACY02,OLLIIX,TGTDVS,ZOLA</t>
  </si>
  <si>
    <t>37965788-000-005</t>
  </si>
  <si>
    <t>BR73-4070</t>
  </si>
  <si>
    <t>PP001590;PF005957</t>
  </si>
  <si>
    <t>AMAZON,AMAZONDS,BLK01,KOHLDSN,MACY02,OLLIIX,ZOLA</t>
  </si>
  <si>
    <t>Unproductive</t>
  </si>
  <si>
    <t>BR73-2437</t>
  </si>
  <si>
    <t>PP001590;PF005338</t>
  </si>
  <si>
    <t>AMAZON,CSNSTORES,JCPENNEY01,MACY02,OLLIIX,ZOLA</t>
  </si>
  <si>
    <t>37965788-000-001</t>
  </si>
  <si>
    <t>6/11/2021</t>
  </si>
  <si>
    <t>TN54-0439</t>
  </si>
  <si>
    <t>Plush Heated</t>
  </si>
  <si>
    <t>Throw with Built-In Control</t>
  </si>
  <si>
    <t>50x70"</t>
  </si>
  <si>
    <t>AMAZONDS,ASHFURNDS,BLK01,OLLIIX</t>
  </si>
  <si>
    <t>42657557-000-000</t>
  </si>
  <si>
    <t>MZ20-500</t>
  </si>
  <si>
    <t>Polka Dot</t>
  </si>
  <si>
    <t>Printed 100% Cotton Sheet Set</t>
  </si>
  <si>
    <t>Dark Pink</t>
  </si>
  <si>
    <t>PF001573</t>
  </si>
  <si>
    <t>18525726-000-016</t>
  </si>
  <si>
    <t>10/7/2016</t>
  </si>
  <si>
    <t>MZ20-501</t>
  </si>
  <si>
    <t>18525726-000-017</t>
  </si>
  <si>
    <t>11/11/2016</t>
  </si>
  <si>
    <t>MZ20-415</t>
  </si>
  <si>
    <t>PF001570</t>
  </si>
  <si>
    <t>AMAZON,BLK01,CSNSTORES,HDDS,KOHLDSN,MACY02,TGTDVS,WALMARTDS</t>
  </si>
  <si>
    <t>18525726-000-006</t>
  </si>
  <si>
    <t>MZ20-498</t>
  </si>
  <si>
    <t>PF001572</t>
  </si>
  <si>
    <t>AMAZON,CSNSTORES,HSNDS,KOHLDSN,MACY02,TGTDVS</t>
  </si>
  <si>
    <t>18525726-000-014</t>
  </si>
  <si>
    <t>11/18/2016</t>
  </si>
  <si>
    <t>AMFBA40-0444</t>
  </si>
  <si>
    <t>Hyde lane</t>
  </si>
  <si>
    <t>Pom Pom Window Curtain</t>
  </si>
  <si>
    <t>Pom Pom Winder Curtain</t>
  </si>
  <si>
    <t>AMAZONFBA</t>
  </si>
  <si>
    <t>7/17/2021</t>
  </si>
  <si>
    <t>AMFBA40-0445</t>
  </si>
  <si>
    <t>PANEL</t>
  </si>
  <si>
    <t>AMFBA40-0448</t>
  </si>
  <si>
    <t>AMFBA40-0449</t>
  </si>
  <si>
    <t>AMFBA40-0446</t>
  </si>
  <si>
    <t>AMFBA40-0447</t>
  </si>
  <si>
    <t>AMFBA40-0450</t>
  </si>
  <si>
    <t>AMFBA40-0451</t>
  </si>
  <si>
    <t>MPS10-600</t>
  </si>
  <si>
    <t>Prescott</t>
  </si>
  <si>
    <t>MPS10-601</t>
  </si>
  <si>
    <t>MZ12-0646</t>
  </si>
  <si>
    <t>Primrose</t>
  </si>
  <si>
    <t>Evie</t>
  </si>
  <si>
    <t>Ombre Shaggy Faux Fur Duvet Cover Set</t>
  </si>
  <si>
    <t>Purple Multi</t>
  </si>
  <si>
    <t>PF005829</t>
  </si>
  <si>
    <t>Ombre</t>
  </si>
  <si>
    <t>43642762-000-000</t>
  </si>
  <si>
    <t>MZ20-0539</t>
  </si>
  <si>
    <t>Printed</t>
  </si>
  <si>
    <t>Microfiber Sheet Set</t>
  </si>
  <si>
    <t>Blue Whales</t>
  </si>
  <si>
    <t>PF002354</t>
  </si>
  <si>
    <t>4/13/2017</t>
  </si>
  <si>
    <t>AMAZON,BLK01,CSNSTORES,KOHLDSN,NRTPORT,OLLIIX</t>
  </si>
  <si>
    <t>21528187-000-006</t>
  </si>
  <si>
    <t>4/12/2017</t>
  </si>
  <si>
    <t>MZ20-0641</t>
  </si>
  <si>
    <t>Space Rocket</t>
  </si>
  <si>
    <t>PF005826</t>
  </si>
  <si>
    <t>9/21/2022</t>
  </si>
  <si>
    <t>21528187-000-013</t>
  </si>
  <si>
    <t>9/26/2022</t>
  </si>
  <si>
    <t>ID20-2365</t>
  </si>
  <si>
    <t>Printed Microfiber</t>
  </si>
  <si>
    <t>Beige Dotted Arches</t>
  </si>
  <si>
    <t>PP001852;PF006229</t>
  </si>
  <si>
    <t>42128527-000-009</t>
  </si>
  <si>
    <t>ID20-2366</t>
  </si>
  <si>
    <t>42128527-000-008</t>
  </si>
  <si>
    <t>ID20-2367</t>
  </si>
  <si>
    <t>42128527-000-011</t>
  </si>
  <si>
    <t>ID20-2368</t>
  </si>
  <si>
    <t>42128527-000-010</t>
  </si>
  <si>
    <t>ID20-2218</t>
  </si>
  <si>
    <t>Black Floral</t>
  </si>
  <si>
    <t>PP001852;PF005930</t>
  </si>
  <si>
    <t>42128527-000-006</t>
  </si>
  <si>
    <t>ID20-2219</t>
  </si>
  <si>
    <t>42128527-000-005</t>
  </si>
  <si>
    <t>ID20-2220</t>
  </si>
  <si>
    <t>42128527-000-002</t>
  </si>
  <si>
    <t>ID20-2221</t>
  </si>
  <si>
    <t>42128527-000-003</t>
  </si>
  <si>
    <t>ID20-2225</t>
  </si>
  <si>
    <t>Blue Chevron</t>
  </si>
  <si>
    <t>PP001852;PF005931</t>
  </si>
  <si>
    <t>42128527-000-001</t>
  </si>
  <si>
    <t>ID20-2361</t>
  </si>
  <si>
    <t>Blush Waves</t>
  </si>
  <si>
    <t>PP001852;PF006228</t>
  </si>
  <si>
    <t>CSNSTORES,DESINC,MACY02,TGTDVS</t>
  </si>
  <si>
    <t>42128527-000-013</t>
  </si>
  <si>
    <t>ID20-2362</t>
  </si>
  <si>
    <t>42128527-000-012</t>
  </si>
  <si>
    <t>ID20-2363</t>
  </si>
  <si>
    <t>42128527-000-015</t>
  </si>
  <si>
    <t>ID20-2364</t>
  </si>
  <si>
    <t>42128527-000-014</t>
  </si>
  <si>
    <t>MT153-0073</t>
  </si>
  <si>
    <t>Provencal</t>
  </si>
  <si>
    <t>29"H Resin Table Lamp Set of 2</t>
  </si>
  <si>
    <t>Reclaimed Grey</t>
  </si>
  <si>
    <t>12/9/2023</t>
  </si>
  <si>
    <t>43169901-000-000</t>
  </si>
  <si>
    <t>12/10/2023</t>
  </si>
  <si>
    <t>MP13-8479</t>
  </si>
  <si>
    <t>Quebec</t>
  </si>
  <si>
    <t>Mansfield</t>
  </si>
  <si>
    <t>Vancouver</t>
  </si>
  <si>
    <t>Balsam Green</t>
  </si>
  <si>
    <t>PP000640</t>
  </si>
  <si>
    <t>13673545-000-050</t>
  </si>
  <si>
    <t>MP13-8482</t>
  </si>
  <si>
    <t>Clay Red</t>
  </si>
  <si>
    <t>13673545-000-051</t>
  </si>
  <si>
    <t>MP13-149</t>
  </si>
  <si>
    <t>PF002442;PP000488</t>
  </si>
  <si>
    <t>AMAZON,BLK01,CSNSTORES,DESINC,HDDS,HSNDS,JCPENNEY01,KOHLDSN,MACY02,OLLIIX,TGTDVS</t>
  </si>
  <si>
    <t>13673545-000-000</t>
  </si>
  <si>
    <t>MP13-156</t>
  </si>
  <si>
    <t>PF002453;PP000488</t>
  </si>
  <si>
    <t>AMAZON,ASHFURNDS,BLK01,CSNSTORES,HSNDS,JCPENNEY01,KOHLDSN,MACY02,NEBFUR01,OLLIIX,ROOMECOM,TGTDVS</t>
  </si>
  <si>
    <t>13673545-000-007</t>
  </si>
  <si>
    <t>MP13-6486</t>
  </si>
  <si>
    <t>Mocha</t>
  </si>
  <si>
    <t>PP000488</t>
  </si>
  <si>
    <t>AMAZON,BLK01,CSNSTORES,HDDS,JCPENNEY01,KOHLDSN,MACY02,OLLIIX,TGTDVS</t>
  </si>
  <si>
    <t>13673545-000-039</t>
  </si>
  <si>
    <t>8/13/2019</t>
  </si>
  <si>
    <t>MP13-154</t>
  </si>
  <si>
    <t>PF002464;PP000488</t>
  </si>
  <si>
    <t>AMAZON,ASHFURNDS,BLK01,CSNSTORES,DESINC,HDDS,JCPENNEY01,KOHLDSN,MACY02,OLLIIX,ROOMECOM,TGTDVS</t>
  </si>
  <si>
    <t>13673545-000-006</t>
  </si>
  <si>
    <t>MP13-1387</t>
  </si>
  <si>
    <t>PF002486;PP000488</t>
  </si>
  <si>
    <t>13673545-000-024</t>
  </si>
  <si>
    <t>6/21/2016</t>
  </si>
  <si>
    <t>FPF18-0513</t>
  </si>
  <si>
    <t>Qwen</t>
  </si>
  <si>
    <t>Elle</t>
  </si>
  <si>
    <t>Cassie</t>
  </si>
  <si>
    <t>Button Tufted Accent Chair</t>
  </si>
  <si>
    <t>PF000757;PP000233</t>
  </si>
  <si>
    <t>1/26/2025</t>
  </si>
  <si>
    <t>ASHFURNDS,CSNSTORES,HDDS,KOHLDSN,MACY02F,OLLIIX,ROOMECOM,TGTDVS</t>
  </si>
  <si>
    <t>18677251-000-005</t>
  </si>
  <si>
    <t>ID40-1617</t>
  </si>
  <si>
    <t>Raina</t>
  </si>
  <si>
    <t>Arielle</t>
  </si>
  <si>
    <t>Total Blackout Metallic Print Grommet Top Curtain Panel</t>
  </si>
  <si>
    <t>PF001694;PP000896</t>
  </si>
  <si>
    <t>12/20/2018</t>
  </si>
  <si>
    <t>AMAZON,BEALLSDS,BLK01,CSNSTORES,DESINC,JCPENNEY01,KOHLDSN,OLLIIX</t>
  </si>
  <si>
    <t>26317608-000-003</t>
  </si>
  <si>
    <t>12/26/2018</t>
  </si>
  <si>
    <t>ID40-1407</t>
  </si>
  <si>
    <t>1/3/2018</t>
  </si>
  <si>
    <t>AMAZON,AMAZONDS,BEALLSDS,BLK01,CSNSTORES,DESINC,JCPENNEY01,KOHLDSN,NRTPORT,OLLIIX,TGTDVS</t>
  </si>
  <si>
    <t>26317608-000-002</t>
  </si>
  <si>
    <t>3/1/2018</t>
  </si>
  <si>
    <t>ID40-1616</t>
  </si>
  <si>
    <t>PF001696;PP000896</t>
  </si>
  <si>
    <t>AMAZON,AMAZONDS,CSNSTORES,JCPENNEY01,KOHLDSN,NRTPORT</t>
  </si>
  <si>
    <t>26317608-000-004</t>
  </si>
  <si>
    <t>1/2/2019</t>
  </si>
  <si>
    <t>ID12-1393</t>
  </si>
  <si>
    <t>Metallic Printed Duvet Cover Set</t>
  </si>
  <si>
    <t>PF004172</t>
  </si>
  <si>
    <t>26059446-000-012</t>
  </si>
  <si>
    <t>2/13/2018</t>
  </si>
  <si>
    <t>3/2/2018</t>
  </si>
  <si>
    <t>ID12-1394</t>
  </si>
  <si>
    <t>AMAZON,AMAZONDS,BEALLSDS,BLK01,CSNSTORES,HDDS,JCPENNEY01,KOHLDSN,MACY02,NRTPORT,TGTDVS</t>
  </si>
  <si>
    <t>26059446-000-013</t>
  </si>
  <si>
    <t>ID12-1395</t>
  </si>
  <si>
    <t>AMAZON,BLK01,DESINC,HDDS,JCPENNEY01,KOHLDSN,MACY02</t>
  </si>
  <si>
    <t>26059446-000-014</t>
  </si>
  <si>
    <t>ID40-1618</t>
  </si>
  <si>
    <t>PF001695;PP000896</t>
  </si>
  <si>
    <t>AMAZON,AMERSIGNDS,CSNSTORES,JCPENNEY01,KOHLDSN,NEBFUR01,NRTPORT</t>
  </si>
  <si>
    <t>26317608-000-005</t>
  </si>
  <si>
    <t>1/24/2019</t>
  </si>
  <si>
    <t>ID40-1405</t>
  </si>
  <si>
    <t>AMAZON,AMAZONDS,AMERSIGNDS,BEALLSDS,BLK01,CSNSTORES,JCPENNEY01,KOHLDSN,OLLIIX,TGTDVS</t>
  </si>
  <si>
    <t>26317608-000-000</t>
  </si>
  <si>
    <t>3/9/2018</t>
  </si>
  <si>
    <t>ID40-1809</t>
  </si>
  <si>
    <t>Navy/Silver</t>
  </si>
  <si>
    <t>PP000896;PF004929</t>
  </si>
  <si>
    <t>9/19/2019</t>
  </si>
  <si>
    <t>AMAZONDS,CSNSTORES,DESINC,JCPENNEY01,KOHLDSN,OLLIIX</t>
  </si>
  <si>
    <t>26317608-000-010</t>
  </si>
  <si>
    <t>9/23/2019</t>
  </si>
  <si>
    <t>ID40-1810</t>
  </si>
  <si>
    <t>BLK01,CSNSTORES,HDDS,JCPENNEY01,KOHLDSN,TGTDVS</t>
  </si>
  <si>
    <t>26317608-000-011</t>
  </si>
  <si>
    <t>ID10-1817</t>
  </si>
  <si>
    <t>Metallic Printed Comforter Set</t>
  </si>
  <si>
    <t>PP000896;PF004928</t>
  </si>
  <si>
    <t>10/19/2019</t>
  </si>
  <si>
    <t>AMAZON,AMAZONDS,CSNSTORES,FINGERHUTDS,JCPENNEY01,KOHLDSN,OLLIIX,TGTDVS</t>
  </si>
  <si>
    <t>22972351-000-010</t>
  </si>
  <si>
    <t>10/22/2019</t>
  </si>
  <si>
    <t>5DS10-0253</t>
  </si>
  <si>
    <t>Ramsey</t>
  </si>
  <si>
    <t>Lynda</t>
  </si>
  <si>
    <t>Casey</t>
  </si>
  <si>
    <t xml:space="preserve">Embroidered 8 Piece  Comforter Set</t>
  </si>
  <si>
    <t>PF005656;PP001734</t>
  </si>
  <si>
    <t>7/11/2022</t>
  </si>
  <si>
    <t>AMAZONDS,BLK01,CSNSTORES,JCPENNEY01,KOHLDSN,MACY02,NRTPORT,OLLIIX</t>
  </si>
  <si>
    <t>26576716-000-006</t>
  </si>
  <si>
    <t>7/18/2022</t>
  </si>
  <si>
    <t>5DS10-0254</t>
  </si>
  <si>
    <t>ASHFURNDS,CSNSTORES,JCPENNEY01,KOHLDSN,MACY02,NRTPORT</t>
  </si>
  <si>
    <t>26576716-000-007</t>
  </si>
  <si>
    <t>5DS10-0220</t>
  </si>
  <si>
    <t>Embroidered 8 Piece Comforter Set</t>
  </si>
  <si>
    <t>PF004870;PP001734</t>
  </si>
  <si>
    <t>8/22/2019</t>
  </si>
  <si>
    <t>AMAZONDS,CSNSTORES,JCPENNEY01,KOHLDSN,MACY02,NRTPORT,OLLIIX,TGTDVS</t>
  </si>
  <si>
    <t>26576716-000-003</t>
  </si>
  <si>
    <t>9/9/2019</t>
  </si>
  <si>
    <t>II167-907</t>
  </si>
  <si>
    <t>Ranger</t>
  </si>
  <si>
    <t>Layered Triangles Wood Wall Decor</t>
  </si>
  <si>
    <t>PF003047</t>
  </si>
  <si>
    <t>ASHFURNDS,CSNSTORES,KOHLDSN,OLLIIX,ROOMECOM,TGTDVS,ZOLA</t>
  </si>
  <si>
    <t>22457693-000-000</t>
  </si>
  <si>
    <t>5/24/2017</t>
  </si>
  <si>
    <t>SHET20-1183</t>
  </si>
  <si>
    <t>Rayon from Bamboo</t>
  </si>
  <si>
    <t>4PC Sheet Set</t>
  </si>
  <si>
    <t>PP001553;PF005223</t>
  </si>
  <si>
    <t>10/2/2020</t>
  </si>
  <si>
    <t>21779743-000-025</t>
  </si>
  <si>
    <t>10/22/2020</t>
  </si>
  <si>
    <t>10/26/2020</t>
  </si>
  <si>
    <t>SHET20-1118</t>
  </si>
  <si>
    <t>PF002332</t>
  </si>
  <si>
    <t>4/26/2017</t>
  </si>
  <si>
    <t>21779743-000-000</t>
  </si>
  <si>
    <t>ID40-1982</t>
  </si>
  <si>
    <t>Rebecca</t>
  </si>
  <si>
    <t>Natalia</t>
  </si>
  <si>
    <t>Grommet Top Printed Marble Metallic Total Blackout Curtain</t>
  </si>
  <si>
    <t>PF004894;PP001541</t>
  </si>
  <si>
    <t>CSNSTORES,DESINC,KOHLDSN,NRTPORT,TGTDVS</t>
  </si>
  <si>
    <t>35737104-000-003</t>
  </si>
  <si>
    <t>4/21/2021</t>
  </si>
  <si>
    <t>4/29/2021</t>
  </si>
  <si>
    <t>MPS10-546</t>
  </si>
  <si>
    <t>Reed</t>
  </si>
  <si>
    <t>MPS10-547</t>
  </si>
  <si>
    <t>MT95F-0080</t>
  </si>
  <si>
    <t>Regina</t>
  </si>
  <si>
    <t>Gold Arched Wall Mirror</t>
  </si>
  <si>
    <t>Cottage/Country|Farm House|Glam/Luxury</t>
  </si>
  <si>
    <t>AMAZON,CSNSTORES,OLLIIX,TGTDVS</t>
  </si>
  <si>
    <t>42877233-000-000</t>
  </si>
  <si>
    <t>12/7/2023</t>
  </si>
  <si>
    <t>MT100-0166</t>
  </si>
  <si>
    <t>Remo</t>
  </si>
  <si>
    <t>Light Green</t>
  </si>
  <si>
    <t>ASHFURNDS,CSNSTORES,MACY02F</t>
  </si>
  <si>
    <t>40536890-000-000</t>
  </si>
  <si>
    <t>ID10-2294</t>
  </si>
  <si>
    <t>Remy</t>
  </si>
  <si>
    <t>Sutton</t>
  </si>
  <si>
    <t>Quilted Chevron Comforter Set</t>
  </si>
  <si>
    <t>PP001931;PF006160</t>
  </si>
  <si>
    <t>2/22/2024</t>
  </si>
  <si>
    <t>43626614-000-005</t>
  </si>
  <si>
    <t>ID10-2295</t>
  </si>
  <si>
    <t>BLK01,CSNSTORES,HDDS,JCPENNEY01,KOHLDSN,MACY02,OLLIIX,TGTDVS</t>
  </si>
  <si>
    <t>43626614-000-004</t>
  </si>
  <si>
    <t>ID10-2299</t>
  </si>
  <si>
    <t>PP001931;PF006162</t>
  </si>
  <si>
    <t>2/21/2024</t>
  </si>
  <si>
    <t>43626614-000-000</t>
  </si>
  <si>
    <t>ID10-2296</t>
  </si>
  <si>
    <t>PP001931;PF006161</t>
  </si>
  <si>
    <t>43626614-000-002</t>
  </si>
  <si>
    <t>II116-0070</t>
  </si>
  <si>
    <t>Renu</t>
  </si>
  <si>
    <t>Queen Headboard</t>
  </si>
  <si>
    <t>Light Brown Multi/Gun Metal</t>
  </si>
  <si>
    <t>PF000864;PP000048</t>
  </si>
  <si>
    <t>ASHFURNDS,CSNSTORES,ROOMECOM</t>
  </si>
  <si>
    <t>20812996-000-000</t>
  </si>
  <si>
    <t>2/15/2017</t>
  </si>
  <si>
    <t>II150-0132</t>
  </si>
  <si>
    <t>Renzetti</t>
  </si>
  <si>
    <t>6-Light Contemporary Candelabra Styled Chandelier</t>
  </si>
  <si>
    <t>AMAZON,CSNSTORES,KIRKLANDDS,KOHLDSN</t>
  </si>
  <si>
    <t>40565602-000-000</t>
  </si>
  <si>
    <t>PET66-0225UPC</t>
  </si>
  <si>
    <t>Reusable</t>
  </si>
  <si>
    <t>Wool Dryer Balls 6-Pack XL Size</t>
  </si>
  <si>
    <t>43976054-000-000</t>
  </si>
  <si>
    <t>II30-1283</t>
  </si>
  <si>
    <t>Reva</t>
  </si>
  <si>
    <t>Cotton Oblong Pillow with tassels</t>
  </si>
  <si>
    <t>Oblong</t>
  </si>
  <si>
    <t>Off White/Blue</t>
  </si>
  <si>
    <t>PP001809;PF005804</t>
  </si>
  <si>
    <t>AMAZONDS,KOHLDSN,MACY02,OLLIIX,TGTDVS</t>
  </si>
  <si>
    <t>40403315-000-000</t>
  </si>
  <si>
    <t>10/15/2022</t>
  </si>
  <si>
    <t>MP122-0203</t>
  </si>
  <si>
    <t>Rigby</t>
  </si>
  <si>
    <t>Marion</t>
  </si>
  <si>
    <t>3 Drawer Writing Desk</t>
  </si>
  <si>
    <t>Pecan/Blue</t>
  </si>
  <si>
    <t>PF001175</t>
  </si>
  <si>
    <t>CSNSTORES,HOUZZ,KOHLDSN,MACY02F,OLLIIX</t>
  </si>
  <si>
    <t>21000744-000-000</t>
  </si>
  <si>
    <t>2/22/2017</t>
  </si>
  <si>
    <t>3/25/2017</t>
  </si>
  <si>
    <t>MP122-0900</t>
  </si>
  <si>
    <t>White/Pecan</t>
  </si>
  <si>
    <t>PP001311</t>
  </si>
  <si>
    <t>8/16/2019</t>
  </si>
  <si>
    <t>CSNSTORES,HOUZZ,OLLIIX,ROOMECOM,TGTDVS</t>
  </si>
  <si>
    <t>34567618-000-000</t>
  </si>
  <si>
    <t>MP35-8043</t>
  </si>
  <si>
    <t>Riley</t>
  </si>
  <si>
    <t>Cadence</t>
  </si>
  <si>
    <t>Karly</t>
  </si>
  <si>
    <t>Watercolor Abstract Stripe Woven Area Rug</t>
  </si>
  <si>
    <t>PP001795;PF005783</t>
  </si>
  <si>
    <t>38754881-000-007</t>
  </si>
  <si>
    <t>MP35-8044</t>
  </si>
  <si>
    <t>38754881-000-004</t>
  </si>
  <si>
    <t>MP35-8045</t>
  </si>
  <si>
    <t>38754881-000-005</t>
  </si>
  <si>
    <t>MP35-7587</t>
  </si>
  <si>
    <t>Blue/Tan</t>
  </si>
  <si>
    <t>38754881-000-001</t>
  </si>
  <si>
    <t>MP35-7588</t>
  </si>
  <si>
    <t>38754881-000-002</t>
  </si>
  <si>
    <t>MP35-7589</t>
  </si>
  <si>
    <t>AMAZON,BIGLOTSDS,BLK01,CSNSTORES,HDDS,JCPENNEY01,KOHLDSN,OLLIIX</t>
  </si>
  <si>
    <t>38754881-000-003</t>
  </si>
  <si>
    <t>10/7/2021</t>
  </si>
  <si>
    <t>MP10-8399</t>
  </si>
  <si>
    <t>Riordan</t>
  </si>
  <si>
    <t>Ellis</t>
  </si>
  <si>
    <t>Waffle Knit Chenille Comforter Set</t>
  </si>
  <si>
    <t>PP001944;PF006196</t>
  </si>
  <si>
    <t>44432077-000-001</t>
  </si>
  <si>
    <t>MP10-8400</t>
  </si>
  <si>
    <t>44432077-000-002</t>
  </si>
  <si>
    <t>ID10-2431</t>
  </si>
  <si>
    <t>Robbie</t>
  </si>
  <si>
    <t>Roger</t>
  </si>
  <si>
    <t>Rick</t>
  </si>
  <si>
    <t>Plaid Comforter Set with Bed Sheets</t>
  </si>
  <si>
    <t>Teal/Black</t>
  </si>
  <si>
    <t>PP001972;PF006282</t>
  </si>
  <si>
    <t>22967950-000-006</t>
  </si>
  <si>
    <t>ID10-2433</t>
  </si>
  <si>
    <t>AMAZON,HDDS,JCPENNEY01,KOHLDSN,MACY02</t>
  </si>
  <si>
    <t>22967950-000-004</t>
  </si>
  <si>
    <t>IIF18-0058</t>
  </si>
  <si>
    <t>Rocket</t>
  </si>
  <si>
    <t>Lounge Chair</t>
  </si>
  <si>
    <t>PF000209;PP000049</t>
  </si>
  <si>
    <t>1/11/2025</t>
  </si>
  <si>
    <t>AMAZONDS,ASHFURNDS,CASTLEGATE,CSNSTORES,MACY02F,OLLIIX</t>
  </si>
  <si>
    <t>19586468-000-000</t>
  </si>
  <si>
    <t>II104-0504</t>
  </si>
  <si>
    <t>Rogue</t>
  </si>
  <si>
    <t>Armless 360 Degree Swivel Counter Stool 25"H</t>
  </si>
  <si>
    <t>Dusty Blue</t>
  </si>
  <si>
    <t>10/4/2023</t>
  </si>
  <si>
    <t>43466487-000-000</t>
  </si>
  <si>
    <t>1/25/2024</t>
  </si>
  <si>
    <t>II95C-0061</t>
  </si>
  <si>
    <t>Rolling Waves</t>
  </si>
  <si>
    <t>PF001917</t>
  </si>
  <si>
    <t>AMERSIGNDS,DESINC,HDDS,KIRKLANDDS,KOHLDSN,LAMPDS,OLLIIX,TGTDVS</t>
  </si>
  <si>
    <t>18800513-000-000</t>
  </si>
  <si>
    <t>6/6/2016</t>
  </si>
  <si>
    <t>CCA40-0015</t>
  </si>
  <si>
    <t>Romo</t>
  </si>
  <si>
    <t>Dual-colored Curtain Panel (Single)</t>
  </si>
  <si>
    <t>CSNSTORES,DLCROSCILL,JCPENNEY01,OLLIIX</t>
  </si>
  <si>
    <t>42036992-000-000</t>
  </si>
  <si>
    <t>MZ10-0652</t>
  </si>
  <si>
    <t>Rosalie</t>
  </si>
  <si>
    <t>Jenna</t>
  </si>
  <si>
    <t>Metallic Printed Plush Comforter Set with Throw Pillow</t>
  </si>
  <si>
    <t>PP000980;PF006273</t>
  </si>
  <si>
    <t>AMAZON,CSNSTORES,HDDS,JCPENNEY01,KOHLDSN,MACY02</t>
  </si>
  <si>
    <t>28695320-000-009</t>
  </si>
  <si>
    <t>7/13/2024</t>
  </si>
  <si>
    <t>MZ10-0653</t>
  </si>
  <si>
    <t>28695320-000-008</t>
  </si>
  <si>
    <t>MZ10-0650</t>
  </si>
  <si>
    <t>PP000980;PF006272</t>
  </si>
  <si>
    <t>28695320-000-007</t>
  </si>
  <si>
    <t>MZ10-0651</t>
  </si>
  <si>
    <t>28695320-000-006</t>
  </si>
  <si>
    <t>MP40-5647</t>
  </si>
  <si>
    <t>Rosette</t>
  </si>
  <si>
    <t>Florah</t>
  </si>
  <si>
    <t>Bloom</t>
  </si>
  <si>
    <t>Floral Embellished Cuff Tab Top Solid Curtain Panel</t>
  </si>
  <si>
    <t>PP000857;PF004200</t>
  </si>
  <si>
    <t>2/28/2018</t>
  </si>
  <si>
    <t>AMAZON,BLK01,JCPENNEY01,KOHLDSN,OLLIIX</t>
  </si>
  <si>
    <t>26441688-000-003</t>
  </si>
  <si>
    <t>3/16/2018</t>
  </si>
  <si>
    <t>3/26/2018</t>
  </si>
  <si>
    <t>MP40-5649</t>
  </si>
  <si>
    <t>26441688-000-005</t>
  </si>
  <si>
    <t>4/16/2018</t>
  </si>
  <si>
    <t>MP40-5650</t>
  </si>
  <si>
    <t>PP000857;PF004201</t>
  </si>
  <si>
    <t>3/20/2018</t>
  </si>
  <si>
    <t>26441688-000-006</t>
  </si>
  <si>
    <t>MP40-6829</t>
  </si>
  <si>
    <t>PP000857;PF004966</t>
  </si>
  <si>
    <t>AMAZON,AMAZONDS,ASHFURNDS,CSNSTORES,JCPENNEY01,KOHLDSN,OLLIIX,TGTDVS</t>
  </si>
  <si>
    <t>26441688-000-009</t>
  </si>
  <si>
    <t>11/29/2019</t>
  </si>
  <si>
    <t>12/10/2019</t>
  </si>
  <si>
    <t>MP40-6830</t>
  </si>
  <si>
    <t>AMAZON,ASHFURNDS,BLK01,CSNSTORES,HDDS,JCPENNEY01,KIRKLANDDS,KOHLDSN,OLLIIX,TGTDVS</t>
  </si>
  <si>
    <t>26441688-000-011</t>
  </si>
  <si>
    <t>UH12-2483</t>
  </si>
  <si>
    <t>Rowan</t>
  </si>
  <si>
    <t>Cillian</t>
  </si>
  <si>
    <t>Kylar</t>
  </si>
  <si>
    <t>Striped Clipped Jacquard Duvet Cover Set</t>
  </si>
  <si>
    <t>PP001906;PF006077</t>
  </si>
  <si>
    <t>43251734-000-002</t>
  </si>
  <si>
    <t>12/24/2023</t>
  </si>
  <si>
    <t>6/25/2024</t>
  </si>
  <si>
    <t>UH10-2482</t>
  </si>
  <si>
    <t>Striped Clipped Jacquard Comforter Set</t>
  </si>
  <si>
    <t>BLK01,CSNSTORES,JCPENNEY01,KOHLDSN</t>
  </si>
  <si>
    <t>43251733-000-001</t>
  </si>
  <si>
    <t>2/25/2024</t>
  </si>
  <si>
    <t>UH12-2484</t>
  </si>
  <si>
    <t>43251734-000-001</t>
  </si>
  <si>
    <t>1/24/2024</t>
  </si>
  <si>
    <t>MP50-8272</t>
  </si>
  <si>
    <t>Waffle Knit Chenille Throw</t>
  </si>
  <si>
    <t>PP001876;PF005987</t>
  </si>
  <si>
    <t>42657468-000-000</t>
  </si>
  <si>
    <t>UH10-2485</t>
  </si>
  <si>
    <t>PP001906;PF006078</t>
  </si>
  <si>
    <t>43251733-000-005</t>
  </si>
  <si>
    <t>UH10-2486</t>
  </si>
  <si>
    <t>AMAZON,BLK01,KOHLDSN,MACY02,OLLIIX,TGTDVS</t>
  </si>
  <si>
    <t>43251733-000-004</t>
  </si>
  <si>
    <t>UH12-2488</t>
  </si>
  <si>
    <t>43251734-000-000</t>
  </si>
  <si>
    <t>UH10-2487</t>
  </si>
  <si>
    <t>CSNSTORES,KOHLDSN,MACY02,NRTPORT,OLLIIX,TGTDVS</t>
  </si>
  <si>
    <t>43251733-000-002</t>
  </si>
  <si>
    <t>UH12-2489</t>
  </si>
  <si>
    <t>CSNSTORES,KOHLDSN,MACY02,NRTPORT,TGTDVS</t>
  </si>
  <si>
    <t>43251734-000-003</t>
  </si>
  <si>
    <t>II100-0462</t>
  </si>
  <si>
    <t>Roxie</t>
  </si>
  <si>
    <t>39491039-000-000</t>
  </si>
  <si>
    <t>4/28/2022</t>
  </si>
  <si>
    <t>ID10-1329</t>
  </si>
  <si>
    <t>Rudy</t>
  </si>
  <si>
    <t>Jax</t>
  </si>
  <si>
    <t>AMAZON,BLK01,CSNSTORES,KOHLDSN,MACY02,OLLIIX,ROOMECOM,TGTDVS</t>
  </si>
  <si>
    <t>26107616-000-000</t>
  </si>
  <si>
    <t>CH10-017</t>
  </si>
  <si>
    <t>Rustic Stripe</t>
  </si>
  <si>
    <t>CH10-018</t>
  </si>
  <si>
    <t>MP103-1158</t>
  </si>
  <si>
    <t>Ryker</t>
  </si>
  <si>
    <t>Rileigh</t>
  </si>
  <si>
    <t>Upholstered Barrel 360 Degree Swivel chair</t>
  </si>
  <si>
    <t>7/5/2022</t>
  </si>
  <si>
    <t>40152099-000-000</t>
  </si>
  <si>
    <t>7/13/2022</t>
  </si>
  <si>
    <t>II151-0120</t>
  </si>
  <si>
    <t>saben</t>
  </si>
  <si>
    <t>2-Tier Layered Shade Pendant</t>
  </si>
  <si>
    <t>HOUZZ,KOHLDSN,OLLIIX</t>
  </si>
  <si>
    <t>39821743-000-000</t>
  </si>
  <si>
    <t>CC30-0033</t>
  </si>
  <si>
    <t>Sable</t>
  </si>
  <si>
    <t>Solid Faux Fur Square Decor Pillow</t>
  </si>
  <si>
    <t>BLK01,CSNSTORES,DLCROSCILL,MACY02,OLLIIX</t>
  </si>
  <si>
    <t>42031209-000-003</t>
  </si>
  <si>
    <t>CC30-0032</t>
  </si>
  <si>
    <t>Golden</t>
  </si>
  <si>
    <t>BLK01,CSNSTORES,DLCROSCILL,HDDS,MACY02,OLLIIX</t>
  </si>
  <si>
    <t>42031209-000-000</t>
  </si>
  <si>
    <t>CC30-0031</t>
  </si>
  <si>
    <t>42031209-000-001</t>
  </si>
  <si>
    <t>CC30-0030</t>
  </si>
  <si>
    <t>42031209-000-002</t>
  </si>
  <si>
    <t>II13-1246</t>
  </si>
  <si>
    <t>Salar</t>
  </si>
  <si>
    <t>3 Piece Printed Cotton Quilt Set with Trims</t>
  </si>
  <si>
    <t>PP001746;PF005675</t>
  </si>
  <si>
    <t>40290598-000-001</t>
  </si>
  <si>
    <t>MP10-8706</t>
  </si>
  <si>
    <t>Salara</t>
  </si>
  <si>
    <t>7 Piece Vintage Floral Comforter Set</t>
  </si>
  <si>
    <t>4/12/2025</t>
  </si>
  <si>
    <t>MP10-8707</t>
  </si>
  <si>
    <t>MP10-8708</t>
  </si>
  <si>
    <t>MT130-1211</t>
  </si>
  <si>
    <t>Salina</t>
  </si>
  <si>
    <t>Woven Cane Accent Cabinet</t>
  </si>
  <si>
    <t>Toasted Almond</t>
  </si>
  <si>
    <t>43879570-000-000</t>
  </si>
  <si>
    <t>MT115-1210</t>
  </si>
  <si>
    <t>Woven Cane Queen Platform Bed</t>
  </si>
  <si>
    <t>AMAZONDS,CSNSTORES</t>
  </si>
  <si>
    <t>43882265-000-000</t>
  </si>
  <si>
    <t>MP40-8461</t>
  </si>
  <si>
    <t>Samara</t>
  </si>
  <si>
    <t>Valentina</t>
  </si>
  <si>
    <t>Poly Printed Curtain Panel with Tufted Stripe and Lining</t>
  </si>
  <si>
    <t>PP001969;PF006278</t>
  </si>
  <si>
    <t>44335238-000-001</t>
  </si>
  <si>
    <t>UHK13-0190</t>
  </si>
  <si>
    <t>Sammie</t>
  </si>
  <si>
    <t>Cotton Cabana Stripe Reversible Quilt Set with Rainbow Reverse</t>
  </si>
  <si>
    <t>PP001810;PF005805</t>
  </si>
  <si>
    <t>CSNSTORES,DESINC</t>
  </si>
  <si>
    <t>40747301-000-000</t>
  </si>
  <si>
    <t>UHK13-0191</t>
  </si>
  <si>
    <t>BLK01,CSNSTORES,DESINC,OLLIIX</t>
  </si>
  <si>
    <t>40747301-000-002</t>
  </si>
  <si>
    <t>MP40-3597</t>
  </si>
  <si>
    <t>Saratoga</t>
  </si>
  <si>
    <t>Westmont</t>
  </si>
  <si>
    <t>Sereno</t>
  </si>
  <si>
    <t>Fretwork Print Grommet Top Window Curtain Panel</t>
  </si>
  <si>
    <t>Beige/Gold</t>
  </si>
  <si>
    <t>PF004004;PP000501</t>
  </si>
  <si>
    <t>AMAZON,AMAZONDS,AMERSIGNDS,CSNSTORES,JCPENNEY01,KOHLDSN,NRTPORT,OLLIIX,TGTDVS</t>
  </si>
  <si>
    <t>16667967-000-032</t>
  </si>
  <si>
    <t>MP40-3600</t>
  </si>
  <si>
    <t>16667967-000-035</t>
  </si>
  <si>
    <t>MP41-3601</t>
  </si>
  <si>
    <t>Fretwork Print Grommet Top Window Valance</t>
  </si>
  <si>
    <t>17651639-000-008</t>
  </si>
  <si>
    <t>10/31/2016</t>
  </si>
  <si>
    <t>MP40-1279</t>
  </si>
  <si>
    <t>Beige/Grey</t>
  </si>
  <si>
    <t>PF003996;PP000501</t>
  </si>
  <si>
    <t>JCPENNEY01,KOHLDSN,NRTPORT,TGTDVS</t>
  </si>
  <si>
    <t>16667967-000-003</t>
  </si>
  <si>
    <t>MP40-1281</t>
  </si>
  <si>
    <t>16667967-000-004</t>
  </si>
  <si>
    <t>1/26/2015</t>
  </si>
  <si>
    <t>MP40-2019</t>
  </si>
  <si>
    <t>16667967-000-007</t>
  </si>
  <si>
    <t>7/21/2016</t>
  </si>
  <si>
    <t>MP40-2026</t>
  </si>
  <si>
    <t>PF003998;PP000501</t>
  </si>
  <si>
    <t>16667967-000-015</t>
  </si>
  <si>
    <t>MP40-2397</t>
  </si>
  <si>
    <t>Ivory/Grey</t>
  </si>
  <si>
    <t>PF004001;PP000501</t>
  </si>
  <si>
    <t>16667967-000-029</t>
  </si>
  <si>
    <t>6/27/2016</t>
  </si>
  <si>
    <t>MP40-2409</t>
  </si>
  <si>
    <t>Khaki/Black</t>
  </si>
  <si>
    <t>PF004003;PP000501</t>
  </si>
  <si>
    <t>16667967-000-022</t>
  </si>
  <si>
    <t>7/19/2016</t>
  </si>
  <si>
    <t>MP40-2410</t>
  </si>
  <si>
    <t>16667967-000-023</t>
  </si>
  <si>
    <t>6/24/2016</t>
  </si>
  <si>
    <t>MP40-2404</t>
  </si>
  <si>
    <t>Seafoam/White</t>
  </si>
  <si>
    <t>PF004002;PP000501</t>
  </si>
  <si>
    <t>16667967-000-031</t>
  </si>
  <si>
    <t>6/29/2016</t>
  </si>
  <si>
    <t>MPE20-1110</t>
  </si>
  <si>
    <t>Satin</t>
  </si>
  <si>
    <t>Luxury Sheet Set</t>
  </si>
  <si>
    <t>Split King</t>
  </si>
  <si>
    <t>PF001730;PP001032</t>
  </si>
  <si>
    <t>13709535-000-063</t>
  </si>
  <si>
    <t>9/11/2024</t>
  </si>
  <si>
    <t>MPE20-1134</t>
  </si>
  <si>
    <t>PP001032;PF006318</t>
  </si>
  <si>
    <t>AMAZON,CSNSTORES,KOHLDSN,MACY02,NRTPORT</t>
  </si>
  <si>
    <t>13709535-000-084</t>
  </si>
  <si>
    <t>MPE21-1163</t>
  </si>
  <si>
    <t>Luxury 2 PC Pillowcases</t>
  </si>
  <si>
    <t>PP001032;PF006317</t>
  </si>
  <si>
    <t>31010805-000-030</t>
  </si>
  <si>
    <t>MPE20-1144</t>
  </si>
  <si>
    <t>Emerald</t>
  </si>
  <si>
    <t>PP001032;PF006387</t>
  </si>
  <si>
    <t>AMAZON,KOHLDSN,NRTPORT,TGTDVS</t>
  </si>
  <si>
    <t>13709535-000-052</t>
  </si>
  <si>
    <t>MPE20-1145</t>
  </si>
  <si>
    <t>AMAZON,BLK01,CSNSTORES,HHGLOBALTTS,JCPENNEY01,KOHLDSN,MACY02,NRTPORT,TGTDVS</t>
  </si>
  <si>
    <t>13709535-000-054</t>
  </si>
  <si>
    <t>MPE21-1150</t>
  </si>
  <si>
    <t>AMAZONDS,KOHLDSN,MACY02,TGTDVS</t>
  </si>
  <si>
    <t>31010805-000-022</t>
  </si>
  <si>
    <t>9/25/2024</t>
  </si>
  <si>
    <t>MPE21-1149</t>
  </si>
  <si>
    <t>31010805-000-027</t>
  </si>
  <si>
    <t>MPE20-1099</t>
  </si>
  <si>
    <t>PP001032;PF004512</t>
  </si>
  <si>
    <t>AMAZON,BLK01,CSNSTORES,KOHLDSN,NRTPORT,TGTDVS</t>
  </si>
  <si>
    <t>13709535-000-082</t>
  </si>
  <si>
    <t>MPE20-1112</t>
  </si>
  <si>
    <t>PP001032;PF005159</t>
  </si>
  <si>
    <t>13709535-000-066</t>
  </si>
  <si>
    <t>MPE20-1103</t>
  </si>
  <si>
    <t>PP001032;PF005160</t>
  </si>
  <si>
    <t>AMAZON,CSNSTORES,HHGLOBALTTS,KOHLDSN,NRTPORT,OLLIIX,TGTDVS</t>
  </si>
  <si>
    <t>13709535-000-050</t>
  </si>
  <si>
    <t>MPE20-1151</t>
  </si>
  <si>
    <t>PP001032;PF006315</t>
  </si>
  <si>
    <t>13709535-000-067</t>
  </si>
  <si>
    <t>MPE21-1157</t>
  </si>
  <si>
    <t>31010805-000-025</t>
  </si>
  <si>
    <t>MPE20-1155</t>
  </si>
  <si>
    <t>AMAZON,CSNSTORES,JCPENNEY01,KOHLDSN,MACY02,NRTPORT</t>
  </si>
  <si>
    <t>13709535-000-065</t>
  </si>
  <si>
    <t>MPE21-1143</t>
  </si>
  <si>
    <t>Midnight Blue</t>
  </si>
  <si>
    <t>PP001032</t>
  </si>
  <si>
    <t>31010805-000-033</t>
  </si>
  <si>
    <t>MPE20-1123</t>
  </si>
  <si>
    <t>PP001032;PF006319</t>
  </si>
  <si>
    <t>13709535-000-073</t>
  </si>
  <si>
    <t>MPE21-1129</t>
  </si>
  <si>
    <t>31010805-000-029</t>
  </si>
  <si>
    <t>10/5/2024</t>
  </si>
  <si>
    <t>MPE21-1128</t>
  </si>
  <si>
    <t>31010805-000-028</t>
  </si>
  <si>
    <t>FB150-1163</t>
  </si>
  <si>
    <t>Savor</t>
  </si>
  <si>
    <t>6-Light Traditional Candelabra Styled Chandelier</t>
  </si>
  <si>
    <t>39936216-000-000</t>
  </si>
  <si>
    <t>II167-905</t>
  </si>
  <si>
    <t>Savoy</t>
  </si>
  <si>
    <t>Distressed Black Metal Wall Decor</t>
  </si>
  <si>
    <t>PF003045</t>
  </si>
  <si>
    <t>AMAZON,AMAZONDS,AMERSIGNDS,ASHFURNDS,BLK01,CSNSTORES,DESINC,KIRKLANDDS,KOHLDSN,MACY02,OLLIIX</t>
  </si>
  <si>
    <t>22896742-000-000</t>
  </si>
  <si>
    <t>2/11/2018</t>
  </si>
  <si>
    <t>5DS153-0017</t>
  </si>
  <si>
    <t>Saxony</t>
  </si>
  <si>
    <t>Metallic Glass Table Lamp</t>
  </si>
  <si>
    <t>AMERSIGNDS,CSNSTORES,KIRKLANDDS,KOHLDSN,OLLIIX,TGTDVS</t>
  </si>
  <si>
    <t>28676356-000-000</t>
  </si>
  <si>
    <t>9/30/2018</t>
  </si>
  <si>
    <t>10/11/2018</t>
  </si>
  <si>
    <t>II100-0078</t>
  </si>
  <si>
    <t>Scott</t>
  </si>
  <si>
    <t>Cream/Morrocco</t>
  </si>
  <si>
    <t>PF000836</t>
  </si>
  <si>
    <t>ASHFURNDS,CSNSTORES,HDDS,MACY02F,OLLIIX,ZOLA</t>
  </si>
  <si>
    <t>21236710-000-000</t>
  </si>
  <si>
    <t>3/23/2017</t>
  </si>
  <si>
    <t>MP95C-0146A</t>
  </si>
  <si>
    <t>Seascape</t>
  </si>
  <si>
    <t>PP000790</t>
  </si>
  <si>
    <t>AMAZON,AMAZONDS,BEALLSDS,KIRKLANDDS,KOHLDSN,LAMPDS,OLLIIX,ROOMECOM</t>
  </si>
  <si>
    <t>25658387-000-000</t>
  </si>
  <si>
    <t>1/12/2018</t>
  </si>
  <si>
    <t>HH13-1835</t>
  </si>
  <si>
    <t>Seaside</t>
  </si>
  <si>
    <t>4 Piece Cotton Reversible Embroidered Quilt Set with Throw Pillow</t>
  </si>
  <si>
    <t>PP001816;PF005828</t>
  </si>
  <si>
    <t>AMAZONDS,CSNSTORES,HDDS,JCPENNEY01,KOHLDSN,MACY02,OLLIIX</t>
  </si>
  <si>
    <t>19265765-000-003</t>
  </si>
  <si>
    <t>ID10-416</t>
  </si>
  <si>
    <t>Senna</t>
  </si>
  <si>
    <t>Sabrina</t>
  </si>
  <si>
    <t>PF001621;PP000503</t>
  </si>
  <si>
    <t>AMAZON,AMAZONDS,CSNSTORES,JCPENNEY01,KOHLDSN,LOWESDS,MACY02,OLLIIX,TGTDVS</t>
  </si>
  <si>
    <t>15997988-000-005</t>
  </si>
  <si>
    <t>7/23/2015</t>
  </si>
  <si>
    <t>ID10-001</t>
  </si>
  <si>
    <t>PF001620;PP000503</t>
  </si>
  <si>
    <t>AMAZON,AMAZONDS,CSNSTORES,JCPENNEY01,MACY02,ROOMECOM,TGTDVS</t>
  </si>
  <si>
    <t>15997988-000-000</t>
  </si>
  <si>
    <t>II12-1216</t>
  </si>
  <si>
    <t>3 Piece Cotton Printed Duvet Cover Set w/ trims</t>
  </si>
  <si>
    <t>PP001725;PF005641</t>
  </si>
  <si>
    <t>11/17/2021</t>
  </si>
  <si>
    <t>39209913-000-000</t>
  </si>
  <si>
    <t>12/27/2021</t>
  </si>
  <si>
    <t>II10-1215</t>
  </si>
  <si>
    <t>3 Piece Cotton Printed Comforter Set w/ trims</t>
  </si>
  <si>
    <t>39209888-000-001</t>
  </si>
  <si>
    <t>II12-1217</t>
  </si>
  <si>
    <t>39209913-000-001</t>
  </si>
  <si>
    <t>5/19/2022</t>
  </si>
  <si>
    <t>MP10-3539</t>
  </si>
  <si>
    <t>Serendipity</t>
  </si>
  <si>
    <t>Harmony</t>
  </si>
  <si>
    <t>Desiree</t>
  </si>
  <si>
    <t>Cotton Percale Comforter Set</t>
  </si>
  <si>
    <t>Peach</t>
  </si>
  <si>
    <t>PF002628</t>
  </si>
  <si>
    <t>AMAZON,BLK01,CSNSTORES,DESINC,JCPENNEY01,KOHLDSN,MACY02,NRTPORT,OLLIIX</t>
  </si>
  <si>
    <t>19595467-000-004</t>
  </si>
  <si>
    <t>3/9/2017</t>
  </si>
  <si>
    <t>MP40-4209</t>
  </si>
  <si>
    <t>Serene</t>
  </si>
  <si>
    <t>Belle</t>
  </si>
  <si>
    <t>Embroidered Curtain Panel</t>
  </si>
  <si>
    <t>PF003404;PP000505</t>
  </si>
  <si>
    <t>4/6/2017</t>
  </si>
  <si>
    <t>AMAZON,BLK01,DESINC,JCPENNEY01,KOHLDSN</t>
  </si>
  <si>
    <t>17226346-000-003</t>
  </si>
  <si>
    <t>2/7/2017</t>
  </si>
  <si>
    <t>4/7/2017</t>
  </si>
  <si>
    <t>MP41-4210</t>
  </si>
  <si>
    <t>Embroidered Window Valance</t>
  </si>
  <si>
    <t>AMAZON,AMAZONDS,BLK01,CSNSTORES,DESINC,JCPENNEY01,KOHLDSN</t>
  </si>
  <si>
    <t>17226345-000-003</t>
  </si>
  <si>
    <t>4/11/2017</t>
  </si>
  <si>
    <t>MP10-3448</t>
  </si>
  <si>
    <t>Embroidered 7 Piece Comforter Set</t>
  </si>
  <si>
    <t>PF003402;PP000505</t>
  </si>
  <si>
    <t>AMAZON,BLK01,CSNSTORES,HOUZZ,JCPENNEY01,KOHLDSN,MACY02</t>
  </si>
  <si>
    <t>19461713-000-002</t>
  </si>
  <si>
    <t>9/16/2016</t>
  </si>
  <si>
    <t>MP41-5471</t>
  </si>
  <si>
    <t>PF003401;PP000505</t>
  </si>
  <si>
    <t>AMAZON,AMAZONDS,JCPENNEY01,KOHLDSN,TGTDVS,WALMARTDS</t>
  </si>
  <si>
    <t>17226345-000-004</t>
  </si>
  <si>
    <t>3/7/2018</t>
  </si>
  <si>
    <t>MP41-5479</t>
  </si>
  <si>
    <t>PF003405;PP000505</t>
  </si>
  <si>
    <t>AMAZON,BLK01,CSNSTORES,KOHLDSN,TGTDVS</t>
  </si>
  <si>
    <t>17226345-000-005</t>
  </si>
  <si>
    <t>II150-0149</t>
  </si>
  <si>
    <t>Serenitie</t>
  </si>
  <si>
    <t>5-Light Linear Chandelier</t>
  </si>
  <si>
    <t>42825749-000-000</t>
  </si>
  <si>
    <t>MPE10-150</t>
  </si>
  <si>
    <t>Serenity</t>
  </si>
  <si>
    <t>Odisha</t>
  </si>
  <si>
    <t>Nepal</t>
  </si>
  <si>
    <t>PF003665;PP000507</t>
  </si>
  <si>
    <t>Transitional|Casual</t>
  </si>
  <si>
    <t>AMAZON,CSNSTORES,KOHLDSN,NRTPORT</t>
  </si>
  <si>
    <t>18100172-000-000</t>
  </si>
  <si>
    <t>1/29/2016</t>
  </si>
  <si>
    <t>FUR105-0041</t>
  </si>
  <si>
    <t>Shandra</t>
  </si>
  <si>
    <t>Sasha</t>
  </si>
  <si>
    <t>Selah</t>
  </si>
  <si>
    <t>Tufted Top Soft Close Storage Bench</t>
  </si>
  <si>
    <t>PF000817;PP000259</t>
  </si>
  <si>
    <t>AMERSIGNDS,ASHFURNDS,CSNSTORES,HDDS,KIRKLANDDS,KOHLDSN,LAMPDS,MACY02F,OLLIIX,ROOMECOM,TGTDVS</t>
  </si>
  <si>
    <t>16689616-000-002</t>
  </si>
  <si>
    <t>FPF18-0197</t>
  </si>
  <si>
    <t>Shandra II</t>
  </si>
  <si>
    <t>Tahlia</t>
  </si>
  <si>
    <t>PF000636;PP000260</t>
  </si>
  <si>
    <t>AMAZONDS,AMERSIGNDS,ASHFURNDS,CSNSTORES,HDDS,JCPENNEY01,KIRKLANDDS,KOHLDSN,LAMPDS,MACY02F,NEBFUR01,OLLIIX,ROOMECOM</t>
  </si>
  <si>
    <t>16675780-000-002</t>
  </si>
  <si>
    <t>2/25/2015</t>
  </si>
  <si>
    <t>MT122-0092</t>
  </si>
  <si>
    <t>Sharkey</t>
  </si>
  <si>
    <t>Morocco/Gold</t>
  </si>
  <si>
    <t>3/11/2020</t>
  </si>
  <si>
    <t>AMAZONDS,CSNSTORES,OLLIIX</t>
  </si>
  <si>
    <t>35899869-000-000</t>
  </si>
  <si>
    <t>3/26/2020</t>
  </si>
  <si>
    <t>4/13/2020</t>
  </si>
  <si>
    <t>II100-0267</t>
  </si>
  <si>
    <t>Shasta</t>
  </si>
  <si>
    <t>PP000646</t>
  </si>
  <si>
    <t>1/11/2018</t>
  </si>
  <si>
    <t>ASHFURNDS,HDDS,KIRKLANDDS,KOHLDSN,MACY02F,OLLIIX</t>
  </si>
  <si>
    <t>26315655-000-000</t>
  </si>
  <si>
    <t>4/3/2018</t>
  </si>
  <si>
    <t>ID12-2427</t>
  </si>
  <si>
    <t>Shay</t>
  </si>
  <si>
    <t>Monica</t>
  </si>
  <si>
    <t>Colorblock Clip Jacquard Duvet Cover Set</t>
  </si>
  <si>
    <t>PF006271</t>
  </si>
  <si>
    <t>44432051-000-000</t>
  </si>
  <si>
    <t>ID12-2428</t>
  </si>
  <si>
    <t>44432051-000-002</t>
  </si>
  <si>
    <t>ID10-2426</t>
  </si>
  <si>
    <t>Colorblock Clip Jacquard Comforter Set</t>
  </si>
  <si>
    <t>44432186-000-001</t>
  </si>
  <si>
    <t>ID12-2429</t>
  </si>
  <si>
    <t>44432051-000-001</t>
  </si>
  <si>
    <t>II10-1325</t>
  </si>
  <si>
    <t>3 Piece Striped Cotton Comforter Set</t>
  </si>
  <si>
    <t>PP001961;PF006246</t>
  </si>
  <si>
    <t>44236460-000-002</t>
  </si>
  <si>
    <t>7/10/2024</t>
  </si>
  <si>
    <t>II12-1327</t>
  </si>
  <si>
    <t>3 Piece Striped Cotton Duvet Cover Set</t>
  </si>
  <si>
    <t>44270202-000-003</t>
  </si>
  <si>
    <t>TN54-0503</t>
  </si>
  <si>
    <t>Sherpa</t>
  </si>
  <si>
    <t>PP001893;PF006040</t>
  </si>
  <si>
    <t>42738933-000-012</t>
  </si>
  <si>
    <t>TN54-0504</t>
  </si>
  <si>
    <t>42738933-000-008</t>
  </si>
  <si>
    <t>MP95C-0321</t>
  </si>
  <si>
    <t>Shimmering Symphony</t>
  </si>
  <si>
    <t>Glitter and Gold Foil Abstract Triptych 3-piece Canvas Wall Art Set</t>
  </si>
  <si>
    <t>JCPENNEY01,KIRKLANDDS,KOHLDSN,TGTDVS,ZOLA</t>
  </si>
  <si>
    <t>42672668-000-000</t>
  </si>
  <si>
    <t>12/11/2023</t>
  </si>
  <si>
    <t>CC16-0021</t>
  </si>
  <si>
    <t>Signature</t>
  </si>
  <si>
    <t>Dobby Cotton Waterproof Mattress Pad</t>
  </si>
  <si>
    <t>11/11/2022</t>
  </si>
  <si>
    <t>42099582-000-002</t>
  </si>
  <si>
    <t>12/25/2023</t>
  </si>
  <si>
    <t>CCS20-020</t>
  </si>
  <si>
    <t>Signature Hem</t>
  </si>
  <si>
    <t>300TC Cotton Pillowcases</t>
  </si>
  <si>
    <t>42024798-000-000</t>
  </si>
  <si>
    <t>12/20/2023</t>
  </si>
  <si>
    <t>CCS20-025</t>
  </si>
  <si>
    <t>42024798-000-002</t>
  </si>
  <si>
    <t>CCS20-023</t>
  </si>
  <si>
    <t>300TC Cotton Sheet Set</t>
  </si>
  <si>
    <t>42025512-000-005</t>
  </si>
  <si>
    <t>2/2/2024</t>
  </si>
  <si>
    <t>MP103-1186</t>
  </si>
  <si>
    <t>Sikora</t>
  </si>
  <si>
    <t>Gayley</t>
  </si>
  <si>
    <t>Felipe</t>
  </si>
  <si>
    <t>Channel Tufted Swivel Armchair</t>
  </si>
  <si>
    <t>40537064-000-000</t>
  </si>
  <si>
    <t>MP40-6614</t>
  </si>
  <si>
    <t>Simone</t>
  </si>
  <si>
    <t>Abelia</t>
  </si>
  <si>
    <t>Printed Floral Twist Tab Top Voile Sheer Curtain</t>
  </si>
  <si>
    <t>PP001352;PF004832</t>
  </si>
  <si>
    <t>35137197-000-000</t>
  </si>
  <si>
    <t>1/2/2020</t>
  </si>
  <si>
    <t>MP40-6615</t>
  </si>
  <si>
    <t>35137197-000-001</t>
  </si>
  <si>
    <t>5/12/2020</t>
  </si>
  <si>
    <t>MP40-6617</t>
  </si>
  <si>
    <t>Printed Floral Rod Pocket and Back Tab Voile Sheer Curtain</t>
  </si>
  <si>
    <t>JCPENNEY01,OLLIIX,TGTDVS</t>
  </si>
  <si>
    <t>35137211-000-003</t>
  </si>
  <si>
    <t>2/4/2020</t>
  </si>
  <si>
    <t>MP40-6620</t>
  </si>
  <si>
    <t>PP001352;PF004833</t>
  </si>
  <si>
    <t>35137197-000-003</t>
  </si>
  <si>
    <t>MP40-6621</t>
  </si>
  <si>
    <t>AMAZON,JCPENNEY01,WALMARTDS</t>
  </si>
  <si>
    <t>35137197-000-002</t>
  </si>
  <si>
    <t>5/11/2020</t>
  </si>
  <si>
    <t>MP40-6623</t>
  </si>
  <si>
    <t>35137211-000-001</t>
  </si>
  <si>
    <t>2/10/2020</t>
  </si>
  <si>
    <t>MP40-6773</t>
  </si>
  <si>
    <t>PP001352;PF004944</t>
  </si>
  <si>
    <t>35137197-000-004</t>
  </si>
  <si>
    <t>12/2/2019</t>
  </si>
  <si>
    <t>MP40-6775</t>
  </si>
  <si>
    <t>CSNSTORES,JCPENNEY01,KOHLDSN,TGTDVS,WALMARTDS</t>
  </si>
  <si>
    <t>35137211-000-005</t>
  </si>
  <si>
    <t>4/16/2020</t>
  </si>
  <si>
    <t>SHET20-970</t>
  </si>
  <si>
    <t>Smart Cool Microfiber</t>
  </si>
  <si>
    <t>PF002218</t>
  </si>
  <si>
    <t>Coolmax</t>
  </si>
  <si>
    <t>19599624-000-010</t>
  </si>
  <si>
    <t>SHET20-971</t>
  </si>
  <si>
    <t>BEALLSDS,BLK01,KOHLDSN,MACY02,NEBFUR01,TGTDVS</t>
  </si>
  <si>
    <t>19599624-000-011</t>
  </si>
  <si>
    <t>2/24/2017</t>
  </si>
  <si>
    <t>SHET20-974</t>
  </si>
  <si>
    <t>BEALLSDS,BLK01,KOHLDSN,MACY02,NRTPORT</t>
  </si>
  <si>
    <t>19599624-000-014</t>
  </si>
  <si>
    <t>SHET20-961</t>
  </si>
  <si>
    <t>PF002216</t>
  </si>
  <si>
    <t>AMAZON,BLK01,CSNSTORES,KOHLDSN,MACY02,NEBFUR01,TGTDVS,WALMARTDS</t>
  </si>
  <si>
    <t>19599624-000-001</t>
  </si>
  <si>
    <t>12/5/2016</t>
  </si>
  <si>
    <t>SHET20-975</t>
  </si>
  <si>
    <t>PF002219</t>
  </si>
  <si>
    <t>19599624-000-015</t>
  </si>
  <si>
    <t>SHET20-976</t>
  </si>
  <si>
    <t>BLK01,CSNSTORES,KOHLDSN,MACY02,OLLIIX,TGTDVS</t>
  </si>
  <si>
    <t>19599624-000-016</t>
  </si>
  <si>
    <t>SHET20-977</t>
  </si>
  <si>
    <t>BEALLSDS,BLK01,JCPENNEY01,KOHLDSN,MACY02,OLLIIX,TGTDVS,ZOLA</t>
  </si>
  <si>
    <t>19599624-000-017</t>
  </si>
  <si>
    <t>10/13/2016</t>
  </si>
  <si>
    <t>SHET20-978</t>
  </si>
  <si>
    <t>19599624-000-018</t>
  </si>
  <si>
    <t>11/25/2016</t>
  </si>
  <si>
    <t>SHET20-1184</t>
  </si>
  <si>
    <t>PP001565;PF005246</t>
  </si>
  <si>
    <t>12/21/2020</t>
  </si>
  <si>
    <t>BLK01,KOHLDSN,MACY02,NRTPORT,TGTDVS</t>
  </si>
  <si>
    <t>19599624-000-020</t>
  </si>
  <si>
    <t>SHET20-1185</t>
  </si>
  <si>
    <t>19599624-000-024</t>
  </si>
  <si>
    <t>SHET20-1187</t>
  </si>
  <si>
    <t>19599624-000-022</t>
  </si>
  <si>
    <t>SHET20-1188</t>
  </si>
  <si>
    <t>BLK01,JCPENNEY01,KOHLDSN,MACY02,NRTPORT,Zulily</t>
  </si>
  <si>
    <t>19599624-000-021</t>
  </si>
  <si>
    <t>10/4/2021</t>
  </si>
  <si>
    <t>SHET20-969</t>
  </si>
  <si>
    <t>PF002217</t>
  </si>
  <si>
    <t>19599624-000-009</t>
  </si>
  <si>
    <t>12/14/2016</t>
  </si>
  <si>
    <t>MP95B-0358</t>
  </si>
  <si>
    <t>Solana</t>
  </si>
  <si>
    <t>Framed Abstract Coastal Rice Shadowbox Wall Decor</t>
  </si>
  <si>
    <t>4/11/2024</t>
  </si>
  <si>
    <t>KIRKLANDDS,OLLIIX,TGTDVS</t>
  </si>
  <si>
    <t>39673879-000-001</t>
  </si>
  <si>
    <t>CS40-1263</t>
  </si>
  <si>
    <t>Solid Thermal Panel Pair</t>
  </si>
  <si>
    <t>8/22/2020</t>
  </si>
  <si>
    <t>43972756-000-000</t>
  </si>
  <si>
    <t>BL20-0604</t>
  </si>
  <si>
    <t>Soloft Plush</t>
  </si>
  <si>
    <t>Micro Plush Sheet Set</t>
  </si>
  <si>
    <t>PF001708</t>
  </si>
  <si>
    <t>AMAZON,AMAZONDS,BLK01,CSNSTORES,DESINC,JCPENNEY01,KOHLDSN,MACY02</t>
  </si>
  <si>
    <t>13709538-000-014</t>
  </si>
  <si>
    <t>9/30/2015</t>
  </si>
  <si>
    <t>BL20-0449</t>
  </si>
  <si>
    <t>PF001675</t>
  </si>
  <si>
    <t>13709538-000-011</t>
  </si>
  <si>
    <t>TN20-0581</t>
  </si>
  <si>
    <t>PP001621;PF006391</t>
  </si>
  <si>
    <t>13709538-000-033</t>
  </si>
  <si>
    <t>9/14/2024</t>
  </si>
  <si>
    <t>TN20-0582</t>
  </si>
  <si>
    <t>13709538-000-035</t>
  </si>
  <si>
    <t>BL20-0869</t>
  </si>
  <si>
    <t>PF001719</t>
  </si>
  <si>
    <t>AMAZON,AMAZONDS,CSNSTORES,DESINC,JCPENNEY01,KOHLDSN,MACY02</t>
  </si>
  <si>
    <t>13709538-000-007</t>
  </si>
  <si>
    <t>9/28/2016</t>
  </si>
  <si>
    <t>TN20-0585</t>
  </si>
  <si>
    <t>PP001621;PF006392</t>
  </si>
  <si>
    <t>13709538-000-036</t>
  </si>
  <si>
    <t>TN20-0586</t>
  </si>
  <si>
    <t>13709538-000-039</t>
  </si>
  <si>
    <t>TN20-0587</t>
  </si>
  <si>
    <t>13709538-000-038</t>
  </si>
  <si>
    <t>II100-0324</t>
  </si>
  <si>
    <t>Sonia</t>
  </si>
  <si>
    <t>Camel</t>
  </si>
  <si>
    <t>27118735-000-000</t>
  </si>
  <si>
    <t>5/7/2018</t>
  </si>
  <si>
    <t>8/3/2018</t>
  </si>
  <si>
    <t>II90-0539</t>
  </si>
  <si>
    <t>Dining Set</t>
  </si>
  <si>
    <t>Sonoma</t>
  </si>
  <si>
    <t>Natural 7-Piece Set</t>
  </si>
  <si>
    <t>42099719-000-002</t>
  </si>
  <si>
    <t>II121-0311</t>
  </si>
  <si>
    <t>Rectangle Dining Table</t>
  </si>
  <si>
    <t>AMERSIGNDS,CASTLEGATE,CSNSTORES,HDDS,KIRKLANDDS,KOHLDSN,LAMPDS,OLLIIX,TGTDVS</t>
  </si>
  <si>
    <t>26801769-000-000</t>
  </si>
  <si>
    <t>7/20/2018</t>
  </si>
  <si>
    <t>II90-0542</t>
  </si>
  <si>
    <t>Gray 7-Piece Set</t>
  </si>
  <si>
    <t>7/16/2021</t>
  </si>
  <si>
    <t>42099719-000-001</t>
  </si>
  <si>
    <t>II90-0540</t>
  </si>
  <si>
    <t>White 6-Piece Set</t>
  </si>
  <si>
    <t>8/2/2021</t>
  </si>
  <si>
    <t>42099720-000-000</t>
  </si>
  <si>
    <t>ST35-0252</t>
  </si>
  <si>
    <t>Sophia</t>
  </si>
  <si>
    <t>Talas Trellis Area Rug in Cream</t>
  </si>
  <si>
    <t>38830014-000-000</t>
  </si>
  <si>
    <t>9/15/2021</t>
  </si>
  <si>
    <t>ST35-0253</t>
  </si>
  <si>
    <t>38830014-000-001</t>
  </si>
  <si>
    <t>ID40-1797</t>
  </si>
  <si>
    <t>Pom Pom Embellished Curtain Panel</t>
  </si>
  <si>
    <t>PF001530;PP001619</t>
  </si>
  <si>
    <t>9/10/2019</t>
  </si>
  <si>
    <t>AMAZON,CSNSTORES,KOHLDSN,TGTDVS</t>
  </si>
  <si>
    <t>34389959-000-005</t>
  </si>
  <si>
    <t>11/5/2019</t>
  </si>
  <si>
    <t>ID40-1798</t>
  </si>
  <si>
    <t>AMAZON,CSNSTORES,KOHLDSN,OLLIIX,TGTDVS</t>
  </si>
  <si>
    <t>34389959-000-004</t>
  </si>
  <si>
    <t>11/1/2019</t>
  </si>
  <si>
    <t>ID40-2018</t>
  </si>
  <si>
    <t>PF005439;PP001619</t>
  </si>
  <si>
    <t>34389959-000-006</t>
  </si>
  <si>
    <t>ID40-2019</t>
  </si>
  <si>
    <t>AMAZON,BLK01,CSNSTORES,HDDS,KOHLDSN,TGTDVS</t>
  </si>
  <si>
    <t>34389959-000-007</t>
  </si>
  <si>
    <t>MP35-8040</t>
  </si>
  <si>
    <t>PP001794;PF005781</t>
  </si>
  <si>
    <t>BLK01,CSNSTORES,KOHLDSN</t>
  </si>
  <si>
    <t>40587885-000-003</t>
  </si>
  <si>
    <t>MP35-8041</t>
  </si>
  <si>
    <t>40587885-000-002</t>
  </si>
  <si>
    <t>5/6/2024</t>
  </si>
  <si>
    <t>MP35-8036</t>
  </si>
  <si>
    <t>Talas Trellis Area Rug in Grey and Cream</t>
  </si>
  <si>
    <t>PP001794;PF005780</t>
  </si>
  <si>
    <t>40587885-000-004</t>
  </si>
  <si>
    <t>MP35-8039</t>
  </si>
  <si>
    <t>40587885-000-005</t>
  </si>
  <si>
    <t>MP70-8555</t>
  </si>
  <si>
    <t>Spa Waffle</t>
  </si>
  <si>
    <t>Shower Curtain with 3M Treatment</t>
  </si>
  <si>
    <t>108x72"</t>
  </si>
  <si>
    <t>MP70-8553</t>
  </si>
  <si>
    <t>36x72''</t>
  </si>
  <si>
    <t>MP70-8554</t>
  </si>
  <si>
    <t>72x78"</t>
  </si>
  <si>
    <t>MP70-8560</t>
  </si>
  <si>
    <t>72x84"</t>
  </si>
  <si>
    <t>MP70-8563</t>
  </si>
  <si>
    <t>MP70-8559</t>
  </si>
  <si>
    <t>MP70-8561</t>
  </si>
  <si>
    <t>MP70-8562</t>
  </si>
  <si>
    <t>MP70-8456</t>
  </si>
  <si>
    <t>PP000511;PF006257</t>
  </si>
  <si>
    <t>17191023-000-024</t>
  </si>
  <si>
    <t>MP70-8558</t>
  </si>
  <si>
    <t>MP70-8556</t>
  </si>
  <si>
    <t>MP70-8557</t>
  </si>
  <si>
    <t>MP70-8565</t>
  </si>
  <si>
    <t>17191023-000-029</t>
  </si>
  <si>
    <t>11/5/2024</t>
  </si>
  <si>
    <t>MP70-8566</t>
  </si>
  <si>
    <t>17191023-000-028</t>
  </si>
  <si>
    <t>MP70-8567</t>
  </si>
  <si>
    <t>17191023-000-027</t>
  </si>
  <si>
    <t>MP70-8549</t>
  </si>
  <si>
    <t>17191023-000-031</t>
  </si>
  <si>
    <t>MP95G-0324</t>
  </si>
  <si>
    <t>Sparkling Sea</t>
  </si>
  <si>
    <t>Framed Glass and Single Matted Abstract Landscape Coastal Wall Art</t>
  </si>
  <si>
    <t>DESINC,KIRKLANDDS,MACY02,OLLIIX,TGTDVS</t>
  </si>
  <si>
    <t>42762477-000-000</t>
  </si>
  <si>
    <t>10/18/2023</t>
  </si>
  <si>
    <t>MPS72-590</t>
  </si>
  <si>
    <t>Splendor</t>
  </si>
  <si>
    <t>100% Cotton Tufted 3000 GSM Reversible Bath Rug</t>
  </si>
  <si>
    <t>MPS72-593</t>
  </si>
  <si>
    <t>MPS72-592</t>
  </si>
  <si>
    <t>24x36"</t>
  </si>
  <si>
    <t>MPS72-594</t>
  </si>
  <si>
    <t>MPS72-595</t>
  </si>
  <si>
    <t>24x72"</t>
  </si>
  <si>
    <t>MPS72-591</t>
  </si>
  <si>
    <t>20x30"</t>
  </si>
  <si>
    <t>MPS72-573</t>
  </si>
  <si>
    <t>MPS72-576</t>
  </si>
  <si>
    <t>MPS72-575</t>
  </si>
  <si>
    <t>MPS72-577</t>
  </si>
  <si>
    <t>MPS72-574</t>
  </si>
  <si>
    <t>MPS72-553</t>
  </si>
  <si>
    <t>Bright White</t>
  </si>
  <si>
    <t>MPS72-556</t>
  </si>
  <si>
    <t>MPS72-555</t>
  </si>
  <si>
    <t>MPS72-557</t>
  </si>
  <si>
    <t>MPS72-554</t>
  </si>
  <si>
    <t>MPS72-568</t>
  </si>
  <si>
    <t>MPS72-571</t>
  </si>
  <si>
    <t>MPS72-570</t>
  </si>
  <si>
    <t>MPS72-572</t>
  </si>
  <si>
    <t>MPS72-569</t>
  </si>
  <si>
    <t>MPS72-584</t>
  </si>
  <si>
    <t>MPS72-587</t>
  </si>
  <si>
    <t>MPS72-586</t>
  </si>
  <si>
    <t>MPS72-588</t>
  </si>
  <si>
    <t>MPS72-589</t>
  </si>
  <si>
    <t>MPS72-585</t>
  </si>
  <si>
    <t>MPS72-563</t>
  </si>
  <si>
    <t>MPS72-566</t>
  </si>
  <si>
    <t>MPS72-565</t>
  </si>
  <si>
    <t>MPS72-567</t>
  </si>
  <si>
    <t>MPS72-564</t>
  </si>
  <si>
    <t>MPS72-558</t>
  </si>
  <si>
    <t>MPS72-561</t>
  </si>
  <si>
    <t>MPS72-560</t>
  </si>
  <si>
    <t>MPS72-562</t>
  </si>
  <si>
    <t>MPS72-559</t>
  </si>
  <si>
    <t>MPS72-578</t>
  </si>
  <si>
    <t>MPS72-581</t>
  </si>
  <si>
    <t>MPS72-580</t>
  </si>
  <si>
    <t>MPS72-582</t>
  </si>
  <si>
    <t>MPS72-583</t>
  </si>
  <si>
    <t>MPS72-579</t>
  </si>
  <si>
    <t>MT95B-0083</t>
  </si>
  <si>
    <t>Staggered Stones</t>
  </si>
  <si>
    <t>Blue Natural Agate Double Mat Shadow Box Wall Decor</t>
  </si>
  <si>
    <t>3/15/2025</t>
  </si>
  <si>
    <t>43932324-000-000</t>
  </si>
  <si>
    <t>MT95B-0085</t>
  </si>
  <si>
    <t>Off-White Natural Agate Double Mat Shadow Box Wall Decor</t>
  </si>
  <si>
    <t>AMAZON,AMAZONDS,CSNSTORES,OLLIIX,TGTDVS</t>
  </si>
  <si>
    <t>43932324-000-001</t>
  </si>
  <si>
    <t>MP21-8447</t>
  </si>
  <si>
    <t>Pillow Insert</t>
  </si>
  <si>
    <t>Stay Puffed</t>
  </si>
  <si>
    <t>Overfilled Pillow Protector Single Piece</t>
  </si>
  <si>
    <t>PP001903;PF006239</t>
  </si>
  <si>
    <t>42656856-000-003</t>
  </si>
  <si>
    <t>MP21-8446</t>
  </si>
  <si>
    <t>AMAZON,KOHLDSN,MACY02,OLLIIX</t>
  </si>
  <si>
    <t>42656856-000-002</t>
  </si>
  <si>
    <t>MP95C-0171</t>
  </si>
  <si>
    <t>Sterling Mist</t>
  </si>
  <si>
    <t>100% Hand Brush Embellished Canvas 3 Piece Set</t>
  </si>
  <si>
    <t>PP001033;PF004515</t>
  </si>
  <si>
    <t>Hotel|Modern/Contemporary</t>
  </si>
  <si>
    <t>11/5/2018</t>
  </si>
  <si>
    <t>AMAZON,ASHFURNDS,KOHLDSN,OLLIIX,TGTDVS</t>
  </si>
  <si>
    <t>30776137-000-000</t>
  </si>
  <si>
    <t>11/8/2018</t>
  </si>
  <si>
    <t>ID95B-0025</t>
  </si>
  <si>
    <t>Summer Bliss</t>
  </si>
  <si>
    <t>Silver Framed Floral Medallion 3-piece Wall Decor Set</t>
  </si>
  <si>
    <t>PF001929</t>
  </si>
  <si>
    <t>AMERSIGNDS,BIGLOTSDS,KIRKLANDDS,KOHLDSN,ROOMECOM,TGTDVS</t>
  </si>
  <si>
    <t>19320826-000-000</t>
  </si>
  <si>
    <t>9/19/2016</t>
  </si>
  <si>
    <t>MPS95A-0023</t>
  </si>
  <si>
    <t>Sunburst</t>
  </si>
  <si>
    <t>Hand Painted Dimensional Resin Wall Art</t>
  </si>
  <si>
    <t>30x30"</t>
  </si>
  <si>
    <t>PF002029</t>
  </si>
  <si>
    <t>AMAZON,AMAZONDS,AMERSIGNDS,CSNSTORES,HDDS,KOHLDSN,LAMPDS,MACY02,OLLIIX,ROOMECOM,TGTDVS</t>
  </si>
  <si>
    <t>25582544-000-000</t>
  </si>
  <si>
    <t>1/26/2018</t>
  </si>
  <si>
    <t>MPS95B-0044</t>
  </si>
  <si>
    <t>Hand Painted Triptych 3-piece Dimensional Resin Wall Art Set</t>
  </si>
  <si>
    <t>3-Piece</t>
  </si>
  <si>
    <t>AMAZON,CSNSTORES,OLLIIX</t>
  </si>
  <si>
    <t>40050368-000-002</t>
  </si>
  <si>
    <t>II115-0502</t>
  </si>
  <si>
    <t>Sunset Cliff</t>
  </si>
  <si>
    <t>Wood Queen Bed</t>
  </si>
  <si>
    <t>5/18/2023</t>
  </si>
  <si>
    <t>41825209-000-000</t>
  </si>
  <si>
    <t>II136-0503</t>
  </si>
  <si>
    <t>NIGHTSTAND</t>
  </si>
  <si>
    <t>Nightstand</t>
  </si>
  <si>
    <t>1-Drawer Nightstand with Shelf</t>
  </si>
  <si>
    <t>41825221-000-000</t>
  </si>
  <si>
    <t>ID95C-0051</t>
  </si>
  <si>
    <t>Sunshine Animals</t>
  </si>
  <si>
    <t>Chicks Canvas Wall Art</t>
  </si>
  <si>
    <t>Chicks/Green Multi</t>
  </si>
  <si>
    <t>42721560-000-002</t>
  </si>
  <si>
    <t>ID95C-0053</t>
  </si>
  <si>
    <t>Cow Canvas Wall Art</t>
  </si>
  <si>
    <t>Cow/Green Multi</t>
  </si>
  <si>
    <t>AMAZON,AMAZONDS,KOHLDSN,ROOMECOM,TGTDVS</t>
  </si>
  <si>
    <t>42721560-000-003</t>
  </si>
  <si>
    <t>ID95C-0052</t>
  </si>
  <si>
    <t>Goat Canvas Wall Art</t>
  </si>
  <si>
    <t>Goat/Green Multi</t>
  </si>
  <si>
    <t>42721560-000-004</t>
  </si>
  <si>
    <t>ID95C-0049</t>
  </si>
  <si>
    <t>Lamb Canvas Wall Art</t>
  </si>
  <si>
    <t>Lamb/Green Multi</t>
  </si>
  <si>
    <t>42721560-000-005</t>
  </si>
  <si>
    <t>ID95C-0050</t>
  </si>
  <si>
    <t>Llama Canvas Wall Art</t>
  </si>
  <si>
    <t>Llama/Green Multi</t>
  </si>
  <si>
    <t>42721560-000-001</t>
  </si>
  <si>
    <t>ID95C-0048</t>
  </si>
  <si>
    <t>Pig Canvas Wall Art</t>
  </si>
  <si>
    <t>Pig/Green Multi</t>
  </si>
  <si>
    <t>AMAZON,AMAZONDS,KOHLDSN,OLLIIX</t>
  </si>
  <si>
    <t>42721560-000-000</t>
  </si>
  <si>
    <t>II10-047</t>
  </si>
  <si>
    <t>Cotton Seersucker Comfoter Set</t>
  </si>
  <si>
    <t>PF001590</t>
  </si>
  <si>
    <t>Farmhouse</t>
  </si>
  <si>
    <t>Casual|Mid-Century</t>
  </si>
  <si>
    <t>BLK01,CSNSTORES,JCPENNEY01,KOHLDSN,MACY02,OLLIIX,TGTDVS,ZOLA</t>
  </si>
  <si>
    <t>18154134-000-001</t>
  </si>
  <si>
    <t>2/8/2016</t>
  </si>
  <si>
    <t>II104-0251</t>
  </si>
  <si>
    <t>Tacoma</t>
  </si>
  <si>
    <t>24" Counter stool</t>
  </si>
  <si>
    <t>PP000055</t>
  </si>
  <si>
    <t>1/31/2018</t>
  </si>
  <si>
    <t>26568496-000-000</t>
  </si>
  <si>
    <t>8/26/2019</t>
  </si>
  <si>
    <t>FPF20-0337</t>
  </si>
  <si>
    <t>PF000793;PP000055</t>
  </si>
  <si>
    <t>19902861-000-000</t>
  </si>
  <si>
    <t>MP100-1187</t>
  </si>
  <si>
    <t>Tage</t>
  </si>
  <si>
    <t>Marlee</t>
  </si>
  <si>
    <t>KOHLDSN,OLLIIX,TGTDVS,ZOLA</t>
  </si>
  <si>
    <t>41353964-000-000</t>
  </si>
  <si>
    <t>5/26/2023</t>
  </si>
  <si>
    <t>II12-1313</t>
  </si>
  <si>
    <t>Tahli</t>
  </si>
  <si>
    <t>3 Piece Cotton Blend Chenille Duvet Cover Set</t>
  </si>
  <si>
    <t>Green/Ivory</t>
  </si>
  <si>
    <t>PF006075</t>
  </si>
  <si>
    <t>43080747-000-000</t>
  </si>
  <si>
    <t>11/26/2023</t>
  </si>
  <si>
    <t>MZ80-064</t>
  </si>
  <si>
    <t>Tamil</t>
  </si>
  <si>
    <t>Asha</t>
  </si>
  <si>
    <t>Tula</t>
  </si>
  <si>
    <t>Reversible Paisley Quilt Set with Throw Pillow</t>
  </si>
  <si>
    <t>PF000542;PP000517</t>
  </si>
  <si>
    <t>HSNDS,JCPENNEY01,KOHLDSN,MACY02,OLLIIX</t>
  </si>
  <si>
    <t>14607154-000-000</t>
  </si>
  <si>
    <t>ID80-276</t>
  </si>
  <si>
    <t>Tamira</t>
  </si>
  <si>
    <t>Lacie</t>
  </si>
  <si>
    <t>Dana</t>
  </si>
  <si>
    <t>Reversible Quilt Set with Throw Pillows</t>
  </si>
  <si>
    <t>PF001646</t>
  </si>
  <si>
    <t>16943033-000-000</t>
  </si>
  <si>
    <t>BR20-3896</t>
  </si>
  <si>
    <t>Tencel Polyester Blend</t>
  </si>
  <si>
    <t>PP001850;PF005924</t>
  </si>
  <si>
    <t>Tencel</t>
  </si>
  <si>
    <t>1/25/2023</t>
  </si>
  <si>
    <t>41028508-000-001</t>
  </si>
  <si>
    <t>BR20-3897</t>
  </si>
  <si>
    <t>AMAZON,CSNSTORES,KOHLDSN</t>
  </si>
  <si>
    <t>41028508-000-011</t>
  </si>
  <si>
    <t>12/22/2023</t>
  </si>
  <si>
    <t>BR20-3904</t>
  </si>
  <si>
    <t>PP001850;PF005926</t>
  </si>
  <si>
    <t>41028508-000-003</t>
  </si>
  <si>
    <t>12/14/2023</t>
  </si>
  <si>
    <t>BR20-3900</t>
  </si>
  <si>
    <t>PP001850;PF005925</t>
  </si>
  <si>
    <t>41028508-000-012</t>
  </si>
  <si>
    <t>MT101-0179</t>
  </si>
  <si>
    <t>Terri</t>
  </si>
  <si>
    <t>Skirted Tufted 32" Round Ottoman</t>
  </si>
  <si>
    <t>11/21/2024</t>
  </si>
  <si>
    <t>39600294-000-001</t>
  </si>
  <si>
    <t>11/24/2024</t>
  </si>
  <si>
    <t>IIF22-0039</t>
  </si>
  <si>
    <t>Topi</t>
  </si>
  <si>
    <t>Natural Wood Slice Mosaic Wall Decor</t>
  </si>
  <si>
    <t>PF000990;PP000059</t>
  </si>
  <si>
    <t>5/11/2017</t>
  </si>
  <si>
    <t>19247050-000-000</t>
  </si>
  <si>
    <t>8/17/2016</t>
  </si>
  <si>
    <t>9/11/2016</t>
  </si>
  <si>
    <t>MP101-1135</t>
  </si>
  <si>
    <t>Tracey</t>
  </si>
  <si>
    <t>Conner</t>
  </si>
  <si>
    <t>Sally</t>
  </si>
  <si>
    <t>Faux Leather Cocktail Ottoman</t>
  </si>
  <si>
    <t>39771180-000-000</t>
  </si>
  <si>
    <t>12/12/2022</t>
  </si>
  <si>
    <t>ST54-0246</t>
  </si>
  <si>
    <t>Travis AZ</t>
  </si>
  <si>
    <t>Heated Tri-Rib Microfleece Blanket</t>
  </si>
  <si>
    <t>Berry Red</t>
  </si>
  <si>
    <t>43942077-000-017</t>
  </si>
  <si>
    <t>ST54-0247</t>
  </si>
  <si>
    <t>43942077-000-000</t>
  </si>
  <si>
    <t>ST54-0248</t>
  </si>
  <si>
    <t>43942077-000-013</t>
  </si>
  <si>
    <t>ST54-0249</t>
  </si>
  <si>
    <t>43942077-000-001</t>
  </si>
  <si>
    <t>ST54-0234</t>
  </si>
  <si>
    <t>43942077-000-024</t>
  </si>
  <si>
    <t>ST54-0235</t>
  </si>
  <si>
    <t>43942077-000-011</t>
  </si>
  <si>
    <t>ST54-0236</t>
  </si>
  <si>
    <t>43942077-000-023</t>
  </si>
  <si>
    <t>ST54-0222</t>
  </si>
  <si>
    <t>43942077-000-025</t>
  </si>
  <si>
    <t>ST54-0223</t>
  </si>
  <si>
    <t>43942077-000-015</t>
  </si>
  <si>
    <t>ST54-0242</t>
  </si>
  <si>
    <t>43942077-000-018</t>
  </si>
  <si>
    <t>ST54-0243</t>
  </si>
  <si>
    <t>43942077-000-008</t>
  </si>
  <si>
    <t>ST54-0244</t>
  </si>
  <si>
    <t>43942077-000-007</t>
  </si>
  <si>
    <t>ST54-0245</t>
  </si>
  <si>
    <t>43942077-000-009</t>
  </si>
  <si>
    <t>ST54-0239</t>
  </si>
  <si>
    <t>43942077-000-004</t>
  </si>
  <si>
    <t>ST54-0240</t>
  </si>
  <si>
    <t>43942077-000-027</t>
  </si>
  <si>
    <t>ST54-0241</t>
  </si>
  <si>
    <t>43942077-000-019</t>
  </si>
  <si>
    <t>ST54-0231</t>
  </si>
  <si>
    <t>Latte Tan</t>
  </si>
  <si>
    <t>43942077-000-006</t>
  </si>
  <si>
    <t>ST54-0232</t>
  </si>
  <si>
    <t>43942077-000-022</t>
  </si>
  <si>
    <t>ST54-0226</t>
  </si>
  <si>
    <t>Stone Brown</t>
  </si>
  <si>
    <t>43942077-000-012</t>
  </si>
  <si>
    <t>ST54-0227</t>
  </si>
  <si>
    <t>43942077-000-002</t>
  </si>
  <si>
    <t>PET63CC6031</t>
  </si>
  <si>
    <t>Trucker</t>
  </si>
  <si>
    <t>Crate Cover</t>
  </si>
  <si>
    <t>Dark Grey</t>
  </si>
  <si>
    <t>43827766-000-001</t>
  </si>
  <si>
    <t>PET63CC6032</t>
  </si>
  <si>
    <t>43827766-000-002</t>
  </si>
  <si>
    <t>PET63CC6033</t>
  </si>
  <si>
    <t>43827766-000-000</t>
  </si>
  <si>
    <t>PET63CC6034</t>
  </si>
  <si>
    <t>AMAZON,CSNSTORES,DESINC</t>
  </si>
  <si>
    <t>43827766-000-003</t>
  </si>
  <si>
    <t>MPS73-532</t>
  </si>
  <si>
    <t>Turkish</t>
  </si>
  <si>
    <t>100% Cotton Bath Sheet 2 Piece Set</t>
  </si>
  <si>
    <t>35x70" - 2PK</t>
  </si>
  <si>
    <t>PP001361</t>
  </si>
  <si>
    <t>AMAZON,AMAZONDS,KOHLDSN,MACY02,OLLIIX,ZOLA</t>
  </si>
  <si>
    <t>44154278-000-002</t>
  </si>
  <si>
    <t>MPS73-533</t>
  </si>
  <si>
    <t>AMAZON,BLK01,KOHLDSN,MACY02,OLLIIX</t>
  </si>
  <si>
    <t>44154278-000-001</t>
  </si>
  <si>
    <t>MP13-8246</t>
  </si>
  <si>
    <t>Tuscany</t>
  </si>
  <si>
    <t>Marino</t>
  </si>
  <si>
    <t>Genoa</t>
  </si>
  <si>
    <t>3 Piece Reversible Scalloped Edge Quilt Set</t>
  </si>
  <si>
    <t>PF006016;PP001886</t>
  </si>
  <si>
    <t>Traditional|Transitional</t>
  </si>
  <si>
    <t>7/4/2023</t>
  </si>
  <si>
    <t>18384445-000-007</t>
  </si>
  <si>
    <t>7/11/2023</t>
  </si>
  <si>
    <t>MP13-8497</t>
  </si>
  <si>
    <t>PP001886;PF006370</t>
  </si>
  <si>
    <t>18384445-000-008</t>
  </si>
  <si>
    <t>MP103-0481</t>
  </si>
  <si>
    <t>Tyler</t>
  </si>
  <si>
    <t>Memo</t>
  </si>
  <si>
    <t>Sheldon</t>
  </si>
  <si>
    <t>Tyler Upholstered Swivel Barrel Chair with Nailheads</t>
  </si>
  <si>
    <t>Chocolate</t>
  </si>
  <si>
    <t>ASHFURNDS,BLK01,CASTLEGATE,CSNSTORES,KOHLDSN,MACY02F,OLLIIX,ROOMECOM</t>
  </si>
  <si>
    <t>22701114-000-005</t>
  </si>
  <si>
    <t>11/22/2017</t>
  </si>
  <si>
    <t>MP103-0236</t>
  </si>
  <si>
    <t>Natural Multi</t>
  </si>
  <si>
    <t>PF001096;PP000273</t>
  </si>
  <si>
    <t>AMAZONDS,ASHFURNDS,CASTLEGATE,CSNSTORES,HDDS,JCPENNEY01,KIRKLANDDS,KOHLDSN,MACY02F,OLLIIX,TGTDVS</t>
  </si>
  <si>
    <t>22701114-000-000</t>
  </si>
  <si>
    <t>MP120-0428</t>
  </si>
  <si>
    <t>Ortega</t>
  </si>
  <si>
    <t>Dorado</t>
  </si>
  <si>
    <t>Accent Table</t>
  </si>
  <si>
    <t>PF000424</t>
  </si>
  <si>
    <t>AMERSIGNDS,CSNSTORES,MACY02F,OLLIIX</t>
  </si>
  <si>
    <t>23967851-000-000</t>
  </si>
  <si>
    <t>11/21/2017</t>
  </si>
  <si>
    <t>II153-0162</t>
  </si>
  <si>
    <t>Veluna</t>
  </si>
  <si>
    <t>Textured Ceramic Table Lamp with Fluted Fabric Shade</t>
  </si>
  <si>
    <t>44996276-000-000</t>
  </si>
  <si>
    <t>ID10-2341</t>
  </si>
  <si>
    <t>Velvet Dream Puff</t>
  </si>
  <si>
    <t>3 Piece Comforter Set</t>
  </si>
  <si>
    <t>PP001942;PF006190</t>
  </si>
  <si>
    <t>1/22/2025</t>
  </si>
  <si>
    <t>43800402-000-003</t>
  </si>
  <si>
    <t>ID10-2336</t>
  </si>
  <si>
    <t>2 Piece Comforter Set</t>
  </si>
  <si>
    <t>PP001942;PF006189</t>
  </si>
  <si>
    <t>43800402-000-007</t>
  </si>
  <si>
    <t>ID10-2337</t>
  </si>
  <si>
    <t>43800402-000-006</t>
  </si>
  <si>
    <t>ID10-2342</t>
  </si>
  <si>
    <t>PP001942;PF006191</t>
  </si>
  <si>
    <t>43800402-000-001</t>
  </si>
  <si>
    <t>ID10-2344</t>
  </si>
  <si>
    <t>43800402-000-008</t>
  </si>
  <si>
    <t>FB13-1028</t>
  </si>
  <si>
    <t>Velvet Touch</t>
  </si>
  <si>
    <t>3 Piece Luxurious Oversized Quilt Set</t>
  </si>
  <si>
    <t>PF003280</t>
  </si>
  <si>
    <t>AMERSIGNDS,BLK01,KOHLDSN,MACY02,OLLIIX</t>
  </si>
  <si>
    <t>19321640-000-001</t>
  </si>
  <si>
    <t>JLA13-500</t>
  </si>
  <si>
    <t>Peacock</t>
  </si>
  <si>
    <t>PF003273</t>
  </si>
  <si>
    <t>BLK01,HOUZZ,JCPENNEY01,MACY02,NRTPORT,OLLIIX</t>
  </si>
  <si>
    <t>18141109-000-001</t>
  </si>
  <si>
    <t>9/1/2016</t>
  </si>
  <si>
    <t>MP133-0713</t>
  </si>
  <si>
    <t>Verona</t>
  </si>
  <si>
    <t>Nevaeh</t>
  </si>
  <si>
    <t>Dining Buffet Server Quaterfoil Design Kitchen Storage Cabinet with Mirrored Doors</t>
  </si>
  <si>
    <t>8/11/2018</t>
  </si>
  <si>
    <t>28385417-000-000</t>
  </si>
  <si>
    <t>8/1/2018</t>
  </si>
  <si>
    <t>MP40-8462</t>
  </si>
  <si>
    <t>Veronica</t>
  </si>
  <si>
    <t>Scarlett</t>
  </si>
  <si>
    <t>PP001970;PF006279</t>
  </si>
  <si>
    <t>44433942-000-000</t>
  </si>
  <si>
    <t>MP40-8463</t>
  </si>
  <si>
    <t>44433942-000-001</t>
  </si>
  <si>
    <t>CCL13-0018</t>
  </si>
  <si>
    <t>Versailles</t>
  </si>
  <si>
    <t>3 Piece Grey Quilt Set</t>
  </si>
  <si>
    <t>42041894-000-001</t>
  </si>
  <si>
    <t>CCL40-0059</t>
  </si>
  <si>
    <t>Vicenza</t>
  </si>
  <si>
    <t>Invertible Curtain Panel (Single)</t>
  </si>
  <si>
    <t>42037925-000-001</t>
  </si>
  <si>
    <t>SS40-0091</t>
  </si>
  <si>
    <t>Victorio</t>
  </si>
  <si>
    <t>Laurent</t>
  </si>
  <si>
    <t>Printed Jacquard Grommet Top Total Blackout Curtain Panel</t>
  </si>
  <si>
    <t>PP000999;PF004468</t>
  </si>
  <si>
    <t>10/5/2018</t>
  </si>
  <si>
    <t>AMAZON,ASHFURNDS,CSNSTORES,DESINC,JCPENNEY01,KOHLDSN,OLLIIX,TGTDVS</t>
  </si>
  <si>
    <t>29074578-000-003</t>
  </si>
  <si>
    <t>12/3/2018</t>
  </si>
  <si>
    <t>CS40-1554</t>
  </si>
  <si>
    <t>Pair Total Blackout</t>
  </si>
  <si>
    <t>2-PK 50x84"</t>
  </si>
  <si>
    <t>1/25/2022</t>
  </si>
  <si>
    <t>AMAZONDS,NRTPORT</t>
  </si>
  <si>
    <t>43971899-000-005</t>
  </si>
  <si>
    <t>CS40-1553</t>
  </si>
  <si>
    <t>43971899-000-004</t>
  </si>
  <si>
    <t>CS40-1550</t>
  </si>
  <si>
    <t>AMAZON,AMAZONDS,NRTPORT</t>
  </si>
  <si>
    <t>43971899-000-002</t>
  </si>
  <si>
    <t>CS40-1549</t>
  </si>
  <si>
    <t>43971899-000-001</t>
  </si>
  <si>
    <t>CS10-0255-1</t>
  </si>
  <si>
    <t>Vixie</t>
  </si>
  <si>
    <t>Reversible Down Alternative Comforter Set</t>
  </si>
  <si>
    <t>Grey/Yellow</t>
  </si>
  <si>
    <t>PP001375;PF004883</t>
  </si>
  <si>
    <t>6/17/2019</t>
  </si>
  <si>
    <t>33488805-000-017</t>
  </si>
  <si>
    <t>CH10-015</t>
  </si>
  <si>
    <t>Waffle Stripe</t>
  </si>
  <si>
    <t>CH10-016</t>
  </si>
  <si>
    <t>BR51N-5003</t>
  </si>
  <si>
    <t>Waffle Weave</t>
  </si>
  <si>
    <t>BR51N-5004</t>
  </si>
  <si>
    <t>BR51N-5005</t>
  </si>
  <si>
    <t>BR51N-5006</t>
  </si>
  <si>
    <t>BR51N-5007</t>
  </si>
  <si>
    <t>BR51N-5008</t>
  </si>
  <si>
    <t>CS10-1342</t>
  </si>
  <si>
    <t>Wallace</t>
  </si>
  <si>
    <t>Complete Bed with Sheet Set</t>
  </si>
  <si>
    <t>Navy/Red</t>
  </si>
  <si>
    <t>11/28/2020</t>
  </si>
  <si>
    <t>43956680-000-002</t>
  </si>
  <si>
    <t>UH95C-0033</t>
  </si>
  <si>
    <t>Wandering Strokes</t>
  </si>
  <si>
    <t>Abstract Framed Canvas 3 Piece Set</t>
  </si>
  <si>
    <t>PP001666</t>
  </si>
  <si>
    <t>38501113-000-000</t>
  </si>
  <si>
    <t>MP121-1221</t>
  </si>
  <si>
    <t>Phelps</t>
  </si>
  <si>
    <t>41594063-000-000</t>
  </si>
  <si>
    <t>MP13-3241</t>
  </si>
  <si>
    <t>Willa</t>
  </si>
  <si>
    <t>Felicity</t>
  </si>
  <si>
    <t>6 Piece Cotton Quilt Set with Throw Pillows</t>
  </si>
  <si>
    <t>PF002608;PP000533</t>
  </si>
  <si>
    <t>Sateen</t>
  </si>
  <si>
    <t>AMAZON,AMAZONDS,BEALLSDS,BLK01,CASTLEGATE,CSNSTORES,JCPENNEY01,KOHLDSN,MACY02,OLLIIX,ROOMECOM,TGTDVS</t>
  </si>
  <si>
    <t>19156152-000-001</t>
  </si>
  <si>
    <t>8/3/2016</t>
  </si>
  <si>
    <t>MP120-0971</t>
  </si>
  <si>
    <t>Larris</t>
  </si>
  <si>
    <t>Cocktail Table</t>
  </si>
  <si>
    <t>6/11/2020</t>
  </si>
  <si>
    <t>36328403-000-000</t>
  </si>
  <si>
    <t>MP120-0972</t>
  </si>
  <si>
    <t>36328404-000-000</t>
  </si>
  <si>
    <t>MP13-8704</t>
  </si>
  <si>
    <t>Esme</t>
  </si>
  <si>
    <t>Lavinia</t>
  </si>
  <si>
    <t>3PCS Bedspread Set</t>
  </si>
  <si>
    <t>4/14/2025</t>
  </si>
  <si>
    <t>MP13-8705</t>
  </si>
  <si>
    <t>MP13-8702</t>
  </si>
  <si>
    <t>MP13-8703</t>
  </si>
  <si>
    <t>II120-0404</t>
  </si>
  <si>
    <t>Wilson</t>
  </si>
  <si>
    <t>ASHFURNDS,CSNSTORES</t>
  </si>
  <si>
    <t>36836983-000-000</t>
  </si>
  <si>
    <t>9/25/2020</t>
  </si>
  <si>
    <t>CCL30-0037</t>
  </si>
  <si>
    <t>Winchester</t>
  </si>
  <si>
    <t>42067841-000-004</t>
  </si>
  <si>
    <t>CCL30-0035</t>
  </si>
  <si>
    <t>42067841-000-000</t>
  </si>
  <si>
    <t>10/17/2023</t>
  </si>
  <si>
    <t>MP51-8500</t>
  </si>
  <si>
    <t>Windom</t>
  </si>
  <si>
    <t>Prospect</t>
  </si>
  <si>
    <t>Lightweight Down Alternative Blanket with Satin Trim</t>
  </si>
  <si>
    <t>PP001377;PF006380</t>
  </si>
  <si>
    <t>AMAZON,AMAZONDS,CSNSTORES,DESINC,JCPENNEY01,KOHLDSN,MACY02,TGTDVS</t>
  </si>
  <si>
    <t>15910786-000-041</t>
  </si>
  <si>
    <t>MP51-8646</t>
  </si>
  <si>
    <t>PF006380</t>
  </si>
  <si>
    <t>MP51-8647</t>
  </si>
  <si>
    <t>MP51-8648</t>
  </si>
  <si>
    <t>MP51-8649</t>
  </si>
  <si>
    <t>MP51-8650</t>
  </si>
  <si>
    <t>MP51-8651</t>
  </si>
  <si>
    <t>MP10-7843</t>
  </si>
  <si>
    <t>Windom AZ</t>
  </si>
  <si>
    <t>3M Solid Down Alt Comforter</t>
  </si>
  <si>
    <t>43944076-000-002</t>
  </si>
  <si>
    <t>CS70-1461</t>
  </si>
  <si>
    <t>Color Block Shower Curtain</t>
  </si>
  <si>
    <t>43966024-000-000</t>
  </si>
  <si>
    <t>II95C-0158</t>
  </si>
  <si>
    <t>Windswept</t>
  </si>
  <si>
    <t>Hand Embellished Highland Bull Canvas Wall Art</t>
  </si>
  <si>
    <t>CSNSTORES,KIRKLANDDS,MACY02,OLLIIX,TGTDVS</t>
  </si>
  <si>
    <t>42794699-000-000</t>
  </si>
  <si>
    <t>AMFBA10-0303</t>
  </si>
  <si>
    <t>Winfield</t>
  </si>
  <si>
    <t>Solid Comforter Set</t>
  </si>
  <si>
    <t>7/21/2021</t>
  </si>
  <si>
    <t>AMFBA10-0304</t>
  </si>
  <si>
    <t>AMFBA10-0305</t>
  </si>
  <si>
    <t>AMFBA10-0294</t>
  </si>
  <si>
    <t>AMFBA10-0295</t>
  </si>
  <si>
    <t>AMFBA10-0296</t>
  </si>
  <si>
    <t>AMFBA10-0297</t>
  </si>
  <si>
    <t>AMFBA10-0298</t>
  </si>
  <si>
    <t>AMFBA10-0299</t>
  </si>
  <si>
    <t>AMFBA10-0309</t>
  </si>
  <si>
    <t>AMFBA10-0310</t>
  </si>
  <si>
    <t>AMFBA10-0311</t>
  </si>
  <si>
    <t>MP10-8361</t>
  </si>
  <si>
    <t>Westport</t>
  </si>
  <si>
    <t>300 Thread Count Cotton Shell Luxury Down Alternative Comforter</t>
  </si>
  <si>
    <t>PP001919;PF006133</t>
  </si>
  <si>
    <t>16663861-000-003</t>
  </si>
  <si>
    <t>MP10-8362</t>
  </si>
  <si>
    <t>16663861-000-005</t>
  </si>
  <si>
    <t>MP10-8364</t>
  </si>
  <si>
    <t>PP001919;PF006134</t>
  </si>
  <si>
    <t>16663861-000-007</t>
  </si>
  <si>
    <t>2/16/2024</t>
  </si>
  <si>
    <t>MP10-8365</t>
  </si>
  <si>
    <t>16663861-000-006</t>
  </si>
  <si>
    <t>WR50-1780</t>
  </si>
  <si>
    <t>Woolrich Check</t>
  </si>
  <si>
    <t>Quilted Throw</t>
  </si>
  <si>
    <t>PF003308</t>
  </si>
  <si>
    <t>AMAZON,AMAZONDS,BLK01,CSNSTORES,JCPENNEY01,KOHLDSN,OLLIIX</t>
  </si>
  <si>
    <t>19409337-000-000</t>
  </si>
  <si>
    <t>II151-0138</t>
  </si>
  <si>
    <t>Bell Shaped Bamboo Pendant</t>
  </si>
  <si>
    <t>40632363-000-000</t>
  </si>
  <si>
    <t>MP10-8429</t>
  </si>
  <si>
    <t>Wynne</t>
  </si>
  <si>
    <t>Dawson</t>
  </si>
  <si>
    <t>PP001954;PF006225</t>
  </si>
  <si>
    <t>44344938-000-002</t>
  </si>
  <si>
    <t>MP10-8430</t>
  </si>
  <si>
    <t>44344938-000-001</t>
  </si>
  <si>
    <t>MP10-8431</t>
  </si>
  <si>
    <t>44344938-000-000</t>
  </si>
  <si>
    <t>MP13-2582</t>
  </si>
  <si>
    <t>Yosemite</t>
  </si>
  <si>
    <t>Sequoia</t>
  </si>
  <si>
    <t>Reyes</t>
  </si>
  <si>
    <t>PF002447;PP000538</t>
  </si>
  <si>
    <t>BLK01,CSNSTORES,JCPENNEY01,KOHLDSN,MACY02,TGTDVS</t>
  </si>
  <si>
    <t>14607153-000-002</t>
  </si>
  <si>
    <t>FB153-1187</t>
  </si>
  <si>
    <t>Zazie</t>
  </si>
  <si>
    <t>Ceramic Genie Table Lamp</t>
  </si>
  <si>
    <t>43888470-000-002</t>
  </si>
  <si>
    <t>FB153-1186</t>
  </si>
  <si>
    <t>43888470-000-001</t>
  </si>
  <si>
    <t>FB153-1185</t>
  </si>
  <si>
    <t>43888470-000-000</t>
  </si>
  <si>
    <t>II153-0155</t>
  </si>
  <si>
    <t>ZenGlossy</t>
  </si>
  <si>
    <t>Asymmetrical Ceramic Table Lamp</t>
  </si>
  <si>
    <t>44415372-000-000</t>
  </si>
  <si>
    <t>PET66-0036UPC</t>
  </si>
  <si>
    <t>Zippered Pouch</t>
  </si>
  <si>
    <t>Waste Bag Holder</t>
  </si>
  <si>
    <t>11/28/2019</t>
  </si>
  <si>
    <t>43976073-000-000</t>
  </si>
  <si>
    <t>FB153-1182</t>
  </si>
  <si>
    <t>Zirconia</t>
  </si>
  <si>
    <t>Faceted Blue Glass Table Lamp</t>
  </si>
  <si>
    <t>HDDS,JCPENNEY01,OLLIIX</t>
  </si>
  <si>
    <t>43888694-000-002</t>
  </si>
  <si>
    <t>MP50-7192</t>
  </si>
  <si>
    <t>Marselle</t>
  </si>
  <si>
    <t>Oversized Faux Fur Throw</t>
  </si>
  <si>
    <t>PP000539;PF005112</t>
  </si>
  <si>
    <t>8/17/2020</t>
  </si>
  <si>
    <t>AMAZON,AMAZONDS,BIGLOTSDS,BLK01,DESINC,FINGERHUTDS,HDDS,KOHLDSN,MACY02,OLLIIX,TGTDVS</t>
  </si>
  <si>
    <t>17690761-000-007</t>
  </si>
  <si>
    <t>8/20/2020</t>
  </si>
  <si>
    <t>MP50-1912</t>
  </si>
  <si>
    <t>PF002117;PP000539</t>
  </si>
  <si>
    <t>AMAZON,AMAZONDS,ASHFURNDS,BLK01,CSNSTORES,DESINC,FINGERHUTDS,HSNDS,JCPENNEY01,KIRKLANDDS,KOHLDSN,MACY02,OLLIIX,TGTDVS,ZOLA</t>
  </si>
  <si>
    <t>17690761-000-001</t>
  </si>
  <si>
    <t>10/13/2015</t>
  </si>
  <si>
    <t>MP50-2919</t>
  </si>
  <si>
    <t>Faux Fur Oversized Bed Throw</t>
  </si>
  <si>
    <t>96x80"</t>
  </si>
  <si>
    <t>AMAZON,BIGLOTSDS,BLK01,CSNSTORES,FINGERHUTDS,JCPENNEY01,KOHLDSN,MACY02,OLLIIX,TGTDVS</t>
  </si>
  <si>
    <t>18791834-000-001</t>
  </si>
  <si>
    <t>6/9/2016</t>
  </si>
  <si>
    <t>MP50-2920</t>
  </si>
  <si>
    <t>PF002118;PP000539</t>
  </si>
  <si>
    <t>AMAZON,AMAZONDS,ASHFURNDS,CSNSTORES,FINGERHUTDS,KOHLDSN,OLLIIX,TGTDVS</t>
  </si>
  <si>
    <t>18791834-000-002</t>
  </si>
  <si>
    <t>MP30-6234</t>
  </si>
  <si>
    <t>Snow Leopard</t>
  </si>
  <si>
    <t>PP000539;PF004399</t>
  </si>
  <si>
    <t>AMAZONDS,ASHFURNDS,BLK01,CSNSTORES,FINGERHUTDS,HSNDS,JCPENNEY01,KIRKLANDDS,KOHLDSN,MACY02,OLLIIX,TGTDVS</t>
  </si>
  <si>
    <t>17690757-000-005</t>
  </si>
  <si>
    <t>7/26/2019</t>
  </si>
  <si>
    <t>8/15/2019</t>
  </si>
  <si>
    <t>MP50-6233</t>
  </si>
  <si>
    <t>6/16/2019</t>
  </si>
  <si>
    <t>AMAZON,AMAZONDS,ASHFURNDS,BEALLSDS,BLK01,CSNSTORES,DESINC,FINGERHUTDS,JCPENNEY01,KOHLDSN,MACY02,NEBFUR01,OLLIIX,TGTDVS,ZOLA</t>
  </si>
  <si>
    <t>17690761-000-005</t>
  </si>
  <si>
    <t>7/10/2019</t>
  </si>
  <si>
    <t>8/2/2019</t>
  </si>
  <si>
    <t>MP50-2918</t>
  </si>
  <si>
    <t>PF002116;PP000539</t>
  </si>
  <si>
    <t>AMAZON,AMAZONDS,ASHFURNDS,BIGLOTSDS,BLK01,CSNSTORES,FINGERHUTDS,JCPENNEY01,KOHLDSN,MACY02,OLLIIX,TGTDVS,WALMARTDS</t>
  </si>
  <si>
    <t>18791834-000-000</t>
  </si>
  <si>
    <t>6/30/2016</t>
  </si>
  <si>
    <t>Grand Total</t>
  </si>
  <si>
    <t>Pattern/Color Sales Total</t>
  </si>
  <si>
    <t>Product Category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</si>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</sst>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GH1817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18</v>
      </c>
      <c r="DL3" s="1" t="s">
        <v>18</v>
      </c>
      <c r="DM3" s="1" t="s">
        <v>18</v>
      </c>
      <c r="DN3" s="1" t="s">
        <v>18</v>
      </c>
      <c r="DO3" s="1" t="s">
        <v>18</v>
      </c>
      <c r="DP3" s="1" t="s">
        <v>18</v>
      </c>
      <c r="DQ3" s="1" t="s">
        <v>18</v>
      </c>
      <c r="DR3" s="1" t="s">
        <v>18</v>
      </c>
      <c r="DS3" s="1" t="s">
        <v>18</v>
      </c>
      <c r="DT3" s="1" t="s">
        <v>18</v>
      </c>
      <c r="DU3" s="1" t="s">
        <v>18</v>
      </c>
      <c r="DV3" s="1" t="s">
        <v>18</v>
      </c>
      <c r="DW3" s="1" t="s">
        <v>18</v>
      </c>
      <c r="DX3" s="1" t="s">
        <v>18</v>
      </c>
      <c r="DY3" s="1" t="s">
        <v>18</v>
      </c>
      <c r="DZ3" s="1" t="s">
        <v>18</v>
      </c>
      <c r="EA3" s="1" t="s">
        <v>18</v>
      </c>
      <c r="EB3" s="1" t="s">
        <v>18</v>
      </c>
      <c r="EC3" s="1" t="s">
        <v>18</v>
      </c>
      <c r="ED3" s="1" t="s">
        <v>18</v>
      </c>
      <c r="EE3" s="1" t="s">
        <v>18</v>
      </c>
      <c r="EF3" s="1" t="s">
        <v>18</v>
      </c>
      <c r="EG3" s="1" t="s">
        <v>18</v>
      </c>
      <c r="EH3" s="1" t="s">
        <v>18</v>
      </c>
      <c r="EI3" s="1" t="s">
        <v>18</v>
      </c>
      <c r="EJ3" s="1" t="s">
        <v>18</v>
      </c>
      <c r="EK3" s="1" t="s">
        <v>18</v>
      </c>
      <c r="EL3" s="1" t="s">
        <v>18</v>
      </c>
      <c r="EM3" s="1" t="s">
        <v>18</v>
      </c>
      <c r="EN3" s="1" t="s">
        <v>18</v>
      </c>
      <c r="EO3" s="1" t="s">
        <v>18</v>
      </c>
      <c r="EP3" s="1" t="s">
        <v>18</v>
      </c>
      <c r="EQ3" s="1" t="s">
        <v>18</v>
      </c>
      <c r="ER3" s="1" t="s">
        <v>18</v>
      </c>
      <c r="ES3" s="1" t="s">
        <v>18</v>
      </c>
      <c r="ET3" s="1" t="s">
        <v>18</v>
      </c>
      <c r="EU3" s="1" t="s">
        <v>18</v>
      </c>
      <c r="EV3" s="1" t="s">
        <v>18</v>
      </c>
      <c r="EW3" s="1" t="s">
        <v>18</v>
      </c>
      <c r="EX3" s="1" t="s">
        <v>18</v>
      </c>
      <c r="EY3" s="1" t="s">
        <v>18</v>
      </c>
      <c r="EZ3" s="1" t="s">
        <v>18</v>
      </c>
      <c r="FA3" s="1" t="s">
        <v>18</v>
      </c>
      <c r="FB3" s="1" t="s">
        <v>18</v>
      </c>
      <c r="FC3" s="1" t="s">
        <v>18</v>
      </c>
      <c r="FD3" s="1" t="s">
        <v>18</v>
      </c>
      <c r="FE3" s="1" t="s">
        <v>18</v>
      </c>
      <c r="FF3" s="1" t="s">
        <v>18</v>
      </c>
      <c r="FG3" s="1" t="s">
        <v>18</v>
      </c>
      <c r="FH3" s="1" t="s">
        <v>18</v>
      </c>
      <c r="FI3" s="1" t="s">
        <v>18</v>
      </c>
      <c r="FJ3" s="1" t="s">
        <v>18</v>
      </c>
      <c r="FK3" s="1" t="s">
        <v>18</v>
      </c>
      <c r="FL3" s="1" t="s">
        <v>18</v>
      </c>
      <c r="FM3" s="1" t="s">
        <v>18</v>
      </c>
      <c r="FN3" s="1" t="s">
        <v>18</v>
      </c>
      <c r="FO3" s="1" t="s">
        <v>18</v>
      </c>
      <c r="FP3" s="1" t="s">
        <v>18</v>
      </c>
      <c r="FQ3" s="1" t="s">
        <v>18</v>
      </c>
      <c r="FR3" s="1" t="s">
        <v>18</v>
      </c>
      <c r="FS3" s="1" t="s">
        <v>18</v>
      </c>
      <c r="FT3" s="1" t="s">
        <v>18</v>
      </c>
      <c r="FU3" s="1" t="s">
        <v>18</v>
      </c>
      <c r="FV3" s="1" t="s">
        <v>18</v>
      </c>
      <c r="FW3" s="1" t="s">
        <v>18</v>
      </c>
      <c r="FX3" s="1" t="s">
        <v>18</v>
      </c>
      <c r="FY3" s="1" t="s">
        <v>18</v>
      </c>
      <c r="FZ3" s="1" t="s">
        <v>18</v>
      </c>
      <c r="GA3" s="1" t="s">
        <v>18</v>
      </c>
      <c r="GB3" s="1" t="s">
        <v>18</v>
      </c>
      <c r="GC3" s="1" t="s">
        <v>19</v>
      </c>
      <c r="GD3" s="1" t="s">
        <v>19</v>
      </c>
      <c r="GE3" s="1" t="s">
        <v>19</v>
      </c>
      <c r="GF3" s="1" t="s">
        <v>19</v>
      </c>
      <c r="GG3" s="1" t="s">
        <v>19</v>
      </c>
      <c r="GH3" s="1" t="s">
        <v>19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20</v>
      </c>
      <c r="Z4" s="1" t="s">
        <v>21</v>
      </c>
      <c r="AA4" s="1" t="s">
        <v>22</v>
      </c>
      <c r="AB4" s="1" t="s">
        <v>23</v>
      </c>
      <c r="AC4" s="1" t="s">
        <v>24</v>
      </c>
      <c r="AD4" s="1" t="s">
        <v>25</v>
      </c>
      <c r="AE4" s="1" t="s">
        <v>26</v>
      </c>
      <c r="AF4" s="1" t="s">
        <v>27</v>
      </c>
      <c r="AG4" s="1" t="s">
        <v>27</v>
      </c>
      <c r="AH4" s="1" t="s">
        <v>28</v>
      </c>
      <c r="AI4" s="1" t="s">
        <v>29</v>
      </c>
      <c r="AJ4" s="1" t="s">
        <v>30</v>
      </c>
      <c r="AK4" s="1" t="s">
        <v>31</v>
      </c>
      <c r="AL4" s="1" t="s">
        <v>32</v>
      </c>
      <c r="AM4" s="1" t="s">
        <v>33</v>
      </c>
      <c r="AN4" s="1" t="s">
        <v>34</v>
      </c>
      <c r="AO4" s="1" t="s">
        <v>35</v>
      </c>
      <c r="AP4" s="1" t="s">
        <v>36</v>
      </c>
      <c r="AQ4" s="1" t="s">
        <v>36</v>
      </c>
      <c r="AR4" s="1" t="s">
        <v>37</v>
      </c>
      <c r="AS4" s="1" t="s">
        <v>37</v>
      </c>
      <c r="AT4" s="1" t="s">
        <v>38</v>
      </c>
      <c r="AU4" s="1" t="s">
        <v>39</v>
      </c>
      <c r="AV4" s="1" t="s">
        <v>36</v>
      </c>
      <c r="AW4" s="1" t="s">
        <v>36</v>
      </c>
      <c r="AX4" s="1" t="s">
        <v>37</v>
      </c>
      <c r="AY4" s="1" t="s">
        <v>37</v>
      </c>
      <c r="AZ4" s="1" t="s">
        <v>40</v>
      </c>
      <c r="BA4" s="1" t="s">
        <v>41</v>
      </c>
      <c r="BB4" s="1" t="s">
        <v>42</v>
      </c>
      <c r="BC4" s="1" t="s">
        <v>36</v>
      </c>
      <c r="BD4" s="1" t="s">
        <v>36</v>
      </c>
      <c r="BE4" s="1" t="s">
        <v>37</v>
      </c>
      <c r="BF4" s="1" t="s">
        <v>37</v>
      </c>
      <c r="BG4" s="1" t="s">
        <v>43</v>
      </c>
      <c r="BH4" s="1" t="s">
        <v>44</v>
      </c>
      <c r="BI4" s="1" t="s">
        <v>45</v>
      </c>
      <c r="BJ4" s="1" t="s">
        <v>46</v>
      </c>
      <c r="BK4" s="1" t="s">
        <v>46</v>
      </c>
      <c r="BL4" s="1" t="s">
        <v>46</v>
      </c>
      <c r="BM4" s="1" t="s">
        <v>47</v>
      </c>
      <c r="BN4" s="1" t="s">
        <v>47</v>
      </c>
      <c r="BO4" s="1" t="s">
        <v>36</v>
      </c>
      <c r="BP4" s="1" t="s">
        <v>36</v>
      </c>
      <c r="BQ4" s="1" t="s">
        <v>37</v>
      </c>
      <c r="BR4" s="1" t="s">
        <v>37</v>
      </c>
      <c r="BS4" s="1" t="s">
        <v>38</v>
      </c>
      <c r="BT4" s="1" t="s">
        <v>39</v>
      </c>
      <c r="BU4" s="1" t="s">
        <v>48</v>
      </c>
      <c r="BV4" s="1" t="s">
        <v>49</v>
      </c>
      <c r="BW4" s="1" t="s">
        <v>50</v>
      </c>
      <c r="BX4" s="1" t="s">
        <v>51</v>
      </c>
      <c r="BY4" s="1" t="s">
        <v>52</v>
      </c>
      <c r="BZ4" s="1" t="s">
        <v>53</v>
      </c>
      <c r="CA4" s="1" t="s">
        <v>54</v>
      </c>
      <c r="CB4" s="1" t="s">
        <v>55</v>
      </c>
      <c r="CC4" s="1" t="s">
        <v>56</v>
      </c>
      <c r="CD4" s="1" t="s">
        <v>57</v>
      </c>
      <c r="CE4" s="1" t="s">
        <v>17</v>
      </c>
      <c r="CF4" s="1" t="s">
        <v>17</v>
      </c>
      <c r="CG4" s="1" t="s">
        <v>17</v>
      </c>
      <c r="CH4" s="1" t="s">
        <v>17</v>
      </c>
      <c r="CI4" s="1" t="s">
        <v>17</v>
      </c>
      <c r="CJ4" s="1" t="s">
        <v>17</v>
      </c>
      <c r="CK4" s="1" t="s">
        <v>17</v>
      </c>
      <c r="CL4" s="1" t="s">
        <v>17</v>
      </c>
      <c r="CM4" s="1" t="s">
        <v>17</v>
      </c>
      <c r="CN4" s="1" t="s">
        <v>17</v>
      </c>
      <c r="CO4" s="1" t="s">
        <v>17</v>
      </c>
      <c r="CP4" s="1" t="s">
        <v>17</v>
      </c>
      <c r="CQ4" s="1" t="s">
        <v>17</v>
      </c>
      <c r="CR4" s="1" t="s">
        <v>17</v>
      </c>
      <c r="CS4" s="1" t="s">
        <v>18</v>
      </c>
      <c r="CT4" s="1" t="s">
        <v>18</v>
      </c>
      <c r="CU4" s="1" t="s">
        <v>18</v>
      </c>
      <c r="CV4" s="1" t="s">
        <v>18</v>
      </c>
      <c r="CW4" s="1" t="s">
        <v>18</v>
      </c>
      <c r="CX4" s="1" t="s">
        <v>18</v>
      </c>
      <c r="CY4" s="1" t="s">
        <v>18</v>
      </c>
      <c r="CZ4" s="1" t="s">
        <v>18</v>
      </c>
      <c r="DA4" s="1" t="s">
        <v>18</v>
      </c>
      <c r="DB4" s="1" t="s">
        <v>18</v>
      </c>
      <c r="DC4" s="1" t="s">
        <v>18</v>
      </c>
      <c r="DD4" s="1" t="s">
        <v>18</v>
      </c>
      <c r="DE4" s="1" t="s">
        <v>18</v>
      </c>
      <c r="DF4" s="1" t="s">
        <v>18</v>
      </c>
      <c r="DG4" s="1" t="s">
        <v>18</v>
      </c>
      <c r="DH4" s="1" t="s">
        <v>18</v>
      </c>
      <c r="DI4" s="1" t="s">
        <v>18</v>
      </c>
      <c r="DJ4" s="1" t="s">
        <v>18</v>
      </c>
      <c r="DK4" s="1" t="s">
        <v>18</v>
      </c>
      <c r="DL4" s="1" t="s">
        <v>18</v>
      </c>
      <c r="DM4" s="1" t="s">
        <v>18</v>
      </c>
      <c r="DN4" s="1" t="s">
        <v>18</v>
      </c>
      <c r="DO4" s="1" t="s">
        <v>18</v>
      </c>
      <c r="DP4" s="1" t="s">
        <v>18</v>
      </c>
      <c r="DQ4" s="1" t="s">
        <v>18</v>
      </c>
      <c r="DR4" s="1" t="s">
        <v>18</v>
      </c>
      <c r="DS4" s="1" t="s">
        <v>18</v>
      </c>
      <c r="DT4" s="1" t="s">
        <v>18</v>
      </c>
      <c r="DU4" s="1" t="s">
        <v>18</v>
      </c>
      <c r="DV4" s="1" t="s">
        <v>18</v>
      </c>
      <c r="DW4" s="1" t="s">
        <v>18</v>
      </c>
      <c r="DX4" s="1" t="s">
        <v>18</v>
      </c>
      <c r="DY4" s="1" t="s">
        <v>18</v>
      </c>
      <c r="DZ4" s="1" t="s">
        <v>18</v>
      </c>
      <c r="EA4" s="1" t="s">
        <v>18</v>
      </c>
      <c r="EB4" s="1" t="s">
        <v>18</v>
      </c>
      <c r="EC4" s="1" t="s">
        <v>18</v>
      </c>
      <c r="ED4" s="1" t="s">
        <v>18</v>
      </c>
      <c r="EE4" s="1" t="s">
        <v>18</v>
      </c>
      <c r="EF4" s="1" t="s">
        <v>18</v>
      </c>
      <c r="EG4" s="1" t="s">
        <v>18</v>
      </c>
      <c r="EH4" s="1" t="s">
        <v>18</v>
      </c>
      <c r="EI4" s="1" t="s">
        <v>18</v>
      </c>
      <c r="EJ4" s="1" t="s">
        <v>18</v>
      </c>
      <c r="EK4" s="1" t="s">
        <v>18</v>
      </c>
      <c r="EL4" s="1" t="s">
        <v>18</v>
      </c>
      <c r="EM4" s="1" t="s">
        <v>18</v>
      </c>
      <c r="EN4" s="1" t="s">
        <v>18</v>
      </c>
      <c r="EO4" s="1" t="s">
        <v>18</v>
      </c>
      <c r="EP4" s="1" t="s">
        <v>18</v>
      </c>
      <c r="EQ4" s="1" t="s">
        <v>18</v>
      </c>
      <c r="ER4" s="1" t="s">
        <v>18</v>
      </c>
      <c r="ES4" s="1" t="s">
        <v>18</v>
      </c>
      <c r="ET4" s="1" t="s">
        <v>18</v>
      </c>
      <c r="EU4" s="1" t="s">
        <v>18</v>
      </c>
      <c r="EV4" s="1" t="s">
        <v>18</v>
      </c>
      <c r="EW4" s="1" t="s">
        <v>18</v>
      </c>
      <c r="EX4" s="1" t="s">
        <v>18</v>
      </c>
      <c r="EY4" s="1" t="s">
        <v>18</v>
      </c>
      <c r="EZ4" s="1" t="s">
        <v>18</v>
      </c>
      <c r="FA4" s="1" t="s">
        <v>18</v>
      </c>
      <c r="FB4" s="1" t="s">
        <v>18</v>
      </c>
      <c r="FC4" s="1" t="s">
        <v>18</v>
      </c>
      <c r="FD4" s="1" t="s">
        <v>18</v>
      </c>
      <c r="FE4" s="1" t="s">
        <v>18</v>
      </c>
      <c r="FF4" s="1" t="s">
        <v>18</v>
      </c>
      <c r="FG4" s="1" t="s">
        <v>18</v>
      </c>
      <c r="FH4" s="1" t="s">
        <v>18</v>
      </c>
      <c r="FI4" s="1" t="s">
        <v>18</v>
      </c>
      <c r="FJ4" s="1" t="s">
        <v>18</v>
      </c>
      <c r="FK4" s="1" t="s">
        <v>18</v>
      </c>
      <c r="FL4" s="1" t="s">
        <v>18</v>
      </c>
      <c r="FM4" s="1" t="s">
        <v>18</v>
      </c>
      <c r="FN4" s="1" t="s">
        <v>18</v>
      </c>
      <c r="FO4" s="1" t="s">
        <v>18</v>
      </c>
      <c r="FP4" s="1" t="s">
        <v>18</v>
      </c>
      <c r="FQ4" s="1" t="s">
        <v>18</v>
      </c>
      <c r="FR4" s="1" t="s">
        <v>18</v>
      </c>
      <c r="FS4" s="1" t="s">
        <v>18</v>
      </c>
      <c r="FT4" s="1" t="s">
        <v>18</v>
      </c>
      <c r="FU4" s="1" t="s">
        <v>18</v>
      </c>
      <c r="FV4" s="1" t="s">
        <v>18</v>
      </c>
      <c r="FW4" s="1" t="s">
        <v>18</v>
      </c>
      <c r="FX4" s="1" t="s">
        <v>18</v>
      </c>
      <c r="FY4" s="1" t="s">
        <v>18</v>
      </c>
      <c r="FZ4" s="1" t="s">
        <v>18</v>
      </c>
      <c r="GA4" s="1" t="s">
        <v>18</v>
      </c>
      <c r="GB4" s="1" t="s">
        <v>18</v>
      </c>
      <c r="GC4" s="1" t="s">
        <v>19</v>
      </c>
      <c r="GD4" s="1" t="s">
        <v>19</v>
      </c>
      <c r="GE4" s="1" t="s">
        <v>19</v>
      </c>
      <c r="GF4" s="1" t="s">
        <v>19</v>
      </c>
      <c r="GG4" s="1" t="s">
        <v>19</v>
      </c>
      <c r="GH4" s="1" t="s">
        <v>19</v>
      </c>
    </row>
    <row r="5">
      <c r="A5" s="1" t="s">
        <v>58</v>
      </c>
      <c r="B5" s="1" t="s">
        <v>59</v>
      </c>
      <c r="C5" s="1" t="s">
        <v>60</v>
      </c>
      <c r="D5" s="1" t="s">
        <v>61</v>
      </c>
      <c r="E5" s="1" t="s">
        <v>62</v>
      </c>
      <c r="F5" s="1" t="s">
        <v>63</v>
      </c>
      <c r="G5" s="1" t="s">
        <v>64</v>
      </c>
      <c r="H5" s="1" t="s">
        <v>65</v>
      </c>
      <c r="I5" s="1" t="s">
        <v>66</v>
      </c>
      <c r="J5" s="1" t="s">
        <v>67</v>
      </c>
      <c r="K5" s="1" t="s">
        <v>68</v>
      </c>
      <c r="L5" s="1" t="s">
        <v>69</v>
      </c>
      <c r="M5" s="1" t="s">
        <v>70</v>
      </c>
      <c r="N5" s="1" t="s">
        <v>71</v>
      </c>
      <c r="O5" s="1" t="s">
        <v>72</v>
      </c>
      <c r="P5" s="1" t="s">
        <v>73</v>
      </c>
      <c r="Q5" s="1" t="s">
        <v>74</v>
      </c>
      <c r="R5" s="1" t="s">
        <v>75</v>
      </c>
      <c r="S5" s="1" t="s">
        <v>76</v>
      </c>
      <c r="T5" s="1" t="s">
        <v>77</v>
      </c>
      <c r="U5" s="1" t="s">
        <v>78</v>
      </c>
      <c r="V5" s="1" t="s">
        <v>79</v>
      </c>
      <c r="W5" s="1" t="s">
        <v>80</v>
      </c>
      <c r="X5" s="1" t="s">
        <v>81</v>
      </c>
      <c r="Y5" s="1" t="s">
        <v>20</v>
      </c>
      <c r="Z5" s="1" t="s">
        <v>21</v>
      </c>
      <c r="AA5" s="1" t="s">
        <v>22</v>
      </c>
      <c r="AB5" s="1" t="s">
        <v>23</v>
      </c>
      <c r="AC5" s="1" t="s">
        <v>24</v>
      </c>
      <c r="AD5" s="1" t="s">
        <v>25</v>
      </c>
      <c r="AE5" s="1" t="s">
        <v>26</v>
      </c>
      <c r="AF5" s="1" t="s">
        <v>82</v>
      </c>
      <c r="AG5" s="1" t="s">
        <v>83</v>
      </c>
      <c r="AH5" s="1" t="s">
        <v>28</v>
      </c>
      <c r="AI5" s="1" t="s">
        <v>29</v>
      </c>
      <c r="AJ5" s="1" t="s">
        <v>30</v>
      </c>
      <c r="AK5" s="1" t="s">
        <v>31</v>
      </c>
      <c r="AL5" s="1" t="s">
        <v>32</v>
      </c>
      <c r="AM5" s="1" t="s">
        <v>33</v>
      </c>
      <c r="AN5" s="1" t="s">
        <v>34</v>
      </c>
      <c r="AO5" s="1" t="s">
        <v>35</v>
      </c>
      <c r="AP5" s="1" t="s">
        <v>84</v>
      </c>
      <c r="AQ5" s="1" t="s">
        <v>85</v>
      </c>
      <c r="AR5" s="1" t="s">
        <v>84</v>
      </c>
      <c r="AS5" s="1" t="s">
        <v>85</v>
      </c>
      <c r="AT5" s="1" t="s">
        <v>38</v>
      </c>
      <c r="AU5" s="1" t="s">
        <v>39</v>
      </c>
      <c r="AV5" s="1" t="s">
        <v>86</v>
      </c>
      <c r="AW5" s="1" t="s">
        <v>87</v>
      </c>
      <c r="AX5" s="1" t="s">
        <v>86</v>
      </c>
      <c r="AY5" s="1" t="s">
        <v>87</v>
      </c>
      <c r="AZ5" s="1" t="s">
        <v>40</v>
      </c>
      <c r="BA5" s="1" t="s">
        <v>41</v>
      </c>
      <c r="BB5" s="1" t="s">
        <v>42</v>
      </c>
      <c r="BC5" s="1" t="s">
        <v>88</v>
      </c>
      <c r="BD5" s="1" t="s">
        <v>89</v>
      </c>
      <c r="BE5" s="1" t="s">
        <v>88</v>
      </c>
      <c r="BF5" s="1" t="s">
        <v>89</v>
      </c>
      <c r="BG5" s="1" t="s">
        <v>43</v>
      </c>
      <c r="BH5" s="1" t="s">
        <v>44</v>
      </c>
      <c r="BI5" s="1" t="s">
        <v>45</v>
      </c>
      <c r="BJ5" s="1" t="s">
        <v>84</v>
      </c>
      <c r="BK5" s="1" t="s">
        <v>85</v>
      </c>
      <c r="BL5" s="1" t="s">
        <v>90</v>
      </c>
      <c r="BM5" s="1" t="s">
        <v>84</v>
      </c>
      <c r="BN5" s="1" t="s">
        <v>85</v>
      </c>
      <c r="BO5" s="1" t="s">
        <v>91</v>
      </c>
      <c r="BP5" s="1" t="s">
        <v>92</v>
      </c>
      <c r="BQ5" s="1" t="s">
        <v>91</v>
      </c>
      <c r="BR5" s="1" t="s">
        <v>92</v>
      </c>
      <c r="BS5" s="1" t="s">
        <v>38</v>
      </c>
      <c r="BT5" s="1" t="s">
        <v>39</v>
      </c>
      <c r="BU5" s="1" t="s">
        <v>48</v>
      </c>
      <c r="BV5" s="1" t="s">
        <v>49</v>
      </c>
      <c r="BW5" s="1" t="s">
        <v>50</v>
      </c>
      <c r="BX5" s="1" t="s">
        <v>51</v>
      </c>
      <c r="BY5" s="1" t="s">
        <v>52</v>
      </c>
      <c r="BZ5" s="1" t="s">
        <v>53</v>
      </c>
      <c r="CA5" s="1" t="s">
        <v>54</v>
      </c>
      <c r="CB5" s="1" t="s">
        <v>55</v>
      </c>
      <c r="CC5" s="1" t="s">
        <v>56</v>
      </c>
      <c r="CD5" s="1" t="s">
        <v>57</v>
      </c>
      <c r="CE5" s="1" t="s">
        <v>93</v>
      </c>
      <c r="CF5" s="1" t="s">
        <v>94</v>
      </c>
      <c r="CG5" s="1" t="s">
        <v>95</v>
      </c>
      <c r="CH5" s="1" t="s">
        <v>96</v>
      </c>
      <c r="CI5" s="1" t="s">
        <v>97</v>
      </c>
      <c r="CJ5" s="1" t="s">
        <v>98</v>
      </c>
      <c r="CK5" s="1" t="s">
        <v>99</v>
      </c>
      <c r="CL5" s="1" t="s">
        <v>100</v>
      </c>
      <c r="CM5" s="1" t="s">
        <v>101</v>
      </c>
      <c r="CN5" s="1" t="s">
        <v>102</v>
      </c>
      <c r="CO5" s="1" t="s">
        <v>103</v>
      </c>
      <c r="CP5" s="1" t="s">
        <v>104</v>
      </c>
      <c r="CQ5" s="1" t="s">
        <v>105</v>
      </c>
      <c r="CR5" s="1" t="s">
        <v>106</v>
      </c>
      <c r="CS5" s="1" t="s">
        <v>107</v>
      </c>
      <c r="CT5" s="1" t="s">
        <v>108</v>
      </c>
      <c r="CU5" s="1" t="s">
        <v>109</v>
      </c>
      <c r="CV5" s="1" t="s">
        <v>5</v>
      </c>
      <c r="CW5" s="1" t="s">
        <v>110</v>
      </c>
      <c r="CX5" s="1" t="s">
        <v>111</v>
      </c>
      <c r="CY5" s="1" t="s">
        <v>112</v>
      </c>
      <c r="CZ5" s="1" t="s">
        <v>113</v>
      </c>
      <c r="DA5" s="1" t="s">
        <v>114</v>
      </c>
      <c r="DB5" s="1" t="s">
        <v>115</v>
      </c>
      <c r="DC5" s="1" t="s">
        <v>116</v>
      </c>
      <c r="DD5" s="1" t="s">
        <v>117</v>
      </c>
      <c r="DE5" s="1" t="s">
        <v>118</v>
      </c>
      <c r="DF5" s="1" t="s">
        <v>119</v>
      </c>
      <c r="DG5" s="1" t="s">
        <v>120</v>
      </c>
      <c r="DH5" s="1" t="s">
        <v>121</v>
      </c>
      <c r="DI5" s="1" t="s">
        <v>122</v>
      </c>
      <c r="DJ5" s="1" t="s">
        <v>123</v>
      </c>
      <c r="DK5" s="1" t="s">
        <v>124</v>
      </c>
      <c r="DL5" s="1" t="s">
        <v>125</v>
      </c>
      <c r="DM5" s="1" t="s">
        <v>126</v>
      </c>
      <c r="DN5" s="1" t="s">
        <v>127</v>
      </c>
      <c r="DO5" s="1" t="s">
        <v>128</v>
      </c>
      <c r="DP5" s="1" t="s">
        <v>129</v>
      </c>
      <c r="DQ5" s="1" t="s">
        <v>130</v>
      </c>
      <c r="DR5" s="1" t="s">
        <v>131</v>
      </c>
      <c r="DS5" s="1" t="s">
        <v>132</v>
      </c>
      <c r="DT5" s="1" t="s">
        <v>133</v>
      </c>
      <c r="DU5" s="1" t="s">
        <v>134</v>
      </c>
      <c r="DV5" s="1" t="s">
        <v>135</v>
      </c>
      <c r="DW5" s="1" t="s">
        <v>136</v>
      </c>
      <c r="DX5" s="1" t="s">
        <v>137</v>
      </c>
      <c r="DY5" s="1" t="s">
        <v>138</v>
      </c>
      <c r="DZ5" s="1" t="s">
        <v>139</v>
      </c>
      <c r="EA5" s="1" t="s">
        <v>140</v>
      </c>
      <c r="EB5" s="1" t="s">
        <v>141</v>
      </c>
      <c r="EC5" s="1" t="s">
        <v>142</v>
      </c>
      <c r="ED5" s="1" t="s">
        <v>143</v>
      </c>
      <c r="EE5" s="1" t="s">
        <v>144</v>
      </c>
      <c r="EF5" s="1" t="s">
        <v>145</v>
      </c>
      <c r="EG5" s="1" t="s">
        <v>146</v>
      </c>
      <c r="EH5" s="1" t="s">
        <v>147</v>
      </c>
      <c r="EI5" s="1" t="s">
        <v>148</v>
      </c>
      <c r="EJ5" s="1" t="s">
        <v>149</v>
      </c>
      <c r="EK5" s="1" t="s">
        <v>150</v>
      </c>
      <c r="EL5" s="1" t="s">
        <v>151</v>
      </c>
      <c r="EM5" s="1" t="s">
        <v>152</v>
      </c>
      <c r="EN5" s="1" t="s">
        <v>153</v>
      </c>
      <c r="EO5" s="1" t="s">
        <v>154</v>
      </c>
      <c r="EP5" s="1" t="s">
        <v>155</v>
      </c>
      <c r="EQ5" s="1" t="s">
        <v>156</v>
      </c>
      <c r="ER5" s="1" t="s">
        <v>157</v>
      </c>
      <c r="ES5" s="1" t="s">
        <v>158</v>
      </c>
      <c r="ET5" s="1" t="s">
        <v>159</v>
      </c>
      <c r="EU5" s="1" t="s">
        <v>160</v>
      </c>
      <c r="EV5" s="1" t="s">
        <v>161</v>
      </c>
      <c r="EW5" s="1" t="s">
        <v>162</v>
      </c>
      <c r="EX5" s="1" t="s">
        <v>163</v>
      </c>
      <c r="EY5" s="1" t="s">
        <v>164</v>
      </c>
      <c r="EZ5" s="1" t="s">
        <v>165</v>
      </c>
      <c r="FA5" s="1" t="s">
        <v>166</v>
      </c>
      <c r="FB5" s="1" t="s">
        <v>167</v>
      </c>
      <c r="FC5" s="1" t="s">
        <v>168</v>
      </c>
      <c r="FD5" s="1" t="s">
        <v>169</v>
      </c>
      <c r="FE5" s="1" t="s">
        <v>170</v>
      </c>
      <c r="FF5" s="1" t="s">
        <v>171</v>
      </c>
      <c r="FG5" s="1" t="s">
        <v>172</v>
      </c>
      <c r="FH5" s="1" t="s">
        <v>173</v>
      </c>
      <c r="FI5" s="1" t="s">
        <v>174</v>
      </c>
      <c r="FJ5" s="1" t="s">
        <v>175</v>
      </c>
      <c r="FK5" s="1" t="s">
        <v>176</v>
      </c>
      <c r="FL5" s="1" t="s">
        <v>177</v>
      </c>
      <c r="FM5" s="1" t="s">
        <v>178</v>
      </c>
      <c r="FN5" s="1" t="s">
        <v>179</v>
      </c>
      <c r="FO5" s="1" t="s">
        <v>180</v>
      </c>
      <c r="FP5" s="1" t="s">
        <v>181</v>
      </c>
      <c r="FQ5" s="1" t="s">
        <v>182</v>
      </c>
      <c r="FR5" s="1" t="s">
        <v>183</v>
      </c>
      <c r="FS5" s="1" t="s">
        <v>184</v>
      </c>
      <c r="FT5" s="1" t="s">
        <v>185</v>
      </c>
      <c r="FU5" s="1" t="s">
        <v>186</v>
      </c>
      <c r="FV5" s="1" t="s">
        <v>187</v>
      </c>
      <c r="FW5" s="1" t="s">
        <v>188</v>
      </c>
      <c r="FX5" s="1" t="s">
        <v>189</v>
      </c>
      <c r="FY5" s="1" t="s">
        <v>190</v>
      </c>
      <c r="FZ5" s="1" t="s">
        <v>191</v>
      </c>
      <c r="GA5" s="1" t="s">
        <v>192</v>
      </c>
      <c r="GB5" s="1" t="s">
        <v>193</v>
      </c>
      <c r="GC5" s="1" t="s">
        <v>113</v>
      </c>
      <c r="GD5" s="1" t="s">
        <v>121</v>
      </c>
      <c r="GE5" s="1" t="s">
        <v>123</v>
      </c>
      <c r="GF5" s="1" t="s">
        <v>128</v>
      </c>
      <c r="GG5" s="1" t="s">
        <v>146</v>
      </c>
      <c r="GH5" s="1" t="s">
        <v>151</v>
      </c>
    </row>
    <row r="6">
      <c r="A6" s="2" t="s">
        <v>194</v>
      </c>
      <c r="B6" s="2" t="s">
        <v>195</v>
      </c>
      <c r="C6" s="2" t="s">
        <v>196</v>
      </c>
      <c r="D6" s="2" t="s">
        <v>197</v>
      </c>
      <c r="E6" s="2" t="s">
        <v>198</v>
      </c>
      <c r="F6" s="2" t="s">
        <v>199</v>
      </c>
      <c r="G6" s="2" t="s">
        <v>200</v>
      </c>
      <c r="H6" s="2" t="s">
        <v>200</v>
      </c>
      <c r="I6" s="2" t="s">
        <v>201</v>
      </c>
      <c r="J6" s="2" t="s">
        <v>202</v>
      </c>
      <c r="K6" s="2" t="s">
        <v>203</v>
      </c>
      <c r="L6" s="3">
        <v>69.99</v>
      </c>
      <c r="M6" s="3">
        <v>73.49</v>
      </c>
      <c r="N6" s="3"/>
      <c r="O6" s="2" t="s">
        <v>204</v>
      </c>
      <c r="P6" s="2" t="s">
        <v>205</v>
      </c>
      <c r="Q6" s="2" t="s">
        <v>206</v>
      </c>
      <c r="R6" s="2" t="s">
        <v>207</v>
      </c>
      <c r="S6" s="2" t="s">
        <v>200</v>
      </c>
      <c r="T6" s="2" t="s">
        <v>200</v>
      </c>
      <c r="U6" s="2" t="s">
        <v>200</v>
      </c>
      <c r="V6" s="2" t="s">
        <v>208</v>
      </c>
      <c r="W6" s="2" t="s">
        <v>200</v>
      </c>
      <c r="X6" s="2" t="s">
        <v>200</v>
      </c>
      <c r="Y6" s="2" t="s">
        <v>209</v>
      </c>
      <c r="Z6" s="4"/>
      <c r="AA6" s="4">
        <f>=ROUNDDOWN({0},0)</f>
      </c>
      <c r="AB6" s="5"/>
      <c r="AC6" s="2" t="s">
        <v>200</v>
      </c>
      <c r="AD6" s="4"/>
      <c r="AE6" s="4"/>
      <c r="AF6" s="6"/>
      <c r="AG6" s="6"/>
      <c r="AH6" s="7"/>
      <c r="AI6" s="4"/>
      <c r="AJ6" s="4">
        <f>=ROUNDDOWN({0},0)</f>
      </c>
      <c r="AK6" s="5"/>
      <c r="AL6" s="2" t="s">
        <v>200</v>
      </c>
      <c r="AM6" s="4"/>
      <c r="AN6" s="4"/>
      <c r="AO6" s="7"/>
      <c r="AP6" s="4"/>
      <c r="AQ6" s="8"/>
      <c r="AR6" s="4"/>
      <c r="AS6" s="8"/>
      <c r="AT6" s="7"/>
      <c r="AU6" s="7"/>
      <c r="AV6" s="4" t="s">
        <v>200</v>
      </c>
      <c r="AW6" s="8" t="s">
        <v>200</v>
      </c>
      <c r="AX6" s="4" t="s">
        <v>200</v>
      </c>
      <c r="AY6" s="8" t="s">
        <v>200</v>
      </c>
      <c r="AZ6" s="7" t="s">
        <v>200</v>
      </c>
      <c r="BA6" s="7" t="s">
        <v>200</v>
      </c>
      <c r="BB6" s="7" t="s">
        <v>200</v>
      </c>
      <c r="BC6" s="4" t="s">
        <v>200</v>
      </c>
      <c r="BD6" s="8" t="s">
        <v>200</v>
      </c>
      <c r="BE6" s="4" t="s">
        <v>200</v>
      </c>
      <c r="BF6" s="8" t="s">
        <v>200</v>
      </c>
      <c r="BG6" s="7" t="s">
        <v>200</v>
      </c>
      <c r="BH6" s="7" t="s">
        <v>200</v>
      </c>
      <c r="BI6" s="7"/>
      <c r="BJ6" s="4"/>
      <c r="BK6" s="8"/>
      <c r="BL6" s="2" t="s">
        <v>200</v>
      </c>
      <c r="BM6" s="7"/>
      <c r="BN6" s="7"/>
      <c r="BO6" s="4"/>
      <c r="BP6" s="8"/>
      <c r="BQ6" s="4"/>
      <c r="BR6" s="8"/>
      <c r="BS6" s="7"/>
      <c r="BT6" s="7"/>
      <c r="BU6" s="2" t="s">
        <v>210</v>
      </c>
      <c r="BV6" s="2" t="s">
        <v>200</v>
      </c>
      <c r="BW6" s="2" t="s">
        <v>200</v>
      </c>
      <c r="BX6" s="2" t="s">
        <v>200</v>
      </c>
      <c r="BY6" s="2" t="s">
        <v>211</v>
      </c>
      <c r="BZ6" s="2" t="s">
        <v>212</v>
      </c>
      <c r="CA6" s="2" t="s">
        <v>200</v>
      </c>
      <c r="CB6" s="2" t="s">
        <v>200</v>
      </c>
      <c r="CC6" s="2" t="s">
        <v>213</v>
      </c>
      <c r="CD6" s="2" t="s">
        <v>200</v>
      </c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</row>
    <row r="7">
      <c r="A7" s="2" t="s">
        <v>214</v>
      </c>
      <c r="B7" s="2" t="s">
        <v>195</v>
      </c>
      <c r="C7" s="2" t="s">
        <v>196</v>
      </c>
      <c r="D7" s="2" t="s">
        <v>197</v>
      </c>
      <c r="E7" s="2" t="s">
        <v>198</v>
      </c>
      <c r="F7" s="2" t="s">
        <v>199</v>
      </c>
      <c r="G7" s="2" t="s">
        <v>200</v>
      </c>
      <c r="H7" s="2" t="s">
        <v>200</v>
      </c>
      <c r="I7" s="2" t="s">
        <v>201</v>
      </c>
      <c r="J7" s="2" t="s">
        <v>202</v>
      </c>
      <c r="K7" s="2" t="s">
        <v>203</v>
      </c>
      <c r="L7" s="3">
        <v>54.99</v>
      </c>
      <c r="M7" s="3">
        <v>57.74</v>
      </c>
      <c r="N7" s="3"/>
      <c r="O7" s="2" t="s">
        <v>204</v>
      </c>
      <c r="P7" s="2" t="s">
        <v>205</v>
      </c>
      <c r="Q7" s="2" t="s">
        <v>206</v>
      </c>
      <c r="R7" s="2" t="s">
        <v>207</v>
      </c>
      <c r="S7" s="2" t="s">
        <v>200</v>
      </c>
      <c r="T7" s="2" t="s">
        <v>200</v>
      </c>
      <c r="U7" s="2" t="s">
        <v>200</v>
      </c>
      <c r="V7" s="2" t="s">
        <v>208</v>
      </c>
      <c r="W7" s="2" t="s">
        <v>200</v>
      </c>
      <c r="X7" s="2" t="s">
        <v>200</v>
      </c>
      <c r="Y7" s="2" t="s">
        <v>209</v>
      </c>
      <c r="Z7" s="4"/>
      <c r="AA7" s="4">
        <f>=ROUNDDOWN({0},0)</f>
      </c>
      <c r="AB7" s="5"/>
      <c r="AC7" s="2" t="s">
        <v>200</v>
      </c>
      <c r="AD7" s="4"/>
      <c r="AE7" s="4"/>
      <c r="AF7" s="6"/>
      <c r="AG7" s="6"/>
      <c r="AH7" s="7"/>
      <c r="AI7" s="4"/>
      <c r="AJ7" s="4">
        <f>=ROUNDDOWN({0},0)</f>
      </c>
      <c r="AK7" s="5"/>
      <c r="AL7" s="2" t="s">
        <v>200</v>
      </c>
      <c r="AM7" s="4"/>
      <c r="AN7" s="4"/>
      <c r="AO7" s="7"/>
      <c r="AP7" s="4"/>
      <c r="AQ7" s="8"/>
      <c r="AR7" s="4"/>
      <c r="AS7" s="8"/>
      <c r="AT7" s="7"/>
      <c r="AU7" s="7"/>
      <c r="AV7" s="4" t="s">
        <v>200</v>
      </c>
      <c r="AW7" s="8" t="s">
        <v>200</v>
      </c>
      <c r="AX7" s="4" t="s">
        <v>200</v>
      </c>
      <c r="AY7" s="8" t="s">
        <v>200</v>
      </c>
      <c r="AZ7" s="7" t="s">
        <v>200</v>
      </c>
      <c r="BA7" s="7" t="s">
        <v>200</v>
      </c>
      <c r="BB7" s="7" t="s">
        <v>200</v>
      </c>
      <c r="BC7" s="4" t="s">
        <v>200</v>
      </c>
      <c r="BD7" s="8" t="s">
        <v>200</v>
      </c>
      <c r="BE7" s="4" t="s">
        <v>200</v>
      </c>
      <c r="BF7" s="8" t="s">
        <v>200</v>
      </c>
      <c r="BG7" s="7" t="s">
        <v>200</v>
      </c>
      <c r="BH7" s="7" t="s">
        <v>200</v>
      </c>
      <c r="BI7" s="7"/>
      <c r="BJ7" s="4"/>
      <c r="BK7" s="8"/>
      <c r="BL7" s="2" t="s">
        <v>200</v>
      </c>
      <c r="BM7" s="7"/>
      <c r="BN7" s="7"/>
      <c r="BO7" s="4"/>
      <c r="BP7" s="8"/>
      <c r="BQ7" s="4"/>
      <c r="BR7" s="8"/>
      <c r="BS7" s="7"/>
      <c r="BT7" s="7"/>
      <c r="BU7" s="2" t="s">
        <v>210</v>
      </c>
      <c r="BV7" s="2" t="s">
        <v>200</v>
      </c>
      <c r="BW7" s="2" t="s">
        <v>200</v>
      </c>
      <c r="BX7" s="2" t="s">
        <v>200</v>
      </c>
      <c r="BY7" s="2" t="s">
        <v>211</v>
      </c>
      <c r="BZ7" s="2" t="s">
        <v>212</v>
      </c>
      <c r="CA7" s="2" t="s">
        <v>200</v>
      </c>
      <c r="CB7" s="2" t="s">
        <v>200</v>
      </c>
      <c r="CC7" s="2" t="s">
        <v>213</v>
      </c>
      <c r="CD7" s="2" t="s">
        <v>200</v>
      </c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</row>
    <row r="8">
      <c r="A8" s="2" t="s">
        <v>215</v>
      </c>
      <c r="B8" s="2" t="s">
        <v>195</v>
      </c>
      <c r="C8" s="2" t="s">
        <v>196</v>
      </c>
      <c r="D8" s="2" t="s">
        <v>197</v>
      </c>
      <c r="E8" s="2" t="s">
        <v>198</v>
      </c>
      <c r="F8" s="2" t="s">
        <v>199</v>
      </c>
      <c r="G8" s="2" t="s">
        <v>200</v>
      </c>
      <c r="H8" s="2" t="s">
        <v>200</v>
      </c>
      <c r="I8" s="2" t="s">
        <v>201</v>
      </c>
      <c r="J8" s="2" t="s">
        <v>216</v>
      </c>
      <c r="K8" s="2" t="s">
        <v>203</v>
      </c>
      <c r="L8" s="3">
        <v>99.99</v>
      </c>
      <c r="M8" s="3">
        <v>104.99</v>
      </c>
      <c r="N8" s="3"/>
      <c r="O8" s="2" t="s">
        <v>204</v>
      </c>
      <c r="P8" s="2" t="s">
        <v>205</v>
      </c>
      <c r="Q8" s="2" t="s">
        <v>206</v>
      </c>
      <c r="R8" s="2" t="s">
        <v>207</v>
      </c>
      <c r="S8" s="2" t="s">
        <v>200</v>
      </c>
      <c r="T8" s="2" t="s">
        <v>200</v>
      </c>
      <c r="U8" s="2" t="s">
        <v>200</v>
      </c>
      <c r="V8" s="2" t="s">
        <v>208</v>
      </c>
      <c r="W8" s="2" t="s">
        <v>200</v>
      </c>
      <c r="X8" s="2" t="s">
        <v>200</v>
      </c>
      <c r="Y8" s="2" t="s">
        <v>209</v>
      </c>
      <c r="Z8" s="4"/>
      <c r="AA8" s="4">
        <f>=ROUNDDOWN({0},0)</f>
      </c>
      <c r="AB8" s="5"/>
      <c r="AC8" s="2" t="s">
        <v>200</v>
      </c>
      <c r="AD8" s="4"/>
      <c r="AE8" s="4"/>
      <c r="AF8" s="6"/>
      <c r="AG8" s="6"/>
      <c r="AH8" s="7">
        <v>0</v>
      </c>
      <c r="AI8" s="4"/>
      <c r="AJ8" s="4">
        <f>=ROUNDDOWN({0},0)</f>
      </c>
      <c r="AK8" s="5"/>
      <c r="AL8" s="2" t="s">
        <v>200</v>
      </c>
      <c r="AM8" s="4"/>
      <c r="AN8" s="4"/>
      <c r="AO8" s="7"/>
      <c r="AP8" s="4"/>
      <c r="AQ8" s="8"/>
      <c r="AR8" s="4"/>
      <c r="AS8" s="8"/>
      <c r="AT8" s="7"/>
      <c r="AU8" s="7"/>
      <c r="AV8" s="4" t="s">
        <v>200</v>
      </c>
      <c r="AW8" s="8" t="s">
        <v>200</v>
      </c>
      <c r="AX8" s="4" t="s">
        <v>200</v>
      </c>
      <c r="AY8" s="8" t="s">
        <v>200</v>
      </c>
      <c r="AZ8" s="7" t="s">
        <v>200</v>
      </c>
      <c r="BA8" s="7" t="s">
        <v>200</v>
      </c>
      <c r="BB8" s="7"/>
      <c r="BC8" s="4" t="s">
        <v>200</v>
      </c>
      <c r="BD8" s="8" t="s">
        <v>200</v>
      </c>
      <c r="BE8" s="4" t="s">
        <v>200</v>
      </c>
      <c r="BF8" s="8" t="s">
        <v>200</v>
      </c>
      <c r="BG8" s="7" t="s">
        <v>200</v>
      </c>
      <c r="BH8" s="7" t="s">
        <v>200</v>
      </c>
      <c r="BI8" s="7"/>
      <c r="BJ8" s="4"/>
      <c r="BK8" s="8"/>
      <c r="BL8" s="2" t="s">
        <v>200</v>
      </c>
      <c r="BM8" s="7"/>
      <c r="BN8" s="7"/>
      <c r="BO8" s="4"/>
      <c r="BP8" s="8"/>
      <c r="BQ8" s="4"/>
      <c r="BR8" s="8"/>
      <c r="BS8" s="7"/>
      <c r="BT8" s="7"/>
      <c r="BU8" s="2" t="s">
        <v>210</v>
      </c>
      <c r="BV8" s="2" t="s">
        <v>200</v>
      </c>
      <c r="BW8" s="2" t="s">
        <v>200</v>
      </c>
      <c r="BX8" s="2" t="s">
        <v>200</v>
      </c>
      <c r="BY8" s="2" t="s">
        <v>211</v>
      </c>
      <c r="BZ8" s="2" t="s">
        <v>212</v>
      </c>
      <c r="CA8" s="2" t="s">
        <v>200</v>
      </c>
      <c r="CB8" s="2" t="s">
        <v>200</v>
      </c>
      <c r="CC8" s="2" t="s">
        <v>213</v>
      </c>
      <c r="CD8" s="2" t="s">
        <v>200</v>
      </c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</row>
    <row r="9">
      <c r="A9" s="2" t="s">
        <v>217</v>
      </c>
      <c r="B9" s="2" t="s">
        <v>195</v>
      </c>
      <c r="C9" s="2" t="s">
        <v>196</v>
      </c>
      <c r="D9" s="2" t="s">
        <v>197</v>
      </c>
      <c r="E9" s="2" t="s">
        <v>198</v>
      </c>
      <c r="F9" s="2" t="s">
        <v>199</v>
      </c>
      <c r="G9" s="2" t="s">
        <v>200</v>
      </c>
      <c r="H9" s="2" t="s">
        <v>200</v>
      </c>
      <c r="I9" s="2" t="s">
        <v>201</v>
      </c>
      <c r="J9" s="2" t="s">
        <v>218</v>
      </c>
      <c r="K9" s="2" t="s">
        <v>203</v>
      </c>
      <c r="L9" s="3">
        <v>104.99</v>
      </c>
      <c r="M9" s="3">
        <v>110.24</v>
      </c>
      <c r="N9" s="3"/>
      <c r="O9" s="2" t="s">
        <v>204</v>
      </c>
      <c r="P9" s="2" t="s">
        <v>205</v>
      </c>
      <c r="Q9" s="2" t="s">
        <v>206</v>
      </c>
      <c r="R9" s="2" t="s">
        <v>207</v>
      </c>
      <c r="S9" s="2" t="s">
        <v>200</v>
      </c>
      <c r="T9" s="2" t="s">
        <v>200</v>
      </c>
      <c r="U9" s="2" t="s">
        <v>200</v>
      </c>
      <c r="V9" s="2" t="s">
        <v>208</v>
      </c>
      <c r="W9" s="2" t="s">
        <v>200</v>
      </c>
      <c r="X9" s="2" t="s">
        <v>200</v>
      </c>
      <c r="Y9" s="2" t="s">
        <v>209</v>
      </c>
      <c r="Z9" s="4"/>
      <c r="AA9" s="4">
        <f>=ROUNDDOWN({0},0)</f>
      </c>
      <c r="AB9" s="5"/>
      <c r="AC9" s="2" t="s">
        <v>200</v>
      </c>
      <c r="AD9" s="4"/>
      <c r="AE9" s="4"/>
      <c r="AF9" s="6"/>
      <c r="AG9" s="6"/>
      <c r="AH9" s="7">
        <v>0</v>
      </c>
      <c r="AI9" s="4"/>
      <c r="AJ9" s="4">
        <f>=ROUNDDOWN({0},0)</f>
      </c>
      <c r="AK9" s="5"/>
      <c r="AL9" s="2" t="s">
        <v>200</v>
      </c>
      <c r="AM9" s="4"/>
      <c r="AN9" s="4"/>
      <c r="AO9" s="7"/>
      <c r="AP9" s="4"/>
      <c r="AQ9" s="8"/>
      <c r="AR9" s="4"/>
      <c r="AS9" s="8"/>
      <c r="AT9" s="7"/>
      <c r="AU9" s="7"/>
      <c r="AV9" s="4" t="s">
        <v>200</v>
      </c>
      <c r="AW9" s="8" t="s">
        <v>200</v>
      </c>
      <c r="AX9" s="4" t="s">
        <v>200</v>
      </c>
      <c r="AY9" s="8" t="s">
        <v>200</v>
      </c>
      <c r="AZ9" s="7" t="s">
        <v>200</v>
      </c>
      <c r="BA9" s="7" t="s">
        <v>200</v>
      </c>
      <c r="BB9" s="7"/>
      <c r="BC9" s="4" t="s">
        <v>200</v>
      </c>
      <c r="BD9" s="8" t="s">
        <v>200</v>
      </c>
      <c r="BE9" s="4" t="s">
        <v>200</v>
      </c>
      <c r="BF9" s="8" t="s">
        <v>200</v>
      </c>
      <c r="BG9" s="7" t="s">
        <v>200</v>
      </c>
      <c r="BH9" s="7" t="s">
        <v>200</v>
      </c>
      <c r="BI9" s="7"/>
      <c r="BJ9" s="4"/>
      <c r="BK9" s="8"/>
      <c r="BL9" s="2" t="s">
        <v>200</v>
      </c>
      <c r="BM9" s="7"/>
      <c r="BN9" s="7"/>
      <c r="BO9" s="4"/>
      <c r="BP9" s="8"/>
      <c r="BQ9" s="4"/>
      <c r="BR9" s="8"/>
      <c r="BS9" s="7"/>
      <c r="BT9" s="7"/>
      <c r="BU9" s="2" t="s">
        <v>210</v>
      </c>
      <c r="BV9" s="2" t="s">
        <v>200</v>
      </c>
      <c r="BW9" s="2" t="s">
        <v>200</v>
      </c>
      <c r="BX9" s="2" t="s">
        <v>200</v>
      </c>
      <c r="BY9" s="2" t="s">
        <v>211</v>
      </c>
      <c r="BZ9" s="2" t="s">
        <v>212</v>
      </c>
      <c r="CA9" s="2" t="s">
        <v>200</v>
      </c>
      <c r="CB9" s="2" t="s">
        <v>200</v>
      </c>
      <c r="CC9" s="2" t="s">
        <v>213</v>
      </c>
      <c r="CD9" s="2" t="s">
        <v>200</v>
      </c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</row>
    <row r="10">
      <c r="A10" s="2" t="s">
        <v>219</v>
      </c>
      <c r="B10" s="2" t="s">
        <v>195</v>
      </c>
      <c r="C10" s="2" t="s">
        <v>196</v>
      </c>
      <c r="D10" s="2" t="s">
        <v>197</v>
      </c>
      <c r="E10" s="2" t="s">
        <v>198</v>
      </c>
      <c r="F10" s="2" t="s">
        <v>199</v>
      </c>
      <c r="G10" s="2" t="s">
        <v>200</v>
      </c>
      <c r="H10" s="2" t="s">
        <v>200</v>
      </c>
      <c r="I10" s="2" t="s">
        <v>201</v>
      </c>
      <c r="J10" s="2" t="s">
        <v>220</v>
      </c>
      <c r="K10" s="2" t="s">
        <v>221</v>
      </c>
      <c r="L10" s="3">
        <v>44.99</v>
      </c>
      <c r="M10" s="3">
        <v>47.24</v>
      </c>
      <c r="N10" s="3"/>
      <c r="O10" s="2" t="s">
        <v>204</v>
      </c>
      <c r="P10" s="2" t="s">
        <v>205</v>
      </c>
      <c r="Q10" s="2" t="s">
        <v>206</v>
      </c>
      <c r="R10" s="2" t="s">
        <v>207</v>
      </c>
      <c r="S10" s="2" t="s">
        <v>200</v>
      </c>
      <c r="T10" s="2" t="s">
        <v>200</v>
      </c>
      <c r="U10" s="2" t="s">
        <v>200</v>
      </c>
      <c r="V10" s="2" t="s">
        <v>208</v>
      </c>
      <c r="W10" s="2" t="s">
        <v>200</v>
      </c>
      <c r="X10" s="2" t="s">
        <v>200</v>
      </c>
      <c r="Y10" s="2" t="s">
        <v>209</v>
      </c>
      <c r="Z10" s="4"/>
      <c r="AA10" s="4">
        <f>=ROUNDDOWN({0},0)</f>
      </c>
      <c r="AB10" s="5"/>
      <c r="AC10" s="2" t="s">
        <v>200</v>
      </c>
      <c r="AD10" s="4"/>
      <c r="AE10" s="4"/>
      <c r="AF10" s="6"/>
      <c r="AG10" s="6"/>
      <c r="AH10" s="7"/>
      <c r="AI10" s="4"/>
      <c r="AJ10" s="4">
        <f>=ROUNDDOWN({0},0)</f>
      </c>
      <c r="AK10" s="5"/>
      <c r="AL10" s="2" t="s">
        <v>200</v>
      </c>
      <c r="AM10" s="4"/>
      <c r="AN10" s="4"/>
      <c r="AO10" s="7"/>
      <c r="AP10" s="4"/>
      <c r="AQ10" s="8"/>
      <c r="AR10" s="4"/>
      <c r="AS10" s="8"/>
      <c r="AT10" s="7"/>
      <c r="AU10" s="7"/>
      <c r="AV10" s="4"/>
      <c r="AW10" s="8"/>
      <c r="AX10" s="4"/>
      <c r="AY10" s="8"/>
      <c r="AZ10" s="7"/>
      <c r="BA10" s="7"/>
      <c r="BB10" s="7"/>
      <c r="BC10" s="4" t="s">
        <v>200</v>
      </c>
      <c r="BD10" s="8" t="s">
        <v>200</v>
      </c>
      <c r="BE10" s="4" t="s">
        <v>200</v>
      </c>
      <c r="BF10" s="8" t="s">
        <v>200</v>
      </c>
      <c r="BG10" s="7" t="s">
        <v>200</v>
      </c>
      <c r="BH10" s="7" t="s">
        <v>200</v>
      </c>
      <c r="BI10" s="7"/>
      <c r="BJ10" s="4"/>
      <c r="BK10" s="8"/>
      <c r="BL10" s="2" t="s">
        <v>200</v>
      </c>
      <c r="BM10" s="7"/>
      <c r="BN10" s="7"/>
      <c r="BO10" s="4"/>
      <c r="BP10" s="8"/>
      <c r="BQ10" s="4"/>
      <c r="BR10" s="8"/>
      <c r="BS10" s="7"/>
      <c r="BT10" s="7"/>
      <c r="BU10" s="2" t="s">
        <v>210</v>
      </c>
      <c r="BV10" s="2" t="s">
        <v>200</v>
      </c>
      <c r="BW10" s="2" t="s">
        <v>200</v>
      </c>
      <c r="BX10" s="2" t="s">
        <v>200</v>
      </c>
      <c r="BY10" s="2" t="s">
        <v>211</v>
      </c>
      <c r="BZ10" s="2" t="s">
        <v>212</v>
      </c>
      <c r="CA10" s="2" t="s">
        <v>200</v>
      </c>
      <c r="CB10" s="2" t="s">
        <v>200</v>
      </c>
      <c r="CC10" s="2" t="s">
        <v>213</v>
      </c>
      <c r="CD10" s="2" t="s">
        <v>200</v>
      </c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</row>
    <row r="11">
      <c r="A11" s="2" t="s">
        <v>222</v>
      </c>
      <c r="B11" s="2" t="s">
        <v>195</v>
      </c>
      <c r="C11" s="2" t="s">
        <v>196</v>
      </c>
      <c r="D11" s="2" t="s">
        <v>197</v>
      </c>
      <c r="E11" s="2" t="s">
        <v>198</v>
      </c>
      <c r="F11" s="2" t="s">
        <v>199</v>
      </c>
      <c r="G11" s="2" t="s">
        <v>200</v>
      </c>
      <c r="H11" s="2" t="s">
        <v>200</v>
      </c>
      <c r="I11" s="2" t="s">
        <v>201</v>
      </c>
      <c r="J11" s="2" t="s">
        <v>220</v>
      </c>
      <c r="K11" s="2" t="s">
        <v>223</v>
      </c>
      <c r="L11" s="3">
        <v>44.99</v>
      </c>
      <c r="M11" s="3">
        <v>47.24</v>
      </c>
      <c r="N11" s="3"/>
      <c r="O11" s="2" t="s">
        <v>204</v>
      </c>
      <c r="P11" s="2" t="s">
        <v>205</v>
      </c>
      <c r="Q11" s="2" t="s">
        <v>206</v>
      </c>
      <c r="R11" s="2" t="s">
        <v>207</v>
      </c>
      <c r="S11" s="2" t="s">
        <v>200</v>
      </c>
      <c r="T11" s="2" t="s">
        <v>200</v>
      </c>
      <c r="U11" s="2" t="s">
        <v>200</v>
      </c>
      <c r="V11" s="2" t="s">
        <v>208</v>
      </c>
      <c r="W11" s="2" t="s">
        <v>200</v>
      </c>
      <c r="X11" s="2" t="s">
        <v>200</v>
      </c>
      <c r="Y11" s="2" t="s">
        <v>209</v>
      </c>
      <c r="Z11" s="4"/>
      <c r="AA11" s="4">
        <f>=ROUNDDOWN({0},0)</f>
      </c>
      <c r="AB11" s="5"/>
      <c r="AC11" s="2" t="s">
        <v>200</v>
      </c>
      <c r="AD11" s="4"/>
      <c r="AE11" s="4"/>
      <c r="AF11" s="6"/>
      <c r="AG11" s="6"/>
      <c r="AH11" s="7"/>
      <c r="AI11" s="4"/>
      <c r="AJ11" s="4">
        <f>=ROUNDDOWN({0},0)</f>
      </c>
      <c r="AK11" s="5"/>
      <c r="AL11" s="2" t="s">
        <v>200</v>
      </c>
      <c r="AM11" s="4"/>
      <c r="AN11" s="4"/>
      <c r="AO11" s="7"/>
      <c r="AP11" s="4"/>
      <c r="AQ11" s="8"/>
      <c r="AR11" s="4"/>
      <c r="AS11" s="8"/>
      <c r="AT11" s="7"/>
      <c r="AU11" s="7"/>
      <c r="AV11" s="4" t="s">
        <v>200</v>
      </c>
      <c r="AW11" s="8" t="s">
        <v>200</v>
      </c>
      <c r="AX11" s="4" t="s">
        <v>200</v>
      </c>
      <c r="AY11" s="8" t="s">
        <v>200</v>
      </c>
      <c r="AZ11" s="7" t="s">
        <v>200</v>
      </c>
      <c r="BA11" s="7" t="s">
        <v>200</v>
      </c>
      <c r="BB11" s="7"/>
      <c r="BC11" s="4" t="s">
        <v>200</v>
      </c>
      <c r="BD11" s="8" t="s">
        <v>200</v>
      </c>
      <c r="BE11" s="4" t="s">
        <v>200</v>
      </c>
      <c r="BF11" s="8" t="s">
        <v>200</v>
      </c>
      <c r="BG11" s="7" t="s">
        <v>200</v>
      </c>
      <c r="BH11" s="7" t="s">
        <v>200</v>
      </c>
      <c r="BI11" s="7"/>
      <c r="BJ11" s="4"/>
      <c r="BK11" s="8"/>
      <c r="BL11" s="2" t="s">
        <v>200</v>
      </c>
      <c r="BM11" s="7"/>
      <c r="BN11" s="7"/>
      <c r="BO11" s="4"/>
      <c r="BP11" s="8"/>
      <c r="BQ11" s="4"/>
      <c r="BR11" s="8"/>
      <c r="BS11" s="7"/>
      <c r="BT11" s="7"/>
      <c r="BU11" s="2" t="s">
        <v>210</v>
      </c>
      <c r="BV11" s="2" t="s">
        <v>200</v>
      </c>
      <c r="BW11" s="2" t="s">
        <v>200</v>
      </c>
      <c r="BX11" s="2" t="s">
        <v>200</v>
      </c>
      <c r="BY11" s="2" t="s">
        <v>211</v>
      </c>
      <c r="BZ11" s="2" t="s">
        <v>212</v>
      </c>
      <c r="CA11" s="2" t="s">
        <v>200</v>
      </c>
      <c r="CB11" s="2" t="s">
        <v>200</v>
      </c>
      <c r="CC11" s="2" t="s">
        <v>213</v>
      </c>
      <c r="CD11" s="2" t="s">
        <v>200</v>
      </c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</row>
    <row r="12">
      <c r="A12" s="2" t="s">
        <v>224</v>
      </c>
      <c r="B12" s="2" t="s">
        <v>195</v>
      </c>
      <c r="C12" s="2" t="s">
        <v>196</v>
      </c>
      <c r="D12" s="2" t="s">
        <v>197</v>
      </c>
      <c r="E12" s="2" t="s">
        <v>198</v>
      </c>
      <c r="F12" s="2" t="s">
        <v>199</v>
      </c>
      <c r="G12" s="2" t="s">
        <v>200</v>
      </c>
      <c r="H12" s="2" t="s">
        <v>200</v>
      </c>
      <c r="I12" s="2" t="s">
        <v>201</v>
      </c>
      <c r="J12" s="2" t="s">
        <v>202</v>
      </c>
      <c r="K12" s="2" t="s">
        <v>223</v>
      </c>
      <c r="L12" s="3">
        <v>54.99</v>
      </c>
      <c r="M12" s="3">
        <v>57.74</v>
      </c>
      <c r="N12" s="3"/>
      <c r="O12" s="2" t="s">
        <v>204</v>
      </c>
      <c r="P12" s="2" t="s">
        <v>205</v>
      </c>
      <c r="Q12" s="2" t="s">
        <v>206</v>
      </c>
      <c r="R12" s="2" t="s">
        <v>207</v>
      </c>
      <c r="S12" s="2" t="s">
        <v>200</v>
      </c>
      <c r="T12" s="2" t="s">
        <v>200</v>
      </c>
      <c r="U12" s="2" t="s">
        <v>200</v>
      </c>
      <c r="V12" s="2" t="s">
        <v>208</v>
      </c>
      <c r="W12" s="2" t="s">
        <v>200</v>
      </c>
      <c r="X12" s="2" t="s">
        <v>200</v>
      </c>
      <c r="Y12" s="2" t="s">
        <v>209</v>
      </c>
      <c r="Z12" s="4"/>
      <c r="AA12" s="4">
        <f>=ROUNDDOWN({0},0)</f>
      </c>
      <c r="AB12" s="5"/>
      <c r="AC12" s="2" t="s">
        <v>200</v>
      </c>
      <c r="AD12" s="4"/>
      <c r="AE12" s="4"/>
      <c r="AF12" s="6"/>
      <c r="AG12" s="6"/>
      <c r="AH12" s="7"/>
      <c r="AI12" s="4"/>
      <c r="AJ12" s="4">
        <f>=ROUNDDOWN({0},0)</f>
      </c>
      <c r="AK12" s="5"/>
      <c r="AL12" s="2" t="s">
        <v>200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200</v>
      </c>
      <c r="AW12" s="8" t="s">
        <v>200</v>
      </c>
      <c r="AX12" s="4" t="s">
        <v>200</v>
      </c>
      <c r="AY12" s="8" t="s">
        <v>200</v>
      </c>
      <c r="AZ12" s="7" t="s">
        <v>200</v>
      </c>
      <c r="BA12" s="7" t="s">
        <v>200</v>
      </c>
      <c r="BB12" s="7"/>
      <c r="BC12" s="4" t="s">
        <v>200</v>
      </c>
      <c r="BD12" s="8" t="s">
        <v>200</v>
      </c>
      <c r="BE12" s="4" t="s">
        <v>200</v>
      </c>
      <c r="BF12" s="8" t="s">
        <v>200</v>
      </c>
      <c r="BG12" s="7" t="s">
        <v>200</v>
      </c>
      <c r="BH12" s="7" t="s">
        <v>200</v>
      </c>
      <c r="BI12" s="7"/>
      <c r="BJ12" s="4"/>
      <c r="BK12" s="8"/>
      <c r="BL12" s="2" t="s">
        <v>200</v>
      </c>
      <c r="BM12" s="7"/>
      <c r="BN12" s="7"/>
      <c r="BO12" s="4"/>
      <c r="BP12" s="8"/>
      <c r="BQ12" s="4"/>
      <c r="BR12" s="8"/>
      <c r="BS12" s="7"/>
      <c r="BT12" s="7"/>
      <c r="BU12" s="2" t="s">
        <v>210</v>
      </c>
      <c r="BV12" s="2" t="s">
        <v>200</v>
      </c>
      <c r="BW12" s="2" t="s">
        <v>200</v>
      </c>
      <c r="BX12" s="2" t="s">
        <v>200</v>
      </c>
      <c r="BY12" s="2" t="s">
        <v>211</v>
      </c>
      <c r="BZ12" s="2" t="s">
        <v>212</v>
      </c>
      <c r="CA12" s="2" t="s">
        <v>200</v>
      </c>
      <c r="CB12" s="2" t="s">
        <v>200</v>
      </c>
      <c r="CC12" s="2" t="s">
        <v>213</v>
      </c>
      <c r="CD12" s="2" t="s">
        <v>200</v>
      </c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</row>
    <row r="13">
      <c r="A13" s="2" t="s">
        <v>225</v>
      </c>
      <c r="B13" s="2" t="s">
        <v>195</v>
      </c>
      <c r="C13" s="2" t="s">
        <v>196</v>
      </c>
      <c r="D13" s="2" t="s">
        <v>197</v>
      </c>
      <c r="E13" s="2" t="s">
        <v>198</v>
      </c>
      <c r="F13" s="2" t="s">
        <v>199</v>
      </c>
      <c r="G13" s="2" t="s">
        <v>200</v>
      </c>
      <c r="H13" s="2" t="s">
        <v>200</v>
      </c>
      <c r="I13" s="2" t="s">
        <v>201</v>
      </c>
      <c r="J13" s="2" t="s">
        <v>226</v>
      </c>
      <c r="K13" s="2" t="s">
        <v>223</v>
      </c>
      <c r="L13" s="3">
        <v>69.99</v>
      </c>
      <c r="M13" s="3">
        <v>73.49</v>
      </c>
      <c r="N13" s="3"/>
      <c r="O13" s="2" t="s">
        <v>204</v>
      </c>
      <c r="P13" s="2" t="s">
        <v>205</v>
      </c>
      <c r="Q13" s="2" t="s">
        <v>206</v>
      </c>
      <c r="R13" s="2" t="s">
        <v>207</v>
      </c>
      <c r="S13" s="2" t="s">
        <v>200</v>
      </c>
      <c r="T13" s="2" t="s">
        <v>200</v>
      </c>
      <c r="U13" s="2" t="s">
        <v>200</v>
      </c>
      <c r="V13" s="2" t="s">
        <v>208</v>
      </c>
      <c r="W13" s="2" t="s">
        <v>200</v>
      </c>
      <c r="X13" s="2" t="s">
        <v>200</v>
      </c>
      <c r="Y13" s="2" t="s">
        <v>209</v>
      </c>
      <c r="Z13" s="4"/>
      <c r="AA13" s="4">
        <f>=ROUNDDOWN({0},0)</f>
      </c>
      <c r="AB13" s="5"/>
      <c r="AC13" s="2" t="s">
        <v>200</v>
      </c>
      <c r="AD13" s="4"/>
      <c r="AE13" s="4"/>
      <c r="AF13" s="6"/>
      <c r="AG13" s="6"/>
      <c r="AH13" s="7"/>
      <c r="AI13" s="4"/>
      <c r="AJ13" s="4">
        <f>=ROUNDDOWN({0},0)</f>
      </c>
      <c r="AK13" s="5"/>
      <c r="AL13" s="2" t="s">
        <v>200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200</v>
      </c>
      <c r="AW13" s="8" t="s">
        <v>200</v>
      </c>
      <c r="AX13" s="4" t="s">
        <v>200</v>
      </c>
      <c r="AY13" s="8" t="s">
        <v>200</v>
      </c>
      <c r="AZ13" s="7" t="s">
        <v>200</v>
      </c>
      <c r="BA13" s="7" t="s">
        <v>200</v>
      </c>
      <c r="BB13" s="7"/>
      <c r="BC13" s="4" t="s">
        <v>200</v>
      </c>
      <c r="BD13" s="8" t="s">
        <v>200</v>
      </c>
      <c r="BE13" s="4" t="s">
        <v>200</v>
      </c>
      <c r="BF13" s="8" t="s">
        <v>200</v>
      </c>
      <c r="BG13" s="7" t="s">
        <v>200</v>
      </c>
      <c r="BH13" s="7" t="s">
        <v>200</v>
      </c>
      <c r="BI13" s="7"/>
      <c r="BJ13" s="4"/>
      <c r="BK13" s="8"/>
      <c r="BL13" s="2" t="s">
        <v>200</v>
      </c>
      <c r="BM13" s="7"/>
      <c r="BN13" s="7"/>
      <c r="BO13" s="4"/>
      <c r="BP13" s="8"/>
      <c r="BQ13" s="4"/>
      <c r="BR13" s="8"/>
      <c r="BS13" s="7"/>
      <c r="BT13" s="7"/>
      <c r="BU13" s="2" t="s">
        <v>210</v>
      </c>
      <c r="BV13" s="2" t="s">
        <v>200</v>
      </c>
      <c r="BW13" s="2" t="s">
        <v>200</v>
      </c>
      <c r="BX13" s="2" t="s">
        <v>200</v>
      </c>
      <c r="BY13" s="2" t="s">
        <v>211</v>
      </c>
      <c r="BZ13" s="2" t="s">
        <v>212</v>
      </c>
      <c r="CA13" s="2" t="s">
        <v>200</v>
      </c>
      <c r="CB13" s="2" t="s">
        <v>200</v>
      </c>
      <c r="CC13" s="2" t="s">
        <v>213</v>
      </c>
      <c r="CD13" s="2" t="s">
        <v>200</v>
      </c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</row>
    <row r="14">
      <c r="A14" s="2" t="s">
        <v>227</v>
      </c>
      <c r="B14" s="2" t="s">
        <v>195</v>
      </c>
      <c r="C14" s="2" t="s">
        <v>196</v>
      </c>
      <c r="D14" s="2" t="s">
        <v>197</v>
      </c>
      <c r="E14" s="2" t="s">
        <v>198</v>
      </c>
      <c r="F14" s="2" t="s">
        <v>199</v>
      </c>
      <c r="G14" s="2" t="s">
        <v>200</v>
      </c>
      <c r="H14" s="2" t="s">
        <v>200</v>
      </c>
      <c r="I14" s="2" t="s">
        <v>201</v>
      </c>
      <c r="J14" s="2" t="s">
        <v>216</v>
      </c>
      <c r="K14" s="2" t="s">
        <v>223</v>
      </c>
      <c r="L14" s="3">
        <v>99.99</v>
      </c>
      <c r="M14" s="3">
        <v>104.99</v>
      </c>
      <c r="N14" s="3"/>
      <c r="O14" s="2" t="s">
        <v>204</v>
      </c>
      <c r="P14" s="2" t="s">
        <v>205</v>
      </c>
      <c r="Q14" s="2" t="s">
        <v>206</v>
      </c>
      <c r="R14" s="2" t="s">
        <v>207</v>
      </c>
      <c r="S14" s="2" t="s">
        <v>200</v>
      </c>
      <c r="T14" s="2" t="s">
        <v>200</v>
      </c>
      <c r="U14" s="2" t="s">
        <v>200</v>
      </c>
      <c r="V14" s="2" t="s">
        <v>208</v>
      </c>
      <c r="W14" s="2" t="s">
        <v>200</v>
      </c>
      <c r="X14" s="2" t="s">
        <v>200</v>
      </c>
      <c r="Y14" s="2" t="s">
        <v>209</v>
      </c>
      <c r="Z14" s="4"/>
      <c r="AA14" s="4">
        <f>=ROUNDDOWN({0},0)</f>
      </c>
      <c r="AB14" s="5"/>
      <c r="AC14" s="2" t="s">
        <v>200</v>
      </c>
      <c r="AD14" s="4"/>
      <c r="AE14" s="4"/>
      <c r="AF14" s="6"/>
      <c r="AG14" s="6"/>
      <c r="AH14" s="7">
        <v>0</v>
      </c>
      <c r="AI14" s="4"/>
      <c r="AJ14" s="4">
        <f>=ROUNDDOWN({0},0)</f>
      </c>
      <c r="AK14" s="5"/>
      <c r="AL14" s="2" t="s">
        <v>200</v>
      </c>
      <c r="AM14" s="4"/>
      <c r="AN14" s="4"/>
      <c r="AO14" s="7"/>
      <c r="AP14" s="4"/>
      <c r="AQ14" s="8"/>
      <c r="AR14" s="4"/>
      <c r="AS14" s="8"/>
      <c r="AT14" s="7"/>
      <c r="AU14" s="7"/>
      <c r="AV14" s="4" t="s">
        <v>200</v>
      </c>
      <c r="AW14" s="8" t="s">
        <v>200</v>
      </c>
      <c r="AX14" s="4" t="s">
        <v>200</v>
      </c>
      <c r="AY14" s="8" t="s">
        <v>200</v>
      </c>
      <c r="AZ14" s="7" t="s">
        <v>200</v>
      </c>
      <c r="BA14" s="7" t="s">
        <v>200</v>
      </c>
      <c r="BB14" s="7"/>
      <c r="BC14" s="4" t="s">
        <v>200</v>
      </c>
      <c r="BD14" s="8" t="s">
        <v>200</v>
      </c>
      <c r="BE14" s="4" t="s">
        <v>200</v>
      </c>
      <c r="BF14" s="8" t="s">
        <v>200</v>
      </c>
      <c r="BG14" s="7" t="s">
        <v>200</v>
      </c>
      <c r="BH14" s="7" t="s">
        <v>200</v>
      </c>
      <c r="BI14" s="7"/>
      <c r="BJ14" s="4"/>
      <c r="BK14" s="8"/>
      <c r="BL14" s="2" t="s">
        <v>200</v>
      </c>
      <c r="BM14" s="7"/>
      <c r="BN14" s="7"/>
      <c r="BO14" s="4"/>
      <c r="BP14" s="8"/>
      <c r="BQ14" s="4"/>
      <c r="BR14" s="8"/>
      <c r="BS14" s="7"/>
      <c r="BT14" s="7"/>
      <c r="BU14" s="2" t="s">
        <v>210</v>
      </c>
      <c r="BV14" s="2" t="s">
        <v>200</v>
      </c>
      <c r="BW14" s="2" t="s">
        <v>200</v>
      </c>
      <c r="BX14" s="2" t="s">
        <v>200</v>
      </c>
      <c r="BY14" s="2" t="s">
        <v>211</v>
      </c>
      <c r="BZ14" s="2" t="s">
        <v>212</v>
      </c>
      <c r="CA14" s="2" t="s">
        <v>200</v>
      </c>
      <c r="CB14" s="2" t="s">
        <v>200</v>
      </c>
      <c r="CC14" s="2" t="s">
        <v>213</v>
      </c>
      <c r="CD14" s="2" t="s">
        <v>200</v>
      </c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</row>
    <row r="15">
      <c r="A15" s="2" t="s">
        <v>228</v>
      </c>
      <c r="B15" s="2" t="s">
        <v>195</v>
      </c>
      <c r="C15" s="2" t="s">
        <v>196</v>
      </c>
      <c r="D15" s="2" t="s">
        <v>197</v>
      </c>
      <c r="E15" s="2" t="s">
        <v>198</v>
      </c>
      <c r="F15" s="2" t="s">
        <v>199</v>
      </c>
      <c r="G15" s="2" t="s">
        <v>200</v>
      </c>
      <c r="H15" s="2" t="s">
        <v>200</v>
      </c>
      <c r="I15" s="2" t="s">
        <v>201</v>
      </c>
      <c r="J15" s="2" t="s">
        <v>218</v>
      </c>
      <c r="K15" s="2" t="s">
        <v>223</v>
      </c>
      <c r="L15" s="3">
        <v>104.99</v>
      </c>
      <c r="M15" s="3">
        <v>110.24</v>
      </c>
      <c r="N15" s="3"/>
      <c r="O15" s="2" t="s">
        <v>204</v>
      </c>
      <c r="P15" s="2" t="s">
        <v>205</v>
      </c>
      <c r="Q15" s="2" t="s">
        <v>206</v>
      </c>
      <c r="R15" s="2" t="s">
        <v>207</v>
      </c>
      <c r="S15" s="2" t="s">
        <v>200</v>
      </c>
      <c r="T15" s="2" t="s">
        <v>200</v>
      </c>
      <c r="U15" s="2" t="s">
        <v>200</v>
      </c>
      <c r="V15" s="2" t="s">
        <v>208</v>
      </c>
      <c r="W15" s="2" t="s">
        <v>200</v>
      </c>
      <c r="X15" s="2" t="s">
        <v>200</v>
      </c>
      <c r="Y15" s="2" t="s">
        <v>209</v>
      </c>
      <c r="Z15" s="4"/>
      <c r="AA15" s="4">
        <f>=ROUNDDOWN({0},0)</f>
      </c>
      <c r="AB15" s="5"/>
      <c r="AC15" s="2" t="s">
        <v>200</v>
      </c>
      <c r="AD15" s="4"/>
      <c r="AE15" s="4"/>
      <c r="AF15" s="6"/>
      <c r="AG15" s="6"/>
      <c r="AH15" s="7">
        <v>0</v>
      </c>
      <c r="AI15" s="4"/>
      <c r="AJ15" s="4">
        <f>=ROUNDDOWN({0},0)</f>
      </c>
      <c r="AK15" s="5"/>
      <c r="AL15" s="2" t="s">
        <v>200</v>
      </c>
      <c r="AM15" s="4"/>
      <c r="AN15" s="4"/>
      <c r="AO15" s="7"/>
      <c r="AP15" s="4"/>
      <c r="AQ15" s="8"/>
      <c r="AR15" s="4"/>
      <c r="AS15" s="8"/>
      <c r="AT15" s="7"/>
      <c r="AU15" s="7"/>
      <c r="AV15" s="4" t="s">
        <v>200</v>
      </c>
      <c r="AW15" s="8" t="s">
        <v>200</v>
      </c>
      <c r="AX15" s="4" t="s">
        <v>200</v>
      </c>
      <c r="AY15" s="8" t="s">
        <v>200</v>
      </c>
      <c r="AZ15" s="7" t="s">
        <v>200</v>
      </c>
      <c r="BA15" s="7" t="s">
        <v>200</v>
      </c>
      <c r="BB15" s="7"/>
      <c r="BC15" s="4" t="s">
        <v>200</v>
      </c>
      <c r="BD15" s="8" t="s">
        <v>200</v>
      </c>
      <c r="BE15" s="4" t="s">
        <v>200</v>
      </c>
      <c r="BF15" s="8" t="s">
        <v>200</v>
      </c>
      <c r="BG15" s="7" t="s">
        <v>200</v>
      </c>
      <c r="BH15" s="7" t="s">
        <v>200</v>
      </c>
      <c r="BI15" s="7"/>
      <c r="BJ15" s="4"/>
      <c r="BK15" s="8"/>
      <c r="BL15" s="2" t="s">
        <v>200</v>
      </c>
      <c r="BM15" s="7"/>
      <c r="BN15" s="7"/>
      <c r="BO15" s="4"/>
      <c r="BP15" s="8"/>
      <c r="BQ15" s="4"/>
      <c r="BR15" s="8"/>
      <c r="BS15" s="7"/>
      <c r="BT15" s="7"/>
      <c r="BU15" s="2" t="s">
        <v>210</v>
      </c>
      <c r="BV15" s="2" t="s">
        <v>200</v>
      </c>
      <c r="BW15" s="2" t="s">
        <v>200</v>
      </c>
      <c r="BX15" s="2" t="s">
        <v>200</v>
      </c>
      <c r="BY15" s="2" t="s">
        <v>211</v>
      </c>
      <c r="BZ15" s="2" t="s">
        <v>212</v>
      </c>
      <c r="CA15" s="2" t="s">
        <v>200</v>
      </c>
      <c r="CB15" s="2" t="s">
        <v>200</v>
      </c>
      <c r="CC15" s="2" t="s">
        <v>213</v>
      </c>
      <c r="CD15" s="2" t="s">
        <v>200</v>
      </c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</row>
    <row r="16">
      <c r="A16" s="2" t="s">
        <v>229</v>
      </c>
      <c r="B16" s="2" t="s">
        <v>230</v>
      </c>
      <c r="C16" s="2" t="s">
        <v>231</v>
      </c>
      <c r="D16" s="2" t="s">
        <v>232</v>
      </c>
      <c r="E16" s="2" t="s">
        <v>233</v>
      </c>
      <c r="F16" s="2" t="s">
        <v>234</v>
      </c>
      <c r="G16" s="2" t="s">
        <v>234</v>
      </c>
      <c r="H16" s="2" t="s">
        <v>234</v>
      </c>
      <c r="I16" s="2" t="s">
        <v>235</v>
      </c>
      <c r="J16" s="2" t="s">
        <v>236</v>
      </c>
      <c r="K16" s="2" t="s">
        <v>237</v>
      </c>
      <c r="L16" s="3">
        <v>46</v>
      </c>
      <c r="M16" s="3">
        <v>48.3</v>
      </c>
      <c r="N16" s="3">
        <v>99.99</v>
      </c>
      <c r="O16" s="2" t="s">
        <v>212</v>
      </c>
      <c r="P16" s="2" t="s">
        <v>205</v>
      </c>
      <c r="Q16" s="2" t="s">
        <v>206</v>
      </c>
      <c r="R16" s="2" t="s">
        <v>200</v>
      </c>
      <c r="S16" s="2" t="s">
        <v>238</v>
      </c>
      <c r="T16" s="2" t="s">
        <v>239</v>
      </c>
      <c r="U16" s="2" t="s">
        <v>240</v>
      </c>
      <c r="V16" s="2" t="s">
        <v>208</v>
      </c>
      <c r="W16" s="2" t="s">
        <v>241</v>
      </c>
      <c r="X16" s="2" t="s">
        <v>242</v>
      </c>
      <c r="Y16" s="2" t="s">
        <v>243</v>
      </c>
      <c r="Z16" s="4">
        <v>231</v>
      </c>
      <c r="AA16" s="4">
        <f>=ROUNDDOWN(21.7924528301887,0)</f>
      </c>
      <c r="AB16" s="5">
        <v>10.6</v>
      </c>
      <c r="AC16" s="2" t="s">
        <v>244</v>
      </c>
      <c r="AD16" s="4">
        <v>100</v>
      </c>
      <c r="AE16" s="4">
        <v>100</v>
      </c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200</v>
      </c>
      <c r="AM16" s="4"/>
      <c r="AN16" s="4"/>
      <c r="AO16" s="7"/>
      <c r="AP16" s="4"/>
      <c r="AQ16" s="8"/>
      <c r="AR16" s="4"/>
      <c r="AS16" s="8"/>
      <c r="AT16" s="7"/>
      <c r="AU16" s="7"/>
      <c r="AV16" s="4"/>
      <c r="AW16" s="8"/>
      <c r="AX16" s="4"/>
      <c r="AY16" s="8"/>
      <c r="AZ16" s="7"/>
      <c r="BA16" s="7"/>
      <c r="BB16" s="7"/>
      <c r="BC16" s="4"/>
      <c r="BD16" s="8"/>
      <c r="BE16" s="4"/>
      <c r="BF16" s="8"/>
      <c r="BG16" s="7"/>
      <c r="BH16" s="7"/>
      <c r="BI16" s="7"/>
      <c r="BJ16" s="4">
        <v>51</v>
      </c>
      <c r="BK16" s="8">
        <v>2631.42</v>
      </c>
      <c r="BL16" s="2" t="s">
        <v>245</v>
      </c>
      <c r="BM16" s="7"/>
      <c r="BN16" s="7"/>
      <c r="BO16" s="4"/>
      <c r="BP16" s="8"/>
      <c r="BQ16" s="4"/>
      <c r="BR16" s="8"/>
      <c r="BS16" s="7"/>
      <c r="BT16" s="7"/>
      <c r="BU16" s="2" t="s">
        <v>246</v>
      </c>
      <c r="BV16" s="2" t="s">
        <v>200</v>
      </c>
      <c r="BW16" s="2" t="s">
        <v>200</v>
      </c>
      <c r="BX16" s="2" t="s">
        <v>210</v>
      </c>
      <c r="BY16" s="2" t="s">
        <v>247</v>
      </c>
      <c r="BZ16" s="2" t="s">
        <v>212</v>
      </c>
      <c r="CA16" s="2" t="s">
        <v>248</v>
      </c>
      <c r="CB16" s="2" t="s">
        <v>200</v>
      </c>
      <c r="CC16" s="2" t="s">
        <v>213</v>
      </c>
      <c r="CD16" s="2" t="s">
        <v>200</v>
      </c>
      <c r="CE16" s="4">
        <v>231</v>
      </c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>
        <v>100</v>
      </c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</row>
    <row r="17">
      <c r="A17" s="2" t="s">
        <v>249</v>
      </c>
      <c r="B17" s="2" t="s">
        <v>250</v>
      </c>
      <c r="C17" s="2" t="s">
        <v>251</v>
      </c>
      <c r="D17" s="2" t="s">
        <v>252</v>
      </c>
      <c r="E17" s="2" t="s">
        <v>253</v>
      </c>
      <c r="F17" s="2" t="s">
        <v>254</v>
      </c>
      <c r="G17" s="2" t="s">
        <v>254</v>
      </c>
      <c r="H17" s="2" t="s">
        <v>254</v>
      </c>
      <c r="I17" s="2" t="s">
        <v>255</v>
      </c>
      <c r="J17" s="2" t="s">
        <v>256</v>
      </c>
      <c r="K17" s="2" t="s">
        <v>257</v>
      </c>
      <c r="L17" s="3">
        <v>58.29</v>
      </c>
      <c r="M17" s="3">
        <v>61.2</v>
      </c>
      <c r="N17" s="3">
        <v>109.99</v>
      </c>
      <c r="O17" s="2" t="s">
        <v>212</v>
      </c>
      <c r="P17" s="2" t="s">
        <v>258</v>
      </c>
      <c r="Q17" s="2" t="s">
        <v>206</v>
      </c>
      <c r="R17" s="2" t="s">
        <v>200</v>
      </c>
      <c r="S17" s="2" t="s">
        <v>259</v>
      </c>
      <c r="T17" s="2" t="s">
        <v>260</v>
      </c>
      <c r="U17" s="2" t="s">
        <v>200</v>
      </c>
      <c r="V17" s="2" t="s">
        <v>208</v>
      </c>
      <c r="W17" s="2" t="s">
        <v>241</v>
      </c>
      <c r="X17" s="2" t="s">
        <v>200</v>
      </c>
      <c r="Y17" s="2" t="s">
        <v>261</v>
      </c>
      <c r="Z17" s="4">
        <v>249</v>
      </c>
      <c r="AA17" s="4">
        <f>=ROUNDDOWN(62.25,0)</f>
      </c>
      <c r="AB17" s="5">
        <v>4</v>
      </c>
      <c r="AC17" s="2" t="s">
        <v>200</v>
      </c>
      <c r="AD17" s="4"/>
      <c r="AE17" s="4"/>
      <c r="AF17" s="6">
        <v>65</v>
      </c>
      <c r="AG17" s="6"/>
      <c r="AH17" s="7">
        <v>1</v>
      </c>
      <c r="AI17" s="4"/>
      <c r="AJ17" s="4">
        <f>=ROUNDDOWN({0},0)</f>
      </c>
      <c r="AK17" s="5"/>
      <c r="AL17" s="2" t="s">
        <v>200</v>
      </c>
      <c r="AM17" s="4"/>
      <c r="AN17" s="4"/>
      <c r="AO17" s="7"/>
      <c r="AP17" s="4"/>
      <c r="AQ17" s="8"/>
      <c r="AR17" s="4"/>
      <c r="AS17" s="8"/>
      <c r="AT17" s="7"/>
      <c r="AU17" s="7"/>
      <c r="AV17" s="4" t="s">
        <v>200</v>
      </c>
      <c r="AW17" s="8" t="s">
        <v>200</v>
      </c>
      <c r="AX17" s="4" t="s">
        <v>200</v>
      </c>
      <c r="AY17" s="8" t="s">
        <v>200</v>
      </c>
      <c r="AZ17" s="7" t="s">
        <v>200</v>
      </c>
      <c r="BA17" s="7" t="s">
        <v>200</v>
      </c>
      <c r="BB17" s="7"/>
      <c r="BC17" s="4" t="s">
        <v>200</v>
      </c>
      <c r="BD17" s="8" t="s">
        <v>200</v>
      </c>
      <c r="BE17" s="4" t="s">
        <v>200</v>
      </c>
      <c r="BF17" s="8" t="s">
        <v>200</v>
      </c>
      <c r="BG17" s="7" t="s">
        <v>200</v>
      </c>
      <c r="BH17" s="7" t="s">
        <v>200</v>
      </c>
      <c r="BI17" s="7"/>
      <c r="BJ17" s="4">
        <v>4</v>
      </c>
      <c r="BK17" s="8">
        <v>245.31</v>
      </c>
      <c r="BL17" s="2" t="s">
        <v>262</v>
      </c>
      <c r="BM17" s="7"/>
      <c r="BN17" s="7"/>
      <c r="BO17" s="4"/>
      <c r="BP17" s="8"/>
      <c r="BQ17" s="4"/>
      <c r="BR17" s="8"/>
      <c r="BS17" s="7"/>
      <c r="BT17" s="7"/>
      <c r="BU17" s="2" t="s">
        <v>263</v>
      </c>
      <c r="BV17" s="2" t="s">
        <v>200</v>
      </c>
      <c r="BW17" s="2" t="s">
        <v>200</v>
      </c>
      <c r="BX17" s="2" t="s">
        <v>264</v>
      </c>
      <c r="BY17" s="2" t="s">
        <v>247</v>
      </c>
      <c r="BZ17" s="2" t="s">
        <v>212</v>
      </c>
      <c r="CA17" s="2" t="s">
        <v>265</v>
      </c>
      <c r="CB17" s="2" t="s">
        <v>266</v>
      </c>
      <c r="CC17" s="2" t="s">
        <v>213</v>
      </c>
      <c r="CD17" s="2" t="s">
        <v>200</v>
      </c>
      <c r="CE17" s="4">
        <v>249</v>
      </c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</row>
    <row r="18">
      <c r="A18" s="2" t="s">
        <v>267</v>
      </c>
      <c r="B18" s="2" t="s">
        <v>250</v>
      </c>
      <c r="C18" s="2" t="s">
        <v>251</v>
      </c>
      <c r="D18" s="2" t="s">
        <v>252</v>
      </c>
      <c r="E18" s="2" t="s">
        <v>253</v>
      </c>
      <c r="F18" s="2" t="s">
        <v>254</v>
      </c>
      <c r="G18" s="2" t="s">
        <v>254</v>
      </c>
      <c r="H18" s="2" t="s">
        <v>254</v>
      </c>
      <c r="I18" s="2" t="s">
        <v>268</v>
      </c>
      <c r="J18" s="2" t="s">
        <v>269</v>
      </c>
      <c r="K18" s="2" t="s">
        <v>257</v>
      </c>
      <c r="L18" s="3">
        <v>58.29</v>
      </c>
      <c r="M18" s="3">
        <v>61.2</v>
      </c>
      <c r="N18" s="3">
        <v>109.99</v>
      </c>
      <c r="O18" s="2" t="s">
        <v>212</v>
      </c>
      <c r="P18" s="2" t="s">
        <v>258</v>
      </c>
      <c r="Q18" s="2" t="s">
        <v>206</v>
      </c>
      <c r="R18" s="2" t="s">
        <v>200</v>
      </c>
      <c r="S18" s="2" t="s">
        <v>259</v>
      </c>
      <c r="T18" s="2" t="s">
        <v>200</v>
      </c>
      <c r="U18" s="2" t="s">
        <v>270</v>
      </c>
      <c r="V18" s="2" t="s">
        <v>208</v>
      </c>
      <c r="W18" s="2" t="s">
        <v>241</v>
      </c>
      <c r="X18" s="2" t="s">
        <v>200</v>
      </c>
      <c r="Y18" s="2" t="s">
        <v>271</v>
      </c>
      <c r="Z18" s="4">
        <v>544</v>
      </c>
      <c r="AA18" s="4">
        <f>=ROUNDDOWN(136,0)</f>
      </c>
      <c r="AB18" s="5">
        <v>4</v>
      </c>
      <c r="AC18" s="2" t="s">
        <v>200</v>
      </c>
      <c r="AD18" s="4"/>
      <c r="AE18" s="4"/>
      <c r="AF18" s="6">
        <v>65</v>
      </c>
      <c r="AG18" s="6"/>
      <c r="AH18" s="7">
        <v>1</v>
      </c>
      <c r="AI18" s="4"/>
      <c r="AJ18" s="4">
        <f>=ROUNDDOWN({0},0)</f>
      </c>
      <c r="AK18" s="5"/>
      <c r="AL18" s="2" t="s">
        <v>200</v>
      </c>
      <c r="AM18" s="4"/>
      <c r="AN18" s="4"/>
      <c r="AO18" s="7"/>
      <c r="AP18" s="4"/>
      <c r="AQ18" s="8"/>
      <c r="AR18" s="4"/>
      <c r="AS18" s="8"/>
      <c r="AT18" s="7"/>
      <c r="AU18" s="7"/>
      <c r="AV18" s="4" t="s">
        <v>200</v>
      </c>
      <c r="AW18" s="8" t="s">
        <v>200</v>
      </c>
      <c r="AX18" s="4" t="s">
        <v>200</v>
      </c>
      <c r="AY18" s="8" t="s">
        <v>200</v>
      </c>
      <c r="AZ18" s="7" t="s">
        <v>200</v>
      </c>
      <c r="BA18" s="7" t="s">
        <v>200</v>
      </c>
      <c r="BB18" s="7"/>
      <c r="BC18" s="4" t="s">
        <v>200</v>
      </c>
      <c r="BD18" s="8" t="s">
        <v>200</v>
      </c>
      <c r="BE18" s="4" t="s">
        <v>200</v>
      </c>
      <c r="BF18" s="8" t="s">
        <v>200</v>
      </c>
      <c r="BG18" s="7" t="s">
        <v>200</v>
      </c>
      <c r="BH18" s="7" t="s">
        <v>200</v>
      </c>
      <c r="BI18" s="7"/>
      <c r="BJ18" s="4">
        <v>1</v>
      </c>
      <c r="BK18" s="8">
        <v>64.26</v>
      </c>
      <c r="BL18" s="2" t="s">
        <v>272</v>
      </c>
      <c r="BM18" s="7"/>
      <c r="BN18" s="7"/>
      <c r="BO18" s="4"/>
      <c r="BP18" s="8"/>
      <c r="BQ18" s="4"/>
      <c r="BR18" s="8"/>
      <c r="BS18" s="7"/>
      <c r="BT18" s="7"/>
      <c r="BU18" s="2" t="s">
        <v>273</v>
      </c>
      <c r="BV18" s="2" t="s">
        <v>200</v>
      </c>
      <c r="BW18" s="2" t="s">
        <v>200</v>
      </c>
      <c r="BX18" s="2" t="s">
        <v>264</v>
      </c>
      <c r="BY18" s="2" t="s">
        <v>247</v>
      </c>
      <c r="BZ18" s="2" t="s">
        <v>212</v>
      </c>
      <c r="CA18" s="2" t="s">
        <v>274</v>
      </c>
      <c r="CB18" s="2" t="s">
        <v>275</v>
      </c>
      <c r="CC18" s="2" t="s">
        <v>213</v>
      </c>
      <c r="CD18" s="2" t="s">
        <v>200</v>
      </c>
      <c r="CE18" s="4">
        <v>544</v>
      </c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</row>
    <row r="19">
      <c r="A19" s="2" t="s">
        <v>276</v>
      </c>
      <c r="B19" s="2" t="s">
        <v>250</v>
      </c>
      <c r="C19" s="2" t="s">
        <v>251</v>
      </c>
      <c r="D19" s="2" t="s">
        <v>252</v>
      </c>
      <c r="E19" s="2" t="s">
        <v>253</v>
      </c>
      <c r="F19" s="2" t="s">
        <v>254</v>
      </c>
      <c r="G19" s="2" t="s">
        <v>254</v>
      </c>
      <c r="H19" s="2" t="s">
        <v>254</v>
      </c>
      <c r="I19" s="2" t="s">
        <v>255</v>
      </c>
      <c r="J19" s="2" t="s">
        <v>277</v>
      </c>
      <c r="K19" s="2" t="s">
        <v>257</v>
      </c>
      <c r="L19" s="3">
        <v>74.19</v>
      </c>
      <c r="M19" s="3">
        <v>77.9</v>
      </c>
      <c r="N19" s="3">
        <v>139.99</v>
      </c>
      <c r="O19" s="2" t="s">
        <v>212</v>
      </c>
      <c r="P19" s="2" t="s">
        <v>258</v>
      </c>
      <c r="Q19" s="2" t="s">
        <v>206</v>
      </c>
      <c r="R19" s="2" t="s">
        <v>200</v>
      </c>
      <c r="S19" s="2" t="s">
        <v>259</v>
      </c>
      <c r="T19" s="2" t="s">
        <v>260</v>
      </c>
      <c r="U19" s="2" t="s">
        <v>200</v>
      </c>
      <c r="V19" s="2" t="s">
        <v>208</v>
      </c>
      <c r="W19" s="2" t="s">
        <v>241</v>
      </c>
      <c r="X19" s="2" t="s">
        <v>200</v>
      </c>
      <c r="Y19" s="2" t="s">
        <v>261</v>
      </c>
      <c r="Z19" s="4">
        <v>258</v>
      </c>
      <c r="AA19" s="4">
        <f>=ROUNDDOWN(64.5,0)</f>
      </c>
      <c r="AB19" s="5">
        <v>4</v>
      </c>
      <c r="AC19" s="2" t="s">
        <v>200</v>
      </c>
      <c r="AD19" s="4"/>
      <c r="AE19" s="4"/>
      <c r="AF19" s="6">
        <v>65</v>
      </c>
      <c r="AG19" s="6"/>
      <c r="AH19" s="7">
        <v>1</v>
      </c>
      <c r="AI19" s="4"/>
      <c r="AJ19" s="4">
        <f>=ROUNDDOWN({0},0)</f>
      </c>
      <c r="AK19" s="5"/>
      <c r="AL19" s="2" t="s">
        <v>200</v>
      </c>
      <c r="AM19" s="4"/>
      <c r="AN19" s="4"/>
      <c r="AO19" s="7"/>
      <c r="AP19" s="4"/>
      <c r="AQ19" s="8"/>
      <c r="AR19" s="4"/>
      <c r="AS19" s="8"/>
      <c r="AT19" s="7"/>
      <c r="AU19" s="7"/>
      <c r="AV19" s="4" t="s">
        <v>200</v>
      </c>
      <c r="AW19" s="8" t="s">
        <v>200</v>
      </c>
      <c r="AX19" s="4" t="s">
        <v>200</v>
      </c>
      <c r="AY19" s="8" t="s">
        <v>200</v>
      </c>
      <c r="AZ19" s="7" t="s">
        <v>200</v>
      </c>
      <c r="BA19" s="7" t="s">
        <v>200</v>
      </c>
      <c r="BB19" s="7"/>
      <c r="BC19" s="4" t="s">
        <v>200</v>
      </c>
      <c r="BD19" s="8" t="s">
        <v>200</v>
      </c>
      <c r="BE19" s="4" t="s">
        <v>200</v>
      </c>
      <c r="BF19" s="8" t="s">
        <v>200</v>
      </c>
      <c r="BG19" s="7" t="s">
        <v>200</v>
      </c>
      <c r="BH19" s="7" t="s">
        <v>200</v>
      </c>
      <c r="BI19" s="7"/>
      <c r="BJ19" s="4">
        <v>1</v>
      </c>
      <c r="BK19" s="8">
        <v>77.54</v>
      </c>
      <c r="BL19" s="2" t="s">
        <v>278</v>
      </c>
      <c r="BM19" s="7"/>
      <c r="BN19" s="7"/>
      <c r="BO19" s="4"/>
      <c r="BP19" s="8"/>
      <c r="BQ19" s="4"/>
      <c r="BR19" s="8"/>
      <c r="BS19" s="7"/>
      <c r="BT19" s="7"/>
      <c r="BU19" s="2" t="s">
        <v>279</v>
      </c>
      <c r="BV19" s="2" t="s">
        <v>200</v>
      </c>
      <c r="BW19" s="2" t="s">
        <v>200</v>
      </c>
      <c r="BX19" s="2" t="s">
        <v>264</v>
      </c>
      <c r="BY19" s="2" t="s">
        <v>247</v>
      </c>
      <c r="BZ19" s="2" t="s">
        <v>212</v>
      </c>
      <c r="CA19" s="2" t="s">
        <v>265</v>
      </c>
      <c r="CB19" s="2" t="s">
        <v>280</v>
      </c>
      <c r="CC19" s="2" t="s">
        <v>213</v>
      </c>
      <c r="CD19" s="2" t="s">
        <v>200</v>
      </c>
      <c r="CE19" s="4">
        <v>258</v>
      </c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</row>
    <row r="20">
      <c r="A20" s="2" t="s">
        <v>281</v>
      </c>
      <c r="B20" s="2" t="s">
        <v>250</v>
      </c>
      <c r="C20" s="2" t="s">
        <v>251</v>
      </c>
      <c r="D20" s="2" t="s">
        <v>252</v>
      </c>
      <c r="E20" s="2" t="s">
        <v>253</v>
      </c>
      <c r="F20" s="2" t="s">
        <v>282</v>
      </c>
      <c r="G20" s="2" t="s">
        <v>283</v>
      </c>
      <c r="H20" s="2" t="s">
        <v>282</v>
      </c>
      <c r="I20" s="2" t="s">
        <v>284</v>
      </c>
      <c r="J20" s="2" t="s">
        <v>256</v>
      </c>
      <c r="K20" s="2" t="s">
        <v>257</v>
      </c>
      <c r="L20" s="3">
        <v>52.99</v>
      </c>
      <c r="M20" s="3">
        <v>55.64</v>
      </c>
      <c r="N20" s="3">
        <v>99.99</v>
      </c>
      <c r="O20" s="2" t="s">
        <v>212</v>
      </c>
      <c r="P20" s="2" t="s">
        <v>285</v>
      </c>
      <c r="Q20" s="2" t="s">
        <v>206</v>
      </c>
      <c r="R20" s="2" t="s">
        <v>200</v>
      </c>
      <c r="S20" s="2" t="s">
        <v>286</v>
      </c>
      <c r="T20" s="2" t="s">
        <v>260</v>
      </c>
      <c r="U20" s="2" t="s">
        <v>200</v>
      </c>
      <c r="V20" s="2" t="s">
        <v>208</v>
      </c>
      <c r="W20" s="2" t="s">
        <v>241</v>
      </c>
      <c r="X20" s="2" t="s">
        <v>200</v>
      </c>
      <c r="Y20" s="2" t="s">
        <v>261</v>
      </c>
      <c r="Z20" s="4">
        <v>59</v>
      </c>
      <c r="AA20" s="4">
        <f>=ROUNDDOWN(19.6666666666667,0)</f>
      </c>
      <c r="AB20" s="5">
        <v>3</v>
      </c>
      <c r="AC20" s="2" t="s">
        <v>200</v>
      </c>
      <c r="AD20" s="4"/>
      <c r="AE20" s="4"/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200</v>
      </c>
      <c r="AM20" s="4"/>
      <c r="AN20" s="4"/>
      <c r="AO20" s="7"/>
      <c r="AP20" s="4"/>
      <c r="AQ20" s="8"/>
      <c r="AR20" s="4"/>
      <c r="AS20" s="8"/>
      <c r="AT20" s="7"/>
      <c r="AU20" s="7"/>
      <c r="AV20" s="4" t="s">
        <v>200</v>
      </c>
      <c r="AW20" s="8" t="s">
        <v>200</v>
      </c>
      <c r="AX20" s="4" t="s">
        <v>200</v>
      </c>
      <c r="AY20" s="8" t="s">
        <v>200</v>
      </c>
      <c r="AZ20" s="7" t="s">
        <v>200</v>
      </c>
      <c r="BA20" s="7" t="s">
        <v>200</v>
      </c>
      <c r="BB20" s="7"/>
      <c r="BC20" s="4" t="s">
        <v>200</v>
      </c>
      <c r="BD20" s="8" t="s">
        <v>200</v>
      </c>
      <c r="BE20" s="4" t="s">
        <v>200</v>
      </c>
      <c r="BF20" s="8" t="s">
        <v>200</v>
      </c>
      <c r="BG20" s="7" t="s">
        <v>200</v>
      </c>
      <c r="BH20" s="7" t="s">
        <v>200</v>
      </c>
      <c r="BI20" s="7"/>
      <c r="BJ20" s="4">
        <v>4</v>
      </c>
      <c r="BK20" s="8">
        <v>111.64</v>
      </c>
      <c r="BL20" s="2" t="s">
        <v>287</v>
      </c>
      <c r="BM20" s="7"/>
      <c r="BN20" s="7"/>
      <c r="BO20" s="4"/>
      <c r="BP20" s="8"/>
      <c r="BQ20" s="4"/>
      <c r="BR20" s="8"/>
      <c r="BS20" s="7"/>
      <c r="BT20" s="7"/>
      <c r="BU20" s="2" t="s">
        <v>288</v>
      </c>
      <c r="BV20" s="2" t="s">
        <v>200</v>
      </c>
      <c r="BW20" s="2" t="s">
        <v>200</v>
      </c>
      <c r="BX20" s="2" t="s">
        <v>289</v>
      </c>
      <c r="BY20" s="2" t="s">
        <v>247</v>
      </c>
      <c r="BZ20" s="2" t="s">
        <v>212</v>
      </c>
      <c r="CA20" s="2" t="s">
        <v>290</v>
      </c>
      <c r="CB20" s="2" t="s">
        <v>291</v>
      </c>
      <c r="CC20" s="2" t="s">
        <v>213</v>
      </c>
      <c r="CD20" s="2" t="s">
        <v>200</v>
      </c>
      <c r="CE20" s="4">
        <v>59</v>
      </c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</row>
    <row r="21">
      <c r="A21" s="2" t="s">
        <v>292</v>
      </c>
      <c r="B21" s="2" t="s">
        <v>250</v>
      </c>
      <c r="C21" s="2" t="s">
        <v>251</v>
      </c>
      <c r="D21" s="2" t="s">
        <v>252</v>
      </c>
      <c r="E21" s="2" t="s">
        <v>253</v>
      </c>
      <c r="F21" s="2" t="s">
        <v>282</v>
      </c>
      <c r="G21" s="2" t="s">
        <v>283</v>
      </c>
      <c r="H21" s="2" t="s">
        <v>282</v>
      </c>
      <c r="I21" s="2" t="s">
        <v>284</v>
      </c>
      <c r="J21" s="2" t="s">
        <v>277</v>
      </c>
      <c r="K21" s="2" t="s">
        <v>257</v>
      </c>
      <c r="L21" s="3">
        <v>79.49</v>
      </c>
      <c r="M21" s="3">
        <v>83.46</v>
      </c>
      <c r="N21" s="3">
        <v>149.99</v>
      </c>
      <c r="O21" s="2" t="s">
        <v>212</v>
      </c>
      <c r="P21" s="2" t="s">
        <v>285</v>
      </c>
      <c r="Q21" s="2" t="s">
        <v>206</v>
      </c>
      <c r="R21" s="2" t="s">
        <v>200</v>
      </c>
      <c r="S21" s="2" t="s">
        <v>286</v>
      </c>
      <c r="T21" s="2" t="s">
        <v>260</v>
      </c>
      <c r="U21" s="2" t="s">
        <v>200</v>
      </c>
      <c r="V21" s="2" t="s">
        <v>208</v>
      </c>
      <c r="W21" s="2" t="s">
        <v>241</v>
      </c>
      <c r="X21" s="2" t="s">
        <v>200</v>
      </c>
      <c r="Y21" s="2" t="s">
        <v>261</v>
      </c>
      <c r="Z21" s="4">
        <v>52</v>
      </c>
      <c r="AA21" s="4">
        <f>=ROUNDDOWN(17.3333333333333,0)</f>
      </c>
      <c r="AB21" s="5">
        <v>3</v>
      </c>
      <c r="AC21" s="2" t="s">
        <v>200</v>
      </c>
      <c r="AD21" s="4"/>
      <c r="AE21" s="4"/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200</v>
      </c>
      <c r="AM21" s="4"/>
      <c r="AN21" s="4"/>
      <c r="AO21" s="7"/>
      <c r="AP21" s="4"/>
      <c r="AQ21" s="8"/>
      <c r="AR21" s="4"/>
      <c r="AS21" s="8"/>
      <c r="AT21" s="7"/>
      <c r="AU21" s="7"/>
      <c r="AV21" s="4" t="s">
        <v>200</v>
      </c>
      <c r="AW21" s="8" t="s">
        <v>200</v>
      </c>
      <c r="AX21" s="4" t="s">
        <v>200</v>
      </c>
      <c r="AY21" s="8" t="s">
        <v>200</v>
      </c>
      <c r="AZ21" s="7" t="s">
        <v>200</v>
      </c>
      <c r="BA21" s="7" t="s">
        <v>200</v>
      </c>
      <c r="BB21" s="7"/>
      <c r="BC21" s="4" t="s">
        <v>200</v>
      </c>
      <c r="BD21" s="8" t="s">
        <v>200</v>
      </c>
      <c r="BE21" s="4" t="s">
        <v>200</v>
      </c>
      <c r="BF21" s="8" t="s">
        <v>200</v>
      </c>
      <c r="BG21" s="7" t="s">
        <v>200</v>
      </c>
      <c r="BH21" s="7" t="s">
        <v>200</v>
      </c>
      <c r="BI21" s="7"/>
      <c r="BJ21" s="4">
        <v>6</v>
      </c>
      <c r="BK21" s="8">
        <v>286.33</v>
      </c>
      <c r="BL21" s="2" t="s">
        <v>293</v>
      </c>
      <c r="BM21" s="7"/>
      <c r="BN21" s="7"/>
      <c r="BO21" s="4"/>
      <c r="BP21" s="8"/>
      <c r="BQ21" s="4"/>
      <c r="BR21" s="8"/>
      <c r="BS21" s="7"/>
      <c r="BT21" s="7"/>
      <c r="BU21" s="2" t="s">
        <v>294</v>
      </c>
      <c r="BV21" s="2" t="s">
        <v>200</v>
      </c>
      <c r="BW21" s="2" t="s">
        <v>200</v>
      </c>
      <c r="BX21" s="2" t="s">
        <v>289</v>
      </c>
      <c r="BY21" s="2" t="s">
        <v>247</v>
      </c>
      <c r="BZ21" s="2" t="s">
        <v>212</v>
      </c>
      <c r="CA21" s="2" t="s">
        <v>290</v>
      </c>
      <c r="CB21" s="2" t="s">
        <v>295</v>
      </c>
      <c r="CC21" s="2" t="s">
        <v>213</v>
      </c>
      <c r="CD21" s="2" t="s">
        <v>200</v>
      </c>
      <c r="CE21" s="4">
        <v>52</v>
      </c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</row>
    <row r="22">
      <c r="A22" s="2" t="s">
        <v>296</v>
      </c>
      <c r="B22" s="2" t="s">
        <v>250</v>
      </c>
      <c r="C22" s="2" t="s">
        <v>251</v>
      </c>
      <c r="D22" s="2" t="s">
        <v>252</v>
      </c>
      <c r="E22" s="2" t="s">
        <v>253</v>
      </c>
      <c r="F22" s="2" t="s">
        <v>282</v>
      </c>
      <c r="G22" s="2" t="s">
        <v>283</v>
      </c>
      <c r="H22" s="2" t="s">
        <v>282</v>
      </c>
      <c r="I22" s="2" t="s">
        <v>284</v>
      </c>
      <c r="J22" s="2" t="s">
        <v>297</v>
      </c>
      <c r="K22" s="2" t="s">
        <v>257</v>
      </c>
      <c r="L22" s="3">
        <v>90.09</v>
      </c>
      <c r="M22" s="3">
        <v>94.59</v>
      </c>
      <c r="N22" s="3">
        <v>169.99</v>
      </c>
      <c r="O22" s="2" t="s">
        <v>212</v>
      </c>
      <c r="P22" s="2" t="s">
        <v>285</v>
      </c>
      <c r="Q22" s="2" t="s">
        <v>206</v>
      </c>
      <c r="R22" s="2" t="s">
        <v>200</v>
      </c>
      <c r="S22" s="2" t="s">
        <v>286</v>
      </c>
      <c r="T22" s="2" t="s">
        <v>260</v>
      </c>
      <c r="U22" s="2" t="s">
        <v>200</v>
      </c>
      <c r="V22" s="2" t="s">
        <v>208</v>
      </c>
      <c r="W22" s="2" t="s">
        <v>241</v>
      </c>
      <c r="X22" s="2" t="s">
        <v>200</v>
      </c>
      <c r="Y22" s="2" t="s">
        <v>261</v>
      </c>
      <c r="Z22" s="4">
        <v>71</v>
      </c>
      <c r="AA22" s="4">
        <f>=ROUNDDOWN(7.1,0)</f>
      </c>
      <c r="AB22" s="5">
        <v>10</v>
      </c>
      <c r="AC22" s="2" t="s">
        <v>200</v>
      </c>
      <c r="AD22" s="4"/>
      <c r="AE22" s="4"/>
      <c r="AF22" s="6">
        <v>65</v>
      </c>
      <c r="AG22" s="6"/>
      <c r="AH22" s="7">
        <v>1</v>
      </c>
      <c r="AI22" s="4"/>
      <c r="AJ22" s="4">
        <f>=ROUNDDOWN({0},0)</f>
      </c>
      <c r="AK22" s="5"/>
      <c r="AL22" s="2" t="s">
        <v>200</v>
      </c>
      <c r="AM22" s="4"/>
      <c r="AN22" s="4"/>
      <c r="AO22" s="7"/>
      <c r="AP22" s="4"/>
      <c r="AQ22" s="8"/>
      <c r="AR22" s="4"/>
      <c r="AS22" s="8"/>
      <c r="AT22" s="7"/>
      <c r="AU22" s="7"/>
      <c r="AV22" s="4" t="s">
        <v>200</v>
      </c>
      <c r="AW22" s="8" t="s">
        <v>200</v>
      </c>
      <c r="AX22" s="4" t="s">
        <v>200</v>
      </c>
      <c r="AY22" s="8" t="s">
        <v>200</v>
      </c>
      <c r="AZ22" s="7" t="s">
        <v>200</v>
      </c>
      <c r="BA22" s="7" t="s">
        <v>200</v>
      </c>
      <c r="BB22" s="7"/>
      <c r="BC22" s="4" t="s">
        <v>200</v>
      </c>
      <c r="BD22" s="8" t="s">
        <v>200</v>
      </c>
      <c r="BE22" s="4" t="s">
        <v>200</v>
      </c>
      <c r="BF22" s="8" t="s">
        <v>200</v>
      </c>
      <c r="BG22" s="7" t="s">
        <v>200</v>
      </c>
      <c r="BH22" s="7" t="s">
        <v>200</v>
      </c>
      <c r="BI22" s="7"/>
      <c r="BJ22" s="4">
        <v>9</v>
      </c>
      <c r="BK22" s="8">
        <v>842.39</v>
      </c>
      <c r="BL22" s="2" t="s">
        <v>298</v>
      </c>
      <c r="BM22" s="7"/>
      <c r="BN22" s="7"/>
      <c r="BO22" s="4"/>
      <c r="BP22" s="8"/>
      <c r="BQ22" s="4"/>
      <c r="BR22" s="8"/>
      <c r="BS22" s="7"/>
      <c r="BT22" s="7"/>
      <c r="BU22" s="2" t="s">
        <v>299</v>
      </c>
      <c r="BV22" s="2" t="s">
        <v>200</v>
      </c>
      <c r="BW22" s="2" t="s">
        <v>200</v>
      </c>
      <c r="BX22" s="2" t="s">
        <v>289</v>
      </c>
      <c r="BY22" s="2" t="s">
        <v>247</v>
      </c>
      <c r="BZ22" s="2" t="s">
        <v>212</v>
      </c>
      <c r="CA22" s="2" t="s">
        <v>290</v>
      </c>
      <c r="CB22" s="2" t="s">
        <v>300</v>
      </c>
      <c r="CC22" s="2" t="s">
        <v>213</v>
      </c>
      <c r="CD22" s="2" t="s">
        <v>200</v>
      </c>
      <c r="CE22" s="4">
        <v>71</v>
      </c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</row>
    <row r="23">
      <c r="A23" s="2" t="s">
        <v>301</v>
      </c>
      <c r="B23" s="2" t="s">
        <v>250</v>
      </c>
      <c r="C23" s="2" t="s">
        <v>251</v>
      </c>
      <c r="D23" s="2" t="s">
        <v>252</v>
      </c>
      <c r="E23" s="2" t="s">
        <v>253</v>
      </c>
      <c r="F23" s="2" t="s">
        <v>282</v>
      </c>
      <c r="G23" s="2" t="s">
        <v>283</v>
      </c>
      <c r="H23" s="2" t="s">
        <v>282</v>
      </c>
      <c r="I23" s="2" t="s">
        <v>284</v>
      </c>
      <c r="J23" s="2" t="s">
        <v>302</v>
      </c>
      <c r="K23" s="2" t="s">
        <v>257</v>
      </c>
      <c r="L23" s="3">
        <v>111.29</v>
      </c>
      <c r="M23" s="3">
        <v>116.85</v>
      </c>
      <c r="N23" s="3">
        <v>209.99</v>
      </c>
      <c r="O23" s="2" t="s">
        <v>212</v>
      </c>
      <c r="P23" s="2" t="s">
        <v>285</v>
      </c>
      <c r="Q23" s="2" t="s">
        <v>206</v>
      </c>
      <c r="R23" s="2" t="s">
        <v>200</v>
      </c>
      <c r="S23" s="2" t="s">
        <v>286</v>
      </c>
      <c r="T23" s="2" t="s">
        <v>260</v>
      </c>
      <c r="U23" s="2" t="s">
        <v>200</v>
      </c>
      <c r="V23" s="2" t="s">
        <v>208</v>
      </c>
      <c r="W23" s="2" t="s">
        <v>241</v>
      </c>
      <c r="X23" s="2" t="s">
        <v>200</v>
      </c>
      <c r="Y23" s="2" t="s">
        <v>261</v>
      </c>
      <c r="Z23" s="4">
        <v>27</v>
      </c>
      <c r="AA23" s="4">
        <f>=ROUNDDOWN(13.5,0)</f>
      </c>
      <c r="AB23" s="5">
        <v>2</v>
      </c>
      <c r="AC23" s="2" t="s">
        <v>200</v>
      </c>
      <c r="AD23" s="4"/>
      <c r="AE23" s="4"/>
      <c r="AF23" s="6">
        <v>65</v>
      </c>
      <c r="AG23" s="6"/>
      <c r="AH23" s="7">
        <v>1</v>
      </c>
      <c r="AI23" s="4"/>
      <c r="AJ23" s="4">
        <f>=ROUNDDOWN({0},0)</f>
      </c>
      <c r="AK23" s="5"/>
      <c r="AL23" s="2" t="s">
        <v>200</v>
      </c>
      <c r="AM23" s="4"/>
      <c r="AN23" s="4"/>
      <c r="AO23" s="7"/>
      <c r="AP23" s="4"/>
      <c r="AQ23" s="8"/>
      <c r="AR23" s="4"/>
      <c r="AS23" s="8"/>
      <c r="AT23" s="7"/>
      <c r="AU23" s="7"/>
      <c r="AV23" s="4" t="s">
        <v>200</v>
      </c>
      <c r="AW23" s="8" t="s">
        <v>200</v>
      </c>
      <c r="AX23" s="4" t="s">
        <v>200</v>
      </c>
      <c r="AY23" s="8" t="s">
        <v>200</v>
      </c>
      <c r="AZ23" s="7" t="s">
        <v>200</v>
      </c>
      <c r="BA23" s="7" t="s">
        <v>200</v>
      </c>
      <c r="BB23" s="7"/>
      <c r="BC23" s="4" t="s">
        <v>200</v>
      </c>
      <c r="BD23" s="8" t="s">
        <v>200</v>
      </c>
      <c r="BE23" s="4" t="s">
        <v>200</v>
      </c>
      <c r="BF23" s="8" t="s">
        <v>200</v>
      </c>
      <c r="BG23" s="7" t="s">
        <v>200</v>
      </c>
      <c r="BH23" s="7" t="s">
        <v>200</v>
      </c>
      <c r="BI23" s="7"/>
      <c r="BJ23" s="4">
        <v>6</v>
      </c>
      <c r="BK23" s="8">
        <v>501.12</v>
      </c>
      <c r="BL23" s="2" t="s">
        <v>303</v>
      </c>
      <c r="BM23" s="7"/>
      <c r="BN23" s="7"/>
      <c r="BO23" s="4"/>
      <c r="BP23" s="8"/>
      <c r="BQ23" s="4"/>
      <c r="BR23" s="8"/>
      <c r="BS23" s="7"/>
      <c r="BT23" s="7"/>
      <c r="BU23" s="2" t="s">
        <v>304</v>
      </c>
      <c r="BV23" s="2" t="s">
        <v>200</v>
      </c>
      <c r="BW23" s="2" t="s">
        <v>200</v>
      </c>
      <c r="BX23" s="2" t="s">
        <v>289</v>
      </c>
      <c r="BY23" s="2" t="s">
        <v>247</v>
      </c>
      <c r="BZ23" s="2" t="s">
        <v>212</v>
      </c>
      <c r="CA23" s="2" t="s">
        <v>290</v>
      </c>
      <c r="CB23" s="2" t="s">
        <v>305</v>
      </c>
      <c r="CC23" s="2" t="s">
        <v>213</v>
      </c>
      <c r="CD23" s="2" t="s">
        <v>200</v>
      </c>
      <c r="CE23" s="4">
        <v>27</v>
      </c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</row>
    <row r="24">
      <c r="A24" s="2" t="s">
        <v>306</v>
      </c>
      <c r="B24" s="2" t="s">
        <v>230</v>
      </c>
      <c r="C24" s="2" t="s">
        <v>307</v>
      </c>
      <c r="D24" s="2" t="s">
        <v>232</v>
      </c>
      <c r="E24" s="2" t="s">
        <v>233</v>
      </c>
      <c r="F24" s="2" t="s">
        <v>308</v>
      </c>
      <c r="G24" s="2" t="s">
        <v>308</v>
      </c>
      <c r="H24" s="2" t="s">
        <v>308</v>
      </c>
      <c r="I24" s="2" t="s">
        <v>309</v>
      </c>
      <c r="J24" s="2" t="s">
        <v>277</v>
      </c>
      <c r="K24" s="2" t="s">
        <v>310</v>
      </c>
      <c r="L24" s="3">
        <v>23.75</v>
      </c>
      <c r="M24" s="3">
        <v>24.94</v>
      </c>
      <c r="N24" s="3">
        <v>49.99</v>
      </c>
      <c r="O24" s="2" t="s">
        <v>212</v>
      </c>
      <c r="P24" s="2" t="s">
        <v>205</v>
      </c>
      <c r="Q24" s="2" t="s">
        <v>206</v>
      </c>
      <c r="R24" s="2" t="s">
        <v>200</v>
      </c>
      <c r="S24" s="2" t="s">
        <v>311</v>
      </c>
      <c r="T24" s="2" t="s">
        <v>312</v>
      </c>
      <c r="U24" s="2" t="s">
        <v>240</v>
      </c>
      <c r="V24" s="2" t="s">
        <v>313</v>
      </c>
      <c r="W24" s="2" t="s">
        <v>313</v>
      </c>
      <c r="X24" s="2" t="s">
        <v>241</v>
      </c>
      <c r="Y24" s="2" t="s">
        <v>314</v>
      </c>
      <c r="Z24" s="4">
        <v>75</v>
      </c>
      <c r="AA24" s="4">
        <f>=ROUNDDOWN(20.8333333333333,0)</f>
      </c>
      <c r="AB24" s="5">
        <v>3.6</v>
      </c>
      <c r="AC24" s="2" t="s">
        <v>200</v>
      </c>
      <c r="AD24" s="4"/>
      <c r="AE24" s="4"/>
      <c r="AF24" s="6">
        <v>70</v>
      </c>
      <c r="AG24" s="6"/>
      <c r="AH24" s="7">
        <v>1</v>
      </c>
      <c r="AI24" s="4"/>
      <c r="AJ24" s="4">
        <f>=ROUNDDOWN({0},0)</f>
      </c>
      <c r="AK24" s="5"/>
      <c r="AL24" s="2" t="s">
        <v>200</v>
      </c>
      <c r="AM24" s="4"/>
      <c r="AN24" s="4"/>
      <c r="AO24" s="7"/>
      <c r="AP24" s="4"/>
      <c r="AQ24" s="8"/>
      <c r="AR24" s="4"/>
      <c r="AS24" s="8"/>
      <c r="AT24" s="7"/>
      <c r="AU24" s="7"/>
      <c r="AV24" s="4" t="s">
        <v>200</v>
      </c>
      <c r="AW24" s="8" t="s">
        <v>200</v>
      </c>
      <c r="AX24" s="4" t="s">
        <v>200</v>
      </c>
      <c r="AY24" s="8" t="s">
        <v>200</v>
      </c>
      <c r="AZ24" s="7" t="s">
        <v>200</v>
      </c>
      <c r="BA24" s="7" t="s">
        <v>200</v>
      </c>
      <c r="BB24" s="7"/>
      <c r="BC24" s="4" t="s">
        <v>200</v>
      </c>
      <c r="BD24" s="8" t="s">
        <v>200</v>
      </c>
      <c r="BE24" s="4" t="s">
        <v>200</v>
      </c>
      <c r="BF24" s="8" t="s">
        <v>200</v>
      </c>
      <c r="BG24" s="7" t="s">
        <v>200</v>
      </c>
      <c r="BH24" s="7" t="s">
        <v>200</v>
      </c>
      <c r="BI24" s="7"/>
      <c r="BJ24" s="4">
        <v>6</v>
      </c>
      <c r="BK24" s="8">
        <v>155.84</v>
      </c>
      <c r="BL24" s="2" t="s">
        <v>315</v>
      </c>
      <c r="BM24" s="7"/>
      <c r="BN24" s="7"/>
      <c r="BO24" s="4"/>
      <c r="BP24" s="8"/>
      <c r="BQ24" s="4"/>
      <c r="BR24" s="8"/>
      <c r="BS24" s="7"/>
      <c r="BT24" s="7"/>
      <c r="BU24" s="2" t="s">
        <v>316</v>
      </c>
      <c r="BV24" s="2" t="s">
        <v>200</v>
      </c>
      <c r="BW24" s="2" t="s">
        <v>200</v>
      </c>
      <c r="BX24" s="2" t="s">
        <v>264</v>
      </c>
      <c r="BY24" s="2" t="s">
        <v>247</v>
      </c>
      <c r="BZ24" s="2" t="s">
        <v>212</v>
      </c>
      <c r="CA24" s="2" t="s">
        <v>317</v>
      </c>
      <c r="CB24" s="2" t="s">
        <v>200</v>
      </c>
      <c r="CC24" s="2" t="s">
        <v>213</v>
      </c>
      <c r="CD24" s="2" t="s">
        <v>200</v>
      </c>
      <c r="CE24" s="4">
        <v>75</v>
      </c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</row>
    <row r="25">
      <c r="A25" s="2" t="s">
        <v>318</v>
      </c>
      <c r="B25" s="2" t="s">
        <v>230</v>
      </c>
      <c r="C25" s="2" t="s">
        <v>307</v>
      </c>
      <c r="D25" s="2" t="s">
        <v>232</v>
      </c>
      <c r="E25" s="2" t="s">
        <v>233</v>
      </c>
      <c r="F25" s="2" t="s">
        <v>308</v>
      </c>
      <c r="G25" s="2" t="s">
        <v>308</v>
      </c>
      <c r="H25" s="2" t="s">
        <v>308</v>
      </c>
      <c r="I25" s="2" t="s">
        <v>309</v>
      </c>
      <c r="J25" s="2" t="s">
        <v>297</v>
      </c>
      <c r="K25" s="2" t="s">
        <v>310</v>
      </c>
      <c r="L25" s="3">
        <v>25</v>
      </c>
      <c r="M25" s="3">
        <v>26.25</v>
      </c>
      <c r="N25" s="3">
        <v>54.99</v>
      </c>
      <c r="O25" s="2" t="s">
        <v>212</v>
      </c>
      <c r="P25" s="2" t="s">
        <v>205</v>
      </c>
      <c r="Q25" s="2" t="s">
        <v>206</v>
      </c>
      <c r="R25" s="2" t="s">
        <v>200</v>
      </c>
      <c r="S25" s="2" t="s">
        <v>311</v>
      </c>
      <c r="T25" s="2" t="s">
        <v>312</v>
      </c>
      <c r="U25" s="2" t="s">
        <v>240</v>
      </c>
      <c r="V25" s="2" t="s">
        <v>313</v>
      </c>
      <c r="W25" s="2" t="s">
        <v>313</v>
      </c>
      <c r="X25" s="2" t="s">
        <v>241</v>
      </c>
      <c r="Y25" s="2" t="s">
        <v>314</v>
      </c>
      <c r="Z25" s="4">
        <v>127</v>
      </c>
      <c r="AA25" s="4">
        <f>=ROUNDDOWN(16.4935064935065,0)</f>
      </c>
      <c r="AB25" s="5">
        <v>7.7</v>
      </c>
      <c r="AC25" s="2" t="s">
        <v>200</v>
      </c>
      <c r="AD25" s="4"/>
      <c r="AE25" s="4"/>
      <c r="AF25" s="6">
        <v>70</v>
      </c>
      <c r="AG25" s="6"/>
      <c r="AH25" s="7">
        <v>1</v>
      </c>
      <c r="AI25" s="4"/>
      <c r="AJ25" s="4">
        <f>=ROUNDDOWN({0},0)</f>
      </c>
      <c r="AK25" s="5"/>
      <c r="AL25" s="2" t="s">
        <v>200</v>
      </c>
      <c r="AM25" s="4"/>
      <c r="AN25" s="4"/>
      <c r="AO25" s="7"/>
      <c r="AP25" s="4"/>
      <c r="AQ25" s="8"/>
      <c r="AR25" s="4"/>
      <c r="AS25" s="8"/>
      <c r="AT25" s="7"/>
      <c r="AU25" s="7"/>
      <c r="AV25" s="4" t="s">
        <v>200</v>
      </c>
      <c r="AW25" s="8" t="s">
        <v>200</v>
      </c>
      <c r="AX25" s="4" t="s">
        <v>200</v>
      </c>
      <c r="AY25" s="8" t="s">
        <v>200</v>
      </c>
      <c r="AZ25" s="7" t="s">
        <v>200</v>
      </c>
      <c r="BA25" s="7" t="s">
        <v>200</v>
      </c>
      <c r="BB25" s="7"/>
      <c r="BC25" s="4" t="s">
        <v>200</v>
      </c>
      <c r="BD25" s="8" t="s">
        <v>200</v>
      </c>
      <c r="BE25" s="4" t="s">
        <v>200</v>
      </c>
      <c r="BF25" s="8" t="s">
        <v>200</v>
      </c>
      <c r="BG25" s="7" t="s">
        <v>200</v>
      </c>
      <c r="BH25" s="7" t="s">
        <v>200</v>
      </c>
      <c r="BI25" s="7"/>
      <c r="BJ25" s="4">
        <v>66</v>
      </c>
      <c r="BK25" s="8">
        <v>1825.28</v>
      </c>
      <c r="BL25" s="2" t="s">
        <v>319</v>
      </c>
      <c r="BM25" s="7"/>
      <c r="BN25" s="7"/>
      <c r="BO25" s="4"/>
      <c r="BP25" s="8"/>
      <c r="BQ25" s="4"/>
      <c r="BR25" s="8"/>
      <c r="BS25" s="7"/>
      <c r="BT25" s="7"/>
      <c r="BU25" s="2" t="s">
        <v>320</v>
      </c>
      <c r="BV25" s="2" t="s">
        <v>200</v>
      </c>
      <c r="BW25" s="2" t="s">
        <v>200</v>
      </c>
      <c r="BX25" s="2" t="s">
        <v>264</v>
      </c>
      <c r="BY25" s="2" t="s">
        <v>247</v>
      </c>
      <c r="BZ25" s="2" t="s">
        <v>212</v>
      </c>
      <c r="CA25" s="2" t="s">
        <v>317</v>
      </c>
      <c r="CB25" s="2" t="s">
        <v>200</v>
      </c>
      <c r="CC25" s="2" t="s">
        <v>213</v>
      </c>
      <c r="CD25" s="2" t="s">
        <v>200</v>
      </c>
      <c r="CE25" s="4">
        <v>127</v>
      </c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</row>
    <row r="26">
      <c r="A26" s="2" t="s">
        <v>321</v>
      </c>
      <c r="B26" s="2" t="s">
        <v>230</v>
      </c>
      <c r="C26" s="2" t="s">
        <v>307</v>
      </c>
      <c r="D26" s="2" t="s">
        <v>232</v>
      </c>
      <c r="E26" s="2" t="s">
        <v>233</v>
      </c>
      <c r="F26" s="2" t="s">
        <v>308</v>
      </c>
      <c r="G26" s="2" t="s">
        <v>308</v>
      </c>
      <c r="H26" s="2" t="s">
        <v>308</v>
      </c>
      <c r="I26" s="2" t="s">
        <v>309</v>
      </c>
      <c r="J26" s="2" t="s">
        <v>302</v>
      </c>
      <c r="K26" s="2" t="s">
        <v>310</v>
      </c>
      <c r="L26" s="3">
        <v>28.5</v>
      </c>
      <c r="M26" s="3">
        <v>29.93</v>
      </c>
      <c r="N26" s="3">
        <v>59.99</v>
      </c>
      <c r="O26" s="2" t="s">
        <v>212</v>
      </c>
      <c r="P26" s="2" t="s">
        <v>205</v>
      </c>
      <c r="Q26" s="2" t="s">
        <v>206</v>
      </c>
      <c r="R26" s="2" t="s">
        <v>200</v>
      </c>
      <c r="S26" s="2" t="s">
        <v>311</v>
      </c>
      <c r="T26" s="2" t="s">
        <v>312</v>
      </c>
      <c r="U26" s="2" t="s">
        <v>240</v>
      </c>
      <c r="V26" s="2" t="s">
        <v>313</v>
      </c>
      <c r="W26" s="2" t="s">
        <v>313</v>
      </c>
      <c r="X26" s="2" t="s">
        <v>241</v>
      </c>
      <c r="Y26" s="2" t="s">
        <v>314</v>
      </c>
      <c r="Z26" s="4">
        <v>86</v>
      </c>
      <c r="AA26" s="4">
        <f>=ROUNDDOWN(17.5510204081633,0)</f>
      </c>
      <c r="AB26" s="5">
        <v>4.9</v>
      </c>
      <c r="AC26" s="2" t="s">
        <v>200</v>
      </c>
      <c r="AD26" s="4"/>
      <c r="AE26" s="4"/>
      <c r="AF26" s="6">
        <v>70</v>
      </c>
      <c r="AG26" s="6"/>
      <c r="AH26" s="7">
        <v>1</v>
      </c>
      <c r="AI26" s="4"/>
      <c r="AJ26" s="4">
        <f>=ROUNDDOWN({0},0)</f>
      </c>
      <c r="AK26" s="5"/>
      <c r="AL26" s="2" t="s">
        <v>200</v>
      </c>
      <c r="AM26" s="4"/>
      <c r="AN26" s="4"/>
      <c r="AO26" s="7"/>
      <c r="AP26" s="4"/>
      <c r="AQ26" s="8"/>
      <c r="AR26" s="4"/>
      <c r="AS26" s="8"/>
      <c r="AT26" s="7"/>
      <c r="AU26" s="7"/>
      <c r="AV26" s="4" t="s">
        <v>200</v>
      </c>
      <c r="AW26" s="8" t="s">
        <v>200</v>
      </c>
      <c r="AX26" s="4" t="s">
        <v>200</v>
      </c>
      <c r="AY26" s="8" t="s">
        <v>200</v>
      </c>
      <c r="AZ26" s="7" t="s">
        <v>200</v>
      </c>
      <c r="BA26" s="7" t="s">
        <v>200</v>
      </c>
      <c r="BB26" s="7"/>
      <c r="BC26" s="4" t="s">
        <v>200</v>
      </c>
      <c r="BD26" s="8" t="s">
        <v>200</v>
      </c>
      <c r="BE26" s="4" t="s">
        <v>200</v>
      </c>
      <c r="BF26" s="8" t="s">
        <v>200</v>
      </c>
      <c r="BG26" s="7" t="s">
        <v>200</v>
      </c>
      <c r="BH26" s="7" t="s">
        <v>200</v>
      </c>
      <c r="BI26" s="7"/>
      <c r="BJ26" s="4">
        <v>33</v>
      </c>
      <c r="BK26" s="8">
        <v>1039.56</v>
      </c>
      <c r="BL26" s="2" t="s">
        <v>319</v>
      </c>
      <c r="BM26" s="7"/>
      <c r="BN26" s="7"/>
      <c r="BO26" s="4"/>
      <c r="BP26" s="8"/>
      <c r="BQ26" s="4"/>
      <c r="BR26" s="8"/>
      <c r="BS26" s="7"/>
      <c r="BT26" s="7"/>
      <c r="BU26" s="2" t="s">
        <v>322</v>
      </c>
      <c r="BV26" s="2" t="s">
        <v>200</v>
      </c>
      <c r="BW26" s="2" t="s">
        <v>200</v>
      </c>
      <c r="BX26" s="2" t="s">
        <v>264</v>
      </c>
      <c r="BY26" s="2" t="s">
        <v>247</v>
      </c>
      <c r="BZ26" s="2" t="s">
        <v>212</v>
      </c>
      <c r="CA26" s="2" t="s">
        <v>317</v>
      </c>
      <c r="CB26" s="2" t="s">
        <v>323</v>
      </c>
      <c r="CC26" s="2" t="s">
        <v>213</v>
      </c>
      <c r="CD26" s="2" t="s">
        <v>200</v>
      </c>
      <c r="CE26" s="4">
        <v>86</v>
      </c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</row>
    <row r="27">
      <c r="A27" s="2" t="s">
        <v>324</v>
      </c>
      <c r="B27" s="2" t="s">
        <v>230</v>
      </c>
      <c r="C27" s="2" t="s">
        <v>307</v>
      </c>
      <c r="D27" s="2" t="s">
        <v>232</v>
      </c>
      <c r="E27" s="2" t="s">
        <v>233</v>
      </c>
      <c r="F27" s="2" t="s">
        <v>308</v>
      </c>
      <c r="G27" s="2" t="s">
        <v>308</v>
      </c>
      <c r="H27" s="2" t="s">
        <v>308</v>
      </c>
      <c r="I27" s="2" t="s">
        <v>309</v>
      </c>
      <c r="J27" s="2" t="s">
        <v>277</v>
      </c>
      <c r="K27" s="2" t="s">
        <v>325</v>
      </c>
      <c r="L27" s="3">
        <v>23.75</v>
      </c>
      <c r="M27" s="3">
        <v>24.94</v>
      </c>
      <c r="N27" s="3">
        <v>49.99</v>
      </c>
      <c r="O27" s="2" t="s">
        <v>212</v>
      </c>
      <c r="P27" s="2" t="s">
        <v>205</v>
      </c>
      <c r="Q27" s="2" t="s">
        <v>206</v>
      </c>
      <c r="R27" s="2" t="s">
        <v>200</v>
      </c>
      <c r="S27" s="2" t="s">
        <v>326</v>
      </c>
      <c r="T27" s="2" t="s">
        <v>312</v>
      </c>
      <c r="U27" s="2" t="s">
        <v>240</v>
      </c>
      <c r="V27" s="2" t="s">
        <v>313</v>
      </c>
      <c r="W27" s="2" t="s">
        <v>313</v>
      </c>
      <c r="X27" s="2" t="s">
        <v>241</v>
      </c>
      <c r="Y27" s="2" t="s">
        <v>314</v>
      </c>
      <c r="Z27" s="4">
        <v>77</v>
      </c>
      <c r="AA27" s="4">
        <f>=ROUNDDOWN(22,0)</f>
      </c>
      <c r="AB27" s="5">
        <v>3.5</v>
      </c>
      <c r="AC27" s="2" t="s">
        <v>200</v>
      </c>
      <c r="AD27" s="4"/>
      <c r="AE27" s="4"/>
      <c r="AF27" s="6">
        <v>70</v>
      </c>
      <c r="AG27" s="6"/>
      <c r="AH27" s="7">
        <v>1</v>
      </c>
      <c r="AI27" s="4"/>
      <c r="AJ27" s="4">
        <f>=ROUNDDOWN({0},0)</f>
      </c>
      <c r="AK27" s="5"/>
      <c r="AL27" s="2" t="s">
        <v>200</v>
      </c>
      <c r="AM27" s="4"/>
      <c r="AN27" s="4"/>
      <c r="AO27" s="7"/>
      <c r="AP27" s="4"/>
      <c r="AQ27" s="8"/>
      <c r="AR27" s="4"/>
      <c r="AS27" s="8"/>
      <c r="AT27" s="7"/>
      <c r="AU27" s="7"/>
      <c r="AV27" s="4" t="s">
        <v>200</v>
      </c>
      <c r="AW27" s="8" t="s">
        <v>200</v>
      </c>
      <c r="AX27" s="4" t="s">
        <v>200</v>
      </c>
      <c r="AY27" s="8" t="s">
        <v>200</v>
      </c>
      <c r="AZ27" s="7" t="s">
        <v>200</v>
      </c>
      <c r="BA27" s="7" t="s">
        <v>200</v>
      </c>
      <c r="BB27" s="7"/>
      <c r="BC27" s="4" t="s">
        <v>200</v>
      </c>
      <c r="BD27" s="8" t="s">
        <v>200</v>
      </c>
      <c r="BE27" s="4" t="s">
        <v>200</v>
      </c>
      <c r="BF27" s="8" t="s">
        <v>200</v>
      </c>
      <c r="BG27" s="7" t="s">
        <v>200</v>
      </c>
      <c r="BH27" s="7" t="s">
        <v>200</v>
      </c>
      <c r="BI27" s="7"/>
      <c r="BJ27" s="4">
        <v>12</v>
      </c>
      <c r="BK27" s="8">
        <v>314.42</v>
      </c>
      <c r="BL27" s="2" t="s">
        <v>327</v>
      </c>
      <c r="BM27" s="7"/>
      <c r="BN27" s="7"/>
      <c r="BO27" s="4"/>
      <c r="BP27" s="8"/>
      <c r="BQ27" s="4"/>
      <c r="BR27" s="8"/>
      <c r="BS27" s="7"/>
      <c r="BT27" s="7"/>
      <c r="BU27" s="2" t="s">
        <v>328</v>
      </c>
      <c r="BV27" s="2" t="s">
        <v>200</v>
      </c>
      <c r="BW27" s="2" t="s">
        <v>200</v>
      </c>
      <c r="BX27" s="2" t="s">
        <v>264</v>
      </c>
      <c r="BY27" s="2" t="s">
        <v>247</v>
      </c>
      <c r="BZ27" s="2" t="s">
        <v>212</v>
      </c>
      <c r="CA27" s="2" t="s">
        <v>317</v>
      </c>
      <c r="CB27" s="2" t="s">
        <v>329</v>
      </c>
      <c r="CC27" s="2" t="s">
        <v>213</v>
      </c>
      <c r="CD27" s="2" t="s">
        <v>200</v>
      </c>
      <c r="CE27" s="4">
        <v>77</v>
      </c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</row>
    <row r="28">
      <c r="A28" s="2" t="s">
        <v>330</v>
      </c>
      <c r="B28" s="2" t="s">
        <v>230</v>
      </c>
      <c r="C28" s="2" t="s">
        <v>307</v>
      </c>
      <c r="D28" s="2" t="s">
        <v>232</v>
      </c>
      <c r="E28" s="2" t="s">
        <v>233</v>
      </c>
      <c r="F28" s="2" t="s">
        <v>308</v>
      </c>
      <c r="G28" s="2" t="s">
        <v>308</v>
      </c>
      <c r="H28" s="2" t="s">
        <v>308</v>
      </c>
      <c r="I28" s="2" t="s">
        <v>309</v>
      </c>
      <c r="J28" s="2" t="s">
        <v>297</v>
      </c>
      <c r="K28" s="2" t="s">
        <v>325</v>
      </c>
      <c r="L28" s="3">
        <v>25</v>
      </c>
      <c r="M28" s="3">
        <v>26.25</v>
      </c>
      <c r="N28" s="3">
        <v>54.99</v>
      </c>
      <c r="O28" s="2" t="s">
        <v>212</v>
      </c>
      <c r="P28" s="2" t="s">
        <v>205</v>
      </c>
      <c r="Q28" s="2" t="s">
        <v>206</v>
      </c>
      <c r="R28" s="2" t="s">
        <v>200</v>
      </c>
      <c r="S28" s="2" t="s">
        <v>326</v>
      </c>
      <c r="T28" s="2" t="s">
        <v>312</v>
      </c>
      <c r="U28" s="2" t="s">
        <v>240</v>
      </c>
      <c r="V28" s="2" t="s">
        <v>313</v>
      </c>
      <c r="W28" s="2" t="s">
        <v>313</v>
      </c>
      <c r="X28" s="2" t="s">
        <v>241</v>
      </c>
      <c r="Y28" s="2" t="s">
        <v>314</v>
      </c>
      <c r="Z28" s="4">
        <v>8</v>
      </c>
      <c r="AA28" s="4">
        <f>=ROUNDDOWN(0.727272727272727,0)</f>
      </c>
      <c r="AB28" s="5">
        <v>11</v>
      </c>
      <c r="AC28" s="2" t="s">
        <v>200</v>
      </c>
      <c r="AD28" s="4"/>
      <c r="AE28" s="4"/>
      <c r="AF28" s="6">
        <v>70</v>
      </c>
      <c r="AG28" s="6"/>
      <c r="AH28" s="7">
        <v>1</v>
      </c>
      <c r="AI28" s="4"/>
      <c r="AJ28" s="4">
        <f>=ROUNDDOWN({0},0)</f>
      </c>
      <c r="AK28" s="5"/>
      <c r="AL28" s="2" t="s">
        <v>200</v>
      </c>
      <c r="AM28" s="4"/>
      <c r="AN28" s="4"/>
      <c r="AO28" s="7"/>
      <c r="AP28" s="4"/>
      <c r="AQ28" s="8"/>
      <c r="AR28" s="4"/>
      <c r="AS28" s="8"/>
      <c r="AT28" s="7"/>
      <c r="AU28" s="7"/>
      <c r="AV28" s="4" t="s">
        <v>200</v>
      </c>
      <c r="AW28" s="8" t="s">
        <v>200</v>
      </c>
      <c r="AX28" s="4" t="s">
        <v>200</v>
      </c>
      <c r="AY28" s="8" t="s">
        <v>200</v>
      </c>
      <c r="AZ28" s="7" t="s">
        <v>200</v>
      </c>
      <c r="BA28" s="7" t="s">
        <v>200</v>
      </c>
      <c r="BB28" s="7"/>
      <c r="BC28" s="4" t="s">
        <v>200</v>
      </c>
      <c r="BD28" s="8" t="s">
        <v>200</v>
      </c>
      <c r="BE28" s="4" t="s">
        <v>200</v>
      </c>
      <c r="BF28" s="8" t="s">
        <v>200</v>
      </c>
      <c r="BG28" s="7" t="s">
        <v>200</v>
      </c>
      <c r="BH28" s="7" t="s">
        <v>200</v>
      </c>
      <c r="BI28" s="7"/>
      <c r="BJ28" s="4">
        <v>96</v>
      </c>
      <c r="BK28" s="8">
        <v>2648.4</v>
      </c>
      <c r="BL28" s="2" t="s">
        <v>327</v>
      </c>
      <c r="BM28" s="7"/>
      <c r="BN28" s="7"/>
      <c r="BO28" s="4"/>
      <c r="BP28" s="8"/>
      <c r="BQ28" s="4"/>
      <c r="BR28" s="8"/>
      <c r="BS28" s="7"/>
      <c r="BT28" s="7"/>
      <c r="BU28" s="2" t="s">
        <v>331</v>
      </c>
      <c r="BV28" s="2" t="s">
        <v>200</v>
      </c>
      <c r="BW28" s="2" t="s">
        <v>200</v>
      </c>
      <c r="BX28" s="2" t="s">
        <v>264</v>
      </c>
      <c r="BY28" s="2" t="s">
        <v>247</v>
      </c>
      <c r="BZ28" s="2" t="s">
        <v>212</v>
      </c>
      <c r="CA28" s="2" t="s">
        <v>317</v>
      </c>
      <c r="CB28" s="2" t="s">
        <v>332</v>
      </c>
      <c r="CC28" s="2" t="s">
        <v>213</v>
      </c>
      <c r="CD28" s="2" t="s">
        <v>200</v>
      </c>
      <c r="CE28" s="4">
        <v>8</v>
      </c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</row>
    <row r="29">
      <c r="A29" s="2" t="s">
        <v>333</v>
      </c>
      <c r="B29" s="2" t="s">
        <v>230</v>
      </c>
      <c r="C29" s="2" t="s">
        <v>307</v>
      </c>
      <c r="D29" s="2" t="s">
        <v>232</v>
      </c>
      <c r="E29" s="2" t="s">
        <v>233</v>
      </c>
      <c r="F29" s="2" t="s">
        <v>308</v>
      </c>
      <c r="G29" s="2" t="s">
        <v>308</v>
      </c>
      <c r="H29" s="2" t="s">
        <v>308</v>
      </c>
      <c r="I29" s="2" t="s">
        <v>309</v>
      </c>
      <c r="J29" s="2" t="s">
        <v>302</v>
      </c>
      <c r="K29" s="2" t="s">
        <v>325</v>
      </c>
      <c r="L29" s="3">
        <v>28.5</v>
      </c>
      <c r="M29" s="3">
        <v>29.93</v>
      </c>
      <c r="N29" s="3">
        <v>59.99</v>
      </c>
      <c r="O29" s="2" t="s">
        <v>212</v>
      </c>
      <c r="P29" s="2" t="s">
        <v>205</v>
      </c>
      <c r="Q29" s="2" t="s">
        <v>206</v>
      </c>
      <c r="R29" s="2" t="s">
        <v>200</v>
      </c>
      <c r="S29" s="2" t="s">
        <v>326</v>
      </c>
      <c r="T29" s="2" t="s">
        <v>312</v>
      </c>
      <c r="U29" s="2" t="s">
        <v>240</v>
      </c>
      <c r="V29" s="2" t="s">
        <v>313</v>
      </c>
      <c r="W29" s="2" t="s">
        <v>313</v>
      </c>
      <c r="X29" s="2" t="s">
        <v>241</v>
      </c>
      <c r="Y29" s="2" t="s">
        <v>314</v>
      </c>
      <c r="Z29" s="4">
        <v>6</v>
      </c>
      <c r="AA29" s="4">
        <f>=ROUNDDOWN(1,0)</f>
      </c>
      <c r="AB29" s="5">
        <v>6</v>
      </c>
      <c r="AC29" s="2" t="s">
        <v>200</v>
      </c>
      <c r="AD29" s="4"/>
      <c r="AE29" s="4"/>
      <c r="AF29" s="6">
        <v>70</v>
      </c>
      <c r="AG29" s="6"/>
      <c r="AH29" s="7">
        <v>1</v>
      </c>
      <c r="AI29" s="4"/>
      <c r="AJ29" s="4">
        <f>=ROUNDDOWN({0},0)</f>
      </c>
      <c r="AK29" s="5"/>
      <c r="AL29" s="2" t="s">
        <v>200</v>
      </c>
      <c r="AM29" s="4"/>
      <c r="AN29" s="4"/>
      <c r="AO29" s="7"/>
      <c r="AP29" s="4"/>
      <c r="AQ29" s="8"/>
      <c r="AR29" s="4"/>
      <c r="AS29" s="8"/>
      <c r="AT29" s="7"/>
      <c r="AU29" s="7"/>
      <c r="AV29" s="4" t="s">
        <v>200</v>
      </c>
      <c r="AW29" s="8" t="s">
        <v>200</v>
      </c>
      <c r="AX29" s="4" t="s">
        <v>200</v>
      </c>
      <c r="AY29" s="8" t="s">
        <v>200</v>
      </c>
      <c r="AZ29" s="7" t="s">
        <v>200</v>
      </c>
      <c r="BA29" s="7" t="s">
        <v>200</v>
      </c>
      <c r="BB29" s="7"/>
      <c r="BC29" s="4" t="s">
        <v>200</v>
      </c>
      <c r="BD29" s="8" t="s">
        <v>200</v>
      </c>
      <c r="BE29" s="4" t="s">
        <v>200</v>
      </c>
      <c r="BF29" s="8" t="s">
        <v>200</v>
      </c>
      <c r="BG29" s="7" t="s">
        <v>200</v>
      </c>
      <c r="BH29" s="7" t="s">
        <v>200</v>
      </c>
      <c r="BI29" s="7"/>
      <c r="BJ29" s="4">
        <v>67</v>
      </c>
      <c r="BK29" s="8">
        <v>2112.16</v>
      </c>
      <c r="BL29" s="2" t="s">
        <v>334</v>
      </c>
      <c r="BM29" s="7"/>
      <c r="BN29" s="7"/>
      <c r="BO29" s="4"/>
      <c r="BP29" s="8"/>
      <c r="BQ29" s="4"/>
      <c r="BR29" s="8"/>
      <c r="BS29" s="7"/>
      <c r="BT29" s="7"/>
      <c r="BU29" s="2" t="s">
        <v>335</v>
      </c>
      <c r="BV29" s="2" t="s">
        <v>200</v>
      </c>
      <c r="BW29" s="2" t="s">
        <v>200</v>
      </c>
      <c r="BX29" s="2" t="s">
        <v>264</v>
      </c>
      <c r="BY29" s="2" t="s">
        <v>247</v>
      </c>
      <c r="BZ29" s="2" t="s">
        <v>212</v>
      </c>
      <c r="CA29" s="2" t="s">
        <v>317</v>
      </c>
      <c r="CB29" s="2" t="s">
        <v>323</v>
      </c>
      <c r="CC29" s="2" t="s">
        <v>213</v>
      </c>
      <c r="CD29" s="2" t="s">
        <v>200</v>
      </c>
      <c r="CE29" s="4">
        <v>6</v>
      </c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</row>
    <row r="30">
      <c r="A30" s="2" t="s">
        <v>336</v>
      </c>
      <c r="B30" s="2" t="s">
        <v>230</v>
      </c>
      <c r="C30" s="2" t="s">
        <v>307</v>
      </c>
      <c r="D30" s="2" t="s">
        <v>232</v>
      </c>
      <c r="E30" s="2" t="s">
        <v>233</v>
      </c>
      <c r="F30" s="2" t="s">
        <v>308</v>
      </c>
      <c r="G30" s="2" t="s">
        <v>308</v>
      </c>
      <c r="H30" s="2" t="s">
        <v>308</v>
      </c>
      <c r="I30" s="2" t="s">
        <v>309</v>
      </c>
      <c r="J30" s="2" t="s">
        <v>302</v>
      </c>
      <c r="K30" s="2" t="s">
        <v>337</v>
      </c>
      <c r="L30" s="3">
        <v>28.5</v>
      </c>
      <c r="M30" s="3">
        <v>29.93</v>
      </c>
      <c r="N30" s="3">
        <v>59.99</v>
      </c>
      <c r="O30" s="2" t="s">
        <v>212</v>
      </c>
      <c r="P30" s="2" t="s">
        <v>258</v>
      </c>
      <c r="Q30" s="2" t="s">
        <v>206</v>
      </c>
      <c r="R30" s="2" t="s">
        <v>200</v>
      </c>
      <c r="S30" s="2" t="s">
        <v>338</v>
      </c>
      <c r="T30" s="2" t="s">
        <v>312</v>
      </c>
      <c r="U30" s="2" t="s">
        <v>240</v>
      </c>
      <c r="V30" s="2" t="s">
        <v>339</v>
      </c>
      <c r="W30" s="2" t="s">
        <v>241</v>
      </c>
      <c r="X30" s="2" t="s">
        <v>200</v>
      </c>
      <c r="Y30" s="2" t="s">
        <v>340</v>
      </c>
      <c r="Z30" s="4">
        <v>2</v>
      </c>
      <c r="AA30" s="4">
        <f>=ROUNDDOWN(0.333333333333333,0)</f>
      </c>
      <c r="AB30" s="5">
        <v>6</v>
      </c>
      <c r="AC30" s="2" t="s">
        <v>114</v>
      </c>
      <c r="AD30" s="4">
        <v>30</v>
      </c>
      <c r="AE30" s="4">
        <v>330</v>
      </c>
      <c r="AF30" s="6">
        <v>70</v>
      </c>
      <c r="AG30" s="6"/>
      <c r="AH30" s="7">
        <v>1</v>
      </c>
      <c r="AI30" s="4"/>
      <c r="AJ30" s="4">
        <f>=ROUNDDOWN({0},0)</f>
      </c>
      <c r="AK30" s="5"/>
      <c r="AL30" s="2" t="s">
        <v>200</v>
      </c>
      <c r="AM30" s="4"/>
      <c r="AN30" s="4"/>
      <c r="AO30" s="7"/>
      <c r="AP30" s="4"/>
      <c r="AQ30" s="8"/>
      <c r="AR30" s="4"/>
      <c r="AS30" s="8"/>
      <c r="AT30" s="7"/>
      <c r="AU30" s="7"/>
      <c r="AV30" s="4"/>
      <c r="AW30" s="8"/>
      <c r="AX30" s="4"/>
      <c r="AY30" s="8"/>
      <c r="AZ30" s="7"/>
      <c r="BA30" s="7"/>
      <c r="BB30" s="7"/>
      <c r="BC30" s="4" t="s">
        <v>200</v>
      </c>
      <c r="BD30" s="8" t="s">
        <v>200</v>
      </c>
      <c r="BE30" s="4" t="s">
        <v>200</v>
      </c>
      <c r="BF30" s="8" t="s">
        <v>200</v>
      </c>
      <c r="BG30" s="7" t="s">
        <v>200</v>
      </c>
      <c r="BH30" s="7" t="s">
        <v>200</v>
      </c>
      <c r="BI30" s="7"/>
      <c r="BJ30" s="4">
        <v>29</v>
      </c>
      <c r="BK30" s="8">
        <v>921.6</v>
      </c>
      <c r="BL30" s="2" t="s">
        <v>341</v>
      </c>
      <c r="BM30" s="7"/>
      <c r="BN30" s="7"/>
      <c r="BO30" s="4"/>
      <c r="BP30" s="8"/>
      <c r="BQ30" s="4"/>
      <c r="BR30" s="8"/>
      <c r="BS30" s="7"/>
      <c r="BT30" s="7"/>
      <c r="BU30" s="2" t="s">
        <v>342</v>
      </c>
      <c r="BV30" s="2" t="s">
        <v>200</v>
      </c>
      <c r="BW30" s="2" t="s">
        <v>200</v>
      </c>
      <c r="BX30" s="2" t="s">
        <v>264</v>
      </c>
      <c r="BY30" s="2" t="s">
        <v>247</v>
      </c>
      <c r="BZ30" s="2" t="s">
        <v>212</v>
      </c>
      <c r="CA30" s="2" t="s">
        <v>343</v>
      </c>
      <c r="CB30" s="2" t="s">
        <v>344</v>
      </c>
      <c r="CC30" s="2" t="s">
        <v>213</v>
      </c>
      <c r="CD30" s="2" t="s">
        <v>200</v>
      </c>
      <c r="CE30" s="4">
        <v>2</v>
      </c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>
        <v>30</v>
      </c>
      <c r="DB30" s="4"/>
      <c r="DC30" s="4"/>
      <c r="DD30" s="4"/>
      <c r="DE30" s="4"/>
      <c r="DF30" s="4"/>
      <c r="DG30" s="4"/>
      <c r="DH30" s="4"/>
      <c r="DI30" s="4"/>
      <c r="DJ30" s="4">
        <v>200</v>
      </c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>
        <v>100</v>
      </c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</row>
    <row r="31">
      <c r="A31" s="2" t="s">
        <v>345</v>
      </c>
      <c r="B31" s="2" t="s">
        <v>230</v>
      </c>
      <c r="C31" s="2" t="s">
        <v>307</v>
      </c>
      <c r="D31" s="2" t="s">
        <v>232</v>
      </c>
      <c r="E31" s="2" t="s">
        <v>233</v>
      </c>
      <c r="F31" s="2" t="s">
        <v>308</v>
      </c>
      <c r="G31" s="2" t="s">
        <v>308</v>
      </c>
      <c r="H31" s="2" t="s">
        <v>308</v>
      </c>
      <c r="I31" s="2" t="s">
        <v>309</v>
      </c>
      <c r="J31" s="2" t="s">
        <v>297</v>
      </c>
      <c r="K31" s="2" t="s">
        <v>346</v>
      </c>
      <c r="L31" s="3">
        <v>25</v>
      </c>
      <c r="M31" s="3">
        <v>26.25</v>
      </c>
      <c r="N31" s="3">
        <v>54.99</v>
      </c>
      <c r="O31" s="2" t="s">
        <v>212</v>
      </c>
      <c r="P31" s="2" t="s">
        <v>258</v>
      </c>
      <c r="Q31" s="2" t="s">
        <v>206</v>
      </c>
      <c r="R31" s="2" t="s">
        <v>200</v>
      </c>
      <c r="S31" s="2" t="s">
        <v>347</v>
      </c>
      <c r="T31" s="2" t="s">
        <v>312</v>
      </c>
      <c r="U31" s="2" t="s">
        <v>240</v>
      </c>
      <c r="V31" s="2" t="s">
        <v>348</v>
      </c>
      <c r="W31" s="2" t="s">
        <v>241</v>
      </c>
      <c r="X31" s="2" t="s">
        <v>200</v>
      </c>
      <c r="Y31" s="2" t="s">
        <v>340</v>
      </c>
      <c r="Z31" s="4">
        <v>239</v>
      </c>
      <c r="AA31" s="4">
        <f>=ROUNDDOWN(21.7272727272727,0)</f>
      </c>
      <c r="AB31" s="5">
        <v>11</v>
      </c>
      <c r="AC31" s="2" t="s">
        <v>123</v>
      </c>
      <c r="AD31" s="4">
        <v>200</v>
      </c>
      <c r="AE31" s="4">
        <v>410</v>
      </c>
      <c r="AF31" s="6">
        <v>70</v>
      </c>
      <c r="AG31" s="6"/>
      <c r="AH31" s="7">
        <v>1</v>
      </c>
      <c r="AI31" s="4"/>
      <c r="AJ31" s="4">
        <f>=ROUNDDOWN({0},0)</f>
      </c>
      <c r="AK31" s="5"/>
      <c r="AL31" s="2" t="s">
        <v>200</v>
      </c>
      <c r="AM31" s="4"/>
      <c r="AN31" s="4"/>
      <c r="AO31" s="7"/>
      <c r="AP31" s="4"/>
      <c r="AQ31" s="8"/>
      <c r="AR31" s="4"/>
      <c r="AS31" s="8"/>
      <c r="AT31" s="7"/>
      <c r="AU31" s="7"/>
      <c r="AV31" s="4" t="s">
        <v>200</v>
      </c>
      <c r="AW31" s="8" t="s">
        <v>200</v>
      </c>
      <c r="AX31" s="4" t="s">
        <v>200</v>
      </c>
      <c r="AY31" s="8" t="s">
        <v>200</v>
      </c>
      <c r="AZ31" s="7" t="s">
        <v>200</v>
      </c>
      <c r="BA31" s="7" t="s">
        <v>200</v>
      </c>
      <c r="BB31" s="7"/>
      <c r="BC31" s="4" t="s">
        <v>200</v>
      </c>
      <c r="BD31" s="8" t="s">
        <v>200</v>
      </c>
      <c r="BE31" s="4" t="s">
        <v>200</v>
      </c>
      <c r="BF31" s="8" t="s">
        <v>200</v>
      </c>
      <c r="BG31" s="7" t="s">
        <v>200</v>
      </c>
      <c r="BH31" s="7" t="s">
        <v>200</v>
      </c>
      <c r="BI31" s="7"/>
      <c r="BJ31" s="4">
        <v>58</v>
      </c>
      <c r="BK31" s="8">
        <v>1613.92</v>
      </c>
      <c r="BL31" s="2" t="s">
        <v>349</v>
      </c>
      <c r="BM31" s="7"/>
      <c r="BN31" s="7"/>
      <c r="BO31" s="4"/>
      <c r="BP31" s="8"/>
      <c r="BQ31" s="4"/>
      <c r="BR31" s="8"/>
      <c r="BS31" s="7"/>
      <c r="BT31" s="7"/>
      <c r="BU31" s="2" t="s">
        <v>350</v>
      </c>
      <c r="BV31" s="2" t="s">
        <v>200</v>
      </c>
      <c r="BW31" s="2" t="s">
        <v>200</v>
      </c>
      <c r="BX31" s="2" t="s">
        <v>264</v>
      </c>
      <c r="BY31" s="2" t="s">
        <v>247</v>
      </c>
      <c r="BZ31" s="2" t="s">
        <v>212</v>
      </c>
      <c r="CA31" s="2" t="s">
        <v>343</v>
      </c>
      <c r="CB31" s="2" t="s">
        <v>351</v>
      </c>
      <c r="CC31" s="2" t="s">
        <v>213</v>
      </c>
      <c r="CD31" s="2" t="s">
        <v>200</v>
      </c>
      <c r="CE31" s="4">
        <v>239</v>
      </c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>
        <v>200</v>
      </c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>
        <v>210</v>
      </c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</row>
    <row r="32">
      <c r="A32" s="2" t="s">
        <v>352</v>
      </c>
      <c r="B32" s="2" t="s">
        <v>230</v>
      </c>
      <c r="C32" s="2" t="s">
        <v>307</v>
      </c>
      <c r="D32" s="2" t="s">
        <v>232</v>
      </c>
      <c r="E32" s="2" t="s">
        <v>233</v>
      </c>
      <c r="F32" s="2" t="s">
        <v>308</v>
      </c>
      <c r="G32" s="2" t="s">
        <v>308</v>
      </c>
      <c r="H32" s="2" t="s">
        <v>308</v>
      </c>
      <c r="I32" s="2" t="s">
        <v>309</v>
      </c>
      <c r="J32" s="2" t="s">
        <v>302</v>
      </c>
      <c r="K32" s="2" t="s">
        <v>346</v>
      </c>
      <c r="L32" s="3">
        <v>28.5</v>
      </c>
      <c r="M32" s="3">
        <v>29.93</v>
      </c>
      <c r="N32" s="3">
        <v>59.99</v>
      </c>
      <c r="O32" s="2" t="s">
        <v>212</v>
      </c>
      <c r="P32" s="2" t="s">
        <v>258</v>
      </c>
      <c r="Q32" s="2" t="s">
        <v>206</v>
      </c>
      <c r="R32" s="2" t="s">
        <v>200</v>
      </c>
      <c r="S32" s="2" t="s">
        <v>347</v>
      </c>
      <c r="T32" s="2" t="s">
        <v>312</v>
      </c>
      <c r="U32" s="2" t="s">
        <v>240</v>
      </c>
      <c r="V32" s="2" t="s">
        <v>348</v>
      </c>
      <c r="W32" s="2" t="s">
        <v>241</v>
      </c>
      <c r="X32" s="2" t="s">
        <v>200</v>
      </c>
      <c r="Y32" s="2" t="s">
        <v>340</v>
      </c>
      <c r="Z32" s="4">
        <v>113</v>
      </c>
      <c r="AA32" s="4">
        <f>=ROUNDDOWN(12.5555555555556,0)</f>
      </c>
      <c r="AB32" s="5">
        <v>9</v>
      </c>
      <c r="AC32" s="2" t="s">
        <v>123</v>
      </c>
      <c r="AD32" s="4">
        <v>200</v>
      </c>
      <c r="AE32" s="4">
        <v>380</v>
      </c>
      <c r="AF32" s="6">
        <v>70</v>
      </c>
      <c r="AG32" s="6"/>
      <c r="AH32" s="7">
        <v>1</v>
      </c>
      <c r="AI32" s="4"/>
      <c r="AJ32" s="4">
        <f>=ROUNDDOWN({0},0)</f>
      </c>
      <c r="AK32" s="5"/>
      <c r="AL32" s="2" t="s">
        <v>200</v>
      </c>
      <c r="AM32" s="4"/>
      <c r="AN32" s="4"/>
      <c r="AO32" s="7"/>
      <c r="AP32" s="4"/>
      <c r="AQ32" s="8"/>
      <c r="AR32" s="4"/>
      <c r="AS32" s="8"/>
      <c r="AT32" s="7"/>
      <c r="AU32" s="7"/>
      <c r="AV32" s="4" t="s">
        <v>200</v>
      </c>
      <c r="AW32" s="8" t="s">
        <v>200</v>
      </c>
      <c r="AX32" s="4" t="s">
        <v>200</v>
      </c>
      <c r="AY32" s="8" t="s">
        <v>200</v>
      </c>
      <c r="AZ32" s="7" t="s">
        <v>200</v>
      </c>
      <c r="BA32" s="7" t="s">
        <v>200</v>
      </c>
      <c r="BB32" s="7"/>
      <c r="BC32" s="4" t="s">
        <v>200</v>
      </c>
      <c r="BD32" s="8" t="s">
        <v>200</v>
      </c>
      <c r="BE32" s="4" t="s">
        <v>200</v>
      </c>
      <c r="BF32" s="8" t="s">
        <v>200</v>
      </c>
      <c r="BG32" s="7" t="s">
        <v>200</v>
      </c>
      <c r="BH32" s="7" t="s">
        <v>200</v>
      </c>
      <c r="BI32" s="7"/>
      <c r="BJ32" s="4">
        <v>34</v>
      </c>
      <c r="BK32" s="8">
        <v>1116.97</v>
      </c>
      <c r="BL32" s="2" t="s">
        <v>353</v>
      </c>
      <c r="BM32" s="7"/>
      <c r="BN32" s="7"/>
      <c r="BO32" s="4"/>
      <c r="BP32" s="8"/>
      <c r="BQ32" s="4"/>
      <c r="BR32" s="8"/>
      <c r="BS32" s="7"/>
      <c r="BT32" s="7"/>
      <c r="BU32" s="2" t="s">
        <v>354</v>
      </c>
      <c r="BV32" s="2" t="s">
        <v>200</v>
      </c>
      <c r="BW32" s="2" t="s">
        <v>200</v>
      </c>
      <c r="BX32" s="2" t="s">
        <v>264</v>
      </c>
      <c r="BY32" s="2" t="s">
        <v>247</v>
      </c>
      <c r="BZ32" s="2" t="s">
        <v>212</v>
      </c>
      <c r="CA32" s="2" t="s">
        <v>343</v>
      </c>
      <c r="CB32" s="2" t="s">
        <v>355</v>
      </c>
      <c r="CC32" s="2" t="s">
        <v>213</v>
      </c>
      <c r="CD32" s="2" t="s">
        <v>200</v>
      </c>
      <c r="CE32" s="4">
        <v>113</v>
      </c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>
        <v>200</v>
      </c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>
        <v>180</v>
      </c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</row>
    <row r="33">
      <c r="A33" s="2" t="s">
        <v>356</v>
      </c>
      <c r="B33" s="2" t="s">
        <v>230</v>
      </c>
      <c r="C33" s="2" t="s">
        <v>307</v>
      </c>
      <c r="D33" s="2" t="s">
        <v>232</v>
      </c>
      <c r="E33" s="2" t="s">
        <v>233</v>
      </c>
      <c r="F33" s="2" t="s">
        <v>308</v>
      </c>
      <c r="G33" s="2" t="s">
        <v>308</v>
      </c>
      <c r="H33" s="2" t="s">
        <v>308</v>
      </c>
      <c r="I33" s="2" t="s">
        <v>309</v>
      </c>
      <c r="J33" s="2" t="s">
        <v>277</v>
      </c>
      <c r="K33" s="2" t="s">
        <v>357</v>
      </c>
      <c r="L33" s="3">
        <v>23.75</v>
      </c>
      <c r="M33" s="3">
        <v>24.94</v>
      </c>
      <c r="N33" s="3">
        <v>49.99</v>
      </c>
      <c r="O33" s="2" t="s">
        <v>212</v>
      </c>
      <c r="P33" s="2" t="s">
        <v>258</v>
      </c>
      <c r="Q33" s="2" t="s">
        <v>206</v>
      </c>
      <c r="R33" s="2" t="s">
        <v>200</v>
      </c>
      <c r="S33" s="2" t="s">
        <v>358</v>
      </c>
      <c r="T33" s="2" t="s">
        <v>312</v>
      </c>
      <c r="U33" s="2" t="s">
        <v>240</v>
      </c>
      <c r="V33" s="2" t="s">
        <v>339</v>
      </c>
      <c r="W33" s="2" t="s">
        <v>241</v>
      </c>
      <c r="X33" s="2" t="s">
        <v>200</v>
      </c>
      <c r="Y33" s="2" t="s">
        <v>340</v>
      </c>
      <c r="Z33" s="4">
        <v>100</v>
      </c>
      <c r="AA33" s="4">
        <f>=ROUNDDOWN(12.8205128205128,0)</f>
      </c>
      <c r="AB33" s="5">
        <v>7.8</v>
      </c>
      <c r="AC33" s="2" t="s">
        <v>114</v>
      </c>
      <c r="AD33" s="4">
        <v>70</v>
      </c>
      <c r="AE33" s="4">
        <v>150</v>
      </c>
      <c r="AF33" s="6">
        <v>70</v>
      </c>
      <c r="AG33" s="6"/>
      <c r="AH33" s="7">
        <v>0.2667</v>
      </c>
      <c r="AI33" s="4"/>
      <c r="AJ33" s="4">
        <f>=ROUNDDOWN({0},0)</f>
      </c>
      <c r="AK33" s="5"/>
      <c r="AL33" s="2" t="s">
        <v>200</v>
      </c>
      <c r="AM33" s="4"/>
      <c r="AN33" s="4"/>
      <c r="AO33" s="7"/>
      <c r="AP33" s="4"/>
      <c r="AQ33" s="8"/>
      <c r="AR33" s="4"/>
      <c r="AS33" s="8"/>
      <c r="AT33" s="7"/>
      <c r="AU33" s="7"/>
      <c r="AV33" s="4" t="s">
        <v>200</v>
      </c>
      <c r="AW33" s="8" t="s">
        <v>200</v>
      </c>
      <c r="AX33" s="4" t="s">
        <v>200</v>
      </c>
      <c r="AY33" s="8" t="s">
        <v>200</v>
      </c>
      <c r="AZ33" s="7" t="s">
        <v>200</v>
      </c>
      <c r="BA33" s="7" t="s">
        <v>200</v>
      </c>
      <c r="BB33" s="7"/>
      <c r="BC33" s="4" t="s">
        <v>200</v>
      </c>
      <c r="BD33" s="8" t="s">
        <v>200</v>
      </c>
      <c r="BE33" s="4" t="s">
        <v>200</v>
      </c>
      <c r="BF33" s="8" t="s">
        <v>200</v>
      </c>
      <c r="BG33" s="7" t="s">
        <v>200</v>
      </c>
      <c r="BH33" s="7" t="s">
        <v>200</v>
      </c>
      <c r="BI33" s="7"/>
      <c r="BJ33" s="4">
        <v>2</v>
      </c>
      <c r="BK33" s="8">
        <v>54.62</v>
      </c>
      <c r="BL33" s="2" t="s">
        <v>359</v>
      </c>
      <c r="BM33" s="7"/>
      <c r="BN33" s="7"/>
      <c r="BO33" s="4"/>
      <c r="BP33" s="8"/>
      <c r="BQ33" s="4"/>
      <c r="BR33" s="8"/>
      <c r="BS33" s="7"/>
      <c r="BT33" s="7"/>
      <c r="BU33" s="2" t="s">
        <v>360</v>
      </c>
      <c r="BV33" s="2" t="s">
        <v>200</v>
      </c>
      <c r="BW33" s="2" t="s">
        <v>200</v>
      </c>
      <c r="BX33" s="2" t="s">
        <v>264</v>
      </c>
      <c r="BY33" s="2" t="s">
        <v>247</v>
      </c>
      <c r="BZ33" s="2" t="s">
        <v>212</v>
      </c>
      <c r="CA33" s="2" t="s">
        <v>343</v>
      </c>
      <c r="CB33" s="2" t="s">
        <v>361</v>
      </c>
      <c r="CC33" s="2" t="s">
        <v>213</v>
      </c>
      <c r="CD33" s="2" t="s">
        <v>200</v>
      </c>
      <c r="CE33" s="4"/>
      <c r="CF33" s="4"/>
      <c r="CG33" s="4"/>
      <c r="CH33" s="4"/>
      <c r="CI33" s="4"/>
      <c r="CJ33" s="4"/>
      <c r="CK33" s="4">
        <v>100</v>
      </c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>
        <v>70</v>
      </c>
      <c r="DB33" s="4"/>
      <c r="DC33" s="4"/>
      <c r="DD33" s="4"/>
      <c r="DE33" s="4"/>
      <c r="DF33" s="4"/>
      <c r="DG33" s="4"/>
      <c r="DH33" s="4"/>
      <c r="DI33" s="4"/>
      <c r="DJ33" s="4">
        <v>30</v>
      </c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>
        <v>50</v>
      </c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</row>
    <row r="34">
      <c r="A34" s="2" t="s">
        <v>362</v>
      </c>
      <c r="B34" s="2" t="s">
        <v>230</v>
      </c>
      <c r="C34" s="2" t="s">
        <v>307</v>
      </c>
      <c r="D34" s="2" t="s">
        <v>232</v>
      </c>
      <c r="E34" s="2" t="s">
        <v>233</v>
      </c>
      <c r="F34" s="2" t="s">
        <v>308</v>
      </c>
      <c r="G34" s="2" t="s">
        <v>308</v>
      </c>
      <c r="H34" s="2" t="s">
        <v>308</v>
      </c>
      <c r="I34" s="2" t="s">
        <v>309</v>
      </c>
      <c r="J34" s="2" t="s">
        <v>297</v>
      </c>
      <c r="K34" s="2" t="s">
        <v>357</v>
      </c>
      <c r="L34" s="3">
        <v>25</v>
      </c>
      <c r="M34" s="3">
        <v>26.25</v>
      </c>
      <c r="N34" s="3">
        <v>54.99</v>
      </c>
      <c r="O34" s="2" t="s">
        <v>212</v>
      </c>
      <c r="P34" s="2" t="s">
        <v>258</v>
      </c>
      <c r="Q34" s="2" t="s">
        <v>206</v>
      </c>
      <c r="R34" s="2" t="s">
        <v>200</v>
      </c>
      <c r="S34" s="2" t="s">
        <v>358</v>
      </c>
      <c r="T34" s="2" t="s">
        <v>312</v>
      </c>
      <c r="U34" s="2" t="s">
        <v>240</v>
      </c>
      <c r="V34" s="2" t="s">
        <v>339</v>
      </c>
      <c r="W34" s="2" t="s">
        <v>241</v>
      </c>
      <c r="X34" s="2" t="s">
        <v>200</v>
      </c>
      <c r="Y34" s="2" t="s">
        <v>340</v>
      </c>
      <c r="Z34" s="4">
        <v>150</v>
      </c>
      <c r="AA34" s="4">
        <f>=ROUNDDOWN(12.5,0)</f>
      </c>
      <c r="AB34" s="5">
        <v>12</v>
      </c>
      <c r="AC34" s="2" t="s">
        <v>114</v>
      </c>
      <c r="AD34" s="4">
        <v>140</v>
      </c>
      <c r="AE34" s="4">
        <v>440</v>
      </c>
      <c r="AF34" s="6">
        <v>70</v>
      </c>
      <c r="AG34" s="6"/>
      <c r="AH34" s="7">
        <v>0.4333</v>
      </c>
      <c r="AI34" s="4"/>
      <c r="AJ34" s="4">
        <f>=ROUNDDOWN({0},0)</f>
      </c>
      <c r="AK34" s="5"/>
      <c r="AL34" s="2" t="s">
        <v>200</v>
      </c>
      <c r="AM34" s="4"/>
      <c r="AN34" s="4"/>
      <c r="AO34" s="7"/>
      <c r="AP34" s="4"/>
      <c r="AQ34" s="8"/>
      <c r="AR34" s="4"/>
      <c r="AS34" s="8"/>
      <c r="AT34" s="7"/>
      <c r="AU34" s="7"/>
      <c r="AV34" s="4" t="s">
        <v>200</v>
      </c>
      <c r="AW34" s="8" t="s">
        <v>200</v>
      </c>
      <c r="AX34" s="4" t="s">
        <v>200</v>
      </c>
      <c r="AY34" s="8" t="s">
        <v>200</v>
      </c>
      <c r="AZ34" s="7" t="s">
        <v>200</v>
      </c>
      <c r="BA34" s="7" t="s">
        <v>200</v>
      </c>
      <c r="BB34" s="7"/>
      <c r="BC34" s="4" t="s">
        <v>200</v>
      </c>
      <c r="BD34" s="8" t="s">
        <v>200</v>
      </c>
      <c r="BE34" s="4" t="s">
        <v>200</v>
      </c>
      <c r="BF34" s="8" t="s">
        <v>200</v>
      </c>
      <c r="BG34" s="7" t="s">
        <v>200</v>
      </c>
      <c r="BH34" s="7" t="s">
        <v>200</v>
      </c>
      <c r="BI34" s="7"/>
      <c r="BJ34" s="4">
        <v>11</v>
      </c>
      <c r="BK34" s="8">
        <v>323.93</v>
      </c>
      <c r="BL34" s="2" t="s">
        <v>363</v>
      </c>
      <c r="BM34" s="7"/>
      <c r="BN34" s="7"/>
      <c r="BO34" s="4"/>
      <c r="BP34" s="8"/>
      <c r="BQ34" s="4"/>
      <c r="BR34" s="8"/>
      <c r="BS34" s="7"/>
      <c r="BT34" s="7"/>
      <c r="BU34" s="2" t="s">
        <v>364</v>
      </c>
      <c r="BV34" s="2" t="s">
        <v>200</v>
      </c>
      <c r="BW34" s="2" t="s">
        <v>200</v>
      </c>
      <c r="BX34" s="2" t="s">
        <v>264</v>
      </c>
      <c r="BY34" s="2" t="s">
        <v>247</v>
      </c>
      <c r="BZ34" s="2" t="s">
        <v>212</v>
      </c>
      <c r="CA34" s="2" t="s">
        <v>343</v>
      </c>
      <c r="CB34" s="2" t="s">
        <v>365</v>
      </c>
      <c r="CC34" s="2" t="s">
        <v>213</v>
      </c>
      <c r="CD34" s="2" t="s">
        <v>200</v>
      </c>
      <c r="CE34" s="4"/>
      <c r="CF34" s="4"/>
      <c r="CG34" s="4"/>
      <c r="CH34" s="4"/>
      <c r="CI34" s="4"/>
      <c r="CJ34" s="4"/>
      <c r="CK34" s="4">
        <v>150</v>
      </c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>
        <v>140</v>
      </c>
      <c r="DB34" s="4"/>
      <c r="DC34" s="4"/>
      <c r="DD34" s="4"/>
      <c r="DE34" s="4"/>
      <c r="DF34" s="4"/>
      <c r="DG34" s="4"/>
      <c r="DH34" s="4"/>
      <c r="DI34" s="4"/>
      <c r="DJ34" s="4">
        <v>160</v>
      </c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>
        <v>140</v>
      </c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</row>
    <row r="35">
      <c r="A35" s="2" t="s">
        <v>366</v>
      </c>
      <c r="B35" s="2" t="s">
        <v>230</v>
      </c>
      <c r="C35" s="2" t="s">
        <v>307</v>
      </c>
      <c r="D35" s="2" t="s">
        <v>232</v>
      </c>
      <c r="E35" s="2" t="s">
        <v>233</v>
      </c>
      <c r="F35" s="2" t="s">
        <v>308</v>
      </c>
      <c r="G35" s="2" t="s">
        <v>308</v>
      </c>
      <c r="H35" s="2" t="s">
        <v>308</v>
      </c>
      <c r="I35" s="2" t="s">
        <v>309</v>
      </c>
      <c r="J35" s="2" t="s">
        <v>277</v>
      </c>
      <c r="K35" s="2" t="s">
        <v>367</v>
      </c>
      <c r="L35" s="3">
        <v>23.75</v>
      </c>
      <c r="M35" s="3">
        <v>24.94</v>
      </c>
      <c r="N35" s="3">
        <v>49.99</v>
      </c>
      <c r="O35" s="2" t="s">
        <v>212</v>
      </c>
      <c r="P35" s="2" t="s">
        <v>285</v>
      </c>
      <c r="Q35" s="2" t="s">
        <v>206</v>
      </c>
      <c r="R35" s="2" t="s">
        <v>200</v>
      </c>
      <c r="S35" s="2" t="s">
        <v>368</v>
      </c>
      <c r="T35" s="2" t="s">
        <v>312</v>
      </c>
      <c r="U35" s="2" t="s">
        <v>240</v>
      </c>
      <c r="V35" s="2" t="s">
        <v>348</v>
      </c>
      <c r="W35" s="2" t="s">
        <v>241</v>
      </c>
      <c r="X35" s="2" t="s">
        <v>200</v>
      </c>
      <c r="Y35" s="2" t="s">
        <v>340</v>
      </c>
      <c r="Z35" s="4">
        <v>51</v>
      </c>
      <c r="AA35" s="4">
        <f>=ROUNDDOWN(13.0769230769231,0)</f>
      </c>
      <c r="AB35" s="5">
        <v>3.9</v>
      </c>
      <c r="AC35" s="2" t="s">
        <v>369</v>
      </c>
      <c r="AD35" s="4">
        <v>60</v>
      </c>
      <c r="AE35" s="4">
        <v>60</v>
      </c>
      <c r="AF35" s="6">
        <v>70</v>
      </c>
      <c r="AG35" s="6"/>
      <c r="AH35" s="7">
        <v>1</v>
      </c>
      <c r="AI35" s="4"/>
      <c r="AJ35" s="4">
        <f>=ROUNDDOWN({0},0)</f>
      </c>
      <c r="AK35" s="5"/>
      <c r="AL35" s="2" t="s">
        <v>200</v>
      </c>
      <c r="AM35" s="4"/>
      <c r="AN35" s="4"/>
      <c r="AO35" s="7"/>
      <c r="AP35" s="4"/>
      <c r="AQ35" s="8"/>
      <c r="AR35" s="4"/>
      <c r="AS35" s="8"/>
      <c r="AT35" s="7"/>
      <c r="AU35" s="7"/>
      <c r="AV35" s="4"/>
      <c r="AW35" s="8"/>
      <c r="AX35" s="4"/>
      <c r="AY35" s="8"/>
      <c r="AZ35" s="7"/>
      <c r="BA35" s="7"/>
      <c r="BB35" s="7"/>
      <c r="BC35" s="4" t="s">
        <v>200</v>
      </c>
      <c r="BD35" s="8" t="s">
        <v>200</v>
      </c>
      <c r="BE35" s="4" t="s">
        <v>200</v>
      </c>
      <c r="BF35" s="8" t="s">
        <v>200</v>
      </c>
      <c r="BG35" s="7" t="s">
        <v>200</v>
      </c>
      <c r="BH35" s="7" t="s">
        <v>200</v>
      </c>
      <c r="BI35" s="7"/>
      <c r="BJ35" s="4">
        <v>17</v>
      </c>
      <c r="BK35" s="8">
        <v>423.41</v>
      </c>
      <c r="BL35" s="2" t="s">
        <v>370</v>
      </c>
      <c r="BM35" s="7"/>
      <c r="BN35" s="7"/>
      <c r="BO35" s="4"/>
      <c r="BP35" s="8"/>
      <c r="BQ35" s="4"/>
      <c r="BR35" s="8"/>
      <c r="BS35" s="7"/>
      <c r="BT35" s="7"/>
      <c r="BU35" s="2" t="s">
        <v>371</v>
      </c>
      <c r="BV35" s="2" t="s">
        <v>200</v>
      </c>
      <c r="BW35" s="2" t="s">
        <v>200</v>
      </c>
      <c r="BX35" s="2" t="s">
        <v>289</v>
      </c>
      <c r="BY35" s="2" t="s">
        <v>247</v>
      </c>
      <c r="BZ35" s="2" t="s">
        <v>212</v>
      </c>
      <c r="CA35" s="2" t="s">
        <v>343</v>
      </c>
      <c r="CB35" s="2" t="s">
        <v>372</v>
      </c>
      <c r="CC35" s="2" t="s">
        <v>213</v>
      </c>
      <c r="CD35" s="2" t="s">
        <v>200</v>
      </c>
      <c r="CE35" s="4">
        <v>21</v>
      </c>
      <c r="CF35" s="4"/>
      <c r="CG35" s="4"/>
      <c r="CH35" s="4"/>
      <c r="CI35" s="4"/>
      <c r="CJ35" s="4"/>
      <c r="CK35" s="4">
        <v>30</v>
      </c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>
        <v>60</v>
      </c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</row>
    <row r="36">
      <c r="A36" s="2" t="s">
        <v>373</v>
      </c>
      <c r="B36" s="2" t="s">
        <v>250</v>
      </c>
      <c r="C36" s="2" t="s">
        <v>251</v>
      </c>
      <c r="D36" s="2" t="s">
        <v>252</v>
      </c>
      <c r="E36" s="2" t="s">
        <v>374</v>
      </c>
      <c r="F36" s="2" t="s">
        <v>375</v>
      </c>
      <c r="G36" s="2" t="s">
        <v>375</v>
      </c>
      <c r="H36" s="2" t="s">
        <v>375</v>
      </c>
      <c r="I36" s="2" t="s">
        <v>376</v>
      </c>
      <c r="J36" s="2" t="s">
        <v>277</v>
      </c>
      <c r="K36" s="2" t="s">
        <v>257</v>
      </c>
      <c r="L36" s="3">
        <v>19.04</v>
      </c>
      <c r="M36" s="3">
        <v>19.99</v>
      </c>
      <c r="N36" s="3">
        <v>39.99</v>
      </c>
      <c r="O36" s="2" t="s">
        <v>212</v>
      </c>
      <c r="P36" s="2" t="s">
        <v>285</v>
      </c>
      <c r="Q36" s="2" t="s">
        <v>206</v>
      </c>
      <c r="R36" s="2" t="s">
        <v>200</v>
      </c>
      <c r="S36" s="2" t="s">
        <v>377</v>
      </c>
      <c r="T36" s="2" t="s">
        <v>378</v>
      </c>
      <c r="U36" s="2" t="s">
        <v>270</v>
      </c>
      <c r="V36" s="2" t="s">
        <v>208</v>
      </c>
      <c r="W36" s="2" t="s">
        <v>241</v>
      </c>
      <c r="X36" s="2" t="s">
        <v>379</v>
      </c>
      <c r="Y36" s="2" t="s">
        <v>380</v>
      </c>
      <c r="Z36" s="4">
        <v>69</v>
      </c>
      <c r="AA36" s="4">
        <f>=ROUNDDOWN(14.375,0)</f>
      </c>
      <c r="AB36" s="5">
        <v>4.8</v>
      </c>
      <c r="AC36" s="2" t="s">
        <v>200</v>
      </c>
      <c r="AD36" s="4"/>
      <c r="AE36" s="4"/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200</v>
      </c>
      <c r="AM36" s="4"/>
      <c r="AN36" s="4"/>
      <c r="AO36" s="7"/>
      <c r="AP36" s="4"/>
      <c r="AQ36" s="8"/>
      <c r="AR36" s="4"/>
      <c r="AS36" s="8"/>
      <c r="AT36" s="7"/>
      <c r="AU36" s="7"/>
      <c r="AV36" s="4"/>
      <c r="AW36" s="8"/>
      <c r="AX36" s="4"/>
      <c r="AY36" s="8"/>
      <c r="AZ36" s="7"/>
      <c r="BA36" s="7"/>
      <c r="BB36" s="7"/>
      <c r="BC36" s="4"/>
      <c r="BD36" s="8"/>
      <c r="BE36" s="4"/>
      <c r="BF36" s="8"/>
      <c r="BG36" s="7"/>
      <c r="BH36" s="7"/>
      <c r="BI36" s="7"/>
      <c r="BJ36" s="4">
        <v>22</v>
      </c>
      <c r="BK36" s="8">
        <v>465.98</v>
      </c>
      <c r="BL36" s="2" t="s">
        <v>381</v>
      </c>
      <c r="BM36" s="7"/>
      <c r="BN36" s="7"/>
      <c r="BO36" s="4"/>
      <c r="BP36" s="8"/>
      <c r="BQ36" s="4"/>
      <c r="BR36" s="8"/>
      <c r="BS36" s="7"/>
      <c r="BT36" s="7"/>
      <c r="BU36" s="2" t="s">
        <v>382</v>
      </c>
      <c r="BV36" s="2" t="s">
        <v>200</v>
      </c>
      <c r="BW36" s="2" t="s">
        <v>200</v>
      </c>
      <c r="BX36" s="2" t="s">
        <v>289</v>
      </c>
      <c r="BY36" s="2" t="s">
        <v>247</v>
      </c>
      <c r="BZ36" s="2" t="s">
        <v>212</v>
      </c>
      <c r="CA36" s="2" t="s">
        <v>383</v>
      </c>
      <c r="CB36" s="2" t="s">
        <v>384</v>
      </c>
      <c r="CC36" s="2" t="s">
        <v>213</v>
      </c>
      <c r="CD36" s="2" t="s">
        <v>200</v>
      </c>
      <c r="CE36" s="4">
        <v>69</v>
      </c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</row>
    <row r="37">
      <c r="A37" s="2" t="s">
        <v>385</v>
      </c>
      <c r="B37" s="2" t="s">
        <v>250</v>
      </c>
      <c r="C37" s="2" t="s">
        <v>251</v>
      </c>
      <c r="D37" s="2" t="s">
        <v>252</v>
      </c>
      <c r="E37" s="2" t="s">
        <v>253</v>
      </c>
      <c r="F37" s="2" t="s">
        <v>386</v>
      </c>
      <c r="G37" s="2" t="s">
        <v>386</v>
      </c>
      <c r="H37" s="2" t="s">
        <v>386</v>
      </c>
      <c r="I37" s="2" t="s">
        <v>284</v>
      </c>
      <c r="J37" s="2" t="s">
        <v>277</v>
      </c>
      <c r="K37" s="2" t="s">
        <v>387</v>
      </c>
      <c r="L37" s="3">
        <v>54</v>
      </c>
      <c r="M37" s="3">
        <v>56.7</v>
      </c>
      <c r="N37" s="3">
        <v>119.99</v>
      </c>
      <c r="O37" s="2" t="s">
        <v>212</v>
      </c>
      <c r="P37" s="2" t="s">
        <v>258</v>
      </c>
      <c r="Q37" s="2" t="s">
        <v>206</v>
      </c>
      <c r="R37" s="2" t="s">
        <v>200</v>
      </c>
      <c r="S37" s="2" t="s">
        <v>388</v>
      </c>
      <c r="T37" s="2" t="s">
        <v>260</v>
      </c>
      <c r="U37" s="2" t="s">
        <v>200</v>
      </c>
      <c r="V37" s="2" t="s">
        <v>208</v>
      </c>
      <c r="W37" s="2" t="s">
        <v>241</v>
      </c>
      <c r="X37" s="2" t="s">
        <v>200</v>
      </c>
      <c r="Y37" s="2" t="s">
        <v>261</v>
      </c>
      <c r="Z37" s="4">
        <v>300</v>
      </c>
      <c r="AA37" s="4">
        <f>=ROUNDDOWN(37.5,0)</f>
      </c>
      <c r="AB37" s="5">
        <v>8</v>
      </c>
      <c r="AC37" s="2" t="s">
        <v>200</v>
      </c>
      <c r="AD37" s="4"/>
      <c r="AE37" s="4"/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200</v>
      </c>
      <c r="AM37" s="4"/>
      <c r="AN37" s="4"/>
      <c r="AO37" s="7"/>
      <c r="AP37" s="4"/>
      <c r="AQ37" s="8"/>
      <c r="AR37" s="4"/>
      <c r="AS37" s="8"/>
      <c r="AT37" s="7"/>
      <c r="AU37" s="7"/>
      <c r="AV37" s="4"/>
      <c r="AW37" s="8"/>
      <c r="AX37" s="4"/>
      <c r="AY37" s="8"/>
      <c r="AZ37" s="7"/>
      <c r="BA37" s="7"/>
      <c r="BB37" s="7"/>
      <c r="BC37" s="4"/>
      <c r="BD37" s="8"/>
      <c r="BE37" s="4"/>
      <c r="BF37" s="8"/>
      <c r="BG37" s="7"/>
      <c r="BH37" s="7"/>
      <c r="BI37" s="7"/>
      <c r="BJ37" s="4">
        <v>11</v>
      </c>
      <c r="BK37" s="8">
        <v>685.05</v>
      </c>
      <c r="BL37" s="2" t="s">
        <v>389</v>
      </c>
      <c r="BM37" s="7"/>
      <c r="BN37" s="7"/>
      <c r="BO37" s="4"/>
      <c r="BP37" s="8"/>
      <c r="BQ37" s="4"/>
      <c r="BR37" s="8"/>
      <c r="BS37" s="7"/>
      <c r="BT37" s="7"/>
      <c r="BU37" s="2" t="s">
        <v>390</v>
      </c>
      <c r="BV37" s="2" t="s">
        <v>200</v>
      </c>
      <c r="BW37" s="2" t="s">
        <v>200</v>
      </c>
      <c r="BX37" s="2" t="s">
        <v>264</v>
      </c>
      <c r="BY37" s="2" t="s">
        <v>247</v>
      </c>
      <c r="BZ37" s="2" t="s">
        <v>212</v>
      </c>
      <c r="CA37" s="2" t="s">
        <v>391</v>
      </c>
      <c r="CB37" s="2" t="s">
        <v>392</v>
      </c>
      <c r="CC37" s="2" t="s">
        <v>213</v>
      </c>
      <c r="CD37" s="2" t="s">
        <v>200</v>
      </c>
      <c r="CE37" s="4">
        <v>251</v>
      </c>
      <c r="CF37" s="4">
        <v>49</v>
      </c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</row>
    <row r="38">
      <c r="A38" s="2" t="s">
        <v>393</v>
      </c>
      <c r="B38" s="2" t="s">
        <v>250</v>
      </c>
      <c r="C38" s="2" t="s">
        <v>251</v>
      </c>
      <c r="D38" s="2" t="s">
        <v>252</v>
      </c>
      <c r="E38" s="2" t="s">
        <v>253</v>
      </c>
      <c r="F38" s="2" t="s">
        <v>394</v>
      </c>
      <c r="G38" s="2" t="s">
        <v>395</v>
      </c>
      <c r="H38" s="2" t="s">
        <v>394</v>
      </c>
      <c r="I38" s="2" t="s">
        <v>396</v>
      </c>
      <c r="J38" s="2" t="s">
        <v>256</v>
      </c>
      <c r="K38" s="2" t="s">
        <v>257</v>
      </c>
      <c r="L38" s="3">
        <v>79.49</v>
      </c>
      <c r="M38" s="3">
        <v>83.46</v>
      </c>
      <c r="N38" s="3">
        <v>149.99</v>
      </c>
      <c r="O38" s="2" t="s">
        <v>212</v>
      </c>
      <c r="P38" s="2" t="s">
        <v>258</v>
      </c>
      <c r="Q38" s="2" t="s">
        <v>206</v>
      </c>
      <c r="R38" s="2" t="s">
        <v>200</v>
      </c>
      <c r="S38" s="2" t="s">
        <v>397</v>
      </c>
      <c r="T38" s="2" t="s">
        <v>260</v>
      </c>
      <c r="U38" s="2" t="s">
        <v>200</v>
      </c>
      <c r="V38" s="2" t="s">
        <v>208</v>
      </c>
      <c r="W38" s="2" t="s">
        <v>241</v>
      </c>
      <c r="X38" s="2" t="s">
        <v>200</v>
      </c>
      <c r="Y38" s="2" t="s">
        <v>261</v>
      </c>
      <c r="Z38" s="4">
        <v>142</v>
      </c>
      <c r="AA38" s="4">
        <f>=ROUNDDOWN(35.5,0)</f>
      </c>
      <c r="AB38" s="5">
        <v>4</v>
      </c>
      <c r="AC38" s="2" t="s">
        <v>200</v>
      </c>
      <c r="AD38" s="4"/>
      <c r="AE38" s="4"/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200</v>
      </c>
      <c r="AM38" s="4"/>
      <c r="AN38" s="4"/>
      <c r="AO38" s="7"/>
      <c r="AP38" s="4"/>
      <c r="AQ38" s="8"/>
      <c r="AR38" s="4"/>
      <c r="AS38" s="8"/>
      <c r="AT38" s="7"/>
      <c r="AU38" s="7"/>
      <c r="AV38" s="4" t="s">
        <v>200</v>
      </c>
      <c r="AW38" s="8" t="s">
        <v>200</v>
      </c>
      <c r="AX38" s="4" t="s">
        <v>200</v>
      </c>
      <c r="AY38" s="8" t="s">
        <v>200</v>
      </c>
      <c r="AZ38" s="7" t="s">
        <v>200</v>
      </c>
      <c r="BA38" s="7" t="s">
        <v>200</v>
      </c>
      <c r="BB38" s="7"/>
      <c r="BC38" s="4" t="s">
        <v>200</v>
      </c>
      <c r="BD38" s="8" t="s">
        <v>200</v>
      </c>
      <c r="BE38" s="4" t="s">
        <v>200</v>
      </c>
      <c r="BF38" s="8" t="s">
        <v>200</v>
      </c>
      <c r="BG38" s="7" t="s">
        <v>200</v>
      </c>
      <c r="BH38" s="7" t="s">
        <v>200</v>
      </c>
      <c r="BI38" s="7"/>
      <c r="BJ38" s="4">
        <v>16</v>
      </c>
      <c r="BK38" s="8">
        <v>1187.83</v>
      </c>
      <c r="BL38" s="2" t="s">
        <v>398</v>
      </c>
      <c r="BM38" s="7"/>
      <c r="BN38" s="7"/>
      <c r="BO38" s="4"/>
      <c r="BP38" s="8"/>
      <c r="BQ38" s="4"/>
      <c r="BR38" s="8"/>
      <c r="BS38" s="7"/>
      <c r="BT38" s="7"/>
      <c r="BU38" s="2" t="s">
        <v>399</v>
      </c>
      <c r="BV38" s="2" t="s">
        <v>200</v>
      </c>
      <c r="BW38" s="2" t="s">
        <v>200</v>
      </c>
      <c r="BX38" s="2" t="s">
        <v>264</v>
      </c>
      <c r="BY38" s="2" t="s">
        <v>247</v>
      </c>
      <c r="BZ38" s="2" t="s">
        <v>212</v>
      </c>
      <c r="CA38" s="2" t="s">
        <v>290</v>
      </c>
      <c r="CB38" s="2" t="s">
        <v>400</v>
      </c>
      <c r="CC38" s="2" t="s">
        <v>213</v>
      </c>
      <c r="CD38" s="2" t="s">
        <v>200</v>
      </c>
      <c r="CE38" s="4">
        <v>142</v>
      </c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</row>
    <row r="39">
      <c r="A39" s="2" t="s">
        <v>401</v>
      </c>
      <c r="B39" s="2" t="s">
        <v>250</v>
      </c>
      <c r="C39" s="2" t="s">
        <v>251</v>
      </c>
      <c r="D39" s="2" t="s">
        <v>252</v>
      </c>
      <c r="E39" s="2" t="s">
        <v>253</v>
      </c>
      <c r="F39" s="2" t="s">
        <v>394</v>
      </c>
      <c r="G39" s="2" t="s">
        <v>395</v>
      </c>
      <c r="H39" s="2" t="s">
        <v>394</v>
      </c>
      <c r="I39" s="2" t="s">
        <v>396</v>
      </c>
      <c r="J39" s="2" t="s">
        <v>269</v>
      </c>
      <c r="K39" s="2" t="s">
        <v>257</v>
      </c>
      <c r="L39" s="3">
        <v>79.49</v>
      </c>
      <c r="M39" s="3">
        <v>83.46</v>
      </c>
      <c r="N39" s="3">
        <v>149.99</v>
      </c>
      <c r="O39" s="2" t="s">
        <v>212</v>
      </c>
      <c r="P39" s="2" t="s">
        <v>258</v>
      </c>
      <c r="Q39" s="2" t="s">
        <v>206</v>
      </c>
      <c r="R39" s="2" t="s">
        <v>200</v>
      </c>
      <c r="S39" s="2" t="s">
        <v>397</v>
      </c>
      <c r="T39" s="2" t="s">
        <v>260</v>
      </c>
      <c r="U39" s="2" t="s">
        <v>200</v>
      </c>
      <c r="V39" s="2" t="s">
        <v>208</v>
      </c>
      <c r="W39" s="2" t="s">
        <v>241</v>
      </c>
      <c r="X39" s="2" t="s">
        <v>200</v>
      </c>
      <c r="Y39" s="2" t="s">
        <v>261</v>
      </c>
      <c r="Z39" s="4">
        <v>276</v>
      </c>
      <c r="AA39" s="4">
        <f>=ROUNDDOWN(27.6,0)</f>
      </c>
      <c r="AB39" s="5">
        <v>10</v>
      </c>
      <c r="AC39" s="2" t="s">
        <v>200</v>
      </c>
      <c r="AD39" s="4"/>
      <c r="AE39" s="4"/>
      <c r="AF39" s="6">
        <v>65</v>
      </c>
      <c r="AG39" s="6"/>
      <c r="AH39" s="7">
        <v>1</v>
      </c>
      <c r="AI39" s="4"/>
      <c r="AJ39" s="4">
        <f>=ROUNDDOWN({0},0)</f>
      </c>
      <c r="AK39" s="5"/>
      <c r="AL39" s="2" t="s">
        <v>200</v>
      </c>
      <c r="AM39" s="4"/>
      <c r="AN39" s="4"/>
      <c r="AO39" s="7"/>
      <c r="AP39" s="4"/>
      <c r="AQ39" s="8"/>
      <c r="AR39" s="4"/>
      <c r="AS39" s="8"/>
      <c r="AT39" s="7"/>
      <c r="AU39" s="7"/>
      <c r="AV39" s="4" t="s">
        <v>200</v>
      </c>
      <c r="AW39" s="8" t="s">
        <v>200</v>
      </c>
      <c r="AX39" s="4" t="s">
        <v>200</v>
      </c>
      <c r="AY39" s="8" t="s">
        <v>200</v>
      </c>
      <c r="AZ39" s="7" t="s">
        <v>200</v>
      </c>
      <c r="BA39" s="7" t="s">
        <v>200</v>
      </c>
      <c r="BB39" s="7"/>
      <c r="BC39" s="4" t="s">
        <v>200</v>
      </c>
      <c r="BD39" s="8" t="s">
        <v>200</v>
      </c>
      <c r="BE39" s="4" t="s">
        <v>200</v>
      </c>
      <c r="BF39" s="8" t="s">
        <v>200</v>
      </c>
      <c r="BG39" s="7" t="s">
        <v>200</v>
      </c>
      <c r="BH39" s="7" t="s">
        <v>200</v>
      </c>
      <c r="BI39" s="7"/>
      <c r="BJ39" s="4">
        <v>5</v>
      </c>
      <c r="BK39" s="8">
        <v>404.98</v>
      </c>
      <c r="BL39" s="2" t="s">
        <v>402</v>
      </c>
      <c r="BM39" s="7"/>
      <c r="BN39" s="7"/>
      <c r="BO39" s="4"/>
      <c r="BP39" s="8"/>
      <c r="BQ39" s="4"/>
      <c r="BR39" s="8"/>
      <c r="BS39" s="7"/>
      <c r="BT39" s="7"/>
      <c r="BU39" s="2" t="s">
        <v>403</v>
      </c>
      <c r="BV39" s="2" t="s">
        <v>200</v>
      </c>
      <c r="BW39" s="2" t="s">
        <v>200</v>
      </c>
      <c r="BX39" s="2" t="s">
        <v>264</v>
      </c>
      <c r="BY39" s="2" t="s">
        <v>247</v>
      </c>
      <c r="BZ39" s="2" t="s">
        <v>212</v>
      </c>
      <c r="CA39" s="2" t="s">
        <v>290</v>
      </c>
      <c r="CB39" s="2" t="s">
        <v>404</v>
      </c>
      <c r="CC39" s="2" t="s">
        <v>213</v>
      </c>
      <c r="CD39" s="2" t="s">
        <v>200</v>
      </c>
      <c r="CE39" s="4">
        <v>276</v>
      </c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</row>
    <row r="40">
      <c r="A40" s="2" t="s">
        <v>405</v>
      </c>
      <c r="B40" s="2" t="s">
        <v>250</v>
      </c>
      <c r="C40" s="2" t="s">
        <v>251</v>
      </c>
      <c r="D40" s="2" t="s">
        <v>252</v>
      </c>
      <c r="E40" s="2" t="s">
        <v>253</v>
      </c>
      <c r="F40" s="2" t="s">
        <v>394</v>
      </c>
      <c r="G40" s="2" t="s">
        <v>395</v>
      </c>
      <c r="H40" s="2" t="s">
        <v>394</v>
      </c>
      <c r="I40" s="2" t="s">
        <v>396</v>
      </c>
      <c r="J40" s="2" t="s">
        <v>297</v>
      </c>
      <c r="K40" s="2" t="s">
        <v>257</v>
      </c>
      <c r="L40" s="3">
        <v>111.29</v>
      </c>
      <c r="M40" s="3">
        <v>116.85</v>
      </c>
      <c r="N40" s="3">
        <v>209.99</v>
      </c>
      <c r="O40" s="2" t="s">
        <v>212</v>
      </c>
      <c r="P40" s="2" t="s">
        <v>258</v>
      </c>
      <c r="Q40" s="2" t="s">
        <v>206</v>
      </c>
      <c r="R40" s="2" t="s">
        <v>200</v>
      </c>
      <c r="S40" s="2" t="s">
        <v>397</v>
      </c>
      <c r="T40" s="2" t="s">
        <v>260</v>
      </c>
      <c r="U40" s="2" t="s">
        <v>200</v>
      </c>
      <c r="V40" s="2" t="s">
        <v>208</v>
      </c>
      <c r="W40" s="2" t="s">
        <v>241</v>
      </c>
      <c r="X40" s="2" t="s">
        <v>200</v>
      </c>
      <c r="Y40" s="2" t="s">
        <v>261</v>
      </c>
      <c r="Z40" s="4">
        <v>246</v>
      </c>
      <c r="AA40" s="4">
        <f>=ROUNDDOWN(35.1428571428571,0)</f>
      </c>
      <c r="AB40" s="5">
        <v>7</v>
      </c>
      <c r="AC40" s="2" t="s">
        <v>200</v>
      </c>
      <c r="AD40" s="4"/>
      <c r="AE40" s="4"/>
      <c r="AF40" s="6">
        <v>65</v>
      </c>
      <c r="AG40" s="6"/>
      <c r="AH40" s="7">
        <v>1</v>
      </c>
      <c r="AI40" s="4"/>
      <c r="AJ40" s="4">
        <f>=ROUNDDOWN({0},0)</f>
      </c>
      <c r="AK40" s="5"/>
      <c r="AL40" s="2" t="s">
        <v>200</v>
      </c>
      <c r="AM40" s="4"/>
      <c r="AN40" s="4"/>
      <c r="AO40" s="7"/>
      <c r="AP40" s="4"/>
      <c r="AQ40" s="8"/>
      <c r="AR40" s="4"/>
      <c r="AS40" s="8"/>
      <c r="AT40" s="7"/>
      <c r="AU40" s="7"/>
      <c r="AV40" s="4" t="s">
        <v>200</v>
      </c>
      <c r="AW40" s="8" t="s">
        <v>200</v>
      </c>
      <c r="AX40" s="4" t="s">
        <v>200</v>
      </c>
      <c r="AY40" s="8" t="s">
        <v>200</v>
      </c>
      <c r="AZ40" s="7" t="s">
        <v>200</v>
      </c>
      <c r="BA40" s="7" t="s">
        <v>200</v>
      </c>
      <c r="BB40" s="7"/>
      <c r="BC40" s="4" t="s">
        <v>200</v>
      </c>
      <c r="BD40" s="8" t="s">
        <v>200</v>
      </c>
      <c r="BE40" s="4" t="s">
        <v>200</v>
      </c>
      <c r="BF40" s="8" t="s">
        <v>200</v>
      </c>
      <c r="BG40" s="7" t="s">
        <v>200</v>
      </c>
      <c r="BH40" s="7" t="s">
        <v>200</v>
      </c>
      <c r="BI40" s="7"/>
      <c r="BJ40" s="4">
        <v>9</v>
      </c>
      <c r="BK40" s="8">
        <v>1021.68</v>
      </c>
      <c r="BL40" s="2" t="s">
        <v>406</v>
      </c>
      <c r="BM40" s="7"/>
      <c r="BN40" s="7"/>
      <c r="BO40" s="4"/>
      <c r="BP40" s="8"/>
      <c r="BQ40" s="4"/>
      <c r="BR40" s="8"/>
      <c r="BS40" s="7"/>
      <c r="BT40" s="7"/>
      <c r="BU40" s="2" t="s">
        <v>407</v>
      </c>
      <c r="BV40" s="2" t="s">
        <v>200</v>
      </c>
      <c r="BW40" s="2" t="s">
        <v>200</v>
      </c>
      <c r="BX40" s="2" t="s">
        <v>264</v>
      </c>
      <c r="BY40" s="2" t="s">
        <v>247</v>
      </c>
      <c r="BZ40" s="2" t="s">
        <v>212</v>
      </c>
      <c r="CA40" s="2" t="s">
        <v>290</v>
      </c>
      <c r="CB40" s="2" t="s">
        <v>408</v>
      </c>
      <c r="CC40" s="2" t="s">
        <v>213</v>
      </c>
      <c r="CD40" s="2" t="s">
        <v>200</v>
      </c>
      <c r="CE40" s="4">
        <v>246</v>
      </c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</row>
    <row r="41">
      <c r="A41" s="2" t="s">
        <v>409</v>
      </c>
      <c r="B41" s="2" t="s">
        <v>250</v>
      </c>
      <c r="C41" s="2" t="s">
        <v>251</v>
      </c>
      <c r="D41" s="2" t="s">
        <v>252</v>
      </c>
      <c r="E41" s="2" t="s">
        <v>253</v>
      </c>
      <c r="F41" s="2" t="s">
        <v>394</v>
      </c>
      <c r="G41" s="2" t="s">
        <v>395</v>
      </c>
      <c r="H41" s="2" t="s">
        <v>394</v>
      </c>
      <c r="I41" s="2" t="s">
        <v>396</v>
      </c>
      <c r="J41" s="2" t="s">
        <v>302</v>
      </c>
      <c r="K41" s="2" t="s">
        <v>257</v>
      </c>
      <c r="L41" s="3">
        <v>137.79</v>
      </c>
      <c r="M41" s="3">
        <v>144.68</v>
      </c>
      <c r="N41" s="3">
        <v>259.99</v>
      </c>
      <c r="O41" s="2" t="s">
        <v>212</v>
      </c>
      <c r="P41" s="2" t="s">
        <v>258</v>
      </c>
      <c r="Q41" s="2" t="s">
        <v>206</v>
      </c>
      <c r="R41" s="2" t="s">
        <v>200</v>
      </c>
      <c r="S41" s="2" t="s">
        <v>397</v>
      </c>
      <c r="T41" s="2" t="s">
        <v>260</v>
      </c>
      <c r="U41" s="2" t="s">
        <v>200</v>
      </c>
      <c r="V41" s="2" t="s">
        <v>208</v>
      </c>
      <c r="W41" s="2" t="s">
        <v>241</v>
      </c>
      <c r="X41" s="2" t="s">
        <v>200</v>
      </c>
      <c r="Y41" s="2" t="s">
        <v>261</v>
      </c>
      <c r="Z41" s="4">
        <v>195</v>
      </c>
      <c r="AA41" s="4">
        <f>=ROUNDDOWN(39,0)</f>
      </c>
      <c r="AB41" s="5">
        <v>5</v>
      </c>
      <c r="AC41" s="2" t="s">
        <v>200</v>
      </c>
      <c r="AD41" s="4"/>
      <c r="AE41" s="4"/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200</v>
      </c>
      <c r="AM41" s="4"/>
      <c r="AN41" s="4"/>
      <c r="AO41" s="7"/>
      <c r="AP41" s="4"/>
      <c r="AQ41" s="8"/>
      <c r="AR41" s="4"/>
      <c r="AS41" s="8"/>
      <c r="AT41" s="7"/>
      <c r="AU41" s="7"/>
      <c r="AV41" s="4" t="s">
        <v>200</v>
      </c>
      <c r="AW41" s="8" t="s">
        <v>200</v>
      </c>
      <c r="AX41" s="4" t="s">
        <v>200</v>
      </c>
      <c r="AY41" s="8" t="s">
        <v>200</v>
      </c>
      <c r="AZ41" s="7" t="s">
        <v>200</v>
      </c>
      <c r="BA41" s="7" t="s">
        <v>200</v>
      </c>
      <c r="BB41" s="7"/>
      <c r="BC41" s="4" t="s">
        <v>200</v>
      </c>
      <c r="BD41" s="8" t="s">
        <v>200</v>
      </c>
      <c r="BE41" s="4" t="s">
        <v>200</v>
      </c>
      <c r="BF41" s="8" t="s">
        <v>200</v>
      </c>
      <c r="BG41" s="7" t="s">
        <v>200</v>
      </c>
      <c r="BH41" s="7" t="s">
        <v>200</v>
      </c>
      <c r="BI41" s="7"/>
      <c r="BJ41" s="4">
        <v>11</v>
      </c>
      <c r="BK41" s="8">
        <v>1610.08</v>
      </c>
      <c r="BL41" s="2" t="s">
        <v>410</v>
      </c>
      <c r="BM41" s="7"/>
      <c r="BN41" s="7"/>
      <c r="BO41" s="4"/>
      <c r="BP41" s="8"/>
      <c r="BQ41" s="4"/>
      <c r="BR41" s="8"/>
      <c r="BS41" s="7"/>
      <c r="BT41" s="7"/>
      <c r="BU41" s="2" t="s">
        <v>411</v>
      </c>
      <c r="BV41" s="2" t="s">
        <v>200</v>
      </c>
      <c r="BW41" s="2" t="s">
        <v>200</v>
      </c>
      <c r="BX41" s="2" t="s">
        <v>264</v>
      </c>
      <c r="BY41" s="2" t="s">
        <v>247</v>
      </c>
      <c r="BZ41" s="2" t="s">
        <v>212</v>
      </c>
      <c r="CA41" s="2" t="s">
        <v>290</v>
      </c>
      <c r="CB41" s="2" t="s">
        <v>408</v>
      </c>
      <c r="CC41" s="2" t="s">
        <v>213</v>
      </c>
      <c r="CD41" s="2" t="s">
        <v>200</v>
      </c>
      <c r="CE41" s="4">
        <v>195</v>
      </c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</row>
    <row r="42">
      <c r="A42" s="2" t="s">
        <v>412</v>
      </c>
      <c r="B42" s="2" t="s">
        <v>250</v>
      </c>
      <c r="C42" s="2" t="s">
        <v>413</v>
      </c>
      <c r="D42" s="2" t="s">
        <v>252</v>
      </c>
      <c r="E42" s="2" t="s">
        <v>253</v>
      </c>
      <c r="F42" s="2" t="s">
        <v>414</v>
      </c>
      <c r="G42" s="2" t="s">
        <v>414</v>
      </c>
      <c r="H42" s="2" t="s">
        <v>414</v>
      </c>
      <c r="I42" s="2" t="s">
        <v>415</v>
      </c>
      <c r="J42" s="2" t="s">
        <v>277</v>
      </c>
      <c r="K42" s="2" t="s">
        <v>416</v>
      </c>
      <c r="L42" s="3">
        <v>80.95</v>
      </c>
      <c r="M42" s="3">
        <v>85</v>
      </c>
      <c r="N42" s="3">
        <v>169.99</v>
      </c>
      <c r="O42" s="2" t="s">
        <v>417</v>
      </c>
      <c r="P42" s="2" t="s">
        <v>285</v>
      </c>
      <c r="Q42" s="2" t="s">
        <v>206</v>
      </c>
      <c r="R42" s="2" t="s">
        <v>200</v>
      </c>
      <c r="S42" s="2" t="s">
        <v>418</v>
      </c>
      <c r="T42" s="2" t="s">
        <v>260</v>
      </c>
      <c r="U42" s="2" t="s">
        <v>270</v>
      </c>
      <c r="V42" s="2" t="s">
        <v>208</v>
      </c>
      <c r="W42" s="2" t="s">
        <v>241</v>
      </c>
      <c r="X42" s="2" t="s">
        <v>419</v>
      </c>
      <c r="Y42" s="2" t="s">
        <v>420</v>
      </c>
      <c r="Z42" s="4">
        <v>116</v>
      </c>
      <c r="AA42" s="4">
        <f>=ROUNDDOWN(58,0)</f>
      </c>
      <c r="AB42" s="5">
        <v>2</v>
      </c>
      <c r="AC42" s="2" t="s">
        <v>200</v>
      </c>
      <c r="AD42" s="4"/>
      <c r="AE42" s="4"/>
      <c r="AF42" s="6">
        <v>65</v>
      </c>
      <c r="AG42" s="6"/>
      <c r="AH42" s="7">
        <v>0.8667</v>
      </c>
      <c r="AI42" s="4"/>
      <c r="AJ42" s="4">
        <f>=ROUNDDOWN({0},0)</f>
      </c>
      <c r="AK42" s="5"/>
      <c r="AL42" s="2" t="s">
        <v>200</v>
      </c>
      <c r="AM42" s="4"/>
      <c r="AN42" s="4"/>
      <c r="AO42" s="7"/>
      <c r="AP42" s="4"/>
      <c r="AQ42" s="8"/>
      <c r="AR42" s="4"/>
      <c r="AS42" s="8"/>
      <c r="AT42" s="7"/>
      <c r="AU42" s="7"/>
      <c r="AV42" s="4" t="s">
        <v>200</v>
      </c>
      <c r="AW42" s="8" t="s">
        <v>200</v>
      </c>
      <c r="AX42" s="4" t="s">
        <v>200</v>
      </c>
      <c r="AY42" s="8" t="s">
        <v>200</v>
      </c>
      <c r="AZ42" s="7" t="s">
        <v>200</v>
      </c>
      <c r="BA42" s="7" t="s">
        <v>200</v>
      </c>
      <c r="BB42" s="7"/>
      <c r="BC42" s="4" t="s">
        <v>200</v>
      </c>
      <c r="BD42" s="8" t="s">
        <v>200</v>
      </c>
      <c r="BE42" s="4" t="s">
        <v>200</v>
      </c>
      <c r="BF42" s="8" t="s">
        <v>200</v>
      </c>
      <c r="BG42" s="7" t="s">
        <v>200</v>
      </c>
      <c r="BH42" s="7" t="s">
        <v>200</v>
      </c>
      <c r="BI42" s="7"/>
      <c r="BJ42" s="4">
        <v>1</v>
      </c>
      <c r="BK42" s="8">
        <v>58.02</v>
      </c>
      <c r="BL42" s="2" t="s">
        <v>421</v>
      </c>
      <c r="BM42" s="7"/>
      <c r="BN42" s="7"/>
      <c r="BO42" s="4"/>
      <c r="BP42" s="8"/>
      <c r="BQ42" s="4"/>
      <c r="BR42" s="8"/>
      <c r="BS42" s="7"/>
      <c r="BT42" s="7"/>
      <c r="BU42" s="2" t="s">
        <v>422</v>
      </c>
      <c r="BV42" s="2" t="s">
        <v>200</v>
      </c>
      <c r="BW42" s="2" t="s">
        <v>200</v>
      </c>
      <c r="BX42" s="2" t="s">
        <v>289</v>
      </c>
      <c r="BY42" s="2" t="s">
        <v>247</v>
      </c>
      <c r="BZ42" s="2" t="s">
        <v>212</v>
      </c>
      <c r="CA42" s="2" t="s">
        <v>423</v>
      </c>
      <c r="CB42" s="2" t="s">
        <v>424</v>
      </c>
      <c r="CC42" s="2" t="s">
        <v>213</v>
      </c>
      <c r="CD42" s="2" t="s">
        <v>200</v>
      </c>
      <c r="CE42" s="4">
        <v>116</v>
      </c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</row>
    <row r="43">
      <c r="A43" s="2" t="s">
        <v>425</v>
      </c>
      <c r="B43" s="2" t="s">
        <v>250</v>
      </c>
      <c r="C43" s="2" t="s">
        <v>413</v>
      </c>
      <c r="D43" s="2" t="s">
        <v>252</v>
      </c>
      <c r="E43" s="2" t="s">
        <v>253</v>
      </c>
      <c r="F43" s="2" t="s">
        <v>414</v>
      </c>
      <c r="G43" s="2" t="s">
        <v>414</v>
      </c>
      <c r="H43" s="2" t="s">
        <v>414</v>
      </c>
      <c r="I43" s="2" t="s">
        <v>415</v>
      </c>
      <c r="J43" s="2" t="s">
        <v>297</v>
      </c>
      <c r="K43" s="2" t="s">
        <v>416</v>
      </c>
      <c r="L43" s="3">
        <v>95.23</v>
      </c>
      <c r="M43" s="3">
        <v>99.99</v>
      </c>
      <c r="N43" s="3">
        <v>199.99</v>
      </c>
      <c r="O43" s="2" t="s">
        <v>417</v>
      </c>
      <c r="P43" s="2" t="s">
        <v>285</v>
      </c>
      <c r="Q43" s="2" t="s">
        <v>206</v>
      </c>
      <c r="R43" s="2" t="s">
        <v>200</v>
      </c>
      <c r="S43" s="2" t="s">
        <v>418</v>
      </c>
      <c r="T43" s="2" t="s">
        <v>260</v>
      </c>
      <c r="U43" s="2" t="s">
        <v>270</v>
      </c>
      <c r="V43" s="2" t="s">
        <v>208</v>
      </c>
      <c r="W43" s="2" t="s">
        <v>241</v>
      </c>
      <c r="X43" s="2" t="s">
        <v>419</v>
      </c>
      <c r="Y43" s="2" t="s">
        <v>420</v>
      </c>
      <c r="Z43" s="4">
        <v>1</v>
      </c>
      <c r="AA43" s="4">
        <f>=ROUNDDOWN(0.25,0)</f>
      </c>
      <c r="AB43" s="5">
        <v>4</v>
      </c>
      <c r="AC43" s="2" t="s">
        <v>200</v>
      </c>
      <c r="AD43" s="4"/>
      <c r="AE43" s="4"/>
      <c r="AF43" s="6">
        <v>65</v>
      </c>
      <c r="AG43" s="6"/>
      <c r="AH43" s="7">
        <v>0.8667</v>
      </c>
      <c r="AI43" s="4"/>
      <c r="AJ43" s="4">
        <f>=ROUNDDOWN({0},0)</f>
      </c>
      <c r="AK43" s="5"/>
      <c r="AL43" s="2" t="s">
        <v>200</v>
      </c>
      <c r="AM43" s="4"/>
      <c r="AN43" s="4"/>
      <c r="AO43" s="7"/>
      <c r="AP43" s="4"/>
      <c r="AQ43" s="8"/>
      <c r="AR43" s="4"/>
      <c r="AS43" s="8"/>
      <c r="AT43" s="7"/>
      <c r="AU43" s="7"/>
      <c r="AV43" s="4" t="s">
        <v>200</v>
      </c>
      <c r="AW43" s="8" t="s">
        <v>200</v>
      </c>
      <c r="AX43" s="4" t="s">
        <v>200</v>
      </c>
      <c r="AY43" s="8" t="s">
        <v>200</v>
      </c>
      <c r="AZ43" s="7" t="s">
        <v>200</v>
      </c>
      <c r="BA43" s="7" t="s">
        <v>200</v>
      </c>
      <c r="BB43" s="7"/>
      <c r="BC43" s="4" t="s">
        <v>200</v>
      </c>
      <c r="BD43" s="8" t="s">
        <v>200</v>
      </c>
      <c r="BE43" s="4" t="s">
        <v>200</v>
      </c>
      <c r="BF43" s="8" t="s">
        <v>200</v>
      </c>
      <c r="BG43" s="7" t="s">
        <v>200</v>
      </c>
      <c r="BH43" s="7" t="s">
        <v>200</v>
      </c>
      <c r="BI43" s="7"/>
      <c r="BJ43" s="4">
        <v>1</v>
      </c>
      <c r="BK43" s="8">
        <v>68.24</v>
      </c>
      <c r="BL43" s="2" t="s">
        <v>426</v>
      </c>
      <c r="BM43" s="7"/>
      <c r="BN43" s="7"/>
      <c r="BO43" s="4"/>
      <c r="BP43" s="8"/>
      <c r="BQ43" s="4"/>
      <c r="BR43" s="8"/>
      <c r="BS43" s="7"/>
      <c r="BT43" s="7"/>
      <c r="BU43" s="2" t="s">
        <v>427</v>
      </c>
      <c r="BV43" s="2" t="s">
        <v>200</v>
      </c>
      <c r="BW43" s="2" t="s">
        <v>200</v>
      </c>
      <c r="BX43" s="2" t="s">
        <v>289</v>
      </c>
      <c r="BY43" s="2" t="s">
        <v>247</v>
      </c>
      <c r="BZ43" s="2" t="s">
        <v>212</v>
      </c>
      <c r="CA43" s="2" t="s">
        <v>423</v>
      </c>
      <c r="CB43" s="2" t="s">
        <v>428</v>
      </c>
      <c r="CC43" s="2" t="s">
        <v>213</v>
      </c>
      <c r="CD43" s="2" t="s">
        <v>200</v>
      </c>
      <c r="CE43" s="4">
        <v>1</v>
      </c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</row>
    <row r="44">
      <c r="A44" s="2" t="s">
        <v>429</v>
      </c>
      <c r="B44" s="2" t="s">
        <v>250</v>
      </c>
      <c r="C44" s="2" t="s">
        <v>413</v>
      </c>
      <c r="D44" s="2" t="s">
        <v>252</v>
      </c>
      <c r="E44" s="2" t="s">
        <v>253</v>
      </c>
      <c r="F44" s="2" t="s">
        <v>414</v>
      </c>
      <c r="G44" s="2" t="s">
        <v>414</v>
      </c>
      <c r="H44" s="2" t="s">
        <v>414</v>
      </c>
      <c r="I44" s="2" t="s">
        <v>415</v>
      </c>
      <c r="J44" s="2" t="s">
        <v>302</v>
      </c>
      <c r="K44" s="2" t="s">
        <v>416</v>
      </c>
      <c r="L44" s="3">
        <v>119.04</v>
      </c>
      <c r="M44" s="3">
        <v>124.99</v>
      </c>
      <c r="N44" s="3">
        <v>249.99</v>
      </c>
      <c r="O44" s="2" t="s">
        <v>417</v>
      </c>
      <c r="P44" s="2" t="s">
        <v>285</v>
      </c>
      <c r="Q44" s="2" t="s">
        <v>206</v>
      </c>
      <c r="R44" s="2" t="s">
        <v>200</v>
      </c>
      <c r="S44" s="2" t="s">
        <v>418</v>
      </c>
      <c r="T44" s="2" t="s">
        <v>260</v>
      </c>
      <c r="U44" s="2" t="s">
        <v>270</v>
      </c>
      <c r="V44" s="2" t="s">
        <v>208</v>
      </c>
      <c r="W44" s="2" t="s">
        <v>241</v>
      </c>
      <c r="X44" s="2" t="s">
        <v>419</v>
      </c>
      <c r="Y44" s="2" t="s">
        <v>420</v>
      </c>
      <c r="Z44" s="4">
        <v>165</v>
      </c>
      <c r="AA44" s="4">
        <f>=ROUNDDOWN(82.5,0)</f>
      </c>
      <c r="AB44" s="5">
        <v>2</v>
      </c>
      <c r="AC44" s="2" t="s">
        <v>200</v>
      </c>
      <c r="AD44" s="4"/>
      <c r="AE44" s="4"/>
      <c r="AF44" s="6">
        <v>65</v>
      </c>
      <c r="AG44" s="6"/>
      <c r="AH44" s="7">
        <v>0.8667</v>
      </c>
      <c r="AI44" s="4"/>
      <c r="AJ44" s="4">
        <f>=ROUNDDOWN({0},0)</f>
      </c>
      <c r="AK44" s="5"/>
      <c r="AL44" s="2" t="s">
        <v>200</v>
      </c>
      <c r="AM44" s="4"/>
      <c r="AN44" s="4"/>
      <c r="AO44" s="7"/>
      <c r="AP44" s="4"/>
      <c r="AQ44" s="8"/>
      <c r="AR44" s="4"/>
      <c r="AS44" s="8"/>
      <c r="AT44" s="7"/>
      <c r="AU44" s="7"/>
      <c r="AV44" s="4" t="s">
        <v>200</v>
      </c>
      <c r="AW44" s="8" t="s">
        <v>200</v>
      </c>
      <c r="AX44" s="4" t="s">
        <v>200</v>
      </c>
      <c r="AY44" s="8" t="s">
        <v>200</v>
      </c>
      <c r="AZ44" s="7" t="s">
        <v>200</v>
      </c>
      <c r="BA44" s="7" t="s">
        <v>200</v>
      </c>
      <c r="BB44" s="7"/>
      <c r="BC44" s="4" t="s">
        <v>200</v>
      </c>
      <c r="BD44" s="8" t="s">
        <v>200</v>
      </c>
      <c r="BE44" s="4" t="s">
        <v>200</v>
      </c>
      <c r="BF44" s="8" t="s">
        <v>200</v>
      </c>
      <c r="BG44" s="7" t="s">
        <v>200</v>
      </c>
      <c r="BH44" s="7" t="s">
        <v>200</v>
      </c>
      <c r="BI44" s="7"/>
      <c r="BJ44" s="4"/>
      <c r="BK44" s="8"/>
      <c r="BL44" s="2" t="s">
        <v>430</v>
      </c>
      <c r="BM44" s="7"/>
      <c r="BN44" s="7"/>
      <c r="BO44" s="4"/>
      <c r="BP44" s="8"/>
      <c r="BQ44" s="4"/>
      <c r="BR44" s="8"/>
      <c r="BS44" s="7"/>
      <c r="BT44" s="7"/>
      <c r="BU44" s="2" t="s">
        <v>431</v>
      </c>
      <c r="BV44" s="2" t="s">
        <v>200</v>
      </c>
      <c r="BW44" s="2" t="s">
        <v>200</v>
      </c>
      <c r="BX44" s="2" t="s">
        <v>289</v>
      </c>
      <c r="BY44" s="2" t="s">
        <v>247</v>
      </c>
      <c r="BZ44" s="2" t="s">
        <v>212</v>
      </c>
      <c r="CA44" s="2" t="s">
        <v>423</v>
      </c>
      <c r="CB44" s="2" t="s">
        <v>432</v>
      </c>
      <c r="CC44" s="2" t="s">
        <v>213</v>
      </c>
      <c r="CD44" s="2" t="s">
        <v>200</v>
      </c>
      <c r="CE44" s="4">
        <v>165</v>
      </c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</row>
    <row r="45">
      <c r="A45" s="2" t="s">
        <v>433</v>
      </c>
      <c r="B45" s="2" t="s">
        <v>230</v>
      </c>
      <c r="C45" s="2" t="s">
        <v>231</v>
      </c>
      <c r="D45" s="2" t="s">
        <v>232</v>
      </c>
      <c r="E45" s="2" t="s">
        <v>233</v>
      </c>
      <c r="F45" s="2" t="s">
        <v>434</v>
      </c>
      <c r="G45" s="2" t="s">
        <v>434</v>
      </c>
      <c r="H45" s="2" t="s">
        <v>434</v>
      </c>
      <c r="I45" s="2" t="s">
        <v>435</v>
      </c>
      <c r="J45" s="2" t="s">
        <v>302</v>
      </c>
      <c r="K45" s="2" t="s">
        <v>436</v>
      </c>
      <c r="L45" s="3">
        <v>33</v>
      </c>
      <c r="M45" s="3">
        <v>34.65</v>
      </c>
      <c r="N45" s="3">
        <v>69.99</v>
      </c>
      <c r="O45" s="2" t="s">
        <v>212</v>
      </c>
      <c r="P45" s="2" t="s">
        <v>258</v>
      </c>
      <c r="Q45" s="2" t="s">
        <v>206</v>
      </c>
      <c r="R45" s="2" t="s">
        <v>200</v>
      </c>
      <c r="S45" s="2" t="s">
        <v>437</v>
      </c>
      <c r="T45" s="2" t="s">
        <v>312</v>
      </c>
      <c r="U45" s="2" t="s">
        <v>240</v>
      </c>
      <c r="V45" s="2" t="s">
        <v>208</v>
      </c>
      <c r="W45" s="2" t="s">
        <v>241</v>
      </c>
      <c r="X45" s="2" t="s">
        <v>200</v>
      </c>
      <c r="Y45" s="2" t="s">
        <v>438</v>
      </c>
      <c r="Z45" s="4"/>
      <c r="AA45" s="4">
        <f>=ROUNDDOWN({0},0)</f>
      </c>
      <c r="AB45" s="5">
        <v>11</v>
      </c>
      <c r="AC45" s="2" t="s">
        <v>111</v>
      </c>
      <c r="AD45" s="4">
        <v>200</v>
      </c>
      <c r="AE45" s="4">
        <v>422</v>
      </c>
      <c r="AF45" s="6">
        <v>65</v>
      </c>
      <c r="AG45" s="6"/>
      <c r="AH45" s="7">
        <v>0</v>
      </c>
      <c r="AI45" s="4"/>
      <c r="AJ45" s="4">
        <f>=ROUNDDOWN({0},0)</f>
      </c>
      <c r="AK45" s="5"/>
      <c r="AL45" s="2" t="s">
        <v>200</v>
      </c>
      <c r="AM45" s="4"/>
      <c r="AN45" s="4"/>
      <c r="AO45" s="7"/>
      <c r="AP45" s="4"/>
      <c r="AQ45" s="8"/>
      <c r="AR45" s="4"/>
      <c r="AS45" s="8"/>
      <c r="AT45" s="7"/>
      <c r="AU45" s="7"/>
      <c r="AV45" s="4"/>
      <c r="AW45" s="8"/>
      <c r="AX45" s="4"/>
      <c r="AY45" s="8"/>
      <c r="AZ45" s="7"/>
      <c r="BA45" s="7"/>
      <c r="BB45" s="7"/>
      <c r="BC45" s="4"/>
      <c r="BD45" s="8"/>
      <c r="BE45" s="4"/>
      <c r="BF45" s="8"/>
      <c r="BG45" s="7"/>
      <c r="BH45" s="7"/>
      <c r="BI45" s="7"/>
      <c r="BJ45" s="4"/>
      <c r="BK45" s="8"/>
      <c r="BL45" s="2" t="s">
        <v>439</v>
      </c>
      <c r="BM45" s="7"/>
      <c r="BN45" s="7"/>
      <c r="BO45" s="4"/>
      <c r="BP45" s="8"/>
      <c r="BQ45" s="4"/>
      <c r="BR45" s="8"/>
      <c r="BS45" s="7"/>
      <c r="BT45" s="7"/>
      <c r="BU45" s="2" t="s">
        <v>440</v>
      </c>
      <c r="BV45" s="2" t="s">
        <v>200</v>
      </c>
      <c r="BW45" s="2" t="s">
        <v>200</v>
      </c>
      <c r="BX45" s="2" t="s">
        <v>264</v>
      </c>
      <c r="BY45" s="2" t="s">
        <v>247</v>
      </c>
      <c r="BZ45" s="2" t="s">
        <v>212</v>
      </c>
      <c r="CA45" s="2" t="s">
        <v>441</v>
      </c>
      <c r="CB45" s="2" t="s">
        <v>442</v>
      </c>
      <c r="CC45" s="2" t="s">
        <v>213</v>
      </c>
      <c r="CD45" s="2" t="s">
        <v>200</v>
      </c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>
        <v>200</v>
      </c>
      <c r="CY45" s="4"/>
      <c r="CZ45" s="4">
        <v>50</v>
      </c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>
        <v>172</v>
      </c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</row>
    <row r="46">
      <c r="A46" s="2" t="s">
        <v>443</v>
      </c>
      <c r="B46" s="2" t="s">
        <v>230</v>
      </c>
      <c r="C46" s="2" t="s">
        <v>413</v>
      </c>
      <c r="D46" s="2" t="s">
        <v>232</v>
      </c>
      <c r="E46" s="2" t="s">
        <v>233</v>
      </c>
      <c r="F46" s="2" t="s">
        <v>444</v>
      </c>
      <c r="G46" s="2" t="s">
        <v>444</v>
      </c>
      <c r="H46" s="2" t="s">
        <v>444</v>
      </c>
      <c r="I46" s="2" t="s">
        <v>445</v>
      </c>
      <c r="J46" s="2" t="s">
        <v>277</v>
      </c>
      <c r="K46" s="2" t="s">
        <v>387</v>
      </c>
      <c r="L46" s="3">
        <v>32</v>
      </c>
      <c r="M46" s="3">
        <v>33.6</v>
      </c>
      <c r="N46" s="3">
        <v>59.99</v>
      </c>
      <c r="O46" s="2" t="s">
        <v>417</v>
      </c>
      <c r="P46" s="2" t="s">
        <v>285</v>
      </c>
      <c r="Q46" s="2" t="s">
        <v>206</v>
      </c>
      <c r="R46" s="2" t="s">
        <v>200</v>
      </c>
      <c r="S46" s="2" t="s">
        <v>446</v>
      </c>
      <c r="T46" s="2" t="s">
        <v>312</v>
      </c>
      <c r="U46" s="2" t="s">
        <v>240</v>
      </c>
      <c r="V46" s="2" t="s">
        <v>208</v>
      </c>
      <c r="W46" s="2" t="s">
        <v>241</v>
      </c>
      <c r="X46" s="2" t="s">
        <v>241</v>
      </c>
      <c r="Y46" s="2" t="s">
        <v>447</v>
      </c>
      <c r="Z46" s="4">
        <v>15</v>
      </c>
      <c r="AA46" s="4">
        <f>=ROUNDDOWN(15,0)</f>
      </c>
      <c r="AB46" s="5">
        <v>1</v>
      </c>
      <c r="AC46" s="2" t="s">
        <v>200</v>
      </c>
      <c r="AD46" s="4"/>
      <c r="AE46" s="4"/>
      <c r="AF46" s="6">
        <v>70</v>
      </c>
      <c r="AG46" s="6"/>
      <c r="AH46" s="7">
        <v>1</v>
      </c>
      <c r="AI46" s="4"/>
      <c r="AJ46" s="4">
        <f>=ROUNDDOWN({0},0)</f>
      </c>
      <c r="AK46" s="5"/>
      <c r="AL46" s="2" t="s">
        <v>200</v>
      </c>
      <c r="AM46" s="4"/>
      <c r="AN46" s="4"/>
      <c r="AO46" s="7"/>
      <c r="AP46" s="4"/>
      <c r="AQ46" s="8"/>
      <c r="AR46" s="4"/>
      <c r="AS46" s="8"/>
      <c r="AT46" s="7"/>
      <c r="AU46" s="7"/>
      <c r="AV46" s="4"/>
      <c r="AW46" s="8"/>
      <c r="AX46" s="4"/>
      <c r="AY46" s="8"/>
      <c r="AZ46" s="7"/>
      <c r="BA46" s="7"/>
      <c r="BB46" s="7"/>
      <c r="BC46" s="4" t="s">
        <v>200</v>
      </c>
      <c r="BD46" s="8" t="s">
        <v>200</v>
      </c>
      <c r="BE46" s="4" t="s">
        <v>200</v>
      </c>
      <c r="BF46" s="8" t="s">
        <v>200</v>
      </c>
      <c r="BG46" s="7" t="s">
        <v>200</v>
      </c>
      <c r="BH46" s="7" t="s">
        <v>200</v>
      </c>
      <c r="BI46" s="7"/>
      <c r="BJ46" s="4">
        <v>4</v>
      </c>
      <c r="BK46" s="8">
        <v>83.46</v>
      </c>
      <c r="BL46" s="2" t="s">
        <v>448</v>
      </c>
      <c r="BM46" s="7"/>
      <c r="BN46" s="7"/>
      <c r="BO46" s="4"/>
      <c r="BP46" s="8"/>
      <c r="BQ46" s="4"/>
      <c r="BR46" s="8"/>
      <c r="BS46" s="7"/>
      <c r="BT46" s="7"/>
      <c r="BU46" s="2" t="s">
        <v>449</v>
      </c>
      <c r="BV46" s="2" t="s">
        <v>200</v>
      </c>
      <c r="BW46" s="2" t="s">
        <v>200</v>
      </c>
      <c r="BX46" s="2" t="s">
        <v>289</v>
      </c>
      <c r="BY46" s="2" t="s">
        <v>247</v>
      </c>
      <c r="BZ46" s="2" t="s">
        <v>212</v>
      </c>
      <c r="CA46" s="2" t="s">
        <v>450</v>
      </c>
      <c r="CB46" s="2" t="s">
        <v>451</v>
      </c>
      <c r="CC46" s="2" t="s">
        <v>213</v>
      </c>
      <c r="CD46" s="2" t="s">
        <v>200</v>
      </c>
      <c r="CE46" s="4">
        <v>15</v>
      </c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</row>
    <row r="47">
      <c r="A47" s="2" t="s">
        <v>452</v>
      </c>
      <c r="B47" s="2" t="s">
        <v>230</v>
      </c>
      <c r="C47" s="2" t="s">
        <v>413</v>
      </c>
      <c r="D47" s="2" t="s">
        <v>232</v>
      </c>
      <c r="E47" s="2" t="s">
        <v>233</v>
      </c>
      <c r="F47" s="2" t="s">
        <v>444</v>
      </c>
      <c r="G47" s="2" t="s">
        <v>444</v>
      </c>
      <c r="H47" s="2" t="s">
        <v>444</v>
      </c>
      <c r="I47" s="2" t="s">
        <v>445</v>
      </c>
      <c r="J47" s="2" t="s">
        <v>256</v>
      </c>
      <c r="K47" s="2" t="s">
        <v>221</v>
      </c>
      <c r="L47" s="3">
        <v>26.5</v>
      </c>
      <c r="M47" s="3">
        <v>27.83</v>
      </c>
      <c r="N47" s="3">
        <v>49.99</v>
      </c>
      <c r="O47" s="2" t="s">
        <v>417</v>
      </c>
      <c r="P47" s="2" t="s">
        <v>285</v>
      </c>
      <c r="Q47" s="2" t="s">
        <v>206</v>
      </c>
      <c r="R47" s="2" t="s">
        <v>200</v>
      </c>
      <c r="S47" s="2" t="s">
        <v>453</v>
      </c>
      <c r="T47" s="2" t="s">
        <v>312</v>
      </c>
      <c r="U47" s="2" t="s">
        <v>454</v>
      </c>
      <c r="V47" s="2" t="s">
        <v>208</v>
      </c>
      <c r="W47" s="2" t="s">
        <v>241</v>
      </c>
      <c r="X47" s="2" t="s">
        <v>241</v>
      </c>
      <c r="Y47" s="2" t="s">
        <v>447</v>
      </c>
      <c r="Z47" s="4">
        <v>20</v>
      </c>
      <c r="AA47" s="4">
        <f>=ROUNDDOWN(20,0)</f>
      </c>
      <c r="AB47" s="5">
        <v>1</v>
      </c>
      <c r="AC47" s="2" t="s">
        <v>200</v>
      </c>
      <c r="AD47" s="4"/>
      <c r="AE47" s="4"/>
      <c r="AF47" s="6">
        <v>70</v>
      </c>
      <c r="AG47" s="6"/>
      <c r="AH47" s="7">
        <v>1</v>
      </c>
      <c r="AI47" s="4"/>
      <c r="AJ47" s="4">
        <f>=ROUNDDOWN({0},0)</f>
      </c>
      <c r="AK47" s="5"/>
      <c r="AL47" s="2" t="s">
        <v>200</v>
      </c>
      <c r="AM47" s="4"/>
      <c r="AN47" s="4"/>
      <c r="AO47" s="7"/>
      <c r="AP47" s="4"/>
      <c r="AQ47" s="8"/>
      <c r="AR47" s="4"/>
      <c r="AS47" s="8"/>
      <c r="AT47" s="7"/>
      <c r="AU47" s="7"/>
      <c r="AV47" s="4" t="s">
        <v>200</v>
      </c>
      <c r="AW47" s="8" t="s">
        <v>200</v>
      </c>
      <c r="AX47" s="4" t="s">
        <v>200</v>
      </c>
      <c r="AY47" s="8" t="s">
        <v>200</v>
      </c>
      <c r="AZ47" s="7" t="s">
        <v>200</v>
      </c>
      <c r="BA47" s="7" t="s">
        <v>200</v>
      </c>
      <c r="BB47" s="7"/>
      <c r="BC47" s="4" t="s">
        <v>200</v>
      </c>
      <c r="BD47" s="8" t="s">
        <v>200</v>
      </c>
      <c r="BE47" s="4" t="s">
        <v>200</v>
      </c>
      <c r="BF47" s="8" t="s">
        <v>200</v>
      </c>
      <c r="BG47" s="7" t="s">
        <v>200</v>
      </c>
      <c r="BH47" s="7" t="s">
        <v>200</v>
      </c>
      <c r="BI47" s="7"/>
      <c r="BJ47" s="4"/>
      <c r="BK47" s="8"/>
      <c r="BL47" s="2" t="s">
        <v>455</v>
      </c>
      <c r="BM47" s="7"/>
      <c r="BN47" s="7"/>
      <c r="BO47" s="4"/>
      <c r="BP47" s="8"/>
      <c r="BQ47" s="4"/>
      <c r="BR47" s="8"/>
      <c r="BS47" s="7"/>
      <c r="BT47" s="7"/>
      <c r="BU47" s="2" t="s">
        <v>456</v>
      </c>
      <c r="BV47" s="2" t="s">
        <v>200</v>
      </c>
      <c r="BW47" s="2" t="s">
        <v>200</v>
      </c>
      <c r="BX47" s="2" t="s">
        <v>289</v>
      </c>
      <c r="BY47" s="2" t="s">
        <v>247</v>
      </c>
      <c r="BZ47" s="2" t="s">
        <v>212</v>
      </c>
      <c r="CA47" s="2" t="s">
        <v>457</v>
      </c>
      <c r="CB47" s="2" t="s">
        <v>458</v>
      </c>
      <c r="CC47" s="2" t="s">
        <v>213</v>
      </c>
      <c r="CD47" s="2" t="s">
        <v>200</v>
      </c>
      <c r="CE47" s="4">
        <v>20</v>
      </c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</row>
    <row r="48">
      <c r="A48" s="2" t="s">
        <v>459</v>
      </c>
      <c r="B48" s="2" t="s">
        <v>230</v>
      </c>
      <c r="C48" s="2" t="s">
        <v>413</v>
      </c>
      <c r="D48" s="2" t="s">
        <v>232</v>
      </c>
      <c r="E48" s="2" t="s">
        <v>233</v>
      </c>
      <c r="F48" s="2" t="s">
        <v>444</v>
      </c>
      <c r="G48" s="2" t="s">
        <v>444</v>
      </c>
      <c r="H48" s="2" t="s">
        <v>444</v>
      </c>
      <c r="I48" s="2" t="s">
        <v>445</v>
      </c>
      <c r="J48" s="2" t="s">
        <v>277</v>
      </c>
      <c r="K48" s="2" t="s">
        <v>221</v>
      </c>
      <c r="L48" s="3">
        <v>32</v>
      </c>
      <c r="M48" s="3">
        <v>33.6</v>
      </c>
      <c r="N48" s="3">
        <v>59.99</v>
      </c>
      <c r="O48" s="2" t="s">
        <v>460</v>
      </c>
      <c r="P48" s="2" t="s">
        <v>285</v>
      </c>
      <c r="Q48" s="2" t="s">
        <v>206</v>
      </c>
      <c r="R48" s="2" t="s">
        <v>200</v>
      </c>
      <c r="S48" s="2" t="s">
        <v>453</v>
      </c>
      <c r="T48" s="2" t="s">
        <v>312</v>
      </c>
      <c r="U48" s="2" t="s">
        <v>240</v>
      </c>
      <c r="V48" s="2" t="s">
        <v>208</v>
      </c>
      <c r="W48" s="2" t="s">
        <v>241</v>
      </c>
      <c r="X48" s="2" t="s">
        <v>241</v>
      </c>
      <c r="Y48" s="2" t="s">
        <v>447</v>
      </c>
      <c r="Z48" s="4">
        <v>150</v>
      </c>
      <c r="AA48" s="4">
        <f>=ROUNDDOWN(150,0)</f>
      </c>
      <c r="AB48" s="5">
        <v>1</v>
      </c>
      <c r="AC48" s="2" t="s">
        <v>200</v>
      </c>
      <c r="AD48" s="4"/>
      <c r="AE48" s="4"/>
      <c r="AF48" s="6">
        <v>70</v>
      </c>
      <c r="AG48" s="6"/>
      <c r="AH48" s="7">
        <v>1</v>
      </c>
      <c r="AI48" s="4"/>
      <c r="AJ48" s="4">
        <f>=ROUNDDOWN({0},0)</f>
      </c>
      <c r="AK48" s="5"/>
      <c r="AL48" s="2" t="s">
        <v>200</v>
      </c>
      <c r="AM48" s="4"/>
      <c r="AN48" s="4"/>
      <c r="AO48" s="7"/>
      <c r="AP48" s="4"/>
      <c r="AQ48" s="8"/>
      <c r="AR48" s="4"/>
      <c r="AS48" s="8"/>
      <c r="AT48" s="7"/>
      <c r="AU48" s="7"/>
      <c r="AV48" s="4" t="s">
        <v>200</v>
      </c>
      <c r="AW48" s="8" t="s">
        <v>200</v>
      </c>
      <c r="AX48" s="4" t="s">
        <v>200</v>
      </c>
      <c r="AY48" s="8" t="s">
        <v>200</v>
      </c>
      <c r="AZ48" s="7" t="s">
        <v>200</v>
      </c>
      <c r="BA48" s="7" t="s">
        <v>200</v>
      </c>
      <c r="BB48" s="7"/>
      <c r="BC48" s="4" t="s">
        <v>200</v>
      </c>
      <c r="BD48" s="8" t="s">
        <v>200</v>
      </c>
      <c r="BE48" s="4" t="s">
        <v>200</v>
      </c>
      <c r="BF48" s="8" t="s">
        <v>200</v>
      </c>
      <c r="BG48" s="7" t="s">
        <v>200</v>
      </c>
      <c r="BH48" s="7" t="s">
        <v>200</v>
      </c>
      <c r="BI48" s="7"/>
      <c r="BJ48" s="4">
        <v>1</v>
      </c>
      <c r="BK48" s="8">
        <v>16.06</v>
      </c>
      <c r="BL48" s="2" t="s">
        <v>455</v>
      </c>
      <c r="BM48" s="7"/>
      <c r="BN48" s="7"/>
      <c r="BO48" s="4"/>
      <c r="BP48" s="8"/>
      <c r="BQ48" s="4"/>
      <c r="BR48" s="8"/>
      <c r="BS48" s="7"/>
      <c r="BT48" s="7"/>
      <c r="BU48" s="2" t="s">
        <v>461</v>
      </c>
      <c r="BV48" s="2" t="s">
        <v>200</v>
      </c>
      <c r="BW48" s="2" t="s">
        <v>200</v>
      </c>
      <c r="BX48" s="2" t="s">
        <v>289</v>
      </c>
      <c r="BY48" s="2" t="s">
        <v>247</v>
      </c>
      <c r="BZ48" s="2" t="s">
        <v>212</v>
      </c>
      <c r="CA48" s="2" t="s">
        <v>462</v>
      </c>
      <c r="CB48" s="2" t="s">
        <v>424</v>
      </c>
      <c r="CC48" s="2" t="s">
        <v>213</v>
      </c>
      <c r="CD48" s="2" t="s">
        <v>200</v>
      </c>
      <c r="CE48" s="4">
        <v>150</v>
      </c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</row>
    <row r="49">
      <c r="A49" s="2" t="s">
        <v>463</v>
      </c>
      <c r="B49" s="2" t="s">
        <v>230</v>
      </c>
      <c r="C49" s="2" t="s">
        <v>413</v>
      </c>
      <c r="D49" s="2" t="s">
        <v>232</v>
      </c>
      <c r="E49" s="2" t="s">
        <v>233</v>
      </c>
      <c r="F49" s="2" t="s">
        <v>444</v>
      </c>
      <c r="G49" s="2" t="s">
        <v>444</v>
      </c>
      <c r="H49" s="2" t="s">
        <v>444</v>
      </c>
      <c r="I49" s="2" t="s">
        <v>445</v>
      </c>
      <c r="J49" s="2" t="s">
        <v>277</v>
      </c>
      <c r="K49" s="2" t="s">
        <v>464</v>
      </c>
      <c r="L49" s="3">
        <v>32</v>
      </c>
      <c r="M49" s="3">
        <v>33.6</v>
      </c>
      <c r="N49" s="3">
        <v>59.99</v>
      </c>
      <c r="O49" s="2" t="s">
        <v>417</v>
      </c>
      <c r="P49" s="2" t="s">
        <v>285</v>
      </c>
      <c r="Q49" s="2" t="s">
        <v>206</v>
      </c>
      <c r="R49" s="2" t="s">
        <v>200</v>
      </c>
      <c r="S49" s="2" t="s">
        <v>465</v>
      </c>
      <c r="T49" s="2" t="s">
        <v>312</v>
      </c>
      <c r="U49" s="2" t="s">
        <v>240</v>
      </c>
      <c r="V49" s="2" t="s">
        <v>208</v>
      </c>
      <c r="W49" s="2" t="s">
        <v>241</v>
      </c>
      <c r="X49" s="2" t="s">
        <v>241</v>
      </c>
      <c r="Y49" s="2" t="s">
        <v>447</v>
      </c>
      <c r="Z49" s="4">
        <v>6</v>
      </c>
      <c r="AA49" s="4">
        <f>=ROUNDDOWN(6,0)</f>
      </c>
      <c r="AB49" s="5">
        <v>1</v>
      </c>
      <c r="AC49" s="2" t="s">
        <v>200</v>
      </c>
      <c r="AD49" s="4"/>
      <c r="AE49" s="4"/>
      <c r="AF49" s="6">
        <v>70</v>
      </c>
      <c r="AG49" s="6"/>
      <c r="AH49" s="7">
        <v>0.9</v>
      </c>
      <c r="AI49" s="4"/>
      <c r="AJ49" s="4">
        <f>=ROUNDDOWN({0},0)</f>
      </c>
      <c r="AK49" s="5"/>
      <c r="AL49" s="2" t="s">
        <v>200</v>
      </c>
      <c r="AM49" s="4"/>
      <c r="AN49" s="4"/>
      <c r="AO49" s="7"/>
      <c r="AP49" s="4"/>
      <c r="AQ49" s="8"/>
      <c r="AR49" s="4"/>
      <c r="AS49" s="8"/>
      <c r="AT49" s="7"/>
      <c r="AU49" s="7"/>
      <c r="AV49" s="4"/>
      <c r="AW49" s="8"/>
      <c r="AX49" s="4"/>
      <c r="AY49" s="8"/>
      <c r="AZ49" s="7"/>
      <c r="BA49" s="7"/>
      <c r="BB49" s="7"/>
      <c r="BC49" s="4" t="s">
        <v>200</v>
      </c>
      <c r="BD49" s="8" t="s">
        <v>200</v>
      </c>
      <c r="BE49" s="4" t="s">
        <v>200</v>
      </c>
      <c r="BF49" s="8" t="s">
        <v>200</v>
      </c>
      <c r="BG49" s="7" t="s">
        <v>200</v>
      </c>
      <c r="BH49" s="7" t="s">
        <v>200</v>
      </c>
      <c r="BI49" s="7"/>
      <c r="BJ49" s="4"/>
      <c r="BK49" s="8"/>
      <c r="BL49" s="2" t="s">
        <v>466</v>
      </c>
      <c r="BM49" s="7"/>
      <c r="BN49" s="7"/>
      <c r="BO49" s="4"/>
      <c r="BP49" s="8"/>
      <c r="BQ49" s="4"/>
      <c r="BR49" s="8"/>
      <c r="BS49" s="7"/>
      <c r="BT49" s="7"/>
      <c r="BU49" s="2" t="s">
        <v>467</v>
      </c>
      <c r="BV49" s="2" t="s">
        <v>200</v>
      </c>
      <c r="BW49" s="2" t="s">
        <v>200</v>
      </c>
      <c r="BX49" s="2" t="s">
        <v>289</v>
      </c>
      <c r="BY49" s="2" t="s">
        <v>247</v>
      </c>
      <c r="BZ49" s="2" t="s">
        <v>212</v>
      </c>
      <c r="CA49" s="2" t="s">
        <v>450</v>
      </c>
      <c r="CB49" s="2" t="s">
        <v>468</v>
      </c>
      <c r="CC49" s="2" t="s">
        <v>213</v>
      </c>
      <c r="CD49" s="2" t="s">
        <v>200</v>
      </c>
      <c r="CE49" s="4">
        <v>6</v>
      </c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</row>
    <row r="50">
      <c r="A50" s="2" t="s">
        <v>469</v>
      </c>
      <c r="B50" s="2" t="s">
        <v>230</v>
      </c>
      <c r="C50" s="2" t="s">
        <v>413</v>
      </c>
      <c r="D50" s="2" t="s">
        <v>232</v>
      </c>
      <c r="E50" s="2" t="s">
        <v>233</v>
      </c>
      <c r="F50" s="2" t="s">
        <v>444</v>
      </c>
      <c r="G50" s="2" t="s">
        <v>444</v>
      </c>
      <c r="H50" s="2" t="s">
        <v>444</v>
      </c>
      <c r="I50" s="2" t="s">
        <v>445</v>
      </c>
      <c r="J50" s="2" t="s">
        <v>277</v>
      </c>
      <c r="K50" s="2" t="s">
        <v>257</v>
      </c>
      <c r="L50" s="3">
        <v>32</v>
      </c>
      <c r="M50" s="3">
        <v>33.6</v>
      </c>
      <c r="N50" s="3">
        <v>59.99</v>
      </c>
      <c r="O50" s="2" t="s">
        <v>460</v>
      </c>
      <c r="P50" s="2" t="s">
        <v>285</v>
      </c>
      <c r="Q50" s="2" t="s">
        <v>206</v>
      </c>
      <c r="R50" s="2" t="s">
        <v>200</v>
      </c>
      <c r="S50" s="2" t="s">
        <v>470</v>
      </c>
      <c r="T50" s="2" t="s">
        <v>312</v>
      </c>
      <c r="U50" s="2" t="s">
        <v>240</v>
      </c>
      <c r="V50" s="2" t="s">
        <v>208</v>
      </c>
      <c r="W50" s="2" t="s">
        <v>241</v>
      </c>
      <c r="X50" s="2" t="s">
        <v>241</v>
      </c>
      <c r="Y50" s="2" t="s">
        <v>447</v>
      </c>
      <c r="Z50" s="4">
        <v>146</v>
      </c>
      <c r="AA50" s="4">
        <f>=ROUNDDOWN(146,0)</f>
      </c>
      <c r="AB50" s="5">
        <v>1</v>
      </c>
      <c r="AC50" s="2" t="s">
        <v>200</v>
      </c>
      <c r="AD50" s="4"/>
      <c r="AE50" s="4"/>
      <c r="AF50" s="6">
        <v>70</v>
      </c>
      <c r="AG50" s="6"/>
      <c r="AH50" s="7">
        <v>1</v>
      </c>
      <c r="AI50" s="4"/>
      <c r="AJ50" s="4">
        <f>=ROUNDDOWN({0},0)</f>
      </c>
      <c r="AK50" s="5"/>
      <c r="AL50" s="2" t="s">
        <v>200</v>
      </c>
      <c r="AM50" s="4"/>
      <c r="AN50" s="4"/>
      <c r="AO50" s="7"/>
      <c r="AP50" s="4"/>
      <c r="AQ50" s="8"/>
      <c r="AR50" s="4"/>
      <c r="AS50" s="8"/>
      <c r="AT50" s="7"/>
      <c r="AU50" s="7"/>
      <c r="AV50" s="4"/>
      <c r="AW50" s="8"/>
      <c r="AX50" s="4"/>
      <c r="AY50" s="8"/>
      <c r="AZ50" s="7"/>
      <c r="BA50" s="7"/>
      <c r="BB50" s="7"/>
      <c r="BC50" s="4" t="s">
        <v>200</v>
      </c>
      <c r="BD50" s="8" t="s">
        <v>200</v>
      </c>
      <c r="BE50" s="4" t="s">
        <v>200</v>
      </c>
      <c r="BF50" s="8" t="s">
        <v>200</v>
      </c>
      <c r="BG50" s="7" t="s">
        <v>200</v>
      </c>
      <c r="BH50" s="7" t="s">
        <v>200</v>
      </c>
      <c r="BI50" s="7"/>
      <c r="BJ50" s="4">
        <v>1</v>
      </c>
      <c r="BK50" s="8">
        <v>16.06</v>
      </c>
      <c r="BL50" s="2" t="s">
        <v>471</v>
      </c>
      <c r="BM50" s="7"/>
      <c r="BN50" s="7"/>
      <c r="BO50" s="4"/>
      <c r="BP50" s="8"/>
      <c r="BQ50" s="4"/>
      <c r="BR50" s="8"/>
      <c r="BS50" s="7"/>
      <c r="BT50" s="7"/>
      <c r="BU50" s="2" t="s">
        <v>472</v>
      </c>
      <c r="BV50" s="2" t="s">
        <v>200</v>
      </c>
      <c r="BW50" s="2" t="s">
        <v>200</v>
      </c>
      <c r="BX50" s="2" t="s">
        <v>289</v>
      </c>
      <c r="BY50" s="2" t="s">
        <v>247</v>
      </c>
      <c r="BZ50" s="2" t="s">
        <v>212</v>
      </c>
      <c r="CA50" s="2" t="s">
        <v>462</v>
      </c>
      <c r="CB50" s="2" t="s">
        <v>473</v>
      </c>
      <c r="CC50" s="2" t="s">
        <v>213</v>
      </c>
      <c r="CD50" s="2" t="s">
        <v>200</v>
      </c>
      <c r="CE50" s="4">
        <v>146</v>
      </c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</row>
    <row r="51">
      <c r="A51" s="2" t="s">
        <v>474</v>
      </c>
      <c r="B51" s="2" t="s">
        <v>230</v>
      </c>
      <c r="C51" s="2" t="s">
        <v>231</v>
      </c>
      <c r="D51" s="2" t="s">
        <v>232</v>
      </c>
      <c r="E51" s="2" t="s">
        <v>233</v>
      </c>
      <c r="F51" s="2" t="s">
        <v>475</v>
      </c>
      <c r="G51" s="2" t="s">
        <v>475</v>
      </c>
      <c r="H51" s="2" t="s">
        <v>475</v>
      </c>
      <c r="I51" s="2" t="s">
        <v>476</v>
      </c>
      <c r="J51" s="2" t="s">
        <v>256</v>
      </c>
      <c r="K51" s="2" t="s">
        <v>387</v>
      </c>
      <c r="L51" s="3">
        <v>13.44</v>
      </c>
      <c r="M51" s="3">
        <v>14.11</v>
      </c>
      <c r="N51" s="3">
        <v>27.99</v>
      </c>
      <c r="O51" s="2" t="s">
        <v>212</v>
      </c>
      <c r="P51" s="2" t="s">
        <v>258</v>
      </c>
      <c r="Q51" s="2" t="s">
        <v>206</v>
      </c>
      <c r="R51" s="2" t="s">
        <v>200</v>
      </c>
      <c r="S51" s="2" t="s">
        <v>477</v>
      </c>
      <c r="T51" s="2" t="s">
        <v>378</v>
      </c>
      <c r="U51" s="2" t="s">
        <v>200</v>
      </c>
      <c r="V51" s="2" t="s">
        <v>208</v>
      </c>
      <c r="W51" s="2" t="s">
        <v>241</v>
      </c>
      <c r="X51" s="2" t="s">
        <v>200</v>
      </c>
      <c r="Y51" s="2" t="s">
        <v>261</v>
      </c>
      <c r="Z51" s="4">
        <v>93</v>
      </c>
      <c r="AA51" s="4">
        <f>=ROUNDDOWN(19.375,0)</f>
      </c>
      <c r="AB51" s="5">
        <v>4.8</v>
      </c>
      <c r="AC51" s="2" t="s">
        <v>115</v>
      </c>
      <c r="AD51" s="4">
        <v>60</v>
      </c>
      <c r="AE51" s="4">
        <v>140</v>
      </c>
      <c r="AF51" s="6">
        <v>65</v>
      </c>
      <c r="AG51" s="6"/>
      <c r="AH51" s="7">
        <v>1</v>
      </c>
      <c r="AI51" s="4"/>
      <c r="AJ51" s="4">
        <f>=ROUNDDOWN({0},0)</f>
      </c>
      <c r="AK51" s="5"/>
      <c r="AL51" s="2" t="s">
        <v>200</v>
      </c>
      <c r="AM51" s="4"/>
      <c r="AN51" s="4"/>
      <c r="AO51" s="7"/>
      <c r="AP51" s="4"/>
      <c r="AQ51" s="8"/>
      <c r="AR51" s="4"/>
      <c r="AS51" s="8"/>
      <c r="AT51" s="7"/>
      <c r="AU51" s="7"/>
      <c r="AV51" s="4" t="s">
        <v>200</v>
      </c>
      <c r="AW51" s="8" t="s">
        <v>200</v>
      </c>
      <c r="AX51" s="4" t="s">
        <v>200</v>
      </c>
      <c r="AY51" s="8" t="s">
        <v>200</v>
      </c>
      <c r="AZ51" s="7" t="s">
        <v>200</v>
      </c>
      <c r="BA51" s="7" t="s">
        <v>200</v>
      </c>
      <c r="BB51" s="7"/>
      <c r="BC51" s="4" t="s">
        <v>200</v>
      </c>
      <c r="BD51" s="8" t="s">
        <v>200</v>
      </c>
      <c r="BE51" s="4" t="s">
        <v>200</v>
      </c>
      <c r="BF51" s="8" t="s">
        <v>200</v>
      </c>
      <c r="BG51" s="7" t="s">
        <v>200</v>
      </c>
      <c r="BH51" s="7" t="s">
        <v>200</v>
      </c>
      <c r="BI51" s="7"/>
      <c r="BJ51" s="4">
        <v>19</v>
      </c>
      <c r="BK51" s="8">
        <v>266.68</v>
      </c>
      <c r="BL51" s="2" t="s">
        <v>478</v>
      </c>
      <c r="BM51" s="7"/>
      <c r="BN51" s="7"/>
      <c r="BO51" s="4"/>
      <c r="BP51" s="8"/>
      <c r="BQ51" s="4"/>
      <c r="BR51" s="8"/>
      <c r="BS51" s="7"/>
      <c r="BT51" s="7"/>
      <c r="BU51" s="2" t="s">
        <v>479</v>
      </c>
      <c r="BV51" s="2" t="s">
        <v>200</v>
      </c>
      <c r="BW51" s="2" t="s">
        <v>200</v>
      </c>
      <c r="BX51" s="2" t="s">
        <v>264</v>
      </c>
      <c r="BY51" s="2" t="s">
        <v>247</v>
      </c>
      <c r="BZ51" s="2" t="s">
        <v>212</v>
      </c>
      <c r="CA51" s="2" t="s">
        <v>265</v>
      </c>
      <c r="CB51" s="2" t="s">
        <v>480</v>
      </c>
      <c r="CC51" s="2" t="s">
        <v>213</v>
      </c>
      <c r="CD51" s="2" t="s">
        <v>200</v>
      </c>
      <c r="CE51" s="4">
        <v>93</v>
      </c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>
        <v>60</v>
      </c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>
        <v>80</v>
      </c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</row>
    <row r="52">
      <c r="A52" s="2" t="s">
        <v>481</v>
      </c>
      <c r="B52" s="2" t="s">
        <v>230</v>
      </c>
      <c r="C52" s="2" t="s">
        <v>231</v>
      </c>
      <c r="D52" s="2" t="s">
        <v>232</v>
      </c>
      <c r="E52" s="2" t="s">
        <v>233</v>
      </c>
      <c r="F52" s="2" t="s">
        <v>475</v>
      </c>
      <c r="G52" s="2" t="s">
        <v>475</v>
      </c>
      <c r="H52" s="2" t="s">
        <v>475</v>
      </c>
      <c r="I52" s="2" t="s">
        <v>476</v>
      </c>
      <c r="J52" s="2" t="s">
        <v>269</v>
      </c>
      <c r="K52" s="2" t="s">
        <v>387</v>
      </c>
      <c r="L52" s="3">
        <v>15.19</v>
      </c>
      <c r="M52" s="3">
        <v>15.95</v>
      </c>
      <c r="N52" s="3">
        <v>30.99</v>
      </c>
      <c r="O52" s="2" t="s">
        <v>212</v>
      </c>
      <c r="P52" s="2" t="s">
        <v>258</v>
      </c>
      <c r="Q52" s="2" t="s">
        <v>206</v>
      </c>
      <c r="R52" s="2" t="s">
        <v>200</v>
      </c>
      <c r="S52" s="2" t="s">
        <v>477</v>
      </c>
      <c r="T52" s="2" t="s">
        <v>378</v>
      </c>
      <c r="U52" s="2" t="s">
        <v>200</v>
      </c>
      <c r="V52" s="2" t="s">
        <v>208</v>
      </c>
      <c r="W52" s="2" t="s">
        <v>241</v>
      </c>
      <c r="X52" s="2" t="s">
        <v>200</v>
      </c>
      <c r="Y52" s="2" t="s">
        <v>261</v>
      </c>
      <c r="Z52" s="4">
        <v>159</v>
      </c>
      <c r="AA52" s="4">
        <f>=ROUNDDOWN(27.4137931034483,0)</f>
      </c>
      <c r="AB52" s="5">
        <v>5.8</v>
      </c>
      <c r="AC52" s="2" t="s">
        <v>482</v>
      </c>
      <c r="AD52" s="4">
        <v>50</v>
      </c>
      <c r="AE52" s="4">
        <v>50</v>
      </c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200</v>
      </c>
      <c r="AM52" s="4"/>
      <c r="AN52" s="4"/>
      <c r="AO52" s="7"/>
      <c r="AP52" s="4"/>
      <c r="AQ52" s="8"/>
      <c r="AR52" s="4"/>
      <c r="AS52" s="8"/>
      <c r="AT52" s="7"/>
      <c r="AU52" s="7"/>
      <c r="AV52" s="4" t="s">
        <v>200</v>
      </c>
      <c r="AW52" s="8" t="s">
        <v>200</v>
      </c>
      <c r="AX52" s="4" t="s">
        <v>200</v>
      </c>
      <c r="AY52" s="8" t="s">
        <v>200</v>
      </c>
      <c r="AZ52" s="7" t="s">
        <v>200</v>
      </c>
      <c r="BA52" s="7" t="s">
        <v>200</v>
      </c>
      <c r="BB52" s="7"/>
      <c r="BC52" s="4" t="s">
        <v>200</v>
      </c>
      <c r="BD52" s="8" t="s">
        <v>200</v>
      </c>
      <c r="BE52" s="4" t="s">
        <v>200</v>
      </c>
      <c r="BF52" s="8" t="s">
        <v>200</v>
      </c>
      <c r="BG52" s="7" t="s">
        <v>200</v>
      </c>
      <c r="BH52" s="7" t="s">
        <v>200</v>
      </c>
      <c r="BI52" s="7"/>
      <c r="BJ52" s="4">
        <v>30</v>
      </c>
      <c r="BK52" s="8">
        <v>479.82</v>
      </c>
      <c r="BL52" s="2" t="s">
        <v>483</v>
      </c>
      <c r="BM52" s="7"/>
      <c r="BN52" s="7"/>
      <c r="BO52" s="4"/>
      <c r="BP52" s="8"/>
      <c r="BQ52" s="4"/>
      <c r="BR52" s="8"/>
      <c r="BS52" s="7"/>
      <c r="BT52" s="7"/>
      <c r="BU52" s="2" t="s">
        <v>484</v>
      </c>
      <c r="BV52" s="2" t="s">
        <v>200</v>
      </c>
      <c r="BW52" s="2" t="s">
        <v>200</v>
      </c>
      <c r="BX52" s="2" t="s">
        <v>264</v>
      </c>
      <c r="BY52" s="2" t="s">
        <v>247</v>
      </c>
      <c r="BZ52" s="2" t="s">
        <v>212</v>
      </c>
      <c r="CA52" s="2" t="s">
        <v>265</v>
      </c>
      <c r="CB52" s="2" t="s">
        <v>485</v>
      </c>
      <c r="CC52" s="2" t="s">
        <v>213</v>
      </c>
      <c r="CD52" s="2" t="s">
        <v>200</v>
      </c>
      <c r="CE52" s="4">
        <v>159</v>
      </c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>
        <v>50</v>
      </c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</row>
    <row r="53">
      <c r="A53" s="2" t="s">
        <v>486</v>
      </c>
      <c r="B53" s="2" t="s">
        <v>230</v>
      </c>
      <c r="C53" s="2" t="s">
        <v>231</v>
      </c>
      <c r="D53" s="2" t="s">
        <v>232</v>
      </c>
      <c r="E53" s="2" t="s">
        <v>233</v>
      </c>
      <c r="F53" s="2" t="s">
        <v>475</v>
      </c>
      <c r="G53" s="2" t="s">
        <v>475</v>
      </c>
      <c r="H53" s="2" t="s">
        <v>475</v>
      </c>
      <c r="I53" s="2" t="s">
        <v>476</v>
      </c>
      <c r="J53" s="2" t="s">
        <v>277</v>
      </c>
      <c r="K53" s="2" t="s">
        <v>387</v>
      </c>
      <c r="L53" s="3">
        <v>16.5</v>
      </c>
      <c r="M53" s="3">
        <v>17.32</v>
      </c>
      <c r="N53" s="3">
        <v>32.99</v>
      </c>
      <c r="O53" s="2" t="s">
        <v>212</v>
      </c>
      <c r="P53" s="2" t="s">
        <v>258</v>
      </c>
      <c r="Q53" s="2" t="s">
        <v>206</v>
      </c>
      <c r="R53" s="2" t="s">
        <v>200</v>
      </c>
      <c r="S53" s="2" t="s">
        <v>477</v>
      </c>
      <c r="T53" s="2" t="s">
        <v>378</v>
      </c>
      <c r="U53" s="2" t="s">
        <v>200</v>
      </c>
      <c r="V53" s="2" t="s">
        <v>208</v>
      </c>
      <c r="W53" s="2" t="s">
        <v>241</v>
      </c>
      <c r="X53" s="2" t="s">
        <v>200</v>
      </c>
      <c r="Y53" s="2" t="s">
        <v>261</v>
      </c>
      <c r="Z53" s="4">
        <v>232</v>
      </c>
      <c r="AA53" s="4">
        <f>=ROUNDDOWN(38.6666666666667,0)</f>
      </c>
      <c r="AB53" s="5">
        <v>6</v>
      </c>
      <c r="AC53" s="2" t="s">
        <v>115</v>
      </c>
      <c r="AD53" s="4">
        <v>100</v>
      </c>
      <c r="AE53" s="4">
        <v>100</v>
      </c>
      <c r="AF53" s="6">
        <v>65</v>
      </c>
      <c r="AG53" s="6"/>
      <c r="AH53" s="7">
        <v>1</v>
      </c>
      <c r="AI53" s="4"/>
      <c r="AJ53" s="4">
        <f>=ROUNDDOWN({0},0)</f>
      </c>
      <c r="AK53" s="5"/>
      <c r="AL53" s="2" t="s">
        <v>200</v>
      </c>
      <c r="AM53" s="4"/>
      <c r="AN53" s="4"/>
      <c r="AO53" s="7"/>
      <c r="AP53" s="4"/>
      <c r="AQ53" s="8"/>
      <c r="AR53" s="4"/>
      <c r="AS53" s="8"/>
      <c r="AT53" s="7"/>
      <c r="AU53" s="7"/>
      <c r="AV53" s="4" t="s">
        <v>200</v>
      </c>
      <c r="AW53" s="8" t="s">
        <v>200</v>
      </c>
      <c r="AX53" s="4" t="s">
        <v>200</v>
      </c>
      <c r="AY53" s="8" t="s">
        <v>200</v>
      </c>
      <c r="AZ53" s="7" t="s">
        <v>200</v>
      </c>
      <c r="BA53" s="7" t="s">
        <v>200</v>
      </c>
      <c r="BB53" s="7"/>
      <c r="BC53" s="4" t="s">
        <v>200</v>
      </c>
      <c r="BD53" s="8" t="s">
        <v>200</v>
      </c>
      <c r="BE53" s="4" t="s">
        <v>200</v>
      </c>
      <c r="BF53" s="8" t="s">
        <v>200</v>
      </c>
      <c r="BG53" s="7" t="s">
        <v>200</v>
      </c>
      <c r="BH53" s="7" t="s">
        <v>200</v>
      </c>
      <c r="BI53" s="7"/>
      <c r="BJ53" s="4">
        <v>15</v>
      </c>
      <c r="BK53" s="8">
        <v>244.64</v>
      </c>
      <c r="BL53" s="2" t="s">
        <v>487</v>
      </c>
      <c r="BM53" s="7"/>
      <c r="BN53" s="7"/>
      <c r="BO53" s="4"/>
      <c r="BP53" s="8"/>
      <c r="BQ53" s="4"/>
      <c r="BR53" s="8"/>
      <c r="BS53" s="7"/>
      <c r="BT53" s="7"/>
      <c r="BU53" s="2" t="s">
        <v>488</v>
      </c>
      <c r="BV53" s="2" t="s">
        <v>200</v>
      </c>
      <c r="BW53" s="2" t="s">
        <v>200</v>
      </c>
      <c r="BX53" s="2" t="s">
        <v>264</v>
      </c>
      <c r="BY53" s="2" t="s">
        <v>247</v>
      </c>
      <c r="BZ53" s="2" t="s">
        <v>212</v>
      </c>
      <c r="CA53" s="2" t="s">
        <v>265</v>
      </c>
      <c r="CB53" s="2" t="s">
        <v>489</v>
      </c>
      <c r="CC53" s="2" t="s">
        <v>213</v>
      </c>
      <c r="CD53" s="2" t="s">
        <v>200</v>
      </c>
      <c r="CE53" s="4">
        <v>232</v>
      </c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>
        <v>100</v>
      </c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</row>
    <row r="54">
      <c r="A54" s="2" t="s">
        <v>490</v>
      </c>
      <c r="B54" s="2" t="s">
        <v>230</v>
      </c>
      <c r="C54" s="2" t="s">
        <v>231</v>
      </c>
      <c r="D54" s="2" t="s">
        <v>232</v>
      </c>
      <c r="E54" s="2" t="s">
        <v>233</v>
      </c>
      <c r="F54" s="2" t="s">
        <v>475</v>
      </c>
      <c r="G54" s="2" t="s">
        <v>475</v>
      </c>
      <c r="H54" s="2" t="s">
        <v>475</v>
      </c>
      <c r="I54" s="2" t="s">
        <v>476</v>
      </c>
      <c r="J54" s="2" t="s">
        <v>297</v>
      </c>
      <c r="K54" s="2" t="s">
        <v>387</v>
      </c>
      <c r="L54" s="3">
        <v>19</v>
      </c>
      <c r="M54" s="3">
        <v>19.95</v>
      </c>
      <c r="N54" s="3">
        <v>37.99</v>
      </c>
      <c r="O54" s="2" t="s">
        <v>212</v>
      </c>
      <c r="P54" s="2" t="s">
        <v>258</v>
      </c>
      <c r="Q54" s="2" t="s">
        <v>206</v>
      </c>
      <c r="R54" s="2" t="s">
        <v>200</v>
      </c>
      <c r="S54" s="2" t="s">
        <v>477</v>
      </c>
      <c r="T54" s="2" t="s">
        <v>378</v>
      </c>
      <c r="U54" s="2" t="s">
        <v>200</v>
      </c>
      <c r="V54" s="2" t="s">
        <v>208</v>
      </c>
      <c r="W54" s="2" t="s">
        <v>241</v>
      </c>
      <c r="X54" s="2" t="s">
        <v>200</v>
      </c>
      <c r="Y54" s="2" t="s">
        <v>261</v>
      </c>
      <c r="Z54" s="4">
        <v>351</v>
      </c>
      <c r="AA54" s="4">
        <f>=ROUNDDOWN(19.2857142857143,0)</f>
      </c>
      <c r="AB54" s="5">
        <v>18.2</v>
      </c>
      <c r="AC54" s="2" t="s">
        <v>115</v>
      </c>
      <c r="AD54" s="4">
        <v>200</v>
      </c>
      <c r="AE54" s="4">
        <v>380</v>
      </c>
      <c r="AF54" s="6">
        <v>65</v>
      </c>
      <c r="AG54" s="6"/>
      <c r="AH54" s="7">
        <v>1</v>
      </c>
      <c r="AI54" s="4"/>
      <c r="AJ54" s="4">
        <f>=ROUNDDOWN({0},0)</f>
      </c>
      <c r="AK54" s="5"/>
      <c r="AL54" s="2" t="s">
        <v>200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200</v>
      </c>
      <c r="AW54" s="8" t="s">
        <v>200</v>
      </c>
      <c r="AX54" s="4" t="s">
        <v>200</v>
      </c>
      <c r="AY54" s="8" t="s">
        <v>200</v>
      </c>
      <c r="AZ54" s="7" t="s">
        <v>200</v>
      </c>
      <c r="BA54" s="7" t="s">
        <v>200</v>
      </c>
      <c r="BB54" s="7"/>
      <c r="BC54" s="4" t="s">
        <v>200</v>
      </c>
      <c r="BD54" s="8" t="s">
        <v>200</v>
      </c>
      <c r="BE54" s="4" t="s">
        <v>200</v>
      </c>
      <c r="BF54" s="8" t="s">
        <v>200</v>
      </c>
      <c r="BG54" s="7" t="s">
        <v>200</v>
      </c>
      <c r="BH54" s="7" t="s">
        <v>200</v>
      </c>
      <c r="BI54" s="7"/>
      <c r="BJ54" s="4">
        <v>77</v>
      </c>
      <c r="BK54" s="8">
        <v>1462.43</v>
      </c>
      <c r="BL54" s="2" t="s">
        <v>491</v>
      </c>
      <c r="BM54" s="7"/>
      <c r="BN54" s="7"/>
      <c r="BO54" s="4"/>
      <c r="BP54" s="8"/>
      <c r="BQ54" s="4"/>
      <c r="BR54" s="8"/>
      <c r="BS54" s="7"/>
      <c r="BT54" s="7"/>
      <c r="BU54" s="2" t="s">
        <v>492</v>
      </c>
      <c r="BV54" s="2" t="s">
        <v>200</v>
      </c>
      <c r="BW54" s="2" t="s">
        <v>200</v>
      </c>
      <c r="BX54" s="2" t="s">
        <v>264</v>
      </c>
      <c r="BY54" s="2" t="s">
        <v>247</v>
      </c>
      <c r="BZ54" s="2" t="s">
        <v>212</v>
      </c>
      <c r="CA54" s="2" t="s">
        <v>265</v>
      </c>
      <c r="CB54" s="2" t="s">
        <v>493</v>
      </c>
      <c r="CC54" s="2" t="s">
        <v>213</v>
      </c>
      <c r="CD54" s="2" t="s">
        <v>200</v>
      </c>
      <c r="CE54" s="4">
        <v>351</v>
      </c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>
        <v>200</v>
      </c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>
        <v>180</v>
      </c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</row>
    <row r="55">
      <c r="A55" s="2" t="s">
        <v>494</v>
      </c>
      <c r="B55" s="2" t="s">
        <v>230</v>
      </c>
      <c r="C55" s="2" t="s">
        <v>231</v>
      </c>
      <c r="D55" s="2" t="s">
        <v>232</v>
      </c>
      <c r="E55" s="2" t="s">
        <v>233</v>
      </c>
      <c r="F55" s="2" t="s">
        <v>475</v>
      </c>
      <c r="G55" s="2" t="s">
        <v>475</v>
      </c>
      <c r="H55" s="2" t="s">
        <v>475</v>
      </c>
      <c r="I55" s="2" t="s">
        <v>476</v>
      </c>
      <c r="J55" s="2" t="s">
        <v>302</v>
      </c>
      <c r="K55" s="2" t="s">
        <v>387</v>
      </c>
      <c r="L55" s="3">
        <v>21.5</v>
      </c>
      <c r="M55" s="3">
        <v>22.58</v>
      </c>
      <c r="N55" s="3">
        <v>42.99</v>
      </c>
      <c r="O55" s="2" t="s">
        <v>212</v>
      </c>
      <c r="P55" s="2" t="s">
        <v>258</v>
      </c>
      <c r="Q55" s="2" t="s">
        <v>206</v>
      </c>
      <c r="R55" s="2" t="s">
        <v>200</v>
      </c>
      <c r="S55" s="2" t="s">
        <v>477</v>
      </c>
      <c r="T55" s="2" t="s">
        <v>378</v>
      </c>
      <c r="U55" s="2" t="s">
        <v>200</v>
      </c>
      <c r="V55" s="2" t="s">
        <v>208</v>
      </c>
      <c r="W55" s="2" t="s">
        <v>241</v>
      </c>
      <c r="X55" s="2" t="s">
        <v>200</v>
      </c>
      <c r="Y55" s="2" t="s">
        <v>261</v>
      </c>
      <c r="Z55" s="4">
        <v>281</v>
      </c>
      <c r="AA55" s="4">
        <f>=ROUNDDOWN(24.2241379310345,0)</f>
      </c>
      <c r="AB55" s="5">
        <v>11.6</v>
      </c>
      <c r="AC55" s="2" t="s">
        <v>115</v>
      </c>
      <c r="AD55" s="4">
        <v>160</v>
      </c>
      <c r="AE55" s="4">
        <v>160</v>
      </c>
      <c r="AF55" s="6">
        <v>65</v>
      </c>
      <c r="AG55" s="6"/>
      <c r="AH55" s="7">
        <v>1</v>
      </c>
      <c r="AI55" s="4"/>
      <c r="AJ55" s="4">
        <f>=ROUNDDOWN({0},0)</f>
      </c>
      <c r="AK55" s="5"/>
      <c r="AL55" s="2" t="s">
        <v>200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200</v>
      </c>
      <c r="AW55" s="8" t="s">
        <v>200</v>
      </c>
      <c r="AX55" s="4" t="s">
        <v>200</v>
      </c>
      <c r="AY55" s="8" t="s">
        <v>200</v>
      </c>
      <c r="AZ55" s="7" t="s">
        <v>200</v>
      </c>
      <c r="BA55" s="7" t="s">
        <v>200</v>
      </c>
      <c r="BB55" s="7"/>
      <c r="BC55" s="4" t="s">
        <v>200</v>
      </c>
      <c r="BD55" s="8" t="s">
        <v>200</v>
      </c>
      <c r="BE55" s="4" t="s">
        <v>200</v>
      </c>
      <c r="BF55" s="8" t="s">
        <v>200</v>
      </c>
      <c r="BG55" s="7" t="s">
        <v>200</v>
      </c>
      <c r="BH55" s="7" t="s">
        <v>200</v>
      </c>
      <c r="BI55" s="7"/>
      <c r="BJ55" s="4">
        <v>61</v>
      </c>
      <c r="BK55" s="8">
        <v>1340.56</v>
      </c>
      <c r="BL55" s="2" t="s">
        <v>495</v>
      </c>
      <c r="BM55" s="7"/>
      <c r="BN55" s="7"/>
      <c r="BO55" s="4"/>
      <c r="BP55" s="8"/>
      <c r="BQ55" s="4"/>
      <c r="BR55" s="8"/>
      <c r="BS55" s="7"/>
      <c r="BT55" s="7"/>
      <c r="BU55" s="2" t="s">
        <v>496</v>
      </c>
      <c r="BV55" s="2" t="s">
        <v>200</v>
      </c>
      <c r="BW55" s="2" t="s">
        <v>200</v>
      </c>
      <c r="BX55" s="2" t="s">
        <v>264</v>
      </c>
      <c r="BY55" s="2" t="s">
        <v>247</v>
      </c>
      <c r="BZ55" s="2" t="s">
        <v>212</v>
      </c>
      <c r="CA55" s="2" t="s">
        <v>265</v>
      </c>
      <c r="CB55" s="2" t="s">
        <v>497</v>
      </c>
      <c r="CC55" s="2" t="s">
        <v>213</v>
      </c>
      <c r="CD55" s="2" t="s">
        <v>200</v>
      </c>
      <c r="CE55" s="4">
        <v>281</v>
      </c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>
        <v>160</v>
      </c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</row>
    <row r="56">
      <c r="A56" s="2" t="s">
        <v>498</v>
      </c>
      <c r="B56" s="2" t="s">
        <v>230</v>
      </c>
      <c r="C56" s="2" t="s">
        <v>231</v>
      </c>
      <c r="D56" s="2" t="s">
        <v>232</v>
      </c>
      <c r="E56" s="2" t="s">
        <v>233</v>
      </c>
      <c r="F56" s="2" t="s">
        <v>475</v>
      </c>
      <c r="G56" s="2" t="s">
        <v>475</v>
      </c>
      <c r="H56" s="2" t="s">
        <v>475</v>
      </c>
      <c r="I56" s="2" t="s">
        <v>476</v>
      </c>
      <c r="J56" s="2" t="s">
        <v>302</v>
      </c>
      <c r="K56" s="2" t="s">
        <v>499</v>
      </c>
      <c r="L56" s="3">
        <v>21.5</v>
      </c>
      <c r="M56" s="3">
        <v>22.58</v>
      </c>
      <c r="N56" s="3">
        <v>42.99</v>
      </c>
      <c r="O56" s="2" t="s">
        <v>212</v>
      </c>
      <c r="P56" s="2" t="s">
        <v>258</v>
      </c>
      <c r="Q56" s="2" t="s">
        <v>206</v>
      </c>
      <c r="R56" s="2" t="s">
        <v>200</v>
      </c>
      <c r="S56" s="2" t="s">
        <v>500</v>
      </c>
      <c r="T56" s="2" t="s">
        <v>378</v>
      </c>
      <c r="U56" s="2" t="s">
        <v>200</v>
      </c>
      <c r="V56" s="2" t="s">
        <v>208</v>
      </c>
      <c r="W56" s="2" t="s">
        <v>241</v>
      </c>
      <c r="X56" s="2" t="s">
        <v>200</v>
      </c>
      <c r="Y56" s="2" t="s">
        <v>501</v>
      </c>
      <c r="Z56" s="4">
        <v>299</v>
      </c>
      <c r="AA56" s="4">
        <f>=ROUNDDOWN(27.1818181818182,0)</f>
      </c>
      <c r="AB56" s="5">
        <v>11</v>
      </c>
      <c r="AC56" s="2" t="s">
        <v>115</v>
      </c>
      <c r="AD56" s="4">
        <v>150</v>
      </c>
      <c r="AE56" s="4">
        <v>150</v>
      </c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200</v>
      </c>
      <c r="AM56" s="4"/>
      <c r="AN56" s="4"/>
      <c r="AO56" s="7"/>
      <c r="AP56" s="4"/>
      <c r="AQ56" s="8"/>
      <c r="AR56" s="4"/>
      <c r="AS56" s="8"/>
      <c r="AT56" s="7"/>
      <c r="AU56" s="7"/>
      <c r="AV56" s="4" t="s">
        <v>200</v>
      </c>
      <c r="AW56" s="8" t="s">
        <v>200</v>
      </c>
      <c r="AX56" s="4" t="s">
        <v>200</v>
      </c>
      <c r="AY56" s="8" t="s">
        <v>200</v>
      </c>
      <c r="AZ56" s="7" t="s">
        <v>200</v>
      </c>
      <c r="BA56" s="7" t="s">
        <v>200</v>
      </c>
      <c r="BB56" s="7"/>
      <c r="BC56" s="4" t="s">
        <v>200</v>
      </c>
      <c r="BD56" s="8" t="s">
        <v>200</v>
      </c>
      <c r="BE56" s="4" t="s">
        <v>200</v>
      </c>
      <c r="BF56" s="8" t="s">
        <v>200</v>
      </c>
      <c r="BG56" s="7" t="s">
        <v>200</v>
      </c>
      <c r="BH56" s="7" t="s">
        <v>200</v>
      </c>
      <c r="BI56" s="7"/>
      <c r="BJ56" s="4">
        <v>44</v>
      </c>
      <c r="BK56" s="8">
        <v>959.97</v>
      </c>
      <c r="BL56" s="2" t="s">
        <v>502</v>
      </c>
      <c r="BM56" s="7"/>
      <c r="BN56" s="7"/>
      <c r="BO56" s="4"/>
      <c r="BP56" s="8"/>
      <c r="BQ56" s="4"/>
      <c r="BR56" s="8"/>
      <c r="BS56" s="7"/>
      <c r="BT56" s="7"/>
      <c r="BU56" s="2" t="s">
        <v>503</v>
      </c>
      <c r="BV56" s="2" t="s">
        <v>200</v>
      </c>
      <c r="BW56" s="2" t="s">
        <v>200</v>
      </c>
      <c r="BX56" s="2" t="s">
        <v>264</v>
      </c>
      <c r="BY56" s="2" t="s">
        <v>247</v>
      </c>
      <c r="BZ56" s="2" t="s">
        <v>212</v>
      </c>
      <c r="CA56" s="2" t="s">
        <v>504</v>
      </c>
      <c r="CB56" s="2" t="s">
        <v>505</v>
      </c>
      <c r="CC56" s="2" t="s">
        <v>213</v>
      </c>
      <c r="CD56" s="2" t="s">
        <v>200</v>
      </c>
      <c r="CE56" s="4">
        <v>299</v>
      </c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>
        <v>150</v>
      </c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</row>
    <row r="57">
      <c r="A57" s="2" t="s">
        <v>506</v>
      </c>
      <c r="B57" s="2" t="s">
        <v>230</v>
      </c>
      <c r="C57" s="2" t="s">
        <v>231</v>
      </c>
      <c r="D57" s="2" t="s">
        <v>232</v>
      </c>
      <c r="E57" s="2" t="s">
        <v>233</v>
      </c>
      <c r="F57" s="2" t="s">
        <v>475</v>
      </c>
      <c r="G57" s="2" t="s">
        <v>475</v>
      </c>
      <c r="H57" s="2" t="s">
        <v>475</v>
      </c>
      <c r="I57" s="2" t="s">
        <v>476</v>
      </c>
      <c r="J57" s="2" t="s">
        <v>236</v>
      </c>
      <c r="K57" s="2" t="s">
        <v>499</v>
      </c>
      <c r="L57" s="3">
        <v>21.5</v>
      </c>
      <c r="M57" s="3">
        <v>22.58</v>
      </c>
      <c r="N57" s="3">
        <v>42.99</v>
      </c>
      <c r="O57" s="2" t="s">
        <v>212</v>
      </c>
      <c r="P57" s="2" t="s">
        <v>258</v>
      </c>
      <c r="Q57" s="2" t="s">
        <v>206</v>
      </c>
      <c r="R57" s="2" t="s">
        <v>200</v>
      </c>
      <c r="S57" s="2" t="s">
        <v>500</v>
      </c>
      <c r="T57" s="2" t="s">
        <v>378</v>
      </c>
      <c r="U57" s="2" t="s">
        <v>200</v>
      </c>
      <c r="V57" s="2" t="s">
        <v>208</v>
      </c>
      <c r="W57" s="2" t="s">
        <v>241</v>
      </c>
      <c r="X57" s="2" t="s">
        <v>200</v>
      </c>
      <c r="Y57" s="2" t="s">
        <v>501</v>
      </c>
      <c r="Z57" s="4">
        <v>115</v>
      </c>
      <c r="AA57" s="4">
        <f>=ROUNDDOWN(38.3333333333333,0)</f>
      </c>
      <c r="AB57" s="5">
        <v>3</v>
      </c>
      <c r="AC57" s="2" t="s">
        <v>482</v>
      </c>
      <c r="AD57" s="4">
        <v>20</v>
      </c>
      <c r="AE57" s="4">
        <v>20</v>
      </c>
      <c r="AF57" s="6">
        <v>65</v>
      </c>
      <c r="AG57" s="6"/>
      <c r="AH57" s="7">
        <v>1</v>
      </c>
      <c r="AI57" s="4"/>
      <c r="AJ57" s="4">
        <f>=ROUNDDOWN({0},0)</f>
      </c>
      <c r="AK57" s="5"/>
      <c r="AL57" s="2" t="s">
        <v>200</v>
      </c>
      <c r="AM57" s="4"/>
      <c r="AN57" s="4"/>
      <c r="AO57" s="7"/>
      <c r="AP57" s="4"/>
      <c r="AQ57" s="8"/>
      <c r="AR57" s="4"/>
      <c r="AS57" s="8"/>
      <c r="AT57" s="7"/>
      <c r="AU57" s="7"/>
      <c r="AV57" s="4" t="s">
        <v>200</v>
      </c>
      <c r="AW57" s="8" t="s">
        <v>200</v>
      </c>
      <c r="AX57" s="4" t="s">
        <v>200</v>
      </c>
      <c r="AY57" s="8" t="s">
        <v>200</v>
      </c>
      <c r="AZ57" s="7" t="s">
        <v>200</v>
      </c>
      <c r="BA57" s="7" t="s">
        <v>200</v>
      </c>
      <c r="BB57" s="7"/>
      <c r="BC57" s="4" t="s">
        <v>200</v>
      </c>
      <c r="BD57" s="8" t="s">
        <v>200</v>
      </c>
      <c r="BE57" s="4" t="s">
        <v>200</v>
      </c>
      <c r="BF57" s="8" t="s">
        <v>200</v>
      </c>
      <c r="BG57" s="7" t="s">
        <v>200</v>
      </c>
      <c r="BH57" s="7" t="s">
        <v>200</v>
      </c>
      <c r="BI57" s="7"/>
      <c r="BJ57" s="4">
        <v>5</v>
      </c>
      <c r="BK57" s="8">
        <v>115.7</v>
      </c>
      <c r="BL57" s="2" t="s">
        <v>507</v>
      </c>
      <c r="BM57" s="7"/>
      <c r="BN57" s="7"/>
      <c r="BO57" s="4"/>
      <c r="BP57" s="8"/>
      <c r="BQ57" s="4"/>
      <c r="BR57" s="8"/>
      <c r="BS57" s="7"/>
      <c r="BT57" s="7"/>
      <c r="BU57" s="2" t="s">
        <v>508</v>
      </c>
      <c r="BV57" s="2" t="s">
        <v>200</v>
      </c>
      <c r="BW57" s="2" t="s">
        <v>200</v>
      </c>
      <c r="BX57" s="2" t="s">
        <v>264</v>
      </c>
      <c r="BY57" s="2" t="s">
        <v>247</v>
      </c>
      <c r="BZ57" s="2" t="s">
        <v>212</v>
      </c>
      <c r="CA57" s="2" t="s">
        <v>504</v>
      </c>
      <c r="CB57" s="2" t="s">
        <v>509</v>
      </c>
      <c r="CC57" s="2" t="s">
        <v>213</v>
      </c>
      <c r="CD57" s="2" t="s">
        <v>200</v>
      </c>
      <c r="CE57" s="4">
        <v>115</v>
      </c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>
        <v>20</v>
      </c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</row>
    <row r="58">
      <c r="A58" s="2" t="s">
        <v>510</v>
      </c>
      <c r="B58" s="2" t="s">
        <v>230</v>
      </c>
      <c r="C58" s="2" t="s">
        <v>231</v>
      </c>
      <c r="D58" s="2" t="s">
        <v>232</v>
      </c>
      <c r="E58" s="2" t="s">
        <v>233</v>
      </c>
      <c r="F58" s="2" t="s">
        <v>475</v>
      </c>
      <c r="G58" s="2" t="s">
        <v>475</v>
      </c>
      <c r="H58" s="2" t="s">
        <v>475</v>
      </c>
      <c r="I58" s="2" t="s">
        <v>476</v>
      </c>
      <c r="J58" s="2" t="s">
        <v>256</v>
      </c>
      <c r="K58" s="2" t="s">
        <v>221</v>
      </c>
      <c r="L58" s="3">
        <v>13.44</v>
      </c>
      <c r="M58" s="3">
        <v>14.11</v>
      </c>
      <c r="N58" s="3">
        <v>27.99</v>
      </c>
      <c r="O58" s="2" t="s">
        <v>212</v>
      </c>
      <c r="P58" s="2" t="s">
        <v>258</v>
      </c>
      <c r="Q58" s="2" t="s">
        <v>206</v>
      </c>
      <c r="R58" s="2" t="s">
        <v>200</v>
      </c>
      <c r="S58" s="2" t="s">
        <v>511</v>
      </c>
      <c r="T58" s="2" t="s">
        <v>378</v>
      </c>
      <c r="U58" s="2" t="s">
        <v>200</v>
      </c>
      <c r="V58" s="2" t="s">
        <v>208</v>
      </c>
      <c r="W58" s="2" t="s">
        <v>241</v>
      </c>
      <c r="X58" s="2" t="s">
        <v>200</v>
      </c>
      <c r="Y58" s="2" t="s">
        <v>261</v>
      </c>
      <c r="Z58" s="4">
        <v>95</v>
      </c>
      <c r="AA58" s="4">
        <f>=ROUNDDOWN(31.6666666666667,0)</f>
      </c>
      <c r="AB58" s="5">
        <v>3</v>
      </c>
      <c r="AC58" s="2" t="s">
        <v>115</v>
      </c>
      <c r="AD58" s="4">
        <v>90</v>
      </c>
      <c r="AE58" s="4">
        <v>90</v>
      </c>
      <c r="AF58" s="6">
        <v>65</v>
      </c>
      <c r="AG58" s="6"/>
      <c r="AH58" s="7">
        <v>1</v>
      </c>
      <c r="AI58" s="4"/>
      <c r="AJ58" s="4">
        <f>=ROUNDDOWN({0},0)</f>
      </c>
      <c r="AK58" s="5"/>
      <c r="AL58" s="2" t="s">
        <v>200</v>
      </c>
      <c r="AM58" s="4"/>
      <c r="AN58" s="4"/>
      <c r="AO58" s="7"/>
      <c r="AP58" s="4"/>
      <c r="AQ58" s="8"/>
      <c r="AR58" s="4"/>
      <c r="AS58" s="8"/>
      <c r="AT58" s="7"/>
      <c r="AU58" s="7"/>
      <c r="AV58" s="4" t="s">
        <v>200</v>
      </c>
      <c r="AW58" s="8" t="s">
        <v>200</v>
      </c>
      <c r="AX58" s="4" t="s">
        <v>200</v>
      </c>
      <c r="AY58" s="8" t="s">
        <v>200</v>
      </c>
      <c r="AZ58" s="7" t="s">
        <v>200</v>
      </c>
      <c r="BA58" s="7" t="s">
        <v>200</v>
      </c>
      <c r="BB58" s="7"/>
      <c r="BC58" s="4" t="s">
        <v>200</v>
      </c>
      <c r="BD58" s="8" t="s">
        <v>200</v>
      </c>
      <c r="BE58" s="4" t="s">
        <v>200</v>
      </c>
      <c r="BF58" s="8" t="s">
        <v>200</v>
      </c>
      <c r="BG58" s="7" t="s">
        <v>200</v>
      </c>
      <c r="BH58" s="7" t="s">
        <v>200</v>
      </c>
      <c r="BI58" s="7"/>
      <c r="BJ58" s="4">
        <v>32</v>
      </c>
      <c r="BK58" s="8">
        <v>429.76</v>
      </c>
      <c r="BL58" s="2" t="s">
        <v>272</v>
      </c>
      <c r="BM58" s="7"/>
      <c r="BN58" s="7"/>
      <c r="BO58" s="4"/>
      <c r="BP58" s="8"/>
      <c r="BQ58" s="4"/>
      <c r="BR58" s="8"/>
      <c r="BS58" s="7"/>
      <c r="BT58" s="7"/>
      <c r="BU58" s="2" t="s">
        <v>512</v>
      </c>
      <c r="BV58" s="2" t="s">
        <v>200</v>
      </c>
      <c r="BW58" s="2" t="s">
        <v>200</v>
      </c>
      <c r="BX58" s="2" t="s">
        <v>264</v>
      </c>
      <c r="BY58" s="2" t="s">
        <v>247</v>
      </c>
      <c r="BZ58" s="2" t="s">
        <v>212</v>
      </c>
      <c r="CA58" s="2" t="s">
        <v>265</v>
      </c>
      <c r="CB58" s="2" t="s">
        <v>513</v>
      </c>
      <c r="CC58" s="2" t="s">
        <v>213</v>
      </c>
      <c r="CD58" s="2" t="s">
        <v>200</v>
      </c>
      <c r="CE58" s="4">
        <v>95</v>
      </c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>
        <v>90</v>
      </c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</row>
    <row r="59">
      <c r="A59" s="2" t="s">
        <v>514</v>
      </c>
      <c r="B59" s="2" t="s">
        <v>230</v>
      </c>
      <c r="C59" s="2" t="s">
        <v>231</v>
      </c>
      <c r="D59" s="2" t="s">
        <v>232</v>
      </c>
      <c r="E59" s="2" t="s">
        <v>233</v>
      </c>
      <c r="F59" s="2" t="s">
        <v>475</v>
      </c>
      <c r="G59" s="2" t="s">
        <v>475</v>
      </c>
      <c r="H59" s="2" t="s">
        <v>475</v>
      </c>
      <c r="I59" s="2" t="s">
        <v>476</v>
      </c>
      <c r="J59" s="2" t="s">
        <v>269</v>
      </c>
      <c r="K59" s="2" t="s">
        <v>221</v>
      </c>
      <c r="L59" s="3">
        <v>15.19</v>
      </c>
      <c r="M59" s="3">
        <v>15.95</v>
      </c>
      <c r="N59" s="3">
        <v>30.99</v>
      </c>
      <c r="O59" s="2" t="s">
        <v>212</v>
      </c>
      <c r="P59" s="2" t="s">
        <v>258</v>
      </c>
      <c r="Q59" s="2" t="s">
        <v>206</v>
      </c>
      <c r="R59" s="2" t="s">
        <v>200</v>
      </c>
      <c r="S59" s="2" t="s">
        <v>511</v>
      </c>
      <c r="T59" s="2" t="s">
        <v>378</v>
      </c>
      <c r="U59" s="2" t="s">
        <v>200</v>
      </c>
      <c r="V59" s="2" t="s">
        <v>208</v>
      </c>
      <c r="W59" s="2" t="s">
        <v>241</v>
      </c>
      <c r="X59" s="2" t="s">
        <v>200</v>
      </c>
      <c r="Y59" s="2" t="s">
        <v>261</v>
      </c>
      <c r="Z59" s="4">
        <v>231</v>
      </c>
      <c r="AA59" s="4">
        <f>=ROUNDDOWN(46.2,0)</f>
      </c>
      <c r="AB59" s="5">
        <v>5</v>
      </c>
      <c r="AC59" s="2" t="s">
        <v>115</v>
      </c>
      <c r="AD59" s="4">
        <v>70</v>
      </c>
      <c r="AE59" s="4">
        <v>70</v>
      </c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200</v>
      </c>
      <c r="AM59" s="4"/>
      <c r="AN59" s="4"/>
      <c r="AO59" s="7"/>
      <c r="AP59" s="4"/>
      <c r="AQ59" s="8"/>
      <c r="AR59" s="4"/>
      <c r="AS59" s="8"/>
      <c r="AT59" s="7"/>
      <c r="AU59" s="7"/>
      <c r="AV59" s="4" t="s">
        <v>200</v>
      </c>
      <c r="AW59" s="8" t="s">
        <v>200</v>
      </c>
      <c r="AX59" s="4" t="s">
        <v>200</v>
      </c>
      <c r="AY59" s="8" t="s">
        <v>200</v>
      </c>
      <c r="AZ59" s="7" t="s">
        <v>200</v>
      </c>
      <c r="BA59" s="7" t="s">
        <v>200</v>
      </c>
      <c r="BB59" s="7"/>
      <c r="BC59" s="4" t="s">
        <v>200</v>
      </c>
      <c r="BD59" s="8" t="s">
        <v>200</v>
      </c>
      <c r="BE59" s="4" t="s">
        <v>200</v>
      </c>
      <c r="BF59" s="8" t="s">
        <v>200</v>
      </c>
      <c r="BG59" s="7" t="s">
        <v>200</v>
      </c>
      <c r="BH59" s="7" t="s">
        <v>200</v>
      </c>
      <c r="BI59" s="7"/>
      <c r="BJ59" s="4">
        <v>25</v>
      </c>
      <c r="BK59" s="8">
        <v>390.97</v>
      </c>
      <c r="BL59" s="2" t="s">
        <v>515</v>
      </c>
      <c r="BM59" s="7"/>
      <c r="BN59" s="7"/>
      <c r="BO59" s="4"/>
      <c r="BP59" s="8"/>
      <c r="BQ59" s="4"/>
      <c r="BR59" s="8"/>
      <c r="BS59" s="7"/>
      <c r="BT59" s="7"/>
      <c r="BU59" s="2" t="s">
        <v>516</v>
      </c>
      <c r="BV59" s="2" t="s">
        <v>200</v>
      </c>
      <c r="BW59" s="2" t="s">
        <v>200</v>
      </c>
      <c r="BX59" s="2" t="s">
        <v>264</v>
      </c>
      <c r="BY59" s="2" t="s">
        <v>247</v>
      </c>
      <c r="BZ59" s="2" t="s">
        <v>212</v>
      </c>
      <c r="CA59" s="2" t="s">
        <v>265</v>
      </c>
      <c r="CB59" s="2" t="s">
        <v>517</v>
      </c>
      <c r="CC59" s="2" t="s">
        <v>213</v>
      </c>
      <c r="CD59" s="2" t="s">
        <v>200</v>
      </c>
      <c r="CE59" s="4">
        <v>231</v>
      </c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>
        <v>70</v>
      </c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</row>
    <row r="60">
      <c r="A60" s="2" t="s">
        <v>518</v>
      </c>
      <c r="B60" s="2" t="s">
        <v>230</v>
      </c>
      <c r="C60" s="2" t="s">
        <v>231</v>
      </c>
      <c r="D60" s="2" t="s">
        <v>232</v>
      </c>
      <c r="E60" s="2" t="s">
        <v>233</v>
      </c>
      <c r="F60" s="2" t="s">
        <v>475</v>
      </c>
      <c r="G60" s="2" t="s">
        <v>475</v>
      </c>
      <c r="H60" s="2" t="s">
        <v>475</v>
      </c>
      <c r="I60" s="2" t="s">
        <v>476</v>
      </c>
      <c r="J60" s="2" t="s">
        <v>302</v>
      </c>
      <c r="K60" s="2" t="s">
        <v>221</v>
      </c>
      <c r="L60" s="3">
        <v>21.5</v>
      </c>
      <c r="M60" s="3">
        <v>22.58</v>
      </c>
      <c r="N60" s="3">
        <v>42.99</v>
      </c>
      <c r="O60" s="2" t="s">
        <v>212</v>
      </c>
      <c r="P60" s="2" t="s">
        <v>258</v>
      </c>
      <c r="Q60" s="2" t="s">
        <v>206</v>
      </c>
      <c r="R60" s="2" t="s">
        <v>200</v>
      </c>
      <c r="S60" s="2" t="s">
        <v>511</v>
      </c>
      <c r="T60" s="2" t="s">
        <v>378</v>
      </c>
      <c r="U60" s="2" t="s">
        <v>200</v>
      </c>
      <c r="V60" s="2" t="s">
        <v>208</v>
      </c>
      <c r="W60" s="2" t="s">
        <v>241</v>
      </c>
      <c r="X60" s="2" t="s">
        <v>200</v>
      </c>
      <c r="Y60" s="2" t="s">
        <v>261</v>
      </c>
      <c r="Z60" s="4">
        <v>405</v>
      </c>
      <c r="AA60" s="4">
        <f>=ROUNDDOWN(27,0)</f>
      </c>
      <c r="AB60" s="5">
        <v>15</v>
      </c>
      <c r="AC60" s="2" t="s">
        <v>115</v>
      </c>
      <c r="AD60" s="4">
        <v>30</v>
      </c>
      <c r="AE60" s="4">
        <v>30</v>
      </c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200</v>
      </c>
      <c r="AM60" s="4"/>
      <c r="AN60" s="4"/>
      <c r="AO60" s="7"/>
      <c r="AP60" s="4"/>
      <c r="AQ60" s="8"/>
      <c r="AR60" s="4"/>
      <c r="AS60" s="8"/>
      <c r="AT60" s="7"/>
      <c r="AU60" s="7"/>
      <c r="AV60" s="4" t="s">
        <v>200</v>
      </c>
      <c r="AW60" s="8" t="s">
        <v>200</v>
      </c>
      <c r="AX60" s="4" t="s">
        <v>200</v>
      </c>
      <c r="AY60" s="8" t="s">
        <v>200</v>
      </c>
      <c r="AZ60" s="7" t="s">
        <v>200</v>
      </c>
      <c r="BA60" s="7" t="s">
        <v>200</v>
      </c>
      <c r="BB60" s="7"/>
      <c r="BC60" s="4" t="s">
        <v>200</v>
      </c>
      <c r="BD60" s="8" t="s">
        <v>200</v>
      </c>
      <c r="BE60" s="4" t="s">
        <v>200</v>
      </c>
      <c r="BF60" s="8" t="s">
        <v>200</v>
      </c>
      <c r="BG60" s="7" t="s">
        <v>200</v>
      </c>
      <c r="BH60" s="7" t="s">
        <v>200</v>
      </c>
      <c r="BI60" s="7"/>
      <c r="BJ60" s="4">
        <v>75</v>
      </c>
      <c r="BK60" s="8">
        <v>1606.64</v>
      </c>
      <c r="BL60" s="2" t="s">
        <v>519</v>
      </c>
      <c r="BM60" s="7"/>
      <c r="BN60" s="7"/>
      <c r="BO60" s="4"/>
      <c r="BP60" s="8"/>
      <c r="BQ60" s="4"/>
      <c r="BR60" s="8"/>
      <c r="BS60" s="7"/>
      <c r="BT60" s="7"/>
      <c r="BU60" s="2" t="s">
        <v>520</v>
      </c>
      <c r="BV60" s="2" t="s">
        <v>200</v>
      </c>
      <c r="BW60" s="2" t="s">
        <v>200</v>
      </c>
      <c r="BX60" s="2" t="s">
        <v>264</v>
      </c>
      <c r="BY60" s="2" t="s">
        <v>247</v>
      </c>
      <c r="BZ60" s="2" t="s">
        <v>212</v>
      </c>
      <c r="CA60" s="2" t="s">
        <v>265</v>
      </c>
      <c r="CB60" s="2" t="s">
        <v>521</v>
      </c>
      <c r="CC60" s="2" t="s">
        <v>213</v>
      </c>
      <c r="CD60" s="2" t="s">
        <v>200</v>
      </c>
      <c r="CE60" s="4">
        <v>405</v>
      </c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>
        <v>30</v>
      </c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</row>
    <row r="61">
      <c r="A61" s="2" t="s">
        <v>522</v>
      </c>
      <c r="B61" s="2" t="s">
        <v>230</v>
      </c>
      <c r="C61" s="2" t="s">
        <v>231</v>
      </c>
      <c r="D61" s="2" t="s">
        <v>232</v>
      </c>
      <c r="E61" s="2" t="s">
        <v>233</v>
      </c>
      <c r="F61" s="2" t="s">
        <v>475</v>
      </c>
      <c r="G61" s="2" t="s">
        <v>475</v>
      </c>
      <c r="H61" s="2" t="s">
        <v>475</v>
      </c>
      <c r="I61" s="2" t="s">
        <v>476</v>
      </c>
      <c r="J61" s="2" t="s">
        <v>256</v>
      </c>
      <c r="K61" s="2" t="s">
        <v>436</v>
      </c>
      <c r="L61" s="3">
        <v>13.44</v>
      </c>
      <c r="M61" s="3">
        <v>14.11</v>
      </c>
      <c r="N61" s="3">
        <v>27.99</v>
      </c>
      <c r="O61" s="2" t="s">
        <v>212</v>
      </c>
      <c r="P61" s="2" t="s">
        <v>258</v>
      </c>
      <c r="Q61" s="2" t="s">
        <v>206</v>
      </c>
      <c r="R61" s="2" t="s">
        <v>200</v>
      </c>
      <c r="S61" s="2" t="s">
        <v>523</v>
      </c>
      <c r="T61" s="2" t="s">
        <v>378</v>
      </c>
      <c r="U61" s="2" t="s">
        <v>200</v>
      </c>
      <c r="V61" s="2" t="s">
        <v>208</v>
      </c>
      <c r="W61" s="2" t="s">
        <v>241</v>
      </c>
      <c r="X61" s="2" t="s">
        <v>200</v>
      </c>
      <c r="Y61" s="2" t="s">
        <v>261</v>
      </c>
      <c r="Z61" s="4">
        <v>74</v>
      </c>
      <c r="AA61" s="4">
        <f>=ROUNDDOWN(24.6666666666667,0)</f>
      </c>
      <c r="AB61" s="5">
        <v>3</v>
      </c>
      <c r="AC61" s="2" t="s">
        <v>482</v>
      </c>
      <c r="AD61" s="4">
        <v>50</v>
      </c>
      <c r="AE61" s="4">
        <v>50</v>
      </c>
      <c r="AF61" s="6">
        <v>65</v>
      </c>
      <c r="AG61" s="6"/>
      <c r="AH61" s="7">
        <v>1</v>
      </c>
      <c r="AI61" s="4"/>
      <c r="AJ61" s="4">
        <f>=ROUNDDOWN({0},0)</f>
      </c>
      <c r="AK61" s="5"/>
      <c r="AL61" s="2" t="s">
        <v>200</v>
      </c>
      <c r="AM61" s="4"/>
      <c r="AN61" s="4"/>
      <c r="AO61" s="7"/>
      <c r="AP61" s="4"/>
      <c r="AQ61" s="8"/>
      <c r="AR61" s="4"/>
      <c r="AS61" s="8"/>
      <c r="AT61" s="7"/>
      <c r="AU61" s="7"/>
      <c r="AV61" s="4" t="s">
        <v>200</v>
      </c>
      <c r="AW61" s="8" t="s">
        <v>200</v>
      </c>
      <c r="AX61" s="4" t="s">
        <v>200</v>
      </c>
      <c r="AY61" s="8" t="s">
        <v>200</v>
      </c>
      <c r="AZ61" s="7" t="s">
        <v>200</v>
      </c>
      <c r="BA61" s="7" t="s">
        <v>200</v>
      </c>
      <c r="BB61" s="7"/>
      <c r="BC61" s="4" t="s">
        <v>200</v>
      </c>
      <c r="BD61" s="8" t="s">
        <v>200</v>
      </c>
      <c r="BE61" s="4" t="s">
        <v>200</v>
      </c>
      <c r="BF61" s="8" t="s">
        <v>200</v>
      </c>
      <c r="BG61" s="7" t="s">
        <v>200</v>
      </c>
      <c r="BH61" s="7" t="s">
        <v>200</v>
      </c>
      <c r="BI61" s="7"/>
      <c r="BJ61" s="4">
        <v>11</v>
      </c>
      <c r="BK61" s="8">
        <v>156.78</v>
      </c>
      <c r="BL61" s="2" t="s">
        <v>524</v>
      </c>
      <c r="BM61" s="7"/>
      <c r="BN61" s="7"/>
      <c r="BO61" s="4"/>
      <c r="BP61" s="8"/>
      <c r="BQ61" s="4"/>
      <c r="BR61" s="8"/>
      <c r="BS61" s="7"/>
      <c r="BT61" s="7"/>
      <c r="BU61" s="2" t="s">
        <v>525</v>
      </c>
      <c r="BV61" s="2" t="s">
        <v>200</v>
      </c>
      <c r="BW61" s="2" t="s">
        <v>200</v>
      </c>
      <c r="BX61" s="2" t="s">
        <v>264</v>
      </c>
      <c r="BY61" s="2" t="s">
        <v>247</v>
      </c>
      <c r="BZ61" s="2" t="s">
        <v>212</v>
      </c>
      <c r="CA61" s="2" t="s">
        <v>265</v>
      </c>
      <c r="CB61" s="2" t="s">
        <v>526</v>
      </c>
      <c r="CC61" s="2" t="s">
        <v>213</v>
      </c>
      <c r="CD61" s="2" t="s">
        <v>200</v>
      </c>
      <c r="CE61" s="4">
        <v>74</v>
      </c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>
        <v>50</v>
      </c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</row>
    <row r="62">
      <c r="A62" s="2" t="s">
        <v>527</v>
      </c>
      <c r="B62" s="2" t="s">
        <v>230</v>
      </c>
      <c r="C62" s="2" t="s">
        <v>231</v>
      </c>
      <c r="D62" s="2" t="s">
        <v>232</v>
      </c>
      <c r="E62" s="2" t="s">
        <v>233</v>
      </c>
      <c r="F62" s="2" t="s">
        <v>475</v>
      </c>
      <c r="G62" s="2" t="s">
        <v>475</v>
      </c>
      <c r="H62" s="2" t="s">
        <v>475</v>
      </c>
      <c r="I62" s="2" t="s">
        <v>476</v>
      </c>
      <c r="J62" s="2" t="s">
        <v>269</v>
      </c>
      <c r="K62" s="2" t="s">
        <v>436</v>
      </c>
      <c r="L62" s="3">
        <v>15.19</v>
      </c>
      <c r="M62" s="3">
        <v>15.95</v>
      </c>
      <c r="N62" s="3">
        <v>30.99</v>
      </c>
      <c r="O62" s="2" t="s">
        <v>212</v>
      </c>
      <c r="P62" s="2" t="s">
        <v>258</v>
      </c>
      <c r="Q62" s="2" t="s">
        <v>206</v>
      </c>
      <c r="R62" s="2" t="s">
        <v>200</v>
      </c>
      <c r="S62" s="2" t="s">
        <v>523</v>
      </c>
      <c r="T62" s="2" t="s">
        <v>378</v>
      </c>
      <c r="U62" s="2" t="s">
        <v>200</v>
      </c>
      <c r="V62" s="2" t="s">
        <v>208</v>
      </c>
      <c r="W62" s="2" t="s">
        <v>241</v>
      </c>
      <c r="X62" s="2" t="s">
        <v>200</v>
      </c>
      <c r="Y62" s="2" t="s">
        <v>261</v>
      </c>
      <c r="Z62" s="4">
        <v>335</v>
      </c>
      <c r="AA62" s="4">
        <f>=ROUNDDOWN(83.75,0)</f>
      </c>
      <c r="AB62" s="5">
        <v>4</v>
      </c>
      <c r="AC62" s="2" t="s">
        <v>200</v>
      </c>
      <c r="AD62" s="4"/>
      <c r="AE62" s="4"/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200</v>
      </c>
      <c r="AM62" s="4"/>
      <c r="AN62" s="4"/>
      <c r="AO62" s="7"/>
      <c r="AP62" s="4"/>
      <c r="AQ62" s="8"/>
      <c r="AR62" s="4"/>
      <c r="AS62" s="8"/>
      <c r="AT62" s="7"/>
      <c r="AU62" s="7"/>
      <c r="AV62" s="4" t="s">
        <v>200</v>
      </c>
      <c r="AW62" s="8" t="s">
        <v>200</v>
      </c>
      <c r="AX62" s="4" t="s">
        <v>200</v>
      </c>
      <c r="AY62" s="8" t="s">
        <v>200</v>
      </c>
      <c r="AZ62" s="7" t="s">
        <v>200</v>
      </c>
      <c r="BA62" s="7" t="s">
        <v>200</v>
      </c>
      <c r="BB62" s="7"/>
      <c r="BC62" s="4" t="s">
        <v>200</v>
      </c>
      <c r="BD62" s="8" t="s">
        <v>200</v>
      </c>
      <c r="BE62" s="4" t="s">
        <v>200</v>
      </c>
      <c r="BF62" s="8" t="s">
        <v>200</v>
      </c>
      <c r="BG62" s="7" t="s">
        <v>200</v>
      </c>
      <c r="BH62" s="7" t="s">
        <v>200</v>
      </c>
      <c r="BI62" s="7"/>
      <c r="BJ62" s="4">
        <v>18</v>
      </c>
      <c r="BK62" s="8">
        <v>287.93</v>
      </c>
      <c r="BL62" s="2" t="s">
        <v>528</v>
      </c>
      <c r="BM62" s="7"/>
      <c r="BN62" s="7"/>
      <c r="BO62" s="4"/>
      <c r="BP62" s="8"/>
      <c r="BQ62" s="4"/>
      <c r="BR62" s="8"/>
      <c r="BS62" s="7"/>
      <c r="BT62" s="7"/>
      <c r="BU62" s="2" t="s">
        <v>529</v>
      </c>
      <c r="BV62" s="2" t="s">
        <v>200</v>
      </c>
      <c r="BW62" s="2" t="s">
        <v>200</v>
      </c>
      <c r="BX62" s="2" t="s">
        <v>264</v>
      </c>
      <c r="BY62" s="2" t="s">
        <v>247</v>
      </c>
      <c r="BZ62" s="2" t="s">
        <v>212</v>
      </c>
      <c r="CA62" s="2" t="s">
        <v>265</v>
      </c>
      <c r="CB62" s="2" t="s">
        <v>530</v>
      </c>
      <c r="CC62" s="2" t="s">
        <v>213</v>
      </c>
      <c r="CD62" s="2" t="s">
        <v>200</v>
      </c>
      <c r="CE62" s="4">
        <v>335</v>
      </c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</row>
    <row r="63">
      <c r="A63" s="2" t="s">
        <v>531</v>
      </c>
      <c r="B63" s="2" t="s">
        <v>230</v>
      </c>
      <c r="C63" s="2" t="s">
        <v>231</v>
      </c>
      <c r="D63" s="2" t="s">
        <v>232</v>
      </c>
      <c r="E63" s="2" t="s">
        <v>233</v>
      </c>
      <c r="F63" s="2" t="s">
        <v>475</v>
      </c>
      <c r="G63" s="2" t="s">
        <v>475</v>
      </c>
      <c r="H63" s="2" t="s">
        <v>475</v>
      </c>
      <c r="I63" s="2" t="s">
        <v>476</v>
      </c>
      <c r="J63" s="2" t="s">
        <v>302</v>
      </c>
      <c r="K63" s="2" t="s">
        <v>436</v>
      </c>
      <c r="L63" s="3">
        <v>21.5</v>
      </c>
      <c r="M63" s="3">
        <v>22.58</v>
      </c>
      <c r="N63" s="3">
        <v>42.99</v>
      </c>
      <c r="O63" s="2" t="s">
        <v>212</v>
      </c>
      <c r="P63" s="2" t="s">
        <v>258</v>
      </c>
      <c r="Q63" s="2" t="s">
        <v>206</v>
      </c>
      <c r="R63" s="2" t="s">
        <v>200</v>
      </c>
      <c r="S63" s="2" t="s">
        <v>523</v>
      </c>
      <c r="T63" s="2" t="s">
        <v>378</v>
      </c>
      <c r="U63" s="2" t="s">
        <v>200</v>
      </c>
      <c r="V63" s="2" t="s">
        <v>208</v>
      </c>
      <c r="W63" s="2" t="s">
        <v>241</v>
      </c>
      <c r="X63" s="2" t="s">
        <v>200</v>
      </c>
      <c r="Y63" s="2" t="s">
        <v>261</v>
      </c>
      <c r="Z63" s="4">
        <v>327</v>
      </c>
      <c r="AA63" s="4">
        <f>=ROUNDDOWN(27.25,0)</f>
      </c>
      <c r="AB63" s="5">
        <v>12</v>
      </c>
      <c r="AC63" s="2" t="s">
        <v>115</v>
      </c>
      <c r="AD63" s="4">
        <v>190</v>
      </c>
      <c r="AE63" s="4">
        <v>240</v>
      </c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200</v>
      </c>
      <c r="AM63" s="4"/>
      <c r="AN63" s="4"/>
      <c r="AO63" s="7"/>
      <c r="AP63" s="4"/>
      <c r="AQ63" s="8"/>
      <c r="AR63" s="4"/>
      <c r="AS63" s="8"/>
      <c r="AT63" s="7"/>
      <c r="AU63" s="7"/>
      <c r="AV63" s="4" t="s">
        <v>200</v>
      </c>
      <c r="AW63" s="8" t="s">
        <v>200</v>
      </c>
      <c r="AX63" s="4" t="s">
        <v>200</v>
      </c>
      <c r="AY63" s="8" t="s">
        <v>200</v>
      </c>
      <c r="AZ63" s="7" t="s">
        <v>200</v>
      </c>
      <c r="BA63" s="7" t="s">
        <v>200</v>
      </c>
      <c r="BB63" s="7"/>
      <c r="BC63" s="4" t="s">
        <v>200</v>
      </c>
      <c r="BD63" s="8" t="s">
        <v>200</v>
      </c>
      <c r="BE63" s="4" t="s">
        <v>200</v>
      </c>
      <c r="BF63" s="8" t="s">
        <v>200</v>
      </c>
      <c r="BG63" s="7" t="s">
        <v>200</v>
      </c>
      <c r="BH63" s="7" t="s">
        <v>200</v>
      </c>
      <c r="BI63" s="7"/>
      <c r="BJ63" s="4">
        <v>47</v>
      </c>
      <c r="BK63" s="8">
        <v>1027.69</v>
      </c>
      <c r="BL63" s="2" t="s">
        <v>487</v>
      </c>
      <c r="BM63" s="7"/>
      <c r="BN63" s="7"/>
      <c r="BO63" s="4"/>
      <c r="BP63" s="8"/>
      <c r="BQ63" s="4"/>
      <c r="BR63" s="8"/>
      <c r="BS63" s="7"/>
      <c r="BT63" s="7"/>
      <c r="BU63" s="2" t="s">
        <v>532</v>
      </c>
      <c r="BV63" s="2" t="s">
        <v>200</v>
      </c>
      <c r="BW63" s="2" t="s">
        <v>200</v>
      </c>
      <c r="BX63" s="2" t="s">
        <v>264</v>
      </c>
      <c r="BY63" s="2" t="s">
        <v>247</v>
      </c>
      <c r="BZ63" s="2" t="s">
        <v>212</v>
      </c>
      <c r="CA63" s="2" t="s">
        <v>265</v>
      </c>
      <c r="CB63" s="2" t="s">
        <v>533</v>
      </c>
      <c r="CC63" s="2" t="s">
        <v>213</v>
      </c>
      <c r="CD63" s="2" t="s">
        <v>200</v>
      </c>
      <c r="CE63" s="4">
        <v>327</v>
      </c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>
        <v>190</v>
      </c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>
        <v>50</v>
      </c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</row>
    <row r="64">
      <c r="A64" s="2" t="s">
        <v>534</v>
      </c>
      <c r="B64" s="2" t="s">
        <v>230</v>
      </c>
      <c r="C64" s="2" t="s">
        <v>231</v>
      </c>
      <c r="D64" s="2" t="s">
        <v>232</v>
      </c>
      <c r="E64" s="2" t="s">
        <v>233</v>
      </c>
      <c r="F64" s="2" t="s">
        <v>475</v>
      </c>
      <c r="G64" s="2" t="s">
        <v>475</v>
      </c>
      <c r="H64" s="2" t="s">
        <v>475</v>
      </c>
      <c r="I64" s="2" t="s">
        <v>476</v>
      </c>
      <c r="J64" s="2" t="s">
        <v>236</v>
      </c>
      <c r="K64" s="2" t="s">
        <v>436</v>
      </c>
      <c r="L64" s="3">
        <v>21.5</v>
      </c>
      <c r="M64" s="3">
        <v>22.58</v>
      </c>
      <c r="N64" s="3">
        <v>42.99</v>
      </c>
      <c r="O64" s="2" t="s">
        <v>212</v>
      </c>
      <c r="P64" s="2" t="s">
        <v>258</v>
      </c>
      <c r="Q64" s="2" t="s">
        <v>206</v>
      </c>
      <c r="R64" s="2" t="s">
        <v>200</v>
      </c>
      <c r="S64" s="2" t="s">
        <v>523</v>
      </c>
      <c r="T64" s="2" t="s">
        <v>378</v>
      </c>
      <c r="U64" s="2" t="s">
        <v>200</v>
      </c>
      <c r="V64" s="2" t="s">
        <v>208</v>
      </c>
      <c r="W64" s="2" t="s">
        <v>241</v>
      </c>
      <c r="X64" s="2" t="s">
        <v>200</v>
      </c>
      <c r="Y64" s="2" t="s">
        <v>261</v>
      </c>
      <c r="Z64" s="4">
        <v>63</v>
      </c>
      <c r="AA64" s="4">
        <f>=ROUNDDOWN(21,0)</f>
      </c>
      <c r="AB64" s="5">
        <v>3</v>
      </c>
      <c r="AC64" s="2" t="s">
        <v>115</v>
      </c>
      <c r="AD64" s="4">
        <v>20</v>
      </c>
      <c r="AE64" s="4">
        <v>50</v>
      </c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200</v>
      </c>
      <c r="AM64" s="4"/>
      <c r="AN64" s="4"/>
      <c r="AO64" s="7"/>
      <c r="AP64" s="4"/>
      <c r="AQ64" s="8"/>
      <c r="AR64" s="4"/>
      <c r="AS64" s="8"/>
      <c r="AT64" s="7"/>
      <c r="AU64" s="7"/>
      <c r="AV64" s="4" t="s">
        <v>200</v>
      </c>
      <c r="AW64" s="8" t="s">
        <v>200</v>
      </c>
      <c r="AX64" s="4" t="s">
        <v>200</v>
      </c>
      <c r="AY64" s="8" t="s">
        <v>200</v>
      </c>
      <c r="AZ64" s="7" t="s">
        <v>200</v>
      </c>
      <c r="BA64" s="7" t="s">
        <v>200</v>
      </c>
      <c r="BB64" s="7"/>
      <c r="BC64" s="4" t="s">
        <v>200</v>
      </c>
      <c r="BD64" s="8" t="s">
        <v>200</v>
      </c>
      <c r="BE64" s="4" t="s">
        <v>200</v>
      </c>
      <c r="BF64" s="8" t="s">
        <v>200</v>
      </c>
      <c r="BG64" s="7" t="s">
        <v>200</v>
      </c>
      <c r="BH64" s="7" t="s">
        <v>200</v>
      </c>
      <c r="BI64" s="7"/>
      <c r="BJ64" s="4">
        <v>13</v>
      </c>
      <c r="BK64" s="8">
        <v>280.38</v>
      </c>
      <c r="BL64" s="2" t="s">
        <v>535</v>
      </c>
      <c r="BM64" s="7"/>
      <c r="BN64" s="7"/>
      <c r="BO64" s="4"/>
      <c r="BP64" s="8"/>
      <c r="BQ64" s="4"/>
      <c r="BR64" s="8"/>
      <c r="BS64" s="7"/>
      <c r="BT64" s="7"/>
      <c r="BU64" s="2" t="s">
        <v>536</v>
      </c>
      <c r="BV64" s="2" t="s">
        <v>200</v>
      </c>
      <c r="BW64" s="2" t="s">
        <v>200</v>
      </c>
      <c r="BX64" s="2" t="s">
        <v>264</v>
      </c>
      <c r="BY64" s="2" t="s">
        <v>247</v>
      </c>
      <c r="BZ64" s="2" t="s">
        <v>212</v>
      </c>
      <c r="CA64" s="2" t="s">
        <v>265</v>
      </c>
      <c r="CB64" s="2" t="s">
        <v>537</v>
      </c>
      <c r="CC64" s="2" t="s">
        <v>213</v>
      </c>
      <c r="CD64" s="2" t="s">
        <v>200</v>
      </c>
      <c r="CE64" s="4">
        <v>63</v>
      </c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>
        <v>20</v>
      </c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>
        <v>30</v>
      </c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</row>
    <row r="65">
      <c r="A65" s="2" t="s">
        <v>538</v>
      </c>
      <c r="B65" s="2" t="s">
        <v>230</v>
      </c>
      <c r="C65" s="2" t="s">
        <v>231</v>
      </c>
      <c r="D65" s="2" t="s">
        <v>232</v>
      </c>
      <c r="E65" s="2" t="s">
        <v>233</v>
      </c>
      <c r="F65" s="2" t="s">
        <v>475</v>
      </c>
      <c r="G65" s="2" t="s">
        <v>475</v>
      </c>
      <c r="H65" s="2" t="s">
        <v>475</v>
      </c>
      <c r="I65" s="2" t="s">
        <v>476</v>
      </c>
      <c r="J65" s="2" t="s">
        <v>236</v>
      </c>
      <c r="K65" s="2" t="s">
        <v>539</v>
      </c>
      <c r="L65" s="3">
        <v>21.5</v>
      </c>
      <c r="M65" s="3">
        <v>22.58</v>
      </c>
      <c r="N65" s="3">
        <v>42.99</v>
      </c>
      <c r="O65" s="2" t="s">
        <v>212</v>
      </c>
      <c r="P65" s="2" t="s">
        <v>258</v>
      </c>
      <c r="Q65" s="2" t="s">
        <v>206</v>
      </c>
      <c r="R65" s="2" t="s">
        <v>200</v>
      </c>
      <c r="S65" s="2" t="s">
        <v>540</v>
      </c>
      <c r="T65" s="2" t="s">
        <v>378</v>
      </c>
      <c r="U65" s="2" t="s">
        <v>200</v>
      </c>
      <c r="V65" s="2" t="s">
        <v>208</v>
      </c>
      <c r="W65" s="2" t="s">
        <v>241</v>
      </c>
      <c r="X65" s="2" t="s">
        <v>200</v>
      </c>
      <c r="Y65" s="2" t="s">
        <v>261</v>
      </c>
      <c r="Z65" s="4">
        <v>86</v>
      </c>
      <c r="AA65" s="4">
        <f>=ROUNDDOWN(28.6666666666667,0)</f>
      </c>
      <c r="AB65" s="5">
        <v>3</v>
      </c>
      <c r="AC65" s="2" t="s">
        <v>200</v>
      </c>
      <c r="AD65" s="4"/>
      <c r="AE65" s="4"/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200</v>
      </c>
      <c r="AM65" s="4"/>
      <c r="AN65" s="4"/>
      <c r="AO65" s="7"/>
      <c r="AP65" s="4"/>
      <c r="AQ65" s="8"/>
      <c r="AR65" s="4"/>
      <c r="AS65" s="8"/>
      <c r="AT65" s="7"/>
      <c r="AU65" s="7"/>
      <c r="AV65" s="4"/>
      <c r="AW65" s="8"/>
      <c r="AX65" s="4"/>
      <c r="AY65" s="8"/>
      <c r="AZ65" s="7"/>
      <c r="BA65" s="7"/>
      <c r="BB65" s="7"/>
      <c r="BC65" s="4" t="s">
        <v>200</v>
      </c>
      <c r="BD65" s="8" t="s">
        <v>200</v>
      </c>
      <c r="BE65" s="4" t="s">
        <v>200</v>
      </c>
      <c r="BF65" s="8" t="s">
        <v>200</v>
      </c>
      <c r="BG65" s="7" t="s">
        <v>200</v>
      </c>
      <c r="BH65" s="7" t="s">
        <v>200</v>
      </c>
      <c r="BI65" s="7"/>
      <c r="BJ65" s="4">
        <v>8</v>
      </c>
      <c r="BK65" s="8">
        <v>180.68</v>
      </c>
      <c r="BL65" s="2" t="s">
        <v>541</v>
      </c>
      <c r="BM65" s="7"/>
      <c r="BN65" s="7"/>
      <c r="BO65" s="4"/>
      <c r="BP65" s="8"/>
      <c r="BQ65" s="4"/>
      <c r="BR65" s="8"/>
      <c r="BS65" s="7"/>
      <c r="BT65" s="7"/>
      <c r="BU65" s="2" t="s">
        <v>542</v>
      </c>
      <c r="BV65" s="2" t="s">
        <v>200</v>
      </c>
      <c r="BW65" s="2" t="s">
        <v>200</v>
      </c>
      <c r="BX65" s="2" t="s">
        <v>264</v>
      </c>
      <c r="BY65" s="2" t="s">
        <v>247</v>
      </c>
      <c r="BZ65" s="2" t="s">
        <v>212</v>
      </c>
      <c r="CA65" s="2" t="s">
        <v>265</v>
      </c>
      <c r="CB65" s="2" t="s">
        <v>480</v>
      </c>
      <c r="CC65" s="2" t="s">
        <v>213</v>
      </c>
      <c r="CD65" s="2" t="s">
        <v>200</v>
      </c>
      <c r="CE65" s="4">
        <v>86</v>
      </c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</row>
    <row r="66">
      <c r="A66" s="2" t="s">
        <v>543</v>
      </c>
      <c r="B66" s="2" t="s">
        <v>230</v>
      </c>
      <c r="C66" s="2" t="s">
        <v>231</v>
      </c>
      <c r="D66" s="2" t="s">
        <v>232</v>
      </c>
      <c r="E66" s="2" t="s">
        <v>233</v>
      </c>
      <c r="F66" s="2" t="s">
        <v>475</v>
      </c>
      <c r="G66" s="2" t="s">
        <v>475</v>
      </c>
      <c r="H66" s="2" t="s">
        <v>475</v>
      </c>
      <c r="I66" s="2" t="s">
        <v>476</v>
      </c>
      <c r="J66" s="2" t="s">
        <v>269</v>
      </c>
      <c r="K66" s="2" t="s">
        <v>544</v>
      </c>
      <c r="L66" s="3">
        <v>15.19</v>
      </c>
      <c r="M66" s="3">
        <v>15.95</v>
      </c>
      <c r="N66" s="3">
        <v>30.99</v>
      </c>
      <c r="O66" s="2" t="s">
        <v>417</v>
      </c>
      <c r="P66" s="2" t="s">
        <v>285</v>
      </c>
      <c r="Q66" s="2" t="s">
        <v>206</v>
      </c>
      <c r="R66" s="2" t="s">
        <v>200</v>
      </c>
      <c r="S66" s="2" t="s">
        <v>545</v>
      </c>
      <c r="T66" s="2" t="s">
        <v>378</v>
      </c>
      <c r="U66" s="2" t="s">
        <v>454</v>
      </c>
      <c r="V66" s="2" t="s">
        <v>208</v>
      </c>
      <c r="W66" s="2" t="s">
        <v>241</v>
      </c>
      <c r="X66" s="2" t="s">
        <v>200</v>
      </c>
      <c r="Y66" s="2" t="s">
        <v>546</v>
      </c>
      <c r="Z66" s="4">
        <v>90</v>
      </c>
      <c r="AA66" s="4">
        <f>=ROUNDDOWN(40.9090909090909,0)</f>
      </c>
      <c r="AB66" s="5">
        <v>2.2</v>
      </c>
      <c r="AC66" s="2" t="s">
        <v>200</v>
      </c>
      <c r="AD66" s="4"/>
      <c r="AE66" s="4"/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200</v>
      </c>
      <c r="AM66" s="4"/>
      <c r="AN66" s="4"/>
      <c r="AO66" s="7"/>
      <c r="AP66" s="4"/>
      <c r="AQ66" s="8"/>
      <c r="AR66" s="4"/>
      <c r="AS66" s="8"/>
      <c r="AT66" s="7"/>
      <c r="AU66" s="7"/>
      <c r="AV66" s="4"/>
      <c r="AW66" s="8"/>
      <c r="AX66" s="4"/>
      <c r="AY66" s="8"/>
      <c r="AZ66" s="7"/>
      <c r="BA66" s="7"/>
      <c r="BB66" s="7"/>
      <c r="BC66" s="4" t="s">
        <v>200</v>
      </c>
      <c r="BD66" s="8" t="s">
        <v>200</v>
      </c>
      <c r="BE66" s="4" t="s">
        <v>200</v>
      </c>
      <c r="BF66" s="8" t="s">
        <v>200</v>
      </c>
      <c r="BG66" s="7" t="s">
        <v>200</v>
      </c>
      <c r="BH66" s="7" t="s">
        <v>200</v>
      </c>
      <c r="BI66" s="7"/>
      <c r="BJ66" s="4">
        <v>11</v>
      </c>
      <c r="BK66" s="8">
        <v>170.44</v>
      </c>
      <c r="BL66" s="2" t="s">
        <v>547</v>
      </c>
      <c r="BM66" s="7"/>
      <c r="BN66" s="7"/>
      <c r="BO66" s="4"/>
      <c r="BP66" s="8"/>
      <c r="BQ66" s="4"/>
      <c r="BR66" s="8"/>
      <c r="BS66" s="7"/>
      <c r="BT66" s="7"/>
      <c r="BU66" s="2" t="s">
        <v>548</v>
      </c>
      <c r="BV66" s="2" t="s">
        <v>200</v>
      </c>
      <c r="BW66" s="2" t="s">
        <v>200</v>
      </c>
      <c r="BX66" s="2" t="s">
        <v>289</v>
      </c>
      <c r="BY66" s="2" t="s">
        <v>247</v>
      </c>
      <c r="BZ66" s="2" t="s">
        <v>212</v>
      </c>
      <c r="CA66" s="2" t="s">
        <v>549</v>
      </c>
      <c r="CB66" s="2" t="s">
        <v>550</v>
      </c>
      <c r="CC66" s="2" t="s">
        <v>213</v>
      </c>
      <c r="CD66" s="2" t="s">
        <v>200</v>
      </c>
      <c r="CE66" s="4">
        <v>90</v>
      </c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</row>
    <row r="67">
      <c r="A67" s="2" t="s">
        <v>551</v>
      </c>
      <c r="B67" s="2" t="s">
        <v>230</v>
      </c>
      <c r="C67" s="2" t="s">
        <v>231</v>
      </c>
      <c r="D67" s="2" t="s">
        <v>232</v>
      </c>
      <c r="E67" s="2" t="s">
        <v>233</v>
      </c>
      <c r="F67" s="2" t="s">
        <v>475</v>
      </c>
      <c r="G67" s="2" t="s">
        <v>475</v>
      </c>
      <c r="H67" s="2" t="s">
        <v>475</v>
      </c>
      <c r="I67" s="2" t="s">
        <v>476</v>
      </c>
      <c r="J67" s="2" t="s">
        <v>256</v>
      </c>
      <c r="K67" s="2" t="s">
        <v>464</v>
      </c>
      <c r="L67" s="3">
        <v>13.44</v>
      </c>
      <c r="M67" s="3">
        <v>14.11</v>
      </c>
      <c r="N67" s="3">
        <v>27.99</v>
      </c>
      <c r="O67" s="2" t="s">
        <v>212</v>
      </c>
      <c r="P67" s="2" t="s">
        <v>258</v>
      </c>
      <c r="Q67" s="2" t="s">
        <v>206</v>
      </c>
      <c r="R67" s="2" t="s">
        <v>200</v>
      </c>
      <c r="S67" s="2" t="s">
        <v>552</v>
      </c>
      <c r="T67" s="2" t="s">
        <v>378</v>
      </c>
      <c r="U67" s="2" t="s">
        <v>200</v>
      </c>
      <c r="V67" s="2" t="s">
        <v>208</v>
      </c>
      <c r="W67" s="2" t="s">
        <v>241</v>
      </c>
      <c r="X67" s="2" t="s">
        <v>200</v>
      </c>
      <c r="Y67" s="2" t="s">
        <v>261</v>
      </c>
      <c r="Z67" s="4">
        <v>233</v>
      </c>
      <c r="AA67" s="4">
        <f>=ROUNDDOWN(46.6,0)</f>
      </c>
      <c r="AB67" s="5">
        <v>5</v>
      </c>
      <c r="AC67" s="2" t="s">
        <v>553</v>
      </c>
      <c r="AD67" s="4">
        <v>80</v>
      </c>
      <c r="AE67" s="4">
        <v>80</v>
      </c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200</v>
      </c>
      <c r="AM67" s="4"/>
      <c r="AN67" s="4"/>
      <c r="AO67" s="7"/>
      <c r="AP67" s="4"/>
      <c r="AQ67" s="8"/>
      <c r="AR67" s="4"/>
      <c r="AS67" s="8"/>
      <c r="AT67" s="7"/>
      <c r="AU67" s="7"/>
      <c r="AV67" s="4" t="s">
        <v>200</v>
      </c>
      <c r="AW67" s="8" t="s">
        <v>200</v>
      </c>
      <c r="AX67" s="4" t="s">
        <v>200</v>
      </c>
      <c r="AY67" s="8" t="s">
        <v>200</v>
      </c>
      <c r="AZ67" s="7" t="s">
        <v>200</v>
      </c>
      <c r="BA67" s="7" t="s">
        <v>200</v>
      </c>
      <c r="BB67" s="7"/>
      <c r="BC67" s="4" t="s">
        <v>200</v>
      </c>
      <c r="BD67" s="8" t="s">
        <v>200</v>
      </c>
      <c r="BE67" s="4" t="s">
        <v>200</v>
      </c>
      <c r="BF67" s="8" t="s">
        <v>200</v>
      </c>
      <c r="BG67" s="7" t="s">
        <v>200</v>
      </c>
      <c r="BH67" s="7" t="s">
        <v>200</v>
      </c>
      <c r="BI67" s="7"/>
      <c r="BJ67" s="4">
        <v>15</v>
      </c>
      <c r="BK67" s="8">
        <v>212.31</v>
      </c>
      <c r="BL67" s="2" t="s">
        <v>554</v>
      </c>
      <c r="BM67" s="7"/>
      <c r="BN67" s="7"/>
      <c r="BO67" s="4"/>
      <c r="BP67" s="8"/>
      <c r="BQ67" s="4"/>
      <c r="BR67" s="8"/>
      <c r="BS67" s="7"/>
      <c r="BT67" s="7"/>
      <c r="BU67" s="2" t="s">
        <v>555</v>
      </c>
      <c r="BV67" s="2" t="s">
        <v>200</v>
      </c>
      <c r="BW67" s="2" t="s">
        <v>200</v>
      </c>
      <c r="BX67" s="2" t="s">
        <v>264</v>
      </c>
      <c r="BY67" s="2" t="s">
        <v>247</v>
      </c>
      <c r="BZ67" s="2" t="s">
        <v>212</v>
      </c>
      <c r="CA67" s="2" t="s">
        <v>265</v>
      </c>
      <c r="CB67" s="2" t="s">
        <v>556</v>
      </c>
      <c r="CC67" s="2" t="s">
        <v>213</v>
      </c>
      <c r="CD67" s="2" t="s">
        <v>200</v>
      </c>
      <c r="CE67" s="4">
        <v>233</v>
      </c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>
        <v>80</v>
      </c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</row>
    <row r="68">
      <c r="A68" s="2" t="s">
        <v>557</v>
      </c>
      <c r="B68" s="2" t="s">
        <v>230</v>
      </c>
      <c r="C68" s="2" t="s">
        <v>231</v>
      </c>
      <c r="D68" s="2" t="s">
        <v>232</v>
      </c>
      <c r="E68" s="2" t="s">
        <v>233</v>
      </c>
      <c r="F68" s="2" t="s">
        <v>475</v>
      </c>
      <c r="G68" s="2" t="s">
        <v>475</v>
      </c>
      <c r="H68" s="2" t="s">
        <v>475</v>
      </c>
      <c r="I68" s="2" t="s">
        <v>476</v>
      </c>
      <c r="J68" s="2" t="s">
        <v>269</v>
      </c>
      <c r="K68" s="2" t="s">
        <v>464</v>
      </c>
      <c r="L68" s="3">
        <v>15.19</v>
      </c>
      <c r="M68" s="3">
        <v>15.95</v>
      </c>
      <c r="N68" s="3">
        <v>30.99</v>
      </c>
      <c r="O68" s="2" t="s">
        <v>212</v>
      </c>
      <c r="P68" s="2" t="s">
        <v>258</v>
      </c>
      <c r="Q68" s="2" t="s">
        <v>206</v>
      </c>
      <c r="R68" s="2" t="s">
        <v>200</v>
      </c>
      <c r="S68" s="2" t="s">
        <v>552</v>
      </c>
      <c r="T68" s="2" t="s">
        <v>378</v>
      </c>
      <c r="U68" s="2" t="s">
        <v>200</v>
      </c>
      <c r="V68" s="2" t="s">
        <v>208</v>
      </c>
      <c r="W68" s="2" t="s">
        <v>241</v>
      </c>
      <c r="X68" s="2" t="s">
        <v>200</v>
      </c>
      <c r="Y68" s="2" t="s">
        <v>261</v>
      </c>
      <c r="Z68" s="4">
        <v>544</v>
      </c>
      <c r="AA68" s="4">
        <f>=ROUNDDOWN(194.285714285714,0)</f>
      </c>
      <c r="AB68" s="5">
        <v>2.8</v>
      </c>
      <c r="AC68" s="2" t="s">
        <v>200</v>
      </c>
      <c r="AD68" s="4"/>
      <c r="AE68" s="4"/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200</v>
      </c>
      <c r="AM68" s="4"/>
      <c r="AN68" s="4"/>
      <c r="AO68" s="7"/>
      <c r="AP68" s="4"/>
      <c r="AQ68" s="8"/>
      <c r="AR68" s="4"/>
      <c r="AS68" s="8"/>
      <c r="AT68" s="7"/>
      <c r="AU68" s="7"/>
      <c r="AV68" s="4" t="s">
        <v>200</v>
      </c>
      <c r="AW68" s="8" t="s">
        <v>200</v>
      </c>
      <c r="AX68" s="4" t="s">
        <v>200</v>
      </c>
      <c r="AY68" s="8" t="s">
        <v>200</v>
      </c>
      <c r="AZ68" s="7" t="s">
        <v>200</v>
      </c>
      <c r="BA68" s="7" t="s">
        <v>200</v>
      </c>
      <c r="BB68" s="7"/>
      <c r="BC68" s="4" t="s">
        <v>200</v>
      </c>
      <c r="BD68" s="8" t="s">
        <v>200</v>
      </c>
      <c r="BE68" s="4" t="s">
        <v>200</v>
      </c>
      <c r="BF68" s="8" t="s">
        <v>200</v>
      </c>
      <c r="BG68" s="7" t="s">
        <v>200</v>
      </c>
      <c r="BH68" s="7" t="s">
        <v>200</v>
      </c>
      <c r="BI68" s="7"/>
      <c r="BJ68" s="4">
        <v>16</v>
      </c>
      <c r="BK68" s="8">
        <v>258.45</v>
      </c>
      <c r="BL68" s="2" t="s">
        <v>558</v>
      </c>
      <c r="BM68" s="7"/>
      <c r="BN68" s="7"/>
      <c r="BO68" s="4"/>
      <c r="BP68" s="8"/>
      <c r="BQ68" s="4"/>
      <c r="BR68" s="8"/>
      <c r="BS68" s="7"/>
      <c r="BT68" s="7"/>
      <c r="BU68" s="2" t="s">
        <v>559</v>
      </c>
      <c r="BV68" s="2" t="s">
        <v>200</v>
      </c>
      <c r="BW68" s="2" t="s">
        <v>200</v>
      </c>
      <c r="BX68" s="2" t="s">
        <v>264</v>
      </c>
      <c r="BY68" s="2" t="s">
        <v>247</v>
      </c>
      <c r="BZ68" s="2" t="s">
        <v>212</v>
      </c>
      <c r="CA68" s="2" t="s">
        <v>265</v>
      </c>
      <c r="CB68" s="2" t="s">
        <v>560</v>
      </c>
      <c r="CC68" s="2" t="s">
        <v>213</v>
      </c>
      <c r="CD68" s="2" t="s">
        <v>200</v>
      </c>
      <c r="CE68" s="4">
        <v>544</v>
      </c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</row>
    <row r="69">
      <c r="A69" s="2" t="s">
        <v>561</v>
      </c>
      <c r="B69" s="2" t="s">
        <v>230</v>
      </c>
      <c r="C69" s="2" t="s">
        <v>231</v>
      </c>
      <c r="D69" s="2" t="s">
        <v>232</v>
      </c>
      <c r="E69" s="2" t="s">
        <v>233</v>
      </c>
      <c r="F69" s="2" t="s">
        <v>475</v>
      </c>
      <c r="G69" s="2" t="s">
        <v>475</v>
      </c>
      <c r="H69" s="2" t="s">
        <v>475</v>
      </c>
      <c r="I69" s="2" t="s">
        <v>476</v>
      </c>
      <c r="J69" s="2" t="s">
        <v>302</v>
      </c>
      <c r="K69" s="2" t="s">
        <v>464</v>
      </c>
      <c r="L69" s="3">
        <v>21.5</v>
      </c>
      <c r="M69" s="3">
        <v>22.58</v>
      </c>
      <c r="N69" s="3">
        <v>42.99</v>
      </c>
      <c r="O69" s="2" t="s">
        <v>212</v>
      </c>
      <c r="P69" s="2" t="s">
        <v>258</v>
      </c>
      <c r="Q69" s="2" t="s">
        <v>206</v>
      </c>
      <c r="R69" s="2" t="s">
        <v>200</v>
      </c>
      <c r="S69" s="2" t="s">
        <v>552</v>
      </c>
      <c r="T69" s="2" t="s">
        <v>378</v>
      </c>
      <c r="U69" s="2" t="s">
        <v>200</v>
      </c>
      <c r="V69" s="2" t="s">
        <v>208</v>
      </c>
      <c r="W69" s="2" t="s">
        <v>241</v>
      </c>
      <c r="X69" s="2" t="s">
        <v>200</v>
      </c>
      <c r="Y69" s="2" t="s">
        <v>261</v>
      </c>
      <c r="Z69" s="4">
        <v>527</v>
      </c>
      <c r="AA69" s="4">
        <f>=ROUNDDOWN(35.1333333333333,0)</f>
      </c>
      <c r="AB69" s="5">
        <v>15</v>
      </c>
      <c r="AC69" s="2" t="s">
        <v>200</v>
      </c>
      <c r="AD69" s="4"/>
      <c r="AE69" s="4"/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200</v>
      </c>
      <c r="AM69" s="4"/>
      <c r="AN69" s="4"/>
      <c r="AO69" s="7"/>
      <c r="AP69" s="4"/>
      <c r="AQ69" s="8"/>
      <c r="AR69" s="4"/>
      <c r="AS69" s="8"/>
      <c r="AT69" s="7"/>
      <c r="AU69" s="7"/>
      <c r="AV69" s="4" t="s">
        <v>200</v>
      </c>
      <c r="AW69" s="8" t="s">
        <v>200</v>
      </c>
      <c r="AX69" s="4" t="s">
        <v>200</v>
      </c>
      <c r="AY69" s="8" t="s">
        <v>200</v>
      </c>
      <c r="AZ69" s="7" t="s">
        <v>200</v>
      </c>
      <c r="BA69" s="7" t="s">
        <v>200</v>
      </c>
      <c r="BB69" s="7"/>
      <c r="BC69" s="4" t="s">
        <v>200</v>
      </c>
      <c r="BD69" s="8" t="s">
        <v>200</v>
      </c>
      <c r="BE69" s="4" t="s">
        <v>200</v>
      </c>
      <c r="BF69" s="8" t="s">
        <v>200</v>
      </c>
      <c r="BG69" s="7" t="s">
        <v>200</v>
      </c>
      <c r="BH69" s="7" t="s">
        <v>200</v>
      </c>
      <c r="BI69" s="7"/>
      <c r="BJ69" s="4">
        <v>52</v>
      </c>
      <c r="BK69" s="8">
        <v>1172.15</v>
      </c>
      <c r="BL69" s="2" t="s">
        <v>562</v>
      </c>
      <c r="BM69" s="7"/>
      <c r="BN69" s="7"/>
      <c r="BO69" s="4"/>
      <c r="BP69" s="8"/>
      <c r="BQ69" s="4"/>
      <c r="BR69" s="8"/>
      <c r="BS69" s="7"/>
      <c r="BT69" s="7"/>
      <c r="BU69" s="2" t="s">
        <v>563</v>
      </c>
      <c r="BV69" s="2" t="s">
        <v>200</v>
      </c>
      <c r="BW69" s="2" t="s">
        <v>200</v>
      </c>
      <c r="BX69" s="2" t="s">
        <v>264</v>
      </c>
      <c r="BY69" s="2" t="s">
        <v>247</v>
      </c>
      <c r="BZ69" s="2" t="s">
        <v>212</v>
      </c>
      <c r="CA69" s="2" t="s">
        <v>265</v>
      </c>
      <c r="CB69" s="2" t="s">
        <v>521</v>
      </c>
      <c r="CC69" s="2" t="s">
        <v>213</v>
      </c>
      <c r="CD69" s="2" t="s">
        <v>200</v>
      </c>
      <c r="CE69" s="4">
        <v>527</v>
      </c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</row>
    <row r="70">
      <c r="A70" s="2" t="s">
        <v>564</v>
      </c>
      <c r="B70" s="2" t="s">
        <v>230</v>
      </c>
      <c r="C70" s="2" t="s">
        <v>231</v>
      </c>
      <c r="D70" s="2" t="s">
        <v>232</v>
      </c>
      <c r="E70" s="2" t="s">
        <v>233</v>
      </c>
      <c r="F70" s="2" t="s">
        <v>475</v>
      </c>
      <c r="G70" s="2" t="s">
        <v>475</v>
      </c>
      <c r="H70" s="2" t="s">
        <v>475</v>
      </c>
      <c r="I70" s="2" t="s">
        <v>476</v>
      </c>
      <c r="J70" s="2" t="s">
        <v>236</v>
      </c>
      <c r="K70" s="2" t="s">
        <v>565</v>
      </c>
      <c r="L70" s="3">
        <v>21.5</v>
      </c>
      <c r="M70" s="3">
        <v>22.58</v>
      </c>
      <c r="N70" s="3">
        <v>42.99</v>
      </c>
      <c r="O70" s="2" t="s">
        <v>417</v>
      </c>
      <c r="P70" s="2" t="s">
        <v>285</v>
      </c>
      <c r="Q70" s="2" t="s">
        <v>206</v>
      </c>
      <c r="R70" s="2" t="s">
        <v>200</v>
      </c>
      <c r="S70" s="2" t="s">
        <v>566</v>
      </c>
      <c r="T70" s="2" t="s">
        <v>378</v>
      </c>
      <c r="U70" s="2" t="s">
        <v>240</v>
      </c>
      <c r="V70" s="2" t="s">
        <v>208</v>
      </c>
      <c r="W70" s="2" t="s">
        <v>241</v>
      </c>
      <c r="X70" s="2" t="s">
        <v>200</v>
      </c>
      <c r="Y70" s="2" t="s">
        <v>546</v>
      </c>
      <c r="Z70" s="4">
        <v>69</v>
      </c>
      <c r="AA70" s="4">
        <f>=ROUNDDOWN(34.5,0)</f>
      </c>
      <c r="AB70" s="5">
        <v>2</v>
      </c>
      <c r="AC70" s="2" t="s">
        <v>200</v>
      </c>
      <c r="AD70" s="4"/>
      <c r="AE70" s="4"/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200</v>
      </c>
      <c r="AM70" s="4"/>
      <c r="AN70" s="4"/>
      <c r="AO70" s="7"/>
      <c r="AP70" s="4"/>
      <c r="AQ70" s="8"/>
      <c r="AR70" s="4"/>
      <c r="AS70" s="8"/>
      <c r="AT70" s="7"/>
      <c r="AU70" s="7"/>
      <c r="AV70" s="4"/>
      <c r="AW70" s="8"/>
      <c r="AX70" s="4"/>
      <c r="AY70" s="8"/>
      <c r="AZ70" s="7"/>
      <c r="BA70" s="7"/>
      <c r="BB70" s="7"/>
      <c r="BC70" s="4" t="s">
        <v>200</v>
      </c>
      <c r="BD70" s="8" t="s">
        <v>200</v>
      </c>
      <c r="BE70" s="4" t="s">
        <v>200</v>
      </c>
      <c r="BF70" s="8" t="s">
        <v>200</v>
      </c>
      <c r="BG70" s="7" t="s">
        <v>200</v>
      </c>
      <c r="BH70" s="7" t="s">
        <v>200</v>
      </c>
      <c r="BI70" s="7"/>
      <c r="BJ70" s="4">
        <v>6</v>
      </c>
      <c r="BK70" s="8">
        <v>109.02</v>
      </c>
      <c r="BL70" s="2" t="s">
        <v>567</v>
      </c>
      <c r="BM70" s="7"/>
      <c r="BN70" s="7"/>
      <c r="BO70" s="4"/>
      <c r="BP70" s="8"/>
      <c r="BQ70" s="4"/>
      <c r="BR70" s="8"/>
      <c r="BS70" s="7"/>
      <c r="BT70" s="7"/>
      <c r="BU70" s="2" t="s">
        <v>568</v>
      </c>
      <c r="BV70" s="2" t="s">
        <v>200</v>
      </c>
      <c r="BW70" s="2" t="s">
        <v>200</v>
      </c>
      <c r="BX70" s="2" t="s">
        <v>289</v>
      </c>
      <c r="BY70" s="2" t="s">
        <v>247</v>
      </c>
      <c r="BZ70" s="2" t="s">
        <v>212</v>
      </c>
      <c r="CA70" s="2" t="s">
        <v>549</v>
      </c>
      <c r="CB70" s="2" t="s">
        <v>569</v>
      </c>
      <c r="CC70" s="2" t="s">
        <v>213</v>
      </c>
      <c r="CD70" s="2" t="s">
        <v>200</v>
      </c>
      <c r="CE70" s="4">
        <v>69</v>
      </c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</row>
    <row r="71">
      <c r="A71" s="2" t="s">
        <v>570</v>
      </c>
      <c r="B71" s="2" t="s">
        <v>230</v>
      </c>
      <c r="C71" s="2" t="s">
        <v>231</v>
      </c>
      <c r="D71" s="2" t="s">
        <v>232</v>
      </c>
      <c r="E71" s="2" t="s">
        <v>233</v>
      </c>
      <c r="F71" s="2" t="s">
        <v>475</v>
      </c>
      <c r="G71" s="2" t="s">
        <v>475</v>
      </c>
      <c r="H71" s="2" t="s">
        <v>475</v>
      </c>
      <c r="I71" s="2" t="s">
        <v>476</v>
      </c>
      <c r="J71" s="2" t="s">
        <v>256</v>
      </c>
      <c r="K71" s="2" t="s">
        <v>257</v>
      </c>
      <c r="L71" s="3">
        <v>13.44</v>
      </c>
      <c r="M71" s="3">
        <v>14.11</v>
      </c>
      <c r="N71" s="3">
        <v>27.99</v>
      </c>
      <c r="O71" s="2" t="s">
        <v>212</v>
      </c>
      <c r="P71" s="2" t="s">
        <v>258</v>
      </c>
      <c r="Q71" s="2" t="s">
        <v>206</v>
      </c>
      <c r="R71" s="2" t="s">
        <v>200</v>
      </c>
      <c r="S71" s="2" t="s">
        <v>571</v>
      </c>
      <c r="T71" s="2" t="s">
        <v>378</v>
      </c>
      <c r="U71" s="2" t="s">
        <v>200</v>
      </c>
      <c r="V71" s="2" t="s">
        <v>208</v>
      </c>
      <c r="W71" s="2" t="s">
        <v>241</v>
      </c>
      <c r="X71" s="2" t="s">
        <v>200</v>
      </c>
      <c r="Y71" s="2" t="s">
        <v>261</v>
      </c>
      <c r="Z71" s="4">
        <v>154</v>
      </c>
      <c r="AA71" s="4">
        <f>=ROUNDDOWN(51.3333333333333,0)</f>
      </c>
      <c r="AB71" s="5">
        <v>3</v>
      </c>
      <c r="AC71" s="2" t="s">
        <v>200</v>
      </c>
      <c r="AD71" s="4"/>
      <c r="AE71" s="4"/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200</v>
      </c>
      <c r="AM71" s="4"/>
      <c r="AN71" s="4"/>
      <c r="AO71" s="7"/>
      <c r="AP71" s="4"/>
      <c r="AQ71" s="8"/>
      <c r="AR71" s="4"/>
      <c r="AS71" s="8"/>
      <c r="AT71" s="7"/>
      <c r="AU71" s="7"/>
      <c r="AV71" s="4" t="s">
        <v>200</v>
      </c>
      <c r="AW71" s="8" t="s">
        <v>200</v>
      </c>
      <c r="AX71" s="4" t="s">
        <v>200</v>
      </c>
      <c r="AY71" s="8" t="s">
        <v>200</v>
      </c>
      <c r="AZ71" s="7" t="s">
        <v>200</v>
      </c>
      <c r="BA71" s="7" t="s">
        <v>200</v>
      </c>
      <c r="BB71" s="7"/>
      <c r="BC71" s="4" t="s">
        <v>200</v>
      </c>
      <c r="BD71" s="8" t="s">
        <v>200</v>
      </c>
      <c r="BE71" s="4" t="s">
        <v>200</v>
      </c>
      <c r="BF71" s="8" t="s">
        <v>200</v>
      </c>
      <c r="BG71" s="7" t="s">
        <v>200</v>
      </c>
      <c r="BH71" s="7" t="s">
        <v>200</v>
      </c>
      <c r="BI71" s="7"/>
      <c r="BJ71" s="4">
        <v>31</v>
      </c>
      <c r="BK71" s="8">
        <v>425.06</v>
      </c>
      <c r="BL71" s="2" t="s">
        <v>572</v>
      </c>
      <c r="BM71" s="7"/>
      <c r="BN71" s="7"/>
      <c r="BO71" s="4"/>
      <c r="BP71" s="8"/>
      <c r="BQ71" s="4"/>
      <c r="BR71" s="8"/>
      <c r="BS71" s="7"/>
      <c r="BT71" s="7"/>
      <c r="BU71" s="2" t="s">
        <v>573</v>
      </c>
      <c r="BV71" s="2" t="s">
        <v>200</v>
      </c>
      <c r="BW71" s="2" t="s">
        <v>200</v>
      </c>
      <c r="BX71" s="2" t="s">
        <v>264</v>
      </c>
      <c r="BY71" s="2" t="s">
        <v>247</v>
      </c>
      <c r="BZ71" s="2" t="s">
        <v>212</v>
      </c>
      <c r="CA71" s="2" t="s">
        <v>265</v>
      </c>
      <c r="CB71" s="2" t="s">
        <v>574</v>
      </c>
      <c r="CC71" s="2" t="s">
        <v>213</v>
      </c>
      <c r="CD71" s="2" t="s">
        <v>200</v>
      </c>
      <c r="CE71" s="4">
        <v>154</v>
      </c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</row>
    <row r="72">
      <c r="A72" s="2" t="s">
        <v>575</v>
      </c>
      <c r="B72" s="2" t="s">
        <v>230</v>
      </c>
      <c r="C72" s="2" t="s">
        <v>231</v>
      </c>
      <c r="D72" s="2" t="s">
        <v>232</v>
      </c>
      <c r="E72" s="2" t="s">
        <v>233</v>
      </c>
      <c r="F72" s="2" t="s">
        <v>475</v>
      </c>
      <c r="G72" s="2" t="s">
        <v>475</v>
      </c>
      <c r="H72" s="2" t="s">
        <v>475</v>
      </c>
      <c r="I72" s="2" t="s">
        <v>476</v>
      </c>
      <c r="J72" s="2" t="s">
        <v>277</v>
      </c>
      <c r="K72" s="2" t="s">
        <v>257</v>
      </c>
      <c r="L72" s="3">
        <v>16.5</v>
      </c>
      <c r="M72" s="3">
        <v>17.32</v>
      </c>
      <c r="N72" s="3">
        <v>32.99</v>
      </c>
      <c r="O72" s="2" t="s">
        <v>212</v>
      </c>
      <c r="P72" s="2" t="s">
        <v>258</v>
      </c>
      <c r="Q72" s="2" t="s">
        <v>206</v>
      </c>
      <c r="R72" s="2" t="s">
        <v>200</v>
      </c>
      <c r="S72" s="2" t="s">
        <v>571</v>
      </c>
      <c r="T72" s="2" t="s">
        <v>378</v>
      </c>
      <c r="U72" s="2" t="s">
        <v>200</v>
      </c>
      <c r="V72" s="2" t="s">
        <v>208</v>
      </c>
      <c r="W72" s="2" t="s">
        <v>241</v>
      </c>
      <c r="X72" s="2" t="s">
        <v>200</v>
      </c>
      <c r="Y72" s="2" t="s">
        <v>261</v>
      </c>
      <c r="Z72" s="4">
        <v>234</v>
      </c>
      <c r="AA72" s="4">
        <f>=ROUNDDOWN(39,0)</f>
      </c>
      <c r="AB72" s="5">
        <v>6</v>
      </c>
      <c r="AC72" s="2" t="s">
        <v>115</v>
      </c>
      <c r="AD72" s="4">
        <v>20</v>
      </c>
      <c r="AE72" s="4">
        <v>20</v>
      </c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200</v>
      </c>
      <c r="AM72" s="4"/>
      <c r="AN72" s="4"/>
      <c r="AO72" s="7"/>
      <c r="AP72" s="4"/>
      <c r="AQ72" s="8"/>
      <c r="AR72" s="4"/>
      <c r="AS72" s="8"/>
      <c r="AT72" s="7"/>
      <c r="AU72" s="7"/>
      <c r="AV72" s="4" t="s">
        <v>200</v>
      </c>
      <c r="AW72" s="8" t="s">
        <v>200</v>
      </c>
      <c r="AX72" s="4" t="s">
        <v>200</v>
      </c>
      <c r="AY72" s="8" t="s">
        <v>200</v>
      </c>
      <c r="AZ72" s="7" t="s">
        <v>200</v>
      </c>
      <c r="BA72" s="7" t="s">
        <v>200</v>
      </c>
      <c r="BB72" s="7"/>
      <c r="BC72" s="4" t="s">
        <v>200</v>
      </c>
      <c r="BD72" s="8" t="s">
        <v>200</v>
      </c>
      <c r="BE72" s="4" t="s">
        <v>200</v>
      </c>
      <c r="BF72" s="8" t="s">
        <v>200</v>
      </c>
      <c r="BG72" s="7" t="s">
        <v>200</v>
      </c>
      <c r="BH72" s="7" t="s">
        <v>200</v>
      </c>
      <c r="BI72" s="7"/>
      <c r="BJ72" s="4">
        <v>14</v>
      </c>
      <c r="BK72" s="8">
        <v>230.72</v>
      </c>
      <c r="BL72" s="2" t="s">
        <v>576</v>
      </c>
      <c r="BM72" s="7"/>
      <c r="BN72" s="7"/>
      <c r="BO72" s="4"/>
      <c r="BP72" s="8"/>
      <c r="BQ72" s="4"/>
      <c r="BR72" s="8"/>
      <c r="BS72" s="7"/>
      <c r="BT72" s="7"/>
      <c r="BU72" s="2" t="s">
        <v>577</v>
      </c>
      <c r="BV72" s="2" t="s">
        <v>200</v>
      </c>
      <c r="BW72" s="2" t="s">
        <v>200</v>
      </c>
      <c r="BX72" s="2" t="s">
        <v>264</v>
      </c>
      <c r="BY72" s="2" t="s">
        <v>247</v>
      </c>
      <c r="BZ72" s="2" t="s">
        <v>212</v>
      </c>
      <c r="CA72" s="2" t="s">
        <v>265</v>
      </c>
      <c r="CB72" s="2" t="s">
        <v>578</v>
      </c>
      <c r="CC72" s="2" t="s">
        <v>213</v>
      </c>
      <c r="CD72" s="2" t="s">
        <v>200</v>
      </c>
      <c r="CE72" s="4">
        <v>234</v>
      </c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>
        <v>20</v>
      </c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</row>
    <row r="73">
      <c r="A73" s="2" t="s">
        <v>579</v>
      </c>
      <c r="B73" s="2" t="s">
        <v>230</v>
      </c>
      <c r="C73" s="2" t="s">
        <v>231</v>
      </c>
      <c r="D73" s="2" t="s">
        <v>232</v>
      </c>
      <c r="E73" s="2" t="s">
        <v>233</v>
      </c>
      <c r="F73" s="2" t="s">
        <v>475</v>
      </c>
      <c r="G73" s="2" t="s">
        <v>475</v>
      </c>
      <c r="H73" s="2" t="s">
        <v>475</v>
      </c>
      <c r="I73" s="2" t="s">
        <v>476</v>
      </c>
      <c r="J73" s="2" t="s">
        <v>302</v>
      </c>
      <c r="K73" s="2" t="s">
        <v>257</v>
      </c>
      <c r="L73" s="3">
        <v>21.5</v>
      </c>
      <c r="M73" s="3">
        <v>22.58</v>
      </c>
      <c r="N73" s="3">
        <v>42.99</v>
      </c>
      <c r="O73" s="2" t="s">
        <v>212</v>
      </c>
      <c r="P73" s="2" t="s">
        <v>258</v>
      </c>
      <c r="Q73" s="2" t="s">
        <v>206</v>
      </c>
      <c r="R73" s="2" t="s">
        <v>200</v>
      </c>
      <c r="S73" s="2" t="s">
        <v>571</v>
      </c>
      <c r="T73" s="2" t="s">
        <v>378</v>
      </c>
      <c r="U73" s="2" t="s">
        <v>200</v>
      </c>
      <c r="V73" s="2" t="s">
        <v>208</v>
      </c>
      <c r="W73" s="2" t="s">
        <v>241</v>
      </c>
      <c r="X73" s="2" t="s">
        <v>200</v>
      </c>
      <c r="Y73" s="2" t="s">
        <v>261</v>
      </c>
      <c r="Z73" s="4">
        <v>95</v>
      </c>
      <c r="AA73" s="4">
        <f>=ROUNDDOWN(6.33333333333333,0)</f>
      </c>
      <c r="AB73" s="5">
        <v>15</v>
      </c>
      <c r="AC73" s="2" t="s">
        <v>115</v>
      </c>
      <c r="AD73" s="4">
        <v>310</v>
      </c>
      <c r="AE73" s="4">
        <v>410</v>
      </c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200</v>
      </c>
      <c r="AM73" s="4"/>
      <c r="AN73" s="4"/>
      <c r="AO73" s="7"/>
      <c r="AP73" s="4"/>
      <c r="AQ73" s="8"/>
      <c r="AR73" s="4"/>
      <c r="AS73" s="8"/>
      <c r="AT73" s="7"/>
      <c r="AU73" s="7"/>
      <c r="AV73" s="4" t="s">
        <v>200</v>
      </c>
      <c r="AW73" s="8" t="s">
        <v>200</v>
      </c>
      <c r="AX73" s="4" t="s">
        <v>200</v>
      </c>
      <c r="AY73" s="8" t="s">
        <v>200</v>
      </c>
      <c r="AZ73" s="7" t="s">
        <v>200</v>
      </c>
      <c r="BA73" s="7" t="s">
        <v>200</v>
      </c>
      <c r="BB73" s="7"/>
      <c r="BC73" s="4" t="s">
        <v>200</v>
      </c>
      <c r="BD73" s="8" t="s">
        <v>200</v>
      </c>
      <c r="BE73" s="4" t="s">
        <v>200</v>
      </c>
      <c r="BF73" s="8" t="s">
        <v>200</v>
      </c>
      <c r="BG73" s="7" t="s">
        <v>200</v>
      </c>
      <c r="BH73" s="7" t="s">
        <v>200</v>
      </c>
      <c r="BI73" s="7"/>
      <c r="BJ73" s="4">
        <v>80</v>
      </c>
      <c r="BK73" s="8">
        <v>1713.88</v>
      </c>
      <c r="BL73" s="2" t="s">
        <v>580</v>
      </c>
      <c r="BM73" s="7"/>
      <c r="BN73" s="7"/>
      <c r="BO73" s="4"/>
      <c r="BP73" s="8"/>
      <c r="BQ73" s="4"/>
      <c r="BR73" s="8"/>
      <c r="BS73" s="7"/>
      <c r="BT73" s="7"/>
      <c r="BU73" s="2" t="s">
        <v>581</v>
      </c>
      <c r="BV73" s="2" t="s">
        <v>200</v>
      </c>
      <c r="BW73" s="2" t="s">
        <v>200</v>
      </c>
      <c r="BX73" s="2" t="s">
        <v>264</v>
      </c>
      <c r="BY73" s="2" t="s">
        <v>247</v>
      </c>
      <c r="BZ73" s="2" t="s">
        <v>212</v>
      </c>
      <c r="CA73" s="2" t="s">
        <v>265</v>
      </c>
      <c r="CB73" s="2" t="s">
        <v>582</v>
      </c>
      <c r="CC73" s="2" t="s">
        <v>213</v>
      </c>
      <c r="CD73" s="2" t="s">
        <v>200</v>
      </c>
      <c r="CE73" s="4">
        <v>95</v>
      </c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>
        <v>310</v>
      </c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>
        <v>100</v>
      </c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</row>
    <row r="74">
      <c r="A74" s="2" t="s">
        <v>583</v>
      </c>
      <c r="B74" s="2" t="s">
        <v>230</v>
      </c>
      <c r="C74" s="2" t="s">
        <v>231</v>
      </c>
      <c r="D74" s="2" t="s">
        <v>232</v>
      </c>
      <c r="E74" s="2" t="s">
        <v>233</v>
      </c>
      <c r="F74" s="2" t="s">
        <v>475</v>
      </c>
      <c r="G74" s="2" t="s">
        <v>475</v>
      </c>
      <c r="H74" s="2" t="s">
        <v>475</v>
      </c>
      <c r="I74" s="2" t="s">
        <v>476</v>
      </c>
      <c r="J74" s="2" t="s">
        <v>236</v>
      </c>
      <c r="K74" s="2" t="s">
        <v>257</v>
      </c>
      <c r="L74" s="3">
        <v>21.5</v>
      </c>
      <c r="M74" s="3">
        <v>22.58</v>
      </c>
      <c r="N74" s="3">
        <v>42.99</v>
      </c>
      <c r="O74" s="2" t="s">
        <v>212</v>
      </c>
      <c r="P74" s="2" t="s">
        <v>258</v>
      </c>
      <c r="Q74" s="2" t="s">
        <v>206</v>
      </c>
      <c r="R74" s="2" t="s">
        <v>200</v>
      </c>
      <c r="S74" s="2" t="s">
        <v>571</v>
      </c>
      <c r="T74" s="2" t="s">
        <v>378</v>
      </c>
      <c r="U74" s="2" t="s">
        <v>200</v>
      </c>
      <c r="V74" s="2" t="s">
        <v>208</v>
      </c>
      <c r="W74" s="2" t="s">
        <v>241</v>
      </c>
      <c r="X74" s="2" t="s">
        <v>200</v>
      </c>
      <c r="Y74" s="2" t="s">
        <v>261</v>
      </c>
      <c r="Z74" s="4">
        <v>69</v>
      </c>
      <c r="AA74" s="4">
        <f>=ROUNDDOWN(23,0)</f>
      </c>
      <c r="AB74" s="5">
        <v>3</v>
      </c>
      <c r="AC74" s="2" t="s">
        <v>482</v>
      </c>
      <c r="AD74" s="4">
        <v>30</v>
      </c>
      <c r="AE74" s="4">
        <v>30</v>
      </c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200</v>
      </c>
      <c r="AM74" s="4"/>
      <c r="AN74" s="4"/>
      <c r="AO74" s="7"/>
      <c r="AP74" s="4"/>
      <c r="AQ74" s="8"/>
      <c r="AR74" s="4"/>
      <c r="AS74" s="8"/>
      <c r="AT74" s="7"/>
      <c r="AU74" s="7"/>
      <c r="AV74" s="4" t="s">
        <v>200</v>
      </c>
      <c r="AW74" s="8" t="s">
        <v>200</v>
      </c>
      <c r="AX74" s="4" t="s">
        <v>200</v>
      </c>
      <c r="AY74" s="8" t="s">
        <v>200</v>
      </c>
      <c r="AZ74" s="7" t="s">
        <v>200</v>
      </c>
      <c r="BA74" s="7" t="s">
        <v>200</v>
      </c>
      <c r="BB74" s="7"/>
      <c r="BC74" s="4" t="s">
        <v>200</v>
      </c>
      <c r="BD74" s="8" t="s">
        <v>200</v>
      </c>
      <c r="BE74" s="4" t="s">
        <v>200</v>
      </c>
      <c r="BF74" s="8" t="s">
        <v>200</v>
      </c>
      <c r="BG74" s="7" t="s">
        <v>200</v>
      </c>
      <c r="BH74" s="7" t="s">
        <v>200</v>
      </c>
      <c r="BI74" s="7"/>
      <c r="BJ74" s="4">
        <v>13</v>
      </c>
      <c r="BK74" s="8">
        <v>314.05</v>
      </c>
      <c r="BL74" s="2" t="s">
        <v>584</v>
      </c>
      <c r="BM74" s="7"/>
      <c r="BN74" s="7"/>
      <c r="BO74" s="4"/>
      <c r="BP74" s="8"/>
      <c r="BQ74" s="4"/>
      <c r="BR74" s="8"/>
      <c r="BS74" s="7"/>
      <c r="BT74" s="7"/>
      <c r="BU74" s="2" t="s">
        <v>585</v>
      </c>
      <c r="BV74" s="2" t="s">
        <v>200</v>
      </c>
      <c r="BW74" s="2" t="s">
        <v>200</v>
      </c>
      <c r="BX74" s="2" t="s">
        <v>264</v>
      </c>
      <c r="BY74" s="2" t="s">
        <v>247</v>
      </c>
      <c r="BZ74" s="2" t="s">
        <v>212</v>
      </c>
      <c r="CA74" s="2" t="s">
        <v>265</v>
      </c>
      <c r="CB74" s="2" t="s">
        <v>586</v>
      </c>
      <c r="CC74" s="2" t="s">
        <v>213</v>
      </c>
      <c r="CD74" s="2" t="s">
        <v>200</v>
      </c>
      <c r="CE74" s="4">
        <v>69</v>
      </c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>
        <v>30</v>
      </c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</row>
    <row r="75">
      <c r="A75" s="2" t="s">
        <v>587</v>
      </c>
      <c r="B75" s="2" t="s">
        <v>230</v>
      </c>
      <c r="C75" s="2" t="s">
        <v>588</v>
      </c>
      <c r="D75" s="2" t="s">
        <v>232</v>
      </c>
      <c r="E75" s="2" t="s">
        <v>233</v>
      </c>
      <c r="F75" s="2" t="s">
        <v>589</v>
      </c>
      <c r="G75" s="2" t="s">
        <v>589</v>
      </c>
      <c r="H75" s="2" t="s">
        <v>200</v>
      </c>
      <c r="I75" s="2" t="s">
        <v>590</v>
      </c>
      <c r="J75" s="2" t="s">
        <v>256</v>
      </c>
      <c r="K75" s="2" t="s">
        <v>237</v>
      </c>
      <c r="L75" s="3">
        <v>25.34</v>
      </c>
      <c r="M75" s="3">
        <v>26.61</v>
      </c>
      <c r="N75" s="3">
        <v>52.99</v>
      </c>
      <c r="O75" s="2" t="s">
        <v>460</v>
      </c>
      <c r="P75" s="2" t="s">
        <v>285</v>
      </c>
      <c r="Q75" s="2" t="s">
        <v>206</v>
      </c>
      <c r="R75" s="2" t="s">
        <v>200</v>
      </c>
      <c r="S75" s="2" t="s">
        <v>591</v>
      </c>
      <c r="T75" s="2" t="s">
        <v>592</v>
      </c>
      <c r="U75" s="2" t="s">
        <v>200</v>
      </c>
      <c r="V75" s="2" t="s">
        <v>208</v>
      </c>
      <c r="W75" s="2" t="s">
        <v>241</v>
      </c>
      <c r="X75" s="2" t="s">
        <v>200</v>
      </c>
      <c r="Y75" s="2" t="s">
        <v>261</v>
      </c>
      <c r="Z75" s="4">
        <v>185</v>
      </c>
      <c r="AA75" s="4">
        <f>=ROUNDDOWN(59.6774193548387,0)</f>
      </c>
      <c r="AB75" s="5">
        <v>3.1</v>
      </c>
      <c r="AC75" s="2" t="s">
        <v>200</v>
      </c>
      <c r="AD75" s="4"/>
      <c r="AE75" s="4"/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200</v>
      </c>
      <c r="AM75" s="4"/>
      <c r="AN75" s="4"/>
      <c r="AO75" s="7"/>
      <c r="AP75" s="4"/>
      <c r="AQ75" s="8"/>
      <c r="AR75" s="4"/>
      <c r="AS75" s="8"/>
      <c r="AT75" s="7"/>
      <c r="AU75" s="7"/>
      <c r="AV75" s="4"/>
      <c r="AW75" s="8"/>
      <c r="AX75" s="4"/>
      <c r="AY75" s="8"/>
      <c r="AZ75" s="7"/>
      <c r="BA75" s="7"/>
      <c r="BB75" s="7"/>
      <c r="BC75" s="4" t="s">
        <v>200</v>
      </c>
      <c r="BD75" s="8" t="s">
        <v>200</v>
      </c>
      <c r="BE75" s="4" t="s">
        <v>200</v>
      </c>
      <c r="BF75" s="8" t="s">
        <v>200</v>
      </c>
      <c r="BG75" s="7" t="s">
        <v>200</v>
      </c>
      <c r="BH75" s="7" t="s">
        <v>200</v>
      </c>
      <c r="BI75" s="7"/>
      <c r="BJ75" s="4">
        <v>2</v>
      </c>
      <c r="BK75" s="8">
        <v>36.45</v>
      </c>
      <c r="BL75" s="2" t="s">
        <v>593</v>
      </c>
      <c r="BM75" s="7"/>
      <c r="BN75" s="7"/>
      <c r="BO75" s="4"/>
      <c r="BP75" s="8"/>
      <c r="BQ75" s="4"/>
      <c r="BR75" s="8"/>
      <c r="BS75" s="7"/>
      <c r="BT75" s="7"/>
      <c r="BU75" s="2" t="s">
        <v>594</v>
      </c>
      <c r="BV75" s="2" t="s">
        <v>200</v>
      </c>
      <c r="BW75" s="2" t="s">
        <v>200</v>
      </c>
      <c r="BX75" s="2" t="s">
        <v>289</v>
      </c>
      <c r="BY75" s="2" t="s">
        <v>247</v>
      </c>
      <c r="BZ75" s="2" t="s">
        <v>212</v>
      </c>
      <c r="CA75" s="2" t="s">
        <v>265</v>
      </c>
      <c r="CB75" s="2" t="s">
        <v>595</v>
      </c>
      <c r="CC75" s="2" t="s">
        <v>213</v>
      </c>
      <c r="CD75" s="2" t="s">
        <v>200</v>
      </c>
      <c r="CE75" s="4">
        <v>185</v>
      </c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</row>
    <row r="76">
      <c r="A76" s="2" t="s">
        <v>596</v>
      </c>
      <c r="B76" s="2" t="s">
        <v>230</v>
      </c>
      <c r="C76" s="2" t="s">
        <v>588</v>
      </c>
      <c r="D76" s="2" t="s">
        <v>232</v>
      </c>
      <c r="E76" s="2" t="s">
        <v>233</v>
      </c>
      <c r="F76" s="2" t="s">
        <v>589</v>
      </c>
      <c r="G76" s="2" t="s">
        <v>589</v>
      </c>
      <c r="H76" s="2" t="s">
        <v>200</v>
      </c>
      <c r="I76" s="2" t="s">
        <v>590</v>
      </c>
      <c r="J76" s="2" t="s">
        <v>256</v>
      </c>
      <c r="K76" s="2" t="s">
        <v>221</v>
      </c>
      <c r="L76" s="3">
        <v>25.34</v>
      </c>
      <c r="M76" s="3">
        <v>26.61</v>
      </c>
      <c r="N76" s="3">
        <v>52.99</v>
      </c>
      <c r="O76" s="2" t="s">
        <v>460</v>
      </c>
      <c r="P76" s="2" t="s">
        <v>285</v>
      </c>
      <c r="Q76" s="2" t="s">
        <v>206</v>
      </c>
      <c r="R76" s="2" t="s">
        <v>200</v>
      </c>
      <c r="S76" s="2" t="s">
        <v>597</v>
      </c>
      <c r="T76" s="2" t="s">
        <v>592</v>
      </c>
      <c r="U76" s="2" t="s">
        <v>200</v>
      </c>
      <c r="V76" s="2" t="s">
        <v>208</v>
      </c>
      <c r="W76" s="2" t="s">
        <v>241</v>
      </c>
      <c r="X76" s="2" t="s">
        <v>200</v>
      </c>
      <c r="Y76" s="2" t="s">
        <v>261</v>
      </c>
      <c r="Z76" s="4">
        <v>217</v>
      </c>
      <c r="AA76" s="4">
        <f>=ROUNDDOWN(120.555555555556,0)</f>
      </c>
      <c r="AB76" s="5">
        <v>1.8</v>
      </c>
      <c r="AC76" s="2" t="s">
        <v>200</v>
      </c>
      <c r="AD76" s="4"/>
      <c r="AE76" s="4"/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200</v>
      </c>
      <c r="AM76" s="4"/>
      <c r="AN76" s="4"/>
      <c r="AO76" s="7"/>
      <c r="AP76" s="4"/>
      <c r="AQ76" s="8"/>
      <c r="AR76" s="4"/>
      <c r="AS76" s="8"/>
      <c r="AT76" s="7"/>
      <c r="AU76" s="7"/>
      <c r="AV76" s="4"/>
      <c r="AW76" s="8"/>
      <c r="AX76" s="4"/>
      <c r="AY76" s="8"/>
      <c r="AZ76" s="7"/>
      <c r="BA76" s="7"/>
      <c r="BB76" s="7"/>
      <c r="BC76" s="4" t="s">
        <v>200</v>
      </c>
      <c r="BD76" s="8" t="s">
        <v>200</v>
      </c>
      <c r="BE76" s="4" t="s">
        <v>200</v>
      </c>
      <c r="BF76" s="8" t="s">
        <v>200</v>
      </c>
      <c r="BG76" s="7" t="s">
        <v>200</v>
      </c>
      <c r="BH76" s="7" t="s">
        <v>200</v>
      </c>
      <c r="BI76" s="7"/>
      <c r="BJ76" s="4">
        <v>6</v>
      </c>
      <c r="BK76" s="8">
        <v>113.66</v>
      </c>
      <c r="BL76" s="2" t="s">
        <v>598</v>
      </c>
      <c r="BM76" s="7"/>
      <c r="BN76" s="7"/>
      <c r="BO76" s="4"/>
      <c r="BP76" s="8"/>
      <c r="BQ76" s="4"/>
      <c r="BR76" s="8"/>
      <c r="BS76" s="7"/>
      <c r="BT76" s="7"/>
      <c r="BU76" s="2" t="s">
        <v>599</v>
      </c>
      <c r="BV76" s="2" t="s">
        <v>200</v>
      </c>
      <c r="BW76" s="2" t="s">
        <v>200</v>
      </c>
      <c r="BX76" s="2" t="s">
        <v>289</v>
      </c>
      <c r="BY76" s="2" t="s">
        <v>247</v>
      </c>
      <c r="BZ76" s="2" t="s">
        <v>212</v>
      </c>
      <c r="CA76" s="2" t="s">
        <v>265</v>
      </c>
      <c r="CB76" s="2" t="s">
        <v>533</v>
      </c>
      <c r="CC76" s="2" t="s">
        <v>213</v>
      </c>
      <c r="CD76" s="2" t="s">
        <v>200</v>
      </c>
      <c r="CE76" s="4">
        <v>217</v>
      </c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</row>
    <row r="77">
      <c r="A77" s="2" t="s">
        <v>600</v>
      </c>
      <c r="B77" s="2" t="s">
        <v>230</v>
      </c>
      <c r="C77" s="2" t="s">
        <v>588</v>
      </c>
      <c r="D77" s="2" t="s">
        <v>232</v>
      </c>
      <c r="E77" s="2" t="s">
        <v>233</v>
      </c>
      <c r="F77" s="2" t="s">
        <v>589</v>
      </c>
      <c r="G77" s="2" t="s">
        <v>589</v>
      </c>
      <c r="H77" s="2" t="s">
        <v>200</v>
      </c>
      <c r="I77" s="2" t="s">
        <v>590</v>
      </c>
      <c r="J77" s="2" t="s">
        <v>256</v>
      </c>
      <c r="K77" s="2" t="s">
        <v>601</v>
      </c>
      <c r="L77" s="3">
        <v>25.34</v>
      </c>
      <c r="M77" s="3">
        <v>26.61</v>
      </c>
      <c r="N77" s="3">
        <v>52.99</v>
      </c>
      <c r="O77" s="2" t="s">
        <v>460</v>
      </c>
      <c r="P77" s="2" t="s">
        <v>285</v>
      </c>
      <c r="Q77" s="2" t="s">
        <v>206</v>
      </c>
      <c r="R77" s="2" t="s">
        <v>200</v>
      </c>
      <c r="S77" s="2" t="s">
        <v>602</v>
      </c>
      <c r="T77" s="2" t="s">
        <v>592</v>
      </c>
      <c r="U77" s="2" t="s">
        <v>200</v>
      </c>
      <c r="V77" s="2" t="s">
        <v>208</v>
      </c>
      <c r="W77" s="2" t="s">
        <v>241</v>
      </c>
      <c r="X77" s="2" t="s">
        <v>200</v>
      </c>
      <c r="Y77" s="2" t="s">
        <v>261</v>
      </c>
      <c r="Z77" s="4">
        <v>73</v>
      </c>
      <c r="AA77" s="4">
        <f>=ROUNDDOWN(48.6666666666667,0)</f>
      </c>
      <c r="AB77" s="5">
        <v>1.5</v>
      </c>
      <c r="AC77" s="2" t="s">
        <v>200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200</v>
      </c>
      <c r="AM77" s="4"/>
      <c r="AN77" s="4"/>
      <c r="AO77" s="7"/>
      <c r="AP77" s="4"/>
      <c r="AQ77" s="8"/>
      <c r="AR77" s="4"/>
      <c r="AS77" s="8"/>
      <c r="AT77" s="7"/>
      <c r="AU77" s="7"/>
      <c r="AV77" s="4"/>
      <c r="AW77" s="8"/>
      <c r="AX77" s="4"/>
      <c r="AY77" s="8"/>
      <c r="AZ77" s="7"/>
      <c r="BA77" s="7"/>
      <c r="BB77" s="7"/>
      <c r="BC77" s="4" t="s">
        <v>200</v>
      </c>
      <c r="BD77" s="8" t="s">
        <v>200</v>
      </c>
      <c r="BE77" s="4" t="s">
        <v>200</v>
      </c>
      <c r="BF77" s="8" t="s">
        <v>200</v>
      </c>
      <c r="BG77" s="7" t="s">
        <v>200</v>
      </c>
      <c r="BH77" s="7" t="s">
        <v>200</v>
      </c>
      <c r="BI77" s="7"/>
      <c r="BJ77" s="4">
        <v>2</v>
      </c>
      <c r="BK77" s="8">
        <v>43.48</v>
      </c>
      <c r="BL77" s="2" t="s">
        <v>603</v>
      </c>
      <c r="BM77" s="7"/>
      <c r="BN77" s="7"/>
      <c r="BO77" s="4"/>
      <c r="BP77" s="8"/>
      <c r="BQ77" s="4"/>
      <c r="BR77" s="8"/>
      <c r="BS77" s="7"/>
      <c r="BT77" s="7"/>
      <c r="BU77" s="2" t="s">
        <v>604</v>
      </c>
      <c r="BV77" s="2" t="s">
        <v>200</v>
      </c>
      <c r="BW77" s="2" t="s">
        <v>200</v>
      </c>
      <c r="BX77" s="2" t="s">
        <v>289</v>
      </c>
      <c r="BY77" s="2" t="s">
        <v>247</v>
      </c>
      <c r="BZ77" s="2" t="s">
        <v>212</v>
      </c>
      <c r="CA77" s="2" t="s">
        <v>265</v>
      </c>
      <c r="CB77" s="2" t="s">
        <v>605</v>
      </c>
      <c r="CC77" s="2" t="s">
        <v>213</v>
      </c>
      <c r="CD77" s="2" t="s">
        <v>200</v>
      </c>
      <c r="CE77" s="4">
        <v>73</v>
      </c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</row>
    <row r="78">
      <c r="A78" s="2" t="s">
        <v>606</v>
      </c>
      <c r="B78" s="2" t="s">
        <v>250</v>
      </c>
      <c r="C78" s="2" t="s">
        <v>607</v>
      </c>
      <c r="D78" s="2" t="s">
        <v>608</v>
      </c>
      <c r="E78" s="2" t="s">
        <v>609</v>
      </c>
      <c r="F78" s="2" t="s">
        <v>610</v>
      </c>
      <c r="G78" s="2" t="s">
        <v>610</v>
      </c>
      <c r="H78" s="2" t="s">
        <v>610</v>
      </c>
      <c r="I78" s="2" t="s">
        <v>611</v>
      </c>
      <c r="J78" s="2" t="s">
        <v>612</v>
      </c>
      <c r="K78" s="2" t="s">
        <v>613</v>
      </c>
      <c r="L78" s="3">
        <v>80.95</v>
      </c>
      <c r="M78" s="3">
        <v>85</v>
      </c>
      <c r="N78" s="3">
        <v>169.99</v>
      </c>
      <c r="O78" s="2" t="s">
        <v>212</v>
      </c>
      <c r="P78" s="2" t="s">
        <v>258</v>
      </c>
      <c r="Q78" s="2" t="s">
        <v>206</v>
      </c>
      <c r="R78" s="2" t="s">
        <v>200</v>
      </c>
      <c r="S78" s="2" t="s">
        <v>614</v>
      </c>
      <c r="T78" s="2" t="s">
        <v>312</v>
      </c>
      <c r="U78" s="2" t="s">
        <v>615</v>
      </c>
      <c r="V78" s="2" t="s">
        <v>616</v>
      </c>
      <c r="W78" s="2" t="s">
        <v>242</v>
      </c>
      <c r="X78" s="2" t="s">
        <v>241</v>
      </c>
      <c r="Y78" s="2" t="s">
        <v>617</v>
      </c>
      <c r="Z78" s="4">
        <v>122</v>
      </c>
      <c r="AA78" s="4">
        <f>=ROUNDDOWN(40.6666666666667,0)</f>
      </c>
      <c r="AB78" s="5">
        <v>3</v>
      </c>
      <c r="AC78" s="2" t="s">
        <v>129</v>
      </c>
      <c r="AD78" s="4">
        <v>110</v>
      </c>
      <c r="AE78" s="4">
        <v>110</v>
      </c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200</v>
      </c>
      <c r="AM78" s="4"/>
      <c r="AN78" s="4"/>
      <c r="AO78" s="7"/>
      <c r="AP78" s="4"/>
      <c r="AQ78" s="8"/>
      <c r="AR78" s="4"/>
      <c r="AS78" s="8"/>
      <c r="AT78" s="7"/>
      <c r="AU78" s="7"/>
      <c r="AV78" s="4"/>
      <c r="AW78" s="8"/>
      <c r="AX78" s="4"/>
      <c r="AY78" s="8"/>
      <c r="AZ78" s="7"/>
      <c r="BA78" s="7"/>
      <c r="BB78" s="7"/>
      <c r="BC78" s="4"/>
      <c r="BD78" s="8"/>
      <c r="BE78" s="4"/>
      <c r="BF78" s="8"/>
      <c r="BG78" s="7"/>
      <c r="BH78" s="7"/>
      <c r="BI78" s="7"/>
      <c r="BJ78" s="4">
        <v>5</v>
      </c>
      <c r="BK78" s="8">
        <v>482.43</v>
      </c>
      <c r="BL78" s="2" t="s">
        <v>618</v>
      </c>
      <c r="BM78" s="7"/>
      <c r="BN78" s="7"/>
      <c r="BO78" s="4"/>
      <c r="BP78" s="8"/>
      <c r="BQ78" s="4"/>
      <c r="BR78" s="8"/>
      <c r="BS78" s="7"/>
      <c r="BT78" s="7"/>
      <c r="BU78" s="2" t="s">
        <v>619</v>
      </c>
      <c r="BV78" s="2" t="s">
        <v>200</v>
      </c>
      <c r="BW78" s="2" t="s">
        <v>200</v>
      </c>
      <c r="BX78" s="2" t="s">
        <v>620</v>
      </c>
      <c r="BY78" s="2" t="s">
        <v>247</v>
      </c>
      <c r="BZ78" s="2" t="s">
        <v>212</v>
      </c>
      <c r="CA78" s="2" t="s">
        <v>621</v>
      </c>
      <c r="CB78" s="2" t="s">
        <v>622</v>
      </c>
      <c r="CC78" s="2" t="s">
        <v>213</v>
      </c>
      <c r="CD78" s="2" t="s">
        <v>200</v>
      </c>
      <c r="CE78" s="4">
        <v>79</v>
      </c>
      <c r="CF78" s="4">
        <v>43</v>
      </c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>
        <v>110</v>
      </c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</row>
    <row r="79">
      <c r="A79" s="2" t="s">
        <v>623</v>
      </c>
      <c r="B79" s="2" t="s">
        <v>230</v>
      </c>
      <c r="C79" s="2" t="s">
        <v>624</v>
      </c>
      <c r="D79" s="2" t="s">
        <v>232</v>
      </c>
      <c r="E79" s="2" t="s">
        <v>233</v>
      </c>
      <c r="F79" s="2" t="s">
        <v>625</v>
      </c>
      <c r="G79" s="2" t="s">
        <v>625</v>
      </c>
      <c r="H79" s="2" t="s">
        <v>625</v>
      </c>
      <c r="I79" s="2" t="s">
        <v>626</v>
      </c>
      <c r="J79" s="2" t="s">
        <v>277</v>
      </c>
      <c r="K79" s="2" t="s">
        <v>237</v>
      </c>
      <c r="L79" s="3">
        <v>27.72</v>
      </c>
      <c r="M79" s="3">
        <v>29.11</v>
      </c>
      <c r="N79" s="3">
        <v>59.99</v>
      </c>
      <c r="O79" s="2" t="s">
        <v>212</v>
      </c>
      <c r="P79" s="2" t="s">
        <v>205</v>
      </c>
      <c r="Q79" s="2" t="s">
        <v>206</v>
      </c>
      <c r="R79" s="2" t="s">
        <v>200</v>
      </c>
      <c r="S79" s="2" t="s">
        <v>627</v>
      </c>
      <c r="T79" s="2" t="s">
        <v>239</v>
      </c>
      <c r="U79" s="2" t="s">
        <v>240</v>
      </c>
      <c r="V79" s="2" t="s">
        <v>208</v>
      </c>
      <c r="W79" s="2" t="s">
        <v>241</v>
      </c>
      <c r="X79" s="2" t="s">
        <v>379</v>
      </c>
      <c r="Y79" s="2" t="s">
        <v>243</v>
      </c>
      <c r="Z79" s="4">
        <v>92</v>
      </c>
      <c r="AA79" s="4">
        <f>=ROUNDDOWN(8.14159292035398,0)</f>
      </c>
      <c r="AB79" s="5">
        <v>11.3</v>
      </c>
      <c r="AC79" s="2" t="s">
        <v>200</v>
      </c>
      <c r="AD79" s="4"/>
      <c r="AE79" s="4"/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200</v>
      </c>
      <c r="AM79" s="4"/>
      <c r="AN79" s="4"/>
      <c r="AO79" s="7"/>
      <c r="AP79" s="4"/>
      <c r="AQ79" s="8"/>
      <c r="AR79" s="4"/>
      <c r="AS79" s="8"/>
      <c r="AT79" s="7"/>
      <c r="AU79" s="7"/>
      <c r="AV79" s="4" t="s">
        <v>200</v>
      </c>
      <c r="AW79" s="8" t="s">
        <v>200</v>
      </c>
      <c r="AX79" s="4" t="s">
        <v>200</v>
      </c>
      <c r="AY79" s="8" t="s">
        <v>200</v>
      </c>
      <c r="AZ79" s="7" t="s">
        <v>200</v>
      </c>
      <c r="BA79" s="7" t="s">
        <v>200</v>
      </c>
      <c r="BB79" s="7"/>
      <c r="BC79" s="4" t="s">
        <v>200</v>
      </c>
      <c r="BD79" s="8" t="s">
        <v>200</v>
      </c>
      <c r="BE79" s="4" t="s">
        <v>200</v>
      </c>
      <c r="BF79" s="8" t="s">
        <v>200</v>
      </c>
      <c r="BG79" s="7" t="s">
        <v>200</v>
      </c>
      <c r="BH79" s="7" t="s">
        <v>200</v>
      </c>
      <c r="BI79" s="7"/>
      <c r="BJ79" s="4">
        <v>49</v>
      </c>
      <c r="BK79" s="8">
        <v>1459.07</v>
      </c>
      <c r="BL79" s="2" t="s">
        <v>370</v>
      </c>
      <c r="BM79" s="7"/>
      <c r="BN79" s="7"/>
      <c r="BO79" s="4"/>
      <c r="BP79" s="8"/>
      <c r="BQ79" s="4"/>
      <c r="BR79" s="8"/>
      <c r="BS79" s="7"/>
      <c r="BT79" s="7"/>
      <c r="BU79" s="2" t="s">
        <v>628</v>
      </c>
      <c r="BV79" s="2" t="s">
        <v>200</v>
      </c>
      <c r="BW79" s="2" t="s">
        <v>200</v>
      </c>
      <c r="BX79" s="2" t="s">
        <v>629</v>
      </c>
      <c r="BY79" s="2" t="s">
        <v>247</v>
      </c>
      <c r="BZ79" s="2" t="s">
        <v>212</v>
      </c>
      <c r="CA79" s="2" t="s">
        <v>630</v>
      </c>
      <c r="CB79" s="2" t="s">
        <v>200</v>
      </c>
      <c r="CC79" s="2" t="s">
        <v>213</v>
      </c>
      <c r="CD79" s="2" t="s">
        <v>200</v>
      </c>
      <c r="CE79" s="4">
        <v>92</v>
      </c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</row>
    <row r="80">
      <c r="A80" s="2" t="s">
        <v>631</v>
      </c>
      <c r="B80" s="2" t="s">
        <v>230</v>
      </c>
      <c r="C80" s="2" t="s">
        <v>624</v>
      </c>
      <c r="D80" s="2" t="s">
        <v>232</v>
      </c>
      <c r="E80" s="2" t="s">
        <v>233</v>
      </c>
      <c r="F80" s="2" t="s">
        <v>625</v>
      </c>
      <c r="G80" s="2" t="s">
        <v>625</v>
      </c>
      <c r="H80" s="2" t="s">
        <v>625</v>
      </c>
      <c r="I80" s="2" t="s">
        <v>626</v>
      </c>
      <c r="J80" s="2" t="s">
        <v>236</v>
      </c>
      <c r="K80" s="2" t="s">
        <v>237</v>
      </c>
      <c r="L80" s="3">
        <v>33.08</v>
      </c>
      <c r="M80" s="3">
        <v>34.73</v>
      </c>
      <c r="N80" s="3">
        <v>69.99</v>
      </c>
      <c r="O80" s="2" t="s">
        <v>212</v>
      </c>
      <c r="P80" s="2" t="s">
        <v>205</v>
      </c>
      <c r="Q80" s="2" t="s">
        <v>206</v>
      </c>
      <c r="R80" s="2" t="s">
        <v>200</v>
      </c>
      <c r="S80" s="2" t="s">
        <v>627</v>
      </c>
      <c r="T80" s="2" t="s">
        <v>239</v>
      </c>
      <c r="U80" s="2" t="s">
        <v>240</v>
      </c>
      <c r="V80" s="2" t="s">
        <v>208</v>
      </c>
      <c r="W80" s="2" t="s">
        <v>241</v>
      </c>
      <c r="X80" s="2" t="s">
        <v>379</v>
      </c>
      <c r="Y80" s="2" t="s">
        <v>632</v>
      </c>
      <c r="Z80" s="4">
        <v>166</v>
      </c>
      <c r="AA80" s="4">
        <f>=ROUNDDOWN(47.4285714285714,0)</f>
      </c>
      <c r="AB80" s="5">
        <v>3.5</v>
      </c>
      <c r="AC80" s="2" t="s">
        <v>200</v>
      </c>
      <c r="AD80" s="4"/>
      <c r="AE80" s="4"/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200</v>
      </c>
      <c r="AM80" s="4"/>
      <c r="AN80" s="4"/>
      <c r="AO80" s="7"/>
      <c r="AP80" s="4"/>
      <c r="AQ80" s="8"/>
      <c r="AR80" s="4"/>
      <c r="AS80" s="8"/>
      <c r="AT80" s="7"/>
      <c r="AU80" s="7"/>
      <c r="AV80" s="4" t="s">
        <v>200</v>
      </c>
      <c r="AW80" s="8" t="s">
        <v>200</v>
      </c>
      <c r="AX80" s="4" t="s">
        <v>200</v>
      </c>
      <c r="AY80" s="8" t="s">
        <v>200</v>
      </c>
      <c r="AZ80" s="7" t="s">
        <v>200</v>
      </c>
      <c r="BA80" s="7" t="s">
        <v>200</v>
      </c>
      <c r="BB80" s="7"/>
      <c r="BC80" s="4" t="s">
        <v>200</v>
      </c>
      <c r="BD80" s="8" t="s">
        <v>200</v>
      </c>
      <c r="BE80" s="4" t="s">
        <v>200</v>
      </c>
      <c r="BF80" s="8" t="s">
        <v>200</v>
      </c>
      <c r="BG80" s="7" t="s">
        <v>200</v>
      </c>
      <c r="BH80" s="7" t="s">
        <v>200</v>
      </c>
      <c r="BI80" s="7"/>
      <c r="BJ80" s="4">
        <v>15</v>
      </c>
      <c r="BK80" s="8">
        <v>540.26</v>
      </c>
      <c r="BL80" s="2" t="s">
        <v>633</v>
      </c>
      <c r="BM80" s="7"/>
      <c r="BN80" s="7"/>
      <c r="BO80" s="4"/>
      <c r="BP80" s="8"/>
      <c r="BQ80" s="4"/>
      <c r="BR80" s="8"/>
      <c r="BS80" s="7"/>
      <c r="BT80" s="7"/>
      <c r="BU80" s="2" t="s">
        <v>634</v>
      </c>
      <c r="BV80" s="2" t="s">
        <v>200</v>
      </c>
      <c r="BW80" s="2" t="s">
        <v>200</v>
      </c>
      <c r="BX80" s="2" t="s">
        <v>629</v>
      </c>
      <c r="BY80" s="2" t="s">
        <v>247</v>
      </c>
      <c r="BZ80" s="2" t="s">
        <v>212</v>
      </c>
      <c r="CA80" s="2" t="s">
        <v>630</v>
      </c>
      <c r="CB80" s="2" t="s">
        <v>200</v>
      </c>
      <c r="CC80" s="2" t="s">
        <v>213</v>
      </c>
      <c r="CD80" s="2" t="s">
        <v>200</v>
      </c>
      <c r="CE80" s="4">
        <v>166</v>
      </c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</row>
    <row r="81">
      <c r="A81" s="2" t="s">
        <v>635</v>
      </c>
      <c r="B81" s="2" t="s">
        <v>230</v>
      </c>
      <c r="C81" s="2" t="s">
        <v>231</v>
      </c>
      <c r="D81" s="2" t="s">
        <v>232</v>
      </c>
      <c r="E81" s="2" t="s">
        <v>233</v>
      </c>
      <c r="F81" s="2" t="s">
        <v>625</v>
      </c>
      <c r="G81" s="2" t="s">
        <v>625</v>
      </c>
      <c r="H81" s="2" t="s">
        <v>625</v>
      </c>
      <c r="I81" s="2" t="s">
        <v>636</v>
      </c>
      <c r="J81" s="2" t="s">
        <v>236</v>
      </c>
      <c r="K81" s="2" t="s">
        <v>637</v>
      </c>
      <c r="L81" s="3">
        <v>63</v>
      </c>
      <c r="M81" s="3">
        <v>66.15</v>
      </c>
      <c r="N81" s="3">
        <v>124.99</v>
      </c>
      <c r="O81" s="2" t="s">
        <v>212</v>
      </c>
      <c r="P81" s="2" t="s">
        <v>258</v>
      </c>
      <c r="Q81" s="2" t="s">
        <v>206</v>
      </c>
      <c r="R81" s="2" t="s">
        <v>200</v>
      </c>
      <c r="S81" s="2" t="s">
        <v>638</v>
      </c>
      <c r="T81" s="2" t="s">
        <v>312</v>
      </c>
      <c r="U81" s="2" t="s">
        <v>200</v>
      </c>
      <c r="V81" s="2" t="s">
        <v>208</v>
      </c>
      <c r="W81" s="2" t="s">
        <v>241</v>
      </c>
      <c r="X81" s="2" t="s">
        <v>200</v>
      </c>
      <c r="Y81" s="2" t="s">
        <v>261</v>
      </c>
      <c r="Z81" s="4">
        <v>88</v>
      </c>
      <c r="AA81" s="4">
        <f>=ROUNDDOWN(44,0)</f>
      </c>
      <c r="AB81" s="5">
        <v>2</v>
      </c>
      <c r="AC81" s="2" t="s">
        <v>113</v>
      </c>
      <c r="AD81" s="4">
        <v>30</v>
      </c>
      <c r="AE81" s="4">
        <v>30</v>
      </c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200</v>
      </c>
      <c r="AM81" s="4"/>
      <c r="AN81" s="4"/>
      <c r="AO81" s="7"/>
      <c r="AP81" s="4"/>
      <c r="AQ81" s="8"/>
      <c r="AR81" s="4"/>
      <c r="AS81" s="8"/>
      <c r="AT81" s="7"/>
      <c r="AU81" s="7"/>
      <c r="AV81" s="4"/>
      <c r="AW81" s="8"/>
      <c r="AX81" s="4"/>
      <c r="AY81" s="8"/>
      <c r="AZ81" s="7"/>
      <c r="BA81" s="7"/>
      <c r="BB81" s="7"/>
      <c r="BC81" s="4" t="s">
        <v>200</v>
      </c>
      <c r="BD81" s="8" t="s">
        <v>200</v>
      </c>
      <c r="BE81" s="4" t="s">
        <v>200</v>
      </c>
      <c r="BF81" s="8" t="s">
        <v>200</v>
      </c>
      <c r="BG81" s="7" t="s">
        <v>200</v>
      </c>
      <c r="BH81" s="7" t="s">
        <v>200</v>
      </c>
      <c r="BI81" s="7"/>
      <c r="BJ81" s="4">
        <v>11</v>
      </c>
      <c r="BK81" s="8">
        <v>761.78</v>
      </c>
      <c r="BL81" s="2" t="s">
        <v>547</v>
      </c>
      <c r="BM81" s="7"/>
      <c r="BN81" s="7"/>
      <c r="BO81" s="4"/>
      <c r="BP81" s="8"/>
      <c r="BQ81" s="4"/>
      <c r="BR81" s="8"/>
      <c r="BS81" s="7"/>
      <c r="BT81" s="7"/>
      <c r="BU81" s="2" t="s">
        <v>639</v>
      </c>
      <c r="BV81" s="2" t="s">
        <v>200</v>
      </c>
      <c r="BW81" s="2" t="s">
        <v>200</v>
      </c>
      <c r="BX81" s="2" t="s">
        <v>620</v>
      </c>
      <c r="BY81" s="2" t="s">
        <v>247</v>
      </c>
      <c r="BZ81" s="2" t="s">
        <v>212</v>
      </c>
      <c r="CA81" s="2" t="s">
        <v>265</v>
      </c>
      <c r="CB81" s="2" t="s">
        <v>640</v>
      </c>
      <c r="CC81" s="2" t="s">
        <v>213</v>
      </c>
      <c r="CD81" s="2" t="s">
        <v>200</v>
      </c>
      <c r="CE81" s="4">
        <v>53</v>
      </c>
      <c r="CF81" s="4">
        <v>35</v>
      </c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>
        <v>30</v>
      </c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</row>
    <row r="82">
      <c r="A82" s="2" t="s">
        <v>641</v>
      </c>
      <c r="B82" s="2" t="s">
        <v>230</v>
      </c>
      <c r="C82" s="2" t="s">
        <v>624</v>
      </c>
      <c r="D82" s="2" t="s">
        <v>232</v>
      </c>
      <c r="E82" s="2" t="s">
        <v>233</v>
      </c>
      <c r="F82" s="2" t="s">
        <v>625</v>
      </c>
      <c r="G82" s="2" t="s">
        <v>625</v>
      </c>
      <c r="H82" s="2" t="s">
        <v>625</v>
      </c>
      <c r="I82" s="2" t="s">
        <v>626</v>
      </c>
      <c r="J82" s="2" t="s">
        <v>236</v>
      </c>
      <c r="K82" s="2" t="s">
        <v>565</v>
      </c>
      <c r="L82" s="3">
        <v>33.08</v>
      </c>
      <c r="M82" s="3">
        <v>34.73</v>
      </c>
      <c r="N82" s="3">
        <v>69.99</v>
      </c>
      <c r="O82" s="2" t="s">
        <v>212</v>
      </c>
      <c r="P82" s="2" t="s">
        <v>258</v>
      </c>
      <c r="Q82" s="2" t="s">
        <v>206</v>
      </c>
      <c r="R82" s="2" t="s">
        <v>200</v>
      </c>
      <c r="S82" s="2" t="s">
        <v>642</v>
      </c>
      <c r="T82" s="2" t="s">
        <v>239</v>
      </c>
      <c r="U82" s="2" t="s">
        <v>240</v>
      </c>
      <c r="V82" s="2" t="s">
        <v>208</v>
      </c>
      <c r="W82" s="2" t="s">
        <v>241</v>
      </c>
      <c r="X82" s="2" t="s">
        <v>379</v>
      </c>
      <c r="Y82" s="2" t="s">
        <v>643</v>
      </c>
      <c r="Z82" s="4">
        <v>234</v>
      </c>
      <c r="AA82" s="4">
        <f>=ROUNDDOWN(33.4285714285714,0)</f>
      </c>
      <c r="AB82" s="5">
        <v>7</v>
      </c>
      <c r="AC82" s="2" t="s">
        <v>644</v>
      </c>
      <c r="AD82" s="4">
        <v>70</v>
      </c>
      <c r="AE82" s="4">
        <v>70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200</v>
      </c>
      <c r="AM82" s="4"/>
      <c r="AN82" s="4"/>
      <c r="AO82" s="7"/>
      <c r="AP82" s="4"/>
      <c r="AQ82" s="8"/>
      <c r="AR82" s="4"/>
      <c r="AS82" s="8"/>
      <c r="AT82" s="7"/>
      <c r="AU82" s="7"/>
      <c r="AV82" s="4"/>
      <c r="AW82" s="8"/>
      <c r="AX82" s="4"/>
      <c r="AY82" s="8"/>
      <c r="AZ82" s="7"/>
      <c r="BA82" s="7"/>
      <c r="BB82" s="7"/>
      <c r="BC82" s="4" t="s">
        <v>200</v>
      </c>
      <c r="BD82" s="8" t="s">
        <v>200</v>
      </c>
      <c r="BE82" s="4" t="s">
        <v>200</v>
      </c>
      <c r="BF82" s="8" t="s">
        <v>200</v>
      </c>
      <c r="BG82" s="7" t="s">
        <v>200</v>
      </c>
      <c r="BH82" s="7" t="s">
        <v>200</v>
      </c>
      <c r="BI82" s="7"/>
      <c r="BJ82" s="4">
        <v>21</v>
      </c>
      <c r="BK82" s="8">
        <v>746.06</v>
      </c>
      <c r="BL82" s="2" t="s">
        <v>645</v>
      </c>
      <c r="BM82" s="7"/>
      <c r="BN82" s="7"/>
      <c r="BO82" s="4"/>
      <c r="BP82" s="8"/>
      <c r="BQ82" s="4"/>
      <c r="BR82" s="8"/>
      <c r="BS82" s="7"/>
      <c r="BT82" s="7"/>
      <c r="BU82" s="2" t="s">
        <v>646</v>
      </c>
      <c r="BV82" s="2" t="s">
        <v>200</v>
      </c>
      <c r="BW82" s="2" t="s">
        <v>200</v>
      </c>
      <c r="BX82" s="2" t="s">
        <v>629</v>
      </c>
      <c r="BY82" s="2" t="s">
        <v>247</v>
      </c>
      <c r="BZ82" s="2" t="s">
        <v>212</v>
      </c>
      <c r="CA82" s="2" t="s">
        <v>647</v>
      </c>
      <c r="CB82" s="2" t="s">
        <v>648</v>
      </c>
      <c r="CC82" s="2" t="s">
        <v>213</v>
      </c>
      <c r="CD82" s="2" t="s">
        <v>200</v>
      </c>
      <c r="CE82" s="4">
        <v>234</v>
      </c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>
        <v>70</v>
      </c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</row>
    <row r="83">
      <c r="A83" s="2" t="s">
        <v>649</v>
      </c>
      <c r="B83" s="2" t="s">
        <v>230</v>
      </c>
      <c r="C83" s="2" t="s">
        <v>624</v>
      </c>
      <c r="D83" s="2" t="s">
        <v>232</v>
      </c>
      <c r="E83" s="2" t="s">
        <v>233</v>
      </c>
      <c r="F83" s="2" t="s">
        <v>650</v>
      </c>
      <c r="G83" s="2" t="s">
        <v>650</v>
      </c>
      <c r="H83" s="2" t="s">
        <v>650</v>
      </c>
      <c r="I83" s="2" t="s">
        <v>651</v>
      </c>
      <c r="J83" s="2" t="s">
        <v>302</v>
      </c>
      <c r="K83" s="2" t="s">
        <v>436</v>
      </c>
      <c r="L83" s="3">
        <v>34.78</v>
      </c>
      <c r="M83" s="3">
        <v>36.52</v>
      </c>
      <c r="N83" s="3">
        <v>72.99</v>
      </c>
      <c r="O83" s="2" t="s">
        <v>212</v>
      </c>
      <c r="P83" s="2" t="s">
        <v>285</v>
      </c>
      <c r="Q83" s="2" t="s">
        <v>206</v>
      </c>
      <c r="R83" s="2" t="s">
        <v>200</v>
      </c>
      <c r="S83" s="2" t="s">
        <v>652</v>
      </c>
      <c r="T83" s="2" t="s">
        <v>239</v>
      </c>
      <c r="U83" s="2" t="s">
        <v>240</v>
      </c>
      <c r="V83" s="2" t="s">
        <v>208</v>
      </c>
      <c r="W83" s="2" t="s">
        <v>241</v>
      </c>
      <c r="X83" s="2" t="s">
        <v>379</v>
      </c>
      <c r="Y83" s="2" t="s">
        <v>653</v>
      </c>
      <c r="Z83" s="4">
        <v>4</v>
      </c>
      <c r="AA83" s="4">
        <f>=ROUNDDOWN(0.666666666666667,0)</f>
      </c>
      <c r="AB83" s="5">
        <v>6</v>
      </c>
      <c r="AC83" s="2" t="s">
        <v>200</v>
      </c>
      <c r="AD83" s="4"/>
      <c r="AE83" s="4"/>
      <c r="AF83" s="6">
        <v>70</v>
      </c>
      <c r="AG83" s="6"/>
      <c r="AH83" s="7">
        <v>1</v>
      </c>
      <c r="AI83" s="4"/>
      <c r="AJ83" s="4">
        <f>=ROUNDDOWN({0},0)</f>
      </c>
      <c r="AK83" s="5"/>
      <c r="AL83" s="2" t="s">
        <v>200</v>
      </c>
      <c r="AM83" s="4"/>
      <c r="AN83" s="4"/>
      <c r="AO83" s="7"/>
      <c r="AP83" s="4"/>
      <c r="AQ83" s="8"/>
      <c r="AR83" s="4"/>
      <c r="AS83" s="8"/>
      <c r="AT83" s="7"/>
      <c r="AU83" s="7"/>
      <c r="AV83" s="4"/>
      <c r="AW83" s="8"/>
      <c r="AX83" s="4"/>
      <c r="AY83" s="8"/>
      <c r="AZ83" s="7"/>
      <c r="BA83" s="7"/>
      <c r="BB83" s="7"/>
      <c r="BC83" s="4"/>
      <c r="BD83" s="8"/>
      <c r="BE83" s="4"/>
      <c r="BF83" s="8"/>
      <c r="BG83" s="7"/>
      <c r="BH83" s="7"/>
      <c r="BI83" s="7"/>
      <c r="BJ83" s="4">
        <v>18</v>
      </c>
      <c r="BK83" s="8">
        <v>793.14</v>
      </c>
      <c r="BL83" s="2" t="s">
        <v>654</v>
      </c>
      <c r="BM83" s="7"/>
      <c r="BN83" s="7"/>
      <c r="BO83" s="4"/>
      <c r="BP83" s="8"/>
      <c r="BQ83" s="4"/>
      <c r="BR83" s="8"/>
      <c r="BS83" s="7"/>
      <c r="BT83" s="7"/>
      <c r="BU83" s="2" t="s">
        <v>655</v>
      </c>
      <c r="BV83" s="2" t="s">
        <v>200</v>
      </c>
      <c r="BW83" s="2" t="s">
        <v>200</v>
      </c>
      <c r="BX83" s="2" t="s">
        <v>289</v>
      </c>
      <c r="BY83" s="2" t="s">
        <v>247</v>
      </c>
      <c r="BZ83" s="2" t="s">
        <v>212</v>
      </c>
      <c r="CA83" s="2" t="s">
        <v>653</v>
      </c>
      <c r="CB83" s="2" t="s">
        <v>656</v>
      </c>
      <c r="CC83" s="2" t="s">
        <v>213</v>
      </c>
      <c r="CD83" s="2" t="s">
        <v>200</v>
      </c>
      <c r="CE83" s="4">
        <v>4</v>
      </c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</row>
    <row r="84">
      <c r="A84" s="2" t="s">
        <v>657</v>
      </c>
      <c r="B84" s="2" t="s">
        <v>230</v>
      </c>
      <c r="C84" s="2" t="s">
        <v>231</v>
      </c>
      <c r="D84" s="2" t="s">
        <v>232</v>
      </c>
      <c r="E84" s="2" t="s">
        <v>233</v>
      </c>
      <c r="F84" s="2" t="s">
        <v>658</v>
      </c>
      <c r="G84" s="2" t="s">
        <v>658</v>
      </c>
      <c r="H84" s="2" t="s">
        <v>658</v>
      </c>
      <c r="I84" s="2" t="s">
        <v>659</v>
      </c>
      <c r="J84" s="2" t="s">
        <v>236</v>
      </c>
      <c r="K84" s="2" t="s">
        <v>660</v>
      </c>
      <c r="L84" s="3">
        <v>39.84</v>
      </c>
      <c r="M84" s="3">
        <v>41.83</v>
      </c>
      <c r="N84" s="3">
        <v>82.99</v>
      </c>
      <c r="O84" s="2" t="s">
        <v>212</v>
      </c>
      <c r="P84" s="2" t="s">
        <v>258</v>
      </c>
      <c r="Q84" s="2" t="s">
        <v>206</v>
      </c>
      <c r="R84" s="2" t="s">
        <v>200</v>
      </c>
      <c r="S84" s="2" t="s">
        <v>661</v>
      </c>
      <c r="T84" s="2" t="s">
        <v>239</v>
      </c>
      <c r="U84" s="2" t="s">
        <v>662</v>
      </c>
      <c r="V84" s="2" t="s">
        <v>208</v>
      </c>
      <c r="W84" s="2" t="s">
        <v>241</v>
      </c>
      <c r="X84" s="2" t="s">
        <v>200</v>
      </c>
      <c r="Y84" s="2" t="s">
        <v>663</v>
      </c>
      <c r="Z84" s="4">
        <v>102</v>
      </c>
      <c r="AA84" s="4">
        <f>=ROUNDDOWN(34,0)</f>
      </c>
      <c r="AB84" s="5">
        <v>3</v>
      </c>
      <c r="AC84" s="2" t="s">
        <v>111</v>
      </c>
      <c r="AD84" s="4">
        <v>12</v>
      </c>
      <c r="AE84" s="4">
        <v>52</v>
      </c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200</v>
      </c>
      <c r="AM84" s="4"/>
      <c r="AN84" s="4"/>
      <c r="AO84" s="7"/>
      <c r="AP84" s="4"/>
      <c r="AQ84" s="8"/>
      <c r="AR84" s="4"/>
      <c r="AS84" s="8"/>
      <c r="AT84" s="7"/>
      <c r="AU84" s="7"/>
      <c r="AV84" s="4"/>
      <c r="AW84" s="8"/>
      <c r="AX84" s="4"/>
      <c r="AY84" s="8"/>
      <c r="AZ84" s="7"/>
      <c r="BA84" s="7"/>
      <c r="BB84" s="7"/>
      <c r="BC84" s="4"/>
      <c r="BD84" s="8"/>
      <c r="BE84" s="4"/>
      <c r="BF84" s="8"/>
      <c r="BG84" s="7"/>
      <c r="BH84" s="7"/>
      <c r="BI84" s="7"/>
      <c r="BJ84" s="4">
        <v>9</v>
      </c>
      <c r="BK84" s="8">
        <v>433.34</v>
      </c>
      <c r="BL84" s="2" t="s">
        <v>664</v>
      </c>
      <c r="BM84" s="7"/>
      <c r="BN84" s="7"/>
      <c r="BO84" s="4"/>
      <c r="BP84" s="8"/>
      <c r="BQ84" s="4"/>
      <c r="BR84" s="8"/>
      <c r="BS84" s="7"/>
      <c r="BT84" s="7"/>
      <c r="BU84" s="2" t="s">
        <v>665</v>
      </c>
      <c r="BV84" s="2" t="s">
        <v>200</v>
      </c>
      <c r="BW84" s="2" t="s">
        <v>200</v>
      </c>
      <c r="BX84" s="2" t="s">
        <v>629</v>
      </c>
      <c r="BY84" s="2" t="s">
        <v>247</v>
      </c>
      <c r="BZ84" s="2" t="s">
        <v>212</v>
      </c>
      <c r="CA84" s="2" t="s">
        <v>666</v>
      </c>
      <c r="CB84" s="2" t="s">
        <v>667</v>
      </c>
      <c r="CC84" s="2" t="s">
        <v>213</v>
      </c>
      <c r="CD84" s="2" t="s">
        <v>200</v>
      </c>
      <c r="CE84" s="4">
        <v>102</v>
      </c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>
        <v>12</v>
      </c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>
        <v>40</v>
      </c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</row>
    <row r="85">
      <c r="A85" s="2" t="s">
        <v>668</v>
      </c>
      <c r="B85" s="2" t="s">
        <v>669</v>
      </c>
      <c r="C85" s="2" t="s">
        <v>607</v>
      </c>
      <c r="D85" s="2" t="s">
        <v>670</v>
      </c>
      <c r="E85" s="2" t="s">
        <v>671</v>
      </c>
      <c r="F85" s="2" t="s">
        <v>672</v>
      </c>
      <c r="G85" s="2" t="s">
        <v>672</v>
      </c>
      <c r="H85" s="2" t="s">
        <v>672</v>
      </c>
      <c r="I85" s="2" t="s">
        <v>673</v>
      </c>
      <c r="J85" s="2" t="s">
        <v>674</v>
      </c>
      <c r="K85" s="2" t="s">
        <v>237</v>
      </c>
      <c r="L85" s="3">
        <v>32.9</v>
      </c>
      <c r="M85" s="3">
        <v>34.55</v>
      </c>
      <c r="N85" s="3">
        <v>69.99</v>
      </c>
      <c r="O85" s="2" t="s">
        <v>212</v>
      </c>
      <c r="P85" s="2" t="s">
        <v>675</v>
      </c>
      <c r="Q85" s="2" t="s">
        <v>206</v>
      </c>
      <c r="R85" s="2" t="s">
        <v>200</v>
      </c>
      <c r="S85" s="2" t="s">
        <v>676</v>
      </c>
      <c r="T85" s="2" t="s">
        <v>312</v>
      </c>
      <c r="U85" s="2" t="s">
        <v>677</v>
      </c>
      <c r="V85" s="2" t="s">
        <v>208</v>
      </c>
      <c r="W85" s="2" t="s">
        <v>419</v>
      </c>
      <c r="X85" s="2" t="s">
        <v>200</v>
      </c>
      <c r="Y85" s="2" t="s">
        <v>678</v>
      </c>
      <c r="Z85" s="4">
        <v>655</v>
      </c>
      <c r="AA85" s="4">
        <f>=ROUNDDOWN(34.4736842105263,0)</f>
      </c>
      <c r="AB85" s="5">
        <v>19</v>
      </c>
      <c r="AC85" s="2" t="s">
        <v>679</v>
      </c>
      <c r="AD85" s="4">
        <v>280</v>
      </c>
      <c r="AE85" s="4">
        <v>280</v>
      </c>
      <c r="AF85" s="6">
        <v>69</v>
      </c>
      <c r="AG85" s="6"/>
      <c r="AH85" s="7">
        <v>1</v>
      </c>
      <c r="AI85" s="4"/>
      <c r="AJ85" s="4">
        <f>=ROUNDDOWN({0},0)</f>
      </c>
      <c r="AK85" s="5"/>
      <c r="AL85" s="2" t="s">
        <v>200</v>
      </c>
      <c r="AM85" s="4"/>
      <c r="AN85" s="4"/>
      <c r="AO85" s="7"/>
      <c r="AP85" s="4"/>
      <c r="AQ85" s="8"/>
      <c r="AR85" s="4"/>
      <c r="AS85" s="8"/>
      <c r="AT85" s="7"/>
      <c r="AU85" s="7"/>
      <c r="AV85" s="4"/>
      <c r="AW85" s="8"/>
      <c r="AX85" s="4"/>
      <c r="AY85" s="8"/>
      <c r="AZ85" s="7"/>
      <c r="BA85" s="7"/>
      <c r="BB85" s="7"/>
      <c r="BC85" s="4" t="s">
        <v>200</v>
      </c>
      <c r="BD85" s="8" t="s">
        <v>200</v>
      </c>
      <c r="BE85" s="4" t="s">
        <v>200</v>
      </c>
      <c r="BF85" s="8" t="s">
        <v>200</v>
      </c>
      <c r="BG85" s="7" t="s">
        <v>200</v>
      </c>
      <c r="BH85" s="7" t="s">
        <v>200</v>
      </c>
      <c r="BI85" s="7"/>
      <c r="BJ85" s="4">
        <v>76</v>
      </c>
      <c r="BK85" s="8">
        <v>2635.17</v>
      </c>
      <c r="BL85" s="2" t="s">
        <v>680</v>
      </c>
      <c r="BM85" s="7"/>
      <c r="BN85" s="7"/>
      <c r="BO85" s="4"/>
      <c r="BP85" s="8"/>
      <c r="BQ85" s="4"/>
      <c r="BR85" s="8"/>
      <c r="BS85" s="7"/>
      <c r="BT85" s="7"/>
      <c r="BU85" s="2" t="s">
        <v>681</v>
      </c>
      <c r="BV85" s="2" t="s">
        <v>200</v>
      </c>
      <c r="BW85" s="2" t="s">
        <v>200</v>
      </c>
      <c r="BX85" s="2" t="s">
        <v>629</v>
      </c>
      <c r="BY85" s="2" t="s">
        <v>247</v>
      </c>
      <c r="BZ85" s="2" t="s">
        <v>212</v>
      </c>
      <c r="CA85" s="2" t="s">
        <v>682</v>
      </c>
      <c r="CB85" s="2" t="s">
        <v>683</v>
      </c>
      <c r="CC85" s="2" t="s">
        <v>213</v>
      </c>
      <c r="CD85" s="2" t="s">
        <v>200</v>
      </c>
      <c r="CE85" s="4">
        <v>655</v>
      </c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>
        <v>280</v>
      </c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</row>
    <row r="86">
      <c r="A86" s="2" t="s">
        <v>684</v>
      </c>
      <c r="B86" s="2" t="s">
        <v>669</v>
      </c>
      <c r="C86" s="2" t="s">
        <v>607</v>
      </c>
      <c r="D86" s="2" t="s">
        <v>670</v>
      </c>
      <c r="E86" s="2" t="s">
        <v>671</v>
      </c>
      <c r="F86" s="2" t="s">
        <v>685</v>
      </c>
      <c r="G86" s="2" t="s">
        <v>685</v>
      </c>
      <c r="H86" s="2" t="s">
        <v>685</v>
      </c>
      <c r="I86" s="2" t="s">
        <v>673</v>
      </c>
      <c r="J86" s="2" t="s">
        <v>686</v>
      </c>
      <c r="K86" s="2" t="s">
        <v>687</v>
      </c>
      <c r="L86" s="3">
        <v>32.9</v>
      </c>
      <c r="M86" s="3">
        <v>34.55</v>
      </c>
      <c r="N86" s="3">
        <v>69.99</v>
      </c>
      <c r="O86" s="2" t="s">
        <v>212</v>
      </c>
      <c r="P86" s="2" t="s">
        <v>675</v>
      </c>
      <c r="Q86" s="2" t="s">
        <v>206</v>
      </c>
      <c r="R86" s="2" t="s">
        <v>200</v>
      </c>
      <c r="S86" s="2" t="s">
        <v>688</v>
      </c>
      <c r="T86" s="2" t="s">
        <v>200</v>
      </c>
      <c r="U86" s="2" t="s">
        <v>689</v>
      </c>
      <c r="V86" s="2" t="s">
        <v>208</v>
      </c>
      <c r="W86" s="2" t="s">
        <v>200</v>
      </c>
      <c r="X86" s="2" t="s">
        <v>200</v>
      </c>
      <c r="Y86" s="2" t="s">
        <v>690</v>
      </c>
      <c r="Z86" s="4">
        <v>270</v>
      </c>
      <c r="AA86" s="4">
        <f>=ROUNDDOWN({0},0)</f>
      </c>
      <c r="AB86" s="5"/>
      <c r="AC86" s="2" t="s">
        <v>691</v>
      </c>
      <c r="AD86" s="4">
        <v>130</v>
      </c>
      <c r="AE86" s="4">
        <v>130</v>
      </c>
      <c r="AF86" s="6">
        <v>69</v>
      </c>
      <c r="AG86" s="6"/>
      <c r="AH86" s="7">
        <v>1</v>
      </c>
      <c r="AI86" s="4"/>
      <c r="AJ86" s="4">
        <f>=ROUNDDOWN({0},0)</f>
      </c>
      <c r="AK86" s="5"/>
      <c r="AL86" s="2" t="s">
        <v>200</v>
      </c>
      <c r="AM86" s="4"/>
      <c r="AN86" s="4"/>
      <c r="AO86" s="7"/>
      <c r="AP86" s="4"/>
      <c r="AQ86" s="8"/>
      <c r="AR86" s="4"/>
      <c r="AS86" s="8"/>
      <c r="AT86" s="7"/>
      <c r="AU86" s="7"/>
      <c r="AV86" s="4"/>
      <c r="AW86" s="8"/>
      <c r="AX86" s="4"/>
      <c r="AY86" s="8"/>
      <c r="AZ86" s="7"/>
      <c r="BA86" s="7"/>
      <c r="BB86" s="7"/>
      <c r="BC86" s="4" t="s">
        <v>200</v>
      </c>
      <c r="BD86" s="8" t="s">
        <v>200</v>
      </c>
      <c r="BE86" s="4" t="s">
        <v>200</v>
      </c>
      <c r="BF86" s="8" t="s">
        <v>200</v>
      </c>
      <c r="BG86" s="7" t="s">
        <v>200</v>
      </c>
      <c r="BH86" s="7" t="s">
        <v>200</v>
      </c>
      <c r="BI86" s="7"/>
      <c r="BJ86" s="4"/>
      <c r="BK86" s="8"/>
      <c r="BL86" s="2" t="s">
        <v>200</v>
      </c>
      <c r="BM86" s="7"/>
      <c r="BN86" s="7"/>
      <c r="BO86" s="4"/>
      <c r="BP86" s="8"/>
      <c r="BQ86" s="4"/>
      <c r="BR86" s="8"/>
      <c r="BS86" s="7"/>
      <c r="BT86" s="7"/>
      <c r="BU86" s="2" t="s">
        <v>692</v>
      </c>
      <c r="BV86" s="2" t="s">
        <v>200</v>
      </c>
      <c r="BW86" s="2" t="s">
        <v>200</v>
      </c>
      <c r="BX86" s="2" t="s">
        <v>629</v>
      </c>
      <c r="BY86" s="2" t="s">
        <v>247</v>
      </c>
      <c r="BZ86" s="2" t="s">
        <v>212</v>
      </c>
      <c r="CA86" s="2" t="s">
        <v>108</v>
      </c>
      <c r="CB86" s="2" t="s">
        <v>200</v>
      </c>
      <c r="CC86" s="2" t="s">
        <v>213</v>
      </c>
      <c r="CD86" s="2" t="s">
        <v>200</v>
      </c>
      <c r="CE86" s="4">
        <v>270</v>
      </c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>
        <v>130</v>
      </c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</row>
    <row r="87">
      <c r="A87" s="2" t="s">
        <v>693</v>
      </c>
      <c r="B87" s="2" t="s">
        <v>669</v>
      </c>
      <c r="C87" s="2" t="s">
        <v>607</v>
      </c>
      <c r="D87" s="2" t="s">
        <v>670</v>
      </c>
      <c r="E87" s="2" t="s">
        <v>671</v>
      </c>
      <c r="F87" s="2" t="s">
        <v>672</v>
      </c>
      <c r="G87" s="2" t="s">
        <v>672</v>
      </c>
      <c r="H87" s="2" t="s">
        <v>672</v>
      </c>
      <c r="I87" s="2" t="s">
        <v>673</v>
      </c>
      <c r="J87" s="2" t="s">
        <v>674</v>
      </c>
      <c r="K87" s="2" t="s">
        <v>694</v>
      </c>
      <c r="L87" s="3">
        <v>32.9</v>
      </c>
      <c r="M87" s="3">
        <v>34.55</v>
      </c>
      <c r="N87" s="3">
        <v>69.99</v>
      </c>
      <c r="O87" s="2" t="s">
        <v>212</v>
      </c>
      <c r="P87" s="2" t="s">
        <v>675</v>
      </c>
      <c r="Q87" s="2" t="s">
        <v>206</v>
      </c>
      <c r="R87" s="2" t="s">
        <v>200</v>
      </c>
      <c r="S87" s="2" t="s">
        <v>688</v>
      </c>
      <c r="T87" s="2" t="s">
        <v>312</v>
      </c>
      <c r="U87" s="2" t="s">
        <v>677</v>
      </c>
      <c r="V87" s="2" t="s">
        <v>208</v>
      </c>
      <c r="W87" s="2" t="s">
        <v>419</v>
      </c>
      <c r="X87" s="2" t="s">
        <v>200</v>
      </c>
      <c r="Y87" s="2" t="s">
        <v>678</v>
      </c>
      <c r="Z87" s="4">
        <v>486</v>
      </c>
      <c r="AA87" s="4">
        <f>=ROUNDDOWN(27,0)</f>
      </c>
      <c r="AB87" s="5">
        <v>18</v>
      </c>
      <c r="AC87" s="2" t="s">
        <v>200</v>
      </c>
      <c r="AD87" s="4"/>
      <c r="AE87" s="4"/>
      <c r="AF87" s="6">
        <v>69</v>
      </c>
      <c r="AG87" s="6"/>
      <c r="AH87" s="7">
        <v>1</v>
      </c>
      <c r="AI87" s="4"/>
      <c r="AJ87" s="4">
        <f>=ROUNDDOWN({0},0)</f>
      </c>
      <c r="AK87" s="5"/>
      <c r="AL87" s="2" t="s">
        <v>200</v>
      </c>
      <c r="AM87" s="4"/>
      <c r="AN87" s="4"/>
      <c r="AO87" s="7"/>
      <c r="AP87" s="4"/>
      <c r="AQ87" s="8"/>
      <c r="AR87" s="4"/>
      <c r="AS87" s="8"/>
      <c r="AT87" s="7"/>
      <c r="AU87" s="7"/>
      <c r="AV87" s="4"/>
      <c r="AW87" s="8"/>
      <c r="AX87" s="4"/>
      <c r="AY87" s="8"/>
      <c r="AZ87" s="7"/>
      <c r="BA87" s="7"/>
      <c r="BB87" s="7"/>
      <c r="BC87" s="4" t="s">
        <v>200</v>
      </c>
      <c r="BD87" s="8" t="s">
        <v>200</v>
      </c>
      <c r="BE87" s="4" t="s">
        <v>200</v>
      </c>
      <c r="BF87" s="8" t="s">
        <v>200</v>
      </c>
      <c r="BG87" s="7" t="s">
        <v>200</v>
      </c>
      <c r="BH87" s="7" t="s">
        <v>200</v>
      </c>
      <c r="BI87" s="7"/>
      <c r="BJ87" s="4">
        <v>102</v>
      </c>
      <c r="BK87" s="8">
        <v>3545.38</v>
      </c>
      <c r="BL87" s="2" t="s">
        <v>695</v>
      </c>
      <c r="BM87" s="7"/>
      <c r="BN87" s="7"/>
      <c r="BO87" s="4"/>
      <c r="BP87" s="8"/>
      <c r="BQ87" s="4"/>
      <c r="BR87" s="8"/>
      <c r="BS87" s="7"/>
      <c r="BT87" s="7"/>
      <c r="BU87" s="2" t="s">
        <v>696</v>
      </c>
      <c r="BV87" s="2" t="s">
        <v>200</v>
      </c>
      <c r="BW87" s="2" t="s">
        <v>200</v>
      </c>
      <c r="BX87" s="2" t="s">
        <v>629</v>
      </c>
      <c r="BY87" s="2" t="s">
        <v>247</v>
      </c>
      <c r="BZ87" s="2" t="s">
        <v>212</v>
      </c>
      <c r="CA87" s="2" t="s">
        <v>682</v>
      </c>
      <c r="CB87" s="2" t="s">
        <v>697</v>
      </c>
      <c r="CC87" s="2" t="s">
        <v>213</v>
      </c>
      <c r="CD87" s="2" t="s">
        <v>200</v>
      </c>
      <c r="CE87" s="4">
        <v>486</v>
      </c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</row>
    <row r="88">
      <c r="A88" s="2" t="s">
        <v>698</v>
      </c>
      <c r="B88" s="2" t="s">
        <v>669</v>
      </c>
      <c r="C88" s="2" t="s">
        <v>607</v>
      </c>
      <c r="D88" s="2" t="s">
        <v>670</v>
      </c>
      <c r="E88" s="2" t="s">
        <v>671</v>
      </c>
      <c r="F88" s="2" t="s">
        <v>672</v>
      </c>
      <c r="G88" s="2" t="s">
        <v>672</v>
      </c>
      <c r="H88" s="2" t="s">
        <v>672</v>
      </c>
      <c r="I88" s="2" t="s">
        <v>673</v>
      </c>
      <c r="J88" s="2" t="s">
        <v>674</v>
      </c>
      <c r="K88" s="2" t="s">
        <v>464</v>
      </c>
      <c r="L88" s="3">
        <v>32.9</v>
      </c>
      <c r="M88" s="3">
        <v>34.55</v>
      </c>
      <c r="N88" s="3">
        <v>69.99</v>
      </c>
      <c r="O88" s="2" t="s">
        <v>212</v>
      </c>
      <c r="P88" s="2" t="s">
        <v>675</v>
      </c>
      <c r="Q88" s="2" t="s">
        <v>206</v>
      </c>
      <c r="R88" s="2" t="s">
        <v>200</v>
      </c>
      <c r="S88" s="2" t="s">
        <v>699</v>
      </c>
      <c r="T88" s="2" t="s">
        <v>312</v>
      </c>
      <c r="U88" s="2" t="s">
        <v>677</v>
      </c>
      <c r="V88" s="2" t="s">
        <v>208</v>
      </c>
      <c r="W88" s="2" t="s">
        <v>419</v>
      </c>
      <c r="X88" s="2" t="s">
        <v>200</v>
      </c>
      <c r="Y88" s="2" t="s">
        <v>678</v>
      </c>
      <c r="Z88" s="4">
        <v>710</v>
      </c>
      <c r="AA88" s="4">
        <f>=ROUNDDOWN(29.5833333333333,0)</f>
      </c>
      <c r="AB88" s="5">
        <v>24</v>
      </c>
      <c r="AC88" s="2" t="s">
        <v>700</v>
      </c>
      <c r="AD88" s="4">
        <v>350</v>
      </c>
      <c r="AE88" s="4">
        <v>410</v>
      </c>
      <c r="AF88" s="6">
        <v>69</v>
      </c>
      <c r="AG88" s="6"/>
      <c r="AH88" s="7">
        <v>1</v>
      </c>
      <c r="AI88" s="4"/>
      <c r="AJ88" s="4">
        <f>=ROUNDDOWN({0},0)</f>
      </c>
      <c r="AK88" s="5"/>
      <c r="AL88" s="2" t="s">
        <v>200</v>
      </c>
      <c r="AM88" s="4"/>
      <c r="AN88" s="4"/>
      <c r="AO88" s="7"/>
      <c r="AP88" s="4"/>
      <c r="AQ88" s="8"/>
      <c r="AR88" s="4"/>
      <c r="AS88" s="8"/>
      <c r="AT88" s="7"/>
      <c r="AU88" s="7"/>
      <c r="AV88" s="4"/>
      <c r="AW88" s="8"/>
      <c r="AX88" s="4"/>
      <c r="AY88" s="8"/>
      <c r="AZ88" s="7"/>
      <c r="BA88" s="7"/>
      <c r="BB88" s="7"/>
      <c r="BC88" s="4" t="s">
        <v>200</v>
      </c>
      <c r="BD88" s="8" t="s">
        <v>200</v>
      </c>
      <c r="BE88" s="4" t="s">
        <v>200</v>
      </c>
      <c r="BF88" s="8" t="s">
        <v>200</v>
      </c>
      <c r="BG88" s="7" t="s">
        <v>200</v>
      </c>
      <c r="BH88" s="7" t="s">
        <v>200</v>
      </c>
      <c r="BI88" s="7"/>
      <c r="BJ88" s="4">
        <v>91</v>
      </c>
      <c r="BK88" s="8">
        <v>3220.27</v>
      </c>
      <c r="BL88" s="2" t="s">
        <v>701</v>
      </c>
      <c r="BM88" s="7"/>
      <c r="BN88" s="7"/>
      <c r="BO88" s="4"/>
      <c r="BP88" s="8"/>
      <c r="BQ88" s="4"/>
      <c r="BR88" s="8"/>
      <c r="BS88" s="7"/>
      <c r="BT88" s="7"/>
      <c r="BU88" s="2" t="s">
        <v>702</v>
      </c>
      <c r="BV88" s="2" t="s">
        <v>200</v>
      </c>
      <c r="BW88" s="2" t="s">
        <v>200</v>
      </c>
      <c r="BX88" s="2" t="s">
        <v>629</v>
      </c>
      <c r="BY88" s="2" t="s">
        <v>247</v>
      </c>
      <c r="BZ88" s="2" t="s">
        <v>212</v>
      </c>
      <c r="CA88" s="2" t="s">
        <v>682</v>
      </c>
      <c r="CB88" s="2" t="s">
        <v>703</v>
      </c>
      <c r="CC88" s="2" t="s">
        <v>213</v>
      </c>
      <c r="CD88" s="2" t="s">
        <v>200</v>
      </c>
      <c r="CE88" s="4">
        <v>710</v>
      </c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>
        <v>350</v>
      </c>
      <c r="DT88" s="4">
        <v>60</v>
      </c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</row>
    <row r="89">
      <c r="A89" s="2" t="s">
        <v>704</v>
      </c>
      <c r="B89" s="2" t="s">
        <v>705</v>
      </c>
      <c r="C89" s="2" t="s">
        <v>706</v>
      </c>
      <c r="D89" s="2" t="s">
        <v>707</v>
      </c>
      <c r="E89" s="2" t="s">
        <v>708</v>
      </c>
      <c r="F89" s="2" t="s">
        <v>709</v>
      </c>
      <c r="G89" s="2" t="s">
        <v>709</v>
      </c>
      <c r="H89" s="2" t="s">
        <v>709</v>
      </c>
      <c r="I89" s="2" t="s">
        <v>710</v>
      </c>
      <c r="J89" s="2" t="s">
        <v>711</v>
      </c>
      <c r="K89" s="2" t="s">
        <v>257</v>
      </c>
      <c r="L89" s="3">
        <v>54.68</v>
      </c>
      <c r="M89" s="3">
        <v>57.41</v>
      </c>
      <c r="N89" s="3">
        <v>127.99</v>
      </c>
      <c r="O89" s="2" t="s">
        <v>460</v>
      </c>
      <c r="P89" s="2" t="s">
        <v>285</v>
      </c>
      <c r="Q89" s="2" t="s">
        <v>206</v>
      </c>
      <c r="R89" s="2" t="s">
        <v>200</v>
      </c>
      <c r="S89" s="2" t="s">
        <v>200</v>
      </c>
      <c r="T89" s="2" t="s">
        <v>200</v>
      </c>
      <c r="U89" s="2" t="s">
        <v>270</v>
      </c>
      <c r="V89" s="2" t="s">
        <v>616</v>
      </c>
      <c r="W89" s="2" t="s">
        <v>712</v>
      </c>
      <c r="X89" s="2" t="s">
        <v>200</v>
      </c>
      <c r="Y89" s="2" t="s">
        <v>713</v>
      </c>
      <c r="Z89" s="4">
        <v>51</v>
      </c>
      <c r="AA89" s="4">
        <f>=ROUNDDOWN(85,0)</f>
      </c>
      <c r="AB89" s="5">
        <v>0.6</v>
      </c>
      <c r="AC89" s="2" t="s">
        <v>200</v>
      </c>
      <c r="AD89" s="4"/>
      <c r="AE89" s="4"/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200</v>
      </c>
      <c r="AM89" s="4"/>
      <c r="AN89" s="4"/>
      <c r="AO89" s="7"/>
      <c r="AP89" s="4"/>
      <c r="AQ89" s="8"/>
      <c r="AR89" s="4"/>
      <c r="AS89" s="8"/>
      <c r="AT89" s="7"/>
      <c r="AU89" s="7"/>
      <c r="AV89" s="4"/>
      <c r="AW89" s="8"/>
      <c r="AX89" s="4"/>
      <c r="AY89" s="8"/>
      <c r="AZ89" s="7"/>
      <c r="BA89" s="7"/>
      <c r="BB89" s="7"/>
      <c r="BC89" s="4"/>
      <c r="BD89" s="8"/>
      <c r="BE89" s="4"/>
      <c r="BF89" s="8"/>
      <c r="BG89" s="7"/>
      <c r="BH89" s="7"/>
      <c r="BI89" s="7"/>
      <c r="BJ89" s="4"/>
      <c r="BK89" s="8"/>
      <c r="BL89" s="2" t="s">
        <v>714</v>
      </c>
      <c r="BM89" s="7"/>
      <c r="BN89" s="7"/>
      <c r="BO89" s="4"/>
      <c r="BP89" s="8"/>
      <c r="BQ89" s="4"/>
      <c r="BR89" s="8"/>
      <c r="BS89" s="7"/>
      <c r="BT89" s="7"/>
      <c r="BU89" s="2" t="s">
        <v>715</v>
      </c>
      <c r="BV89" s="2" t="s">
        <v>200</v>
      </c>
      <c r="BW89" s="2" t="s">
        <v>200</v>
      </c>
      <c r="BX89" s="2" t="s">
        <v>289</v>
      </c>
      <c r="BY89" s="2" t="s">
        <v>247</v>
      </c>
      <c r="BZ89" s="2" t="s">
        <v>212</v>
      </c>
      <c r="CA89" s="2" t="s">
        <v>716</v>
      </c>
      <c r="CB89" s="2" t="s">
        <v>717</v>
      </c>
      <c r="CC89" s="2" t="s">
        <v>213</v>
      </c>
      <c r="CD89" s="2" t="s">
        <v>200</v>
      </c>
      <c r="CE89" s="4"/>
      <c r="CF89" s="4">
        <v>51</v>
      </c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</row>
    <row r="90">
      <c r="A90" s="2" t="s">
        <v>718</v>
      </c>
      <c r="B90" s="2" t="s">
        <v>719</v>
      </c>
      <c r="C90" s="2" t="s">
        <v>231</v>
      </c>
      <c r="D90" s="2" t="s">
        <v>720</v>
      </c>
      <c r="E90" s="2" t="s">
        <v>721</v>
      </c>
      <c r="F90" s="2" t="s">
        <v>722</v>
      </c>
      <c r="G90" s="2" t="s">
        <v>722</v>
      </c>
      <c r="H90" s="2" t="s">
        <v>722</v>
      </c>
      <c r="I90" s="2" t="s">
        <v>723</v>
      </c>
      <c r="J90" s="2" t="s">
        <v>711</v>
      </c>
      <c r="K90" s="2" t="s">
        <v>237</v>
      </c>
      <c r="L90" s="3">
        <v>32.38</v>
      </c>
      <c r="M90" s="3">
        <v>34</v>
      </c>
      <c r="N90" s="3">
        <v>67.99</v>
      </c>
      <c r="O90" s="2" t="s">
        <v>212</v>
      </c>
      <c r="P90" s="2" t="s">
        <v>285</v>
      </c>
      <c r="Q90" s="2" t="s">
        <v>206</v>
      </c>
      <c r="R90" s="2" t="s">
        <v>200</v>
      </c>
      <c r="S90" s="2" t="s">
        <v>200</v>
      </c>
      <c r="T90" s="2" t="s">
        <v>200</v>
      </c>
      <c r="U90" s="2" t="s">
        <v>270</v>
      </c>
      <c r="V90" s="2" t="s">
        <v>724</v>
      </c>
      <c r="W90" s="2" t="s">
        <v>419</v>
      </c>
      <c r="X90" s="2" t="s">
        <v>379</v>
      </c>
      <c r="Y90" s="2" t="s">
        <v>725</v>
      </c>
      <c r="Z90" s="4">
        <v>35</v>
      </c>
      <c r="AA90" s="4">
        <f>=ROUNDDOWN(43.75,0)</f>
      </c>
      <c r="AB90" s="5">
        <v>0.8</v>
      </c>
      <c r="AC90" s="2" t="s">
        <v>200</v>
      </c>
      <c r="AD90" s="4"/>
      <c r="AE90" s="4"/>
      <c r="AF90" s="6">
        <v>63</v>
      </c>
      <c r="AG90" s="6"/>
      <c r="AH90" s="7">
        <v>1</v>
      </c>
      <c r="AI90" s="4"/>
      <c r="AJ90" s="4">
        <f>=ROUNDDOWN({0},0)</f>
      </c>
      <c r="AK90" s="5"/>
      <c r="AL90" s="2" t="s">
        <v>200</v>
      </c>
      <c r="AM90" s="4"/>
      <c r="AN90" s="4"/>
      <c r="AO90" s="7"/>
      <c r="AP90" s="4"/>
      <c r="AQ90" s="8"/>
      <c r="AR90" s="4"/>
      <c r="AS90" s="8"/>
      <c r="AT90" s="7"/>
      <c r="AU90" s="7"/>
      <c r="AV90" s="4"/>
      <c r="AW90" s="8"/>
      <c r="AX90" s="4"/>
      <c r="AY90" s="8"/>
      <c r="AZ90" s="7"/>
      <c r="BA90" s="7"/>
      <c r="BB90" s="7"/>
      <c r="BC90" s="4"/>
      <c r="BD90" s="8"/>
      <c r="BE90" s="4"/>
      <c r="BF90" s="8"/>
      <c r="BG90" s="7"/>
      <c r="BH90" s="7"/>
      <c r="BI90" s="7"/>
      <c r="BJ90" s="4">
        <v>1</v>
      </c>
      <c r="BK90" s="8">
        <v>38.41</v>
      </c>
      <c r="BL90" s="2" t="s">
        <v>726</v>
      </c>
      <c r="BM90" s="7"/>
      <c r="BN90" s="7"/>
      <c r="BO90" s="4"/>
      <c r="BP90" s="8"/>
      <c r="BQ90" s="4"/>
      <c r="BR90" s="8"/>
      <c r="BS90" s="7"/>
      <c r="BT90" s="7"/>
      <c r="BU90" s="2" t="s">
        <v>727</v>
      </c>
      <c r="BV90" s="2" t="s">
        <v>200</v>
      </c>
      <c r="BW90" s="2" t="s">
        <v>200</v>
      </c>
      <c r="BX90" s="2" t="s">
        <v>289</v>
      </c>
      <c r="BY90" s="2" t="s">
        <v>247</v>
      </c>
      <c r="BZ90" s="2" t="s">
        <v>212</v>
      </c>
      <c r="CA90" s="2" t="s">
        <v>728</v>
      </c>
      <c r="CB90" s="2" t="s">
        <v>200</v>
      </c>
      <c r="CC90" s="2" t="s">
        <v>213</v>
      </c>
      <c r="CD90" s="2" t="s">
        <v>200</v>
      </c>
      <c r="CE90" s="4"/>
      <c r="CF90" s="4">
        <v>35</v>
      </c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</row>
    <row r="91">
      <c r="A91" s="2" t="s">
        <v>729</v>
      </c>
      <c r="B91" s="2" t="s">
        <v>719</v>
      </c>
      <c r="C91" s="2" t="s">
        <v>730</v>
      </c>
      <c r="D91" s="2" t="s">
        <v>720</v>
      </c>
      <c r="E91" s="2" t="s">
        <v>721</v>
      </c>
      <c r="F91" s="2" t="s">
        <v>731</v>
      </c>
      <c r="G91" s="2" t="s">
        <v>731</v>
      </c>
      <c r="H91" s="2" t="s">
        <v>731</v>
      </c>
      <c r="I91" s="2" t="s">
        <v>732</v>
      </c>
      <c r="J91" s="2" t="s">
        <v>711</v>
      </c>
      <c r="K91" s="2" t="s">
        <v>733</v>
      </c>
      <c r="L91" s="3">
        <v>15.17</v>
      </c>
      <c r="M91" s="3">
        <v>15.93</v>
      </c>
      <c r="N91" s="3">
        <v>38.24</v>
      </c>
      <c r="O91" s="2" t="s">
        <v>212</v>
      </c>
      <c r="P91" s="2" t="s">
        <v>258</v>
      </c>
      <c r="Q91" s="2" t="s">
        <v>206</v>
      </c>
      <c r="R91" s="2" t="s">
        <v>200</v>
      </c>
      <c r="S91" s="2" t="s">
        <v>734</v>
      </c>
      <c r="T91" s="2" t="s">
        <v>200</v>
      </c>
      <c r="U91" s="2" t="s">
        <v>270</v>
      </c>
      <c r="V91" s="2" t="s">
        <v>735</v>
      </c>
      <c r="W91" s="2" t="s">
        <v>736</v>
      </c>
      <c r="X91" s="2" t="s">
        <v>737</v>
      </c>
      <c r="Y91" s="2" t="s">
        <v>738</v>
      </c>
      <c r="Z91" s="4">
        <v>171</v>
      </c>
      <c r="AA91" s="4">
        <f>=ROUNDDOWN(17.6288659793814,0)</f>
      </c>
      <c r="AB91" s="5">
        <v>9.7</v>
      </c>
      <c r="AC91" s="2" t="s">
        <v>120</v>
      </c>
      <c r="AD91" s="4">
        <v>100</v>
      </c>
      <c r="AE91" s="4">
        <v>100</v>
      </c>
      <c r="AF91" s="6">
        <v>61</v>
      </c>
      <c r="AG91" s="6"/>
      <c r="AH91" s="7">
        <v>1</v>
      </c>
      <c r="AI91" s="4"/>
      <c r="AJ91" s="4">
        <f>=ROUNDDOWN({0},0)</f>
      </c>
      <c r="AK91" s="5"/>
      <c r="AL91" s="2" t="s">
        <v>200</v>
      </c>
      <c r="AM91" s="4"/>
      <c r="AN91" s="4"/>
      <c r="AO91" s="7"/>
      <c r="AP91" s="4"/>
      <c r="AQ91" s="8"/>
      <c r="AR91" s="4"/>
      <c r="AS91" s="8"/>
      <c r="AT91" s="7"/>
      <c r="AU91" s="7"/>
      <c r="AV91" s="4"/>
      <c r="AW91" s="8"/>
      <c r="AX91" s="4"/>
      <c r="AY91" s="8"/>
      <c r="AZ91" s="7"/>
      <c r="BA91" s="7"/>
      <c r="BB91" s="7"/>
      <c r="BC91" s="4"/>
      <c r="BD91" s="8"/>
      <c r="BE91" s="4"/>
      <c r="BF91" s="8"/>
      <c r="BG91" s="7"/>
      <c r="BH91" s="7"/>
      <c r="BI91" s="7"/>
      <c r="BJ91" s="4">
        <v>36</v>
      </c>
      <c r="BK91" s="8">
        <v>609.2</v>
      </c>
      <c r="BL91" s="2" t="s">
        <v>739</v>
      </c>
      <c r="BM91" s="7"/>
      <c r="BN91" s="7"/>
      <c r="BO91" s="4"/>
      <c r="BP91" s="8"/>
      <c r="BQ91" s="4"/>
      <c r="BR91" s="8"/>
      <c r="BS91" s="7"/>
      <c r="BT91" s="7"/>
      <c r="BU91" s="2" t="s">
        <v>740</v>
      </c>
      <c r="BV91" s="2" t="s">
        <v>200</v>
      </c>
      <c r="BW91" s="2" t="s">
        <v>200</v>
      </c>
      <c r="BX91" s="2" t="s">
        <v>264</v>
      </c>
      <c r="BY91" s="2" t="s">
        <v>247</v>
      </c>
      <c r="BZ91" s="2" t="s">
        <v>212</v>
      </c>
      <c r="CA91" s="2" t="s">
        <v>741</v>
      </c>
      <c r="CB91" s="2" t="s">
        <v>742</v>
      </c>
      <c r="CC91" s="2" t="s">
        <v>213</v>
      </c>
      <c r="CD91" s="2" t="s">
        <v>200</v>
      </c>
      <c r="CE91" s="4"/>
      <c r="CF91" s="4">
        <v>171</v>
      </c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>
        <v>100</v>
      </c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</row>
    <row r="92">
      <c r="A92" s="2" t="s">
        <v>743</v>
      </c>
      <c r="B92" s="2" t="s">
        <v>744</v>
      </c>
      <c r="C92" s="2" t="s">
        <v>745</v>
      </c>
      <c r="D92" s="2" t="s">
        <v>746</v>
      </c>
      <c r="E92" s="2" t="s">
        <v>747</v>
      </c>
      <c r="F92" s="2" t="s">
        <v>748</v>
      </c>
      <c r="G92" s="2" t="s">
        <v>748</v>
      </c>
      <c r="H92" s="2" t="s">
        <v>748</v>
      </c>
      <c r="I92" s="2" t="s">
        <v>749</v>
      </c>
      <c r="J92" s="2" t="s">
        <v>711</v>
      </c>
      <c r="K92" s="2" t="s">
        <v>221</v>
      </c>
      <c r="L92" s="3">
        <v>85.5</v>
      </c>
      <c r="M92" s="3">
        <v>89.78</v>
      </c>
      <c r="N92" s="3">
        <v>179</v>
      </c>
      <c r="O92" s="2" t="s">
        <v>212</v>
      </c>
      <c r="P92" s="2" t="s">
        <v>750</v>
      </c>
      <c r="Q92" s="2" t="s">
        <v>206</v>
      </c>
      <c r="R92" s="2" t="s">
        <v>200</v>
      </c>
      <c r="S92" s="2" t="s">
        <v>200</v>
      </c>
      <c r="T92" s="2" t="s">
        <v>200</v>
      </c>
      <c r="U92" s="2" t="s">
        <v>270</v>
      </c>
      <c r="V92" s="2" t="s">
        <v>616</v>
      </c>
      <c r="W92" s="2" t="s">
        <v>379</v>
      </c>
      <c r="X92" s="2" t="s">
        <v>200</v>
      </c>
      <c r="Y92" s="2" t="s">
        <v>751</v>
      </c>
      <c r="Z92" s="4">
        <v>227</v>
      </c>
      <c r="AA92" s="4">
        <f>=ROUNDDOWN(113.5,0)</f>
      </c>
      <c r="AB92" s="5">
        <v>2</v>
      </c>
      <c r="AC92" s="2" t="s">
        <v>200</v>
      </c>
      <c r="AD92" s="4"/>
      <c r="AE92" s="4"/>
      <c r="AF92" s="6">
        <v>66</v>
      </c>
      <c r="AG92" s="6"/>
      <c r="AH92" s="7">
        <v>1</v>
      </c>
      <c r="AI92" s="4"/>
      <c r="AJ92" s="4">
        <f>=ROUNDDOWN({0},0)</f>
      </c>
      <c r="AK92" s="5"/>
      <c r="AL92" s="2" t="s">
        <v>200</v>
      </c>
      <c r="AM92" s="4"/>
      <c r="AN92" s="4"/>
      <c r="AO92" s="7"/>
      <c r="AP92" s="4"/>
      <c r="AQ92" s="8"/>
      <c r="AR92" s="4"/>
      <c r="AS92" s="8"/>
      <c r="AT92" s="7"/>
      <c r="AU92" s="7"/>
      <c r="AV92" s="4"/>
      <c r="AW92" s="8"/>
      <c r="AX92" s="4"/>
      <c r="AY92" s="8"/>
      <c r="AZ92" s="7"/>
      <c r="BA92" s="7"/>
      <c r="BB92" s="7"/>
      <c r="BC92" s="4"/>
      <c r="BD92" s="8"/>
      <c r="BE92" s="4"/>
      <c r="BF92" s="8"/>
      <c r="BG92" s="7"/>
      <c r="BH92" s="7"/>
      <c r="BI92" s="7"/>
      <c r="BJ92" s="4">
        <v>6</v>
      </c>
      <c r="BK92" s="8">
        <v>581.76</v>
      </c>
      <c r="BL92" s="2" t="s">
        <v>752</v>
      </c>
      <c r="BM92" s="7"/>
      <c r="BN92" s="7"/>
      <c r="BO92" s="4"/>
      <c r="BP92" s="8"/>
      <c r="BQ92" s="4"/>
      <c r="BR92" s="8"/>
      <c r="BS92" s="7"/>
      <c r="BT92" s="7"/>
      <c r="BU92" s="2" t="s">
        <v>753</v>
      </c>
      <c r="BV92" s="2" t="s">
        <v>200</v>
      </c>
      <c r="BW92" s="2" t="s">
        <v>200</v>
      </c>
      <c r="BX92" s="2" t="s">
        <v>264</v>
      </c>
      <c r="BY92" s="2" t="s">
        <v>247</v>
      </c>
      <c r="BZ92" s="2" t="s">
        <v>212</v>
      </c>
      <c r="CA92" s="2" t="s">
        <v>754</v>
      </c>
      <c r="CB92" s="2" t="s">
        <v>420</v>
      </c>
      <c r="CC92" s="2" t="s">
        <v>213</v>
      </c>
      <c r="CD92" s="2" t="s">
        <v>200</v>
      </c>
      <c r="CE92" s="4"/>
      <c r="CF92" s="4">
        <v>227</v>
      </c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</row>
    <row r="93">
      <c r="A93" s="2" t="s">
        <v>755</v>
      </c>
      <c r="B93" s="2" t="s">
        <v>669</v>
      </c>
      <c r="C93" s="2" t="s">
        <v>756</v>
      </c>
      <c r="D93" s="2" t="s">
        <v>670</v>
      </c>
      <c r="E93" s="2" t="s">
        <v>671</v>
      </c>
      <c r="F93" s="2" t="s">
        <v>757</v>
      </c>
      <c r="G93" s="2" t="s">
        <v>757</v>
      </c>
      <c r="H93" s="2" t="s">
        <v>757</v>
      </c>
      <c r="I93" s="2" t="s">
        <v>758</v>
      </c>
      <c r="J93" s="2" t="s">
        <v>759</v>
      </c>
      <c r="K93" s="2" t="s">
        <v>436</v>
      </c>
      <c r="L93" s="3">
        <v>3.71</v>
      </c>
      <c r="M93" s="3">
        <v>3.9</v>
      </c>
      <c r="N93" s="3">
        <v>9.99</v>
      </c>
      <c r="O93" s="2" t="s">
        <v>212</v>
      </c>
      <c r="P93" s="2" t="s">
        <v>760</v>
      </c>
      <c r="Q93" s="2" t="s">
        <v>206</v>
      </c>
      <c r="R93" s="2" t="s">
        <v>200</v>
      </c>
      <c r="S93" s="2" t="s">
        <v>200</v>
      </c>
      <c r="T93" s="2" t="s">
        <v>312</v>
      </c>
      <c r="U93" s="2" t="s">
        <v>270</v>
      </c>
      <c r="V93" s="2" t="s">
        <v>208</v>
      </c>
      <c r="W93" s="2" t="s">
        <v>242</v>
      </c>
      <c r="X93" s="2" t="s">
        <v>200</v>
      </c>
      <c r="Y93" s="2" t="s">
        <v>761</v>
      </c>
      <c r="Z93" s="4">
        <v>339</v>
      </c>
      <c r="AA93" s="4">
        <f>=ROUNDDOWN(84.75,0)</f>
      </c>
      <c r="AB93" s="5">
        <v>4</v>
      </c>
      <c r="AC93" s="2" t="s">
        <v>200</v>
      </c>
      <c r="AD93" s="4"/>
      <c r="AE93" s="4"/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200</v>
      </c>
      <c r="AM93" s="4"/>
      <c r="AN93" s="4"/>
      <c r="AO93" s="7"/>
      <c r="AP93" s="4"/>
      <c r="AQ93" s="8"/>
      <c r="AR93" s="4"/>
      <c r="AS93" s="8"/>
      <c r="AT93" s="7"/>
      <c r="AU93" s="7"/>
      <c r="AV93" s="4"/>
      <c r="AW93" s="8"/>
      <c r="AX93" s="4"/>
      <c r="AY93" s="8"/>
      <c r="AZ93" s="7"/>
      <c r="BA93" s="7"/>
      <c r="BB93" s="7"/>
      <c r="BC93" s="4" t="s">
        <v>200</v>
      </c>
      <c r="BD93" s="8" t="s">
        <v>200</v>
      </c>
      <c r="BE93" s="4" t="s">
        <v>200</v>
      </c>
      <c r="BF93" s="8" t="s">
        <v>200</v>
      </c>
      <c r="BG93" s="7" t="s">
        <v>200</v>
      </c>
      <c r="BH93" s="7" t="s">
        <v>200</v>
      </c>
      <c r="BI93" s="7"/>
      <c r="BJ93" s="4">
        <v>20</v>
      </c>
      <c r="BK93" s="8">
        <v>97.44</v>
      </c>
      <c r="BL93" s="2" t="s">
        <v>762</v>
      </c>
      <c r="BM93" s="7"/>
      <c r="BN93" s="7"/>
      <c r="BO93" s="4"/>
      <c r="BP93" s="8"/>
      <c r="BQ93" s="4"/>
      <c r="BR93" s="8"/>
      <c r="BS93" s="7"/>
      <c r="BT93" s="7"/>
      <c r="BU93" s="2" t="s">
        <v>763</v>
      </c>
      <c r="BV93" s="2" t="s">
        <v>200</v>
      </c>
      <c r="BW93" s="2" t="s">
        <v>200</v>
      </c>
      <c r="BX93" s="2" t="s">
        <v>289</v>
      </c>
      <c r="BY93" s="2" t="s">
        <v>247</v>
      </c>
      <c r="BZ93" s="2" t="s">
        <v>212</v>
      </c>
      <c r="CA93" s="2" t="s">
        <v>764</v>
      </c>
      <c r="CB93" s="2" t="s">
        <v>200</v>
      </c>
      <c r="CC93" s="2" t="s">
        <v>213</v>
      </c>
      <c r="CD93" s="2" t="s">
        <v>200</v>
      </c>
      <c r="CE93" s="4">
        <v>339</v>
      </c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</row>
    <row r="94">
      <c r="A94" s="2" t="s">
        <v>765</v>
      </c>
      <c r="B94" s="2" t="s">
        <v>669</v>
      </c>
      <c r="C94" s="2" t="s">
        <v>756</v>
      </c>
      <c r="D94" s="2" t="s">
        <v>670</v>
      </c>
      <c r="E94" s="2" t="s">
        <v>671</v>
      </c>
      <c r="F94" s="2" t="s">
        <v>757</v>
      </c>
      <c r="G94" s="2" t="s">
        <v>757</v>
      </c>
      <c r="H94" s="2" t="s">
        <v>757</v>
      </c>
      <c r="I94" s="2" t="s">
        <v>758</v>
      </c>
      <c r="J94" s="2" t="s">
        <v>766</v>
      </c>
      <c r="K94" s="2" t="s">
        <v>767</v>
      </c>
      <c r="L94" s="3">
        <v>14.85</v>
      </c>
      <c r="M94" s="3">
        <v>15.59</v>
      </c>
      <c r="N94" s="3">
        <v>39.99</v>
      </c>
      <c r="O94" s="2" t="s">
        <v>212</v>
      </c>
      <c r="P94" s="2" t="s">
        <v>760</v>
      </c>
      <c r="Q94" s="2" t="s">
        <v>206</v>
      </c>
      <c r="R94" s="2" t="s">
        <v>200</v>
      </c>
      <c r="S94" s="2" t="s">
        <v>200</v>
      </c>
      <c r="T94" s="2" t="s">
        <v>312</v>
      </c>
      <c r="U94" s="2" t="s">
        <v>270</v>
      </c>
      <c r="V94" s="2" t="s">
        <v>208</v>
      </c>
      <c r="W94" s="2" t="s">
        <v>242</v>
      </c>
      <c r="X94" s="2" t="s">
        <v>200</v>
      </c>
      <c r="Y94" s="2" t="s">
        <v>761</v>
      </c>
      <c r="Z94" s="4">
        <v>628</v>
      </c>
      <c r="AA94" s="4">
        <f>=ROUNDDOWN(157,0)</f>
      </c>
      <c r="AB94" s="5">
        <v>4</v>
      </c>
      <c r="AC94" s="2" t="s">
        <v>200</v>
      </c>
      <c r="AD94" s="4"/>
      <c r="AE94" s="4"/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200</v>
      </c>
      <c r="AM94" s="4"/>
      <c r="AN94" s="4"/>
      <c r="AO94" s="7"/>
      <c r="AP94" s="4"/>
      <c r="AQ94" s="8"/>
      <c r="AR94" s="4"/>
      <c r="AS94" s="8"/>
      <c r="AT94" s="7"/>
      <c r="AU94" s="7"/>
      <c r="AV94" s="4" t="s">
        <v>200</v>
      </c>
      <c r="AW94" s="8" t="s">
        <v>200</v>
      </c>
      <c r="AX94" s="4" t="s">
        <v>200</v>
      </c>
      <c r="AY94" s="8" t="s">
        <v>200</v>
      </c>
      <c r="AZ94" s="7" t="s">
        <v>200</v>
      </c>
      <c r="BA94" s="7" t="s">
        <v>200</v>
      </c>
      <c r="BB94" s="7"/>
      <c r="BC94" s="4" t="s">
        <v>200</v>
      </c>
      <c r="BD94" s="8" t="s">
        <v>200</v>
      </c>
      <c r="BE94" s="4" t="s">
        <v>200</v>
      </c>
      <c r="BF94" s="8" t="s">
        <v>200</v>
      </c>
      <c r="BG94" s="7" t="s">
        <v>200</v>
      </c>
      <c r="BH94" s="7" t="s">
        <v>200</v>
      </c>
      <c r="BI94" s="7"/>
      <c r="BJ94" s="4">
        <v>11</v>
      </c>
      <c r="BK94" s="8">
        <v>181.95</v>
      </c>
      <c r="BL94" s="2" t="s">
        <v>768</v>
      </c>
      <c r="BM94" s="7"/>
      <c r="BN94" s="7"/>
      <c r="BO94" s="4"/>
      <c r="BP94" s="8"/>
      <c r="BQ94" s="4"/>
      <c r="BR94" s="8"/>
      <c r="BS94" s="7"/>
      <c r="BT94" s="7"/>
      <c r="BU94" s="2" t="s">
        <v>769</v>
      </c>
      <c r="BV94" s="2" t="s">
        <v>200</v>
      </c>
      <c r="BW94" s="2" t="s">
        <v>200</v>
      </c>
      <c r="BX94" s="2" t="s">
        <v>289</v>
      </c>
      <c r="BY94" s="2" t="s">
        <v>247</v>
      </c>
      <c r="BZ94" s="2" t="s">
        <v>212</v>
      </c>
      <c r="CA94" s="2" t="s">
        <v>764</v>
      </c>
      <c r="CB94" s="2" t="s">
        <v>770</v>
      </c>
      <c r="CC94" s="2" t="s">
        <v>213</v>
      </c>
      <c r="CD94" s="2" t="s">
        <v>200</v>
      </c>
      <c r="CE94" s="4">
        <v>628</v>
      </c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</row>
    <row r="95">
      <c r="A95" s="2" t="s">
        <v>771</v>
      </c>
      <c r="B95" s="2" t="s">
        <v>669</v>
      </c>
      <c r="C95" s="2" t="s">
        <v>756</v>
      </c>
      <c r="D95" s="2" t="s">
        <v>670</v>
      </c>
      <c r="E95" s="2" t="s">
        <v>671</v>
      </c>
      <c r="F95" s="2" t="s">
        <v>757</v>
      </c>
      <c r="G95" s="2" t="s">
        <v>757</v>
      </c>
      <c r="H95" s="2" t="s">
        <v>757</v>
      </c>
      <c r="I95" s="2" t="s">
        <v>758</v>
      </c>
      <c r="J95" s="2" t="s">
        <v>772</v>
      </c>
      <c r="K95" s="2" t="s">
        <v>767</v>
      </c>
      <c r="L95" s="3">
        <v>9.28</v>
      </c>
      <c r="M95" s="3">
        <v>9.74</v>
      </c>
      <c r="N95" s="3">
        <v>24.99</v>
      </c>
      <c r="O95" s="2" t="s">
        <v>212</v>
      </c>
      <c r="P95" s="2" t="s">
        <v>760</v>
      </c>
      <c r="Q95" s="2" t="s">
        <v>206</v>
      </c>
      <c r="R95" s="2" t="s">
        <v>200</v>
      </c>
      <c r="S95" s="2" t="s">
        <v>200</v>
      </c>
      <c r="T95" s="2" t="s">
        <v>312</v>
      </c>
      <c r="U95" s="2" t="s">
        <v>270</v>
      </c>
      <c r="V95" s="2" t="s">
        <v>208</v>
      </c>
      <c r="W95" s="2" t="s">
        <v>242</v>
      </c>
      <c r="X95" s="2" t="s">
        <v>200</v>
      </c>
      <c r="Y95" s="2" t="s">
        <v>761</v>
      </c>
      <c r="Z95" s="4">
        <v>246</v>
      </c>
      <c r="AA95" s="4">
        <f>=ROUNDDOWN(61.5,0)</f>
      </c>
      <c r="AB95" s="5">
        <v>4</v>
      </c>
      <c r="AC95" s="2" t="s">
        <v>200</v>
      </c>
      <c r="AD95" s="4"/>
      <c r="AE95" s="4"/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200</v>
      </c>
      <c r="AM95" s="4"/>
      <c r="AN95" s="4"/>
      <c r="AO95" s="7"/>
      <c r="AP95" s="4"/>
      <c r="AQ95" s="8"/>
      <c r="AR95" s="4"/>
      <c r="AS95" s="8"/>
      <c r="AT95" s="7"/>
      <c r="AU95" s="7"/>
      <c r="AV95" s="4" t="s">
        <v>200</v>
      </c>
      <c r="AW95" s="8" t="s">
        <v>200</v>
      </c>
      <c r="AX95" s="4" t="s">
        <v>200</v>
      </c>
      <c r="AY95" s="8" t="s">
        <v>200</v>
      </c>
      <c r="AZ95" s="7" t="s">
        <v>200</v>
      </c>
      <c r="BA95" s="7" t="s">
        <v>200</v>
      </c>
      <c r="BB95" s="7"/>
      <c r="BC95" s="4" t="s">
        <v>200</v>
      </c>
      <c r="BD95" s="8" t="s">
        <v>200</v>
      </c>
      <c r="BE95" s="4" t="s">
        <v>200</v>
      </c>
      <c r="BF95" s="8" t="s">
        <v>200</v>
      </c>
      <c r="BG95" s="7" t="s">
        <v>200</v>
      </c>
      <c r="BH95" s="7" t="s">
        <v>200</v>
      </c>
      <c r="BI95" s="7"/>
      <c r="BJ95" s="4">
        <v>9</v>
      </c>
      <c r="BK95" s="8">
        <v>93.81</v>
      </c>
      <c r="BL95" s="2" t="s">
        <v>768</v>
      </c>
      <c r="BM95" s="7"/>
      <c r="BN95" s="7"/>
      <c r="BO95" s="4"/>
      <c r="BP95" s="8"/>
      <c r="BQ95" s="4"/>
      <c r="BR95" s="8"/>
      <c r="BS95" s="7"/>
      <c r="BT95" s="7"/>
      <c r="BU95" s="2" t="s">
        <v>773</v>
      </c>
      <c r="BV95" s="2" t="s">
        <v>200</v>
      </c>
      <c r="BW95" s="2" t="s">
        <v>200</v>
      </c>
      <c r="BX95" s="2" t="s">
        <v>289</v>
      </c>
      <c r="BY95" s="2" t="s">
        <v>247</v>
      </c>
      <c r="BZ95" s="2" t="s">
        <v>212</v>
      </c>
      <c r="CA95" s="2" t="s">
        <v>764</v>
      </c>
      <c r="CB95" s="2" t="s">
        <v>774</v>
      </c>
      <c r="CC95" s="2" t="s">
        <v>213</v>
      </c>
      <c r="CD95" s="2" t="s">
        <v>200</v>
      </c>
      <c r="CE95" s="4">
        <v>246</v>
      </c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</row>
    <row r="96">
      <c r="A96" s="2" t="s">
        <v>775</v>
      </c>
      <c r="B96" s="2" t="s">
        <v>669</v>
      </c>
      <c r="C96" s="2" t="s">
        <v>756</v>
      </c>
      <c r="D96" s="2" t="s">
        <v>670</v>
      </c>
      <c r="E96" s="2" t="s">
        <v>671</v>
      </c>
      <c r="F96" s="2" t="s">
        <v>757</v>
      </c>
      <c r="G96" s="2" t="s">
        <v>757</v>
      </c>
      <c r="H96" s="2" t="s">
        <v>757</v>
      </c>
      <c r="I96" s="2" t="s">
        <v>758</v>
      </c>
      <c r="J96" s="2" t="s">
        <v>766</v>
      </c>
      <c r="K96" s="2" t="s">
        <v>257</v>
      </c>
      <c r="L96" s="3">
        <v>14.85</v>
      </c>
      <c r="M96" s="3">
        <v>15.59</v>
      </c>
      <c r="N96" s="3">
        <v>39.99</v>
      </c>
      <c r="O96" s="2" t="s">
        <v>212</v>
      </c>
      <c r="P96" s="2" t="s">
        <v>760</v>
      </c>
      <c r="Q96" s="2" t="s">
        <v>206</v>
      </c>
      <c r="R96" s="2" t="s">
        <v>200</v>
      </c>
      <c r="S96" s="2" t="s">
        <v>200</v>
      </c>
      <c r="T96" s="2" t="s">
        <v>312</v>
      </c>
      <c r="U96" s="2" t="s">
        <v>270</v>
      </c>
      <c r="V96" s="2" t="s">
        <v>208</v>
      </c>
      <c r="W96" s="2" t="s">
        <v>242</v>
      </c>
      <c r="X96" s="2" t="s">
        <v>200</v>
      </c>
      <c r="Y96" s="2" t="s">
        <v>761</v>
      </c>
      <c r="Z96" s="4">
        <v>533</v>
      </c>
      <c r="AA96" s="4">
        <f>=ROUNDDOWN(44.4166666666667,0)</f>
      </c>
      <c r="AB96" s="5">
        <v>12</v>
      </c>
      <c r="AC96" s="2" t="s">
        <v>200</v>
      </c>
      <c r="AD96" s="4"/>
      <c r="AE96" s="4"/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200</v>
      </c>
      <c r="AM96" s="4"/>
      <c r="AN96" s="4"/>
      <c r="AO96" s="7"/>
      <c r="AP96" s="4"/>
      <c r="AQ96" s="8"/>
      <c r="AR96" s="4"/>
      <c r="AS96" s="8"/>
      <c r="AT96" s="7"/>
      <c r="AU96" s="7"/>
      <c r="AV96" s="4" t="s">
        <v>200</v>
      </c>
      <c r="AW96" s="8" t="s">
        <v>200</v>
      </c>
      <c r="AX96" s="4" t="s">
        <v>200</v>
      </c>
      <c r="AY96" s="8" t="s">
        <v>200</v>
      </c>
      <c r="AZ96" s="7" t="s">
        <v>200</v>
      </c>
      <c r="BA96" s="7" t="s">
        <v>200</v>
      </c>
      <c r="BB96" s="7"/>
      <c r="BC96" s="4" t="s">
        <v>200</v>
      </c>
      <c r="BD96" s="8" t="s">
        <v>200</v>
      </c>
      <c r="BE96" s="4" t="s">
        <v>200</v>
      </c>
      <c r="BF96" s="8" t="s">
        <v>200</v>
      </c>
      <c r="BG96" s="7" t="s">
        <v>200</v>
      </c>
      <c r="BH96" s="7" t="s">
        <v>200</v>
      </c>
      <c r="BI96" s="7"/>
      <c r="BJ96" s="4">
        <v>47</v>
      </c>
      <c r="BK96" s="8">
        <v>770.64</v>
      </c>
      <c r="BL96" s="2" t="s">
        <v>776</v>
      </c>
      <c r="BM96" s="7"/>
      <c r="BN96" s="7"/>
      <c r="BO96" s="4"/>
      <c r="BP96" s="8"/>
      <c r="BQ96" s="4"/>
      <c r="BR96" s="8"/>
      <c r="BS96" s="7"/>
      <c r="BT96" s="7"/>
      <c r="BU96" s="2" t="s">
        <v>777</v>
      </c>
      <c r="BV96" s="2" t="s">
        <v>200</v>
      </c>
      <c r="BW96" s="2" t="s">
        <v>200</v>
      </c>
      <c r="BX96" s="2" t="s">
        <v>289</v>
      </c>
      <c r="BY96" s="2" t="s">
        <v>247</v>
      </c>
      <c r="BZ96" s="2" t="s">
        <v>212</v>
      </c>
      <c r="CA96" s="2" t="s">
        <v>764</v>
      </c>
      <c r="CB96" s="2" t="s">
        <v>778</v>
      </c>
      <c r="CC96" s="2" t="s">
        <v>213</v>
      </c>
      <c r="CD96" s="2" t="s">
        <v>200</v>
      </c>
      <c r="CE96" s="4">
        <v>533</v>
      </c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</row>
    <row r="97">
      <c r="A97" s="2" t="s">
        <v>779</v>
      </c>
      <c r="B97" s="2" t="s">
        <v>669</v>
      </c>
      <c r="C97" s="2" t="s">
        <v>756</v>
      </c>
      <c r="D97" s="2" t="s">
        <v>670</v>
      </c>
      <c r="E97" s="2" t="s">
        <v>671</v>
      </c>
      <c r="F97" s="2" t="s">
        <v>757</v>
      </c>
      <c r="G97" s="2" t="s">
        <v>757</v>
      </c>
      <c r="H97" s="2" t="s">
        <v>757</v>
      </c>
      <c r="I97" s="2" t="s">
        <v>758</v>
      </c>
      <c r="J97" s="2" t="s">
        <v>772</v>
      </c>
      <c r="K97" s="2" t="s">
        <v>257</v>
      </c>
      <c r="L97" s="3">
        <v>9.28</v>
      </c>
      <c r="M97" s="3">
        <v>9.74</v>
      </c>
      <c r="N97" s="3">
        <v>24.99</v>
      </c>
      <c r="O97" s="2" t="s">
        <v>212</v>
      </c>
      <c r="P97" s="2" t="s">
        <v>760</v>
      </c>
      <c r="Q97" s="2" t="s">
        <v>206</v>
      </c>
      <c r="R97" s="2" t="s">
        <v>200</v>
      </c>
      <c r="S97" s="2" t="s">
        <v>200</v>
      </c>
      <c r="T97" s="2" t="s">
        <v>312</v>
      </c>
      <c r="U97" s="2" t="s">
        <v>270</v>
      </c>
      <c r="V97" s="2" t="s">
        <v>208</v>
      </c>
      <c r="W97" s="2" t="s">
        <v>242</v>
      </c>
      <c r="X97" s="2" t="s">
        <v>200</v>
      </c>
      <c r="Y97" s="2" t="s">
        <v>761</v>
      </c>
      <c r="Z97" s="4">
        <v>321</v>
      </c>
      <c r="AA97" s="4">
        <f>=ROUNDDOWN(45.8571428571429,0)</f>
      </c>
      <c r="AB97" s="5">
        <v>7</v>
      </c>
      <c r="AC97" s="2" t="s">
        <v>200</v>
      </c>
      <c r="AD97" s="4"/>
      <c r="AE97" s="4"/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200</v>
      </c>
      <c r="AM97" s="4"/>
      <c r="AN97" s="4"/>
      <c r="AO97" s="7"/>
      <c r="AP97" s="4"/>
      <c r="AQ97" s="8"/>
      <c r="AR97" s="4"/>
      <c r="AS97" s="8"/>
      <c r="AT97" s="7"/>
      <c r="AU97" s="7"/>
      <c r="AV97" s="4" t="s">
        <v>200</v>
      </c>
      <c r="AW97" s="8" t="s">
        <v>200</v>
      </c>
      <c r="AX97" s="4" t="s">
        <v>200</v>
      </c>
      <c r="AY97" s="8" t="s">
        <v>200</v>
      </c>
      <c r="AZ97" s="7" t="s">
        <v>200</v>
      </c>
      <c r="BA97" s="7" t="s">
        <v>200</v>
      </c>
      <c r="BB97" s="7"/>
      <c r="BC97" s="4" t="s">
        <v>200</v>
      </c>
      <c r="BD97" s="8" t="s">
        <v>200</v>
      </c>
      <c r="BE97" s="4" t="s">
        <v>200</v>
      </c>
      <c r="BF97" s="8" t="s">
        <v>200</v>
      </c>
      <c r="BG97" s="7" t="s">
        <v>200</v>
      </c>
      <c r="BH97" s="7" t="s">
        <v>200</v>
      </c>
      <c r="BI97" s="7"/>
      <c r="BJ97" s="4">
        <v>12</v>
      </c>
      <c r="BK97" s="8">
        <v>126.24</v>
      </c>
      <c r="BL97" s="2" t="s">
        <v>780</v>
      </c>
      <c r="BM97" s="7"/>
      <c r="BN97" s="7"/>
      <c r="BO97" s="4"/>
      <c r="BP97" s="8"/>
      <c r="BQ97" s="4"/>
      <c r="BR97" s="8"/>
      <c r="BS97" s="7"/>
      <c r="BT97" s="7"/>
      <c r="BU97" s="2" t="s">
        <v>781</v>
      </c>
      <c r="BV97" s="2" t="s">
        <v>200</v>
      </c>
      <c r="BW97" s="2" t="s">
        <v>200</v>
      </c>
      <c r="BX97" s="2" t="s">
        <v>289</v>
      </c>
      <c r="BY97" s="2" t="s">
        <v>247</v>
      </c>
      <c r="BZ97" s="2" t="s">
        <v>212</v>
      </c>
      <c r="CA97" s="2" t="s">
        <v>764</v>
      </c>
      <c r="CB97" s="2" t="s">
        <v>200</v>
      </c>
      <c r="CC97" s="2" t="s">
        <v>213</v>
      </c>
      <c r="CD97" s="2" t="s">
        <v>200</v>
      </c>
      <c r="CE97" s="4">
        <v>321</v>
      </c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</row>
    <row r="98">
      <c r="A98" s="2" t="s">
        <v>782</v>
      </c>
      <c r="B98" s="2" t="s">
        <v>744</v>
      </c>
      <c r="C98" s="2" t="s">
        <v>231</v>
      </c>
      <c r="D98" s="2" t="s">
        <v>783</v>
      </c>
      <c r="E98" s="2" t="s">
        <v>784</v>
      </c>
      <c r="F98" s="2" t="s">
        <v>785</v>
      </c>
      <c r="G98" s="2" t="s">
        <v>786</v>
      </c>
      <c r="H98" s="2" t="s">
        <v>787</v>
      </c>
      <c r="I98" s="2" t="s">
        <v>788</v>
      </c>
      <c r="J98" s="2" t="s">
        <v>711</v>
      </c>
      <c r="K98" s="2" t="s">
        <v>789</v>
      </c>
      <c r="L98" s="3">
        <v>255.3</v>
      </c>
      <c r="M98" s="3">
        <v>268.06</v>
      </c>
      <c r="N98" s="3">
        <v>529</v>
      </c>
      <c r="O98" s="2" t="s">
        <v>460</v>
      </c>
      <c r="P98" s="2" t="s">
        <v>285</v>
      </c>
      <c r="Q98" s="2" t="s">
        <v>206</v>
      </c>
      <c r="R98" s="2" t="s">
        <v>200</v>
      </c>
      <c r="S98" s="2" t="s">
        <v>200</v>
      </c>
      <c r="T98" s="2" t="s">
        <v>200</v>
      </c>
      <c r="U98" s="2" t="s">
        <v>270</v>
      </c>
      <c r="V98" s="2" t="s">
        <v>208</v>
      </c>
      <c r="W98" s="2" t="s">
        <v>379</v>
      </c>
      <c r="X98" s="2" t="s">
        <v>200</v>
      </c>
      <c r="Y98" s="2" t="s">
        <v>790</v>
      </c>
      <c r="Z98" s="4">
        <v>175</v>
      </c>
      <c r="AA98" s="4">
        <f>=ROUNDDOWN(175,0)</f>
      </c>
      <c r="AB98" s="5">
        <v>1</v>
      </c>
      <c r="AC98" s="2" t="s">
        <v>200</v>
      </c>
      <c r="AD98" s="4"/>
      <c r="AE98" s="4"/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200</v>
      </c>
      <c r="AM98" s="4"/>
      <c r="AN98" s="4"/>
      <c r="AO98" s="7"/>
      <c r="AP98" s="4"/>
      <c r="AQ98" s="8"/>
      <c r="AR98" s="4"/>
      <c r="AS98" s="8"/>
      <c r="AT98" s="7"/>
      <c r="AU98" s="7"/>
      <c r="AV98" s="4"/>
      <c r="AW98" s="8"/>
      <c r="AX98" s="4"/>
      <c r="AY98" s="8"/>
      <c r="AZ98" s="7"/>
      <c r="BA98" s="7"/>
      <c r="BB98" s="7"/>
      <c r="BC98" s="4"/>
      <c r="BD98" s="8"/>
      <c r="BE98" s="4"/>
      <c r="BF98" s="8"/>
      <c r="BG98" s="7"/>
      <c r="BH98" s="7"/>
      <c r="BI98" s="7"/>
      <c r="BJ98" s="4">
        <v>3</v>
      </c>
      <c r="BK98" s="8">
        <v>473.73</v>
      </c>
      <c r="BL98" s="2" t="s">
        <v>791</v>
      </c>
      <c r="BM98" s="7"/>
      <c r="BN98" s="7"/>
      <c r="BO98" s="4"/>
      <c r="BP98" s="8"/>
      <c r="BQ98" s="4"/>
      <c r="BR98" s="8"/>
      <c r="BS98" s="7"/>
      <c r="BT98" s="7"/>
      <c r="BU98" s="2" t="s">
        <v>792</v>
      </c>
      <c r="BV98" s="2" t="s">
        <v>200</v>
      </c>
      <c r="BW98" s="2" t="s">
        <v>200</v>
      </c>
      <c r="BX98" s="2" t="s">
        <v>289</v>
      </c>
      <c r="BY98" s="2" t="s">
        <v>247</v>
      </c>
      <c r="BZ98" s="2" t="s">
        <v>212</v>
      </c>
      <c r="CA98" s="2" t="s">
        <v>790</v>
      </c>
      <c r="CB98" s="2" t="s">
        <v>793</v>
      </c>
      <c r="CC98" s="2" t="s">
        <v>213</v>
      </c>
      <c r="CD98" s="2" t="s">
        <v>200</v>
      </c>
      <c r="CE98" s="4"/>
      <c r="CF98" s="4">
        <v>175</v>
      </c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</row>
    <row r="99">
      <c r="A99" s="2" t="s">
        <v>794</v>
      </c>
      <c r="B99" s="2" t="s">
        <v>744</v>
      </c>
      <c r="C99" s="2" t="s">
        <v>231</v>
      </c>
      <c r="D99" s="2" t="s">
        <v>795</v>
      </c>
      <c r="E99" s="2" t="s">
        <v>796</v>
      </c>
      <c r="F99" s="2" t="s">
        <v>797</v>
      </c>
      <c r="G99" s="2" t="s">
        <v>798</v>
      </c>
      <c r="H99" s="2" t="s">
        <v>799</v>
      </c>
      <c r="I99" s="2" t="s">
        <v>800</v>
      </c>
      <c r="J99" s="2" t="s">
        <v>711</v>
      </c>
      <c r="K99" s="2" t="s">
        <v>801</v>
      </c>
      <c r="L99" s="3">
        <v>467.46</v>
      </c>
      <c r="M99" s="3">
        <v>490.83</v>
      </c>
      <c r="N99" s="3">
        <v>979</v>
      </c>
      <c r="O99" s="2" t="s">
        <v>212</v>
      </c>
      <c r="P99" s="2" t="s">
        <v>802</v>
      </c>
      <c r="Q99" s="2" t="s">
        <v>206</v>
      </c>
      <c r="R99" s="2" t="s">
        <v>16</v>
      </c>
      <c r="S99" s="2" t="s">
        <v>803</v>
      </c>
      <c r="T99" s="2" t="s">
        <v>200</v>
      </c>
      <c r="U99" s="2" t="s">
        <v>677</v>
      </c>
      <c r="V99" s="2" t="s">
        <v>208</v>
      </c>
      <c r="W99" s="2" t="s">
        <v>419</v>
      </c>
      <c r="X99" s="2" t="s">
        <v>200</v>
      </c>
      <c r="Y99" s="2" t="s">
        <v>804</v>
      </c>
      <c r="Z99" s="4">
        <v>79</v>
      </c>
      <c r="AA99" s="4">
        <f>=ROUNDDOWN({0},0)</f>
      </c>
      <c r="AB99" s="5"/>
      <c r="AC99" s="2" t="s">
        <v>200</v>
      </c>
      <c r="AD99" s="4"/>
      <c r="AE99" s="4"/>
      <c r="AF99" s="6"/>
      <c r="AG99" s="6"/>
      <c r="AH99" s="7">
        <v>1</v>
      </c>
      <c r="AI99" s="4"/>
      <c r="AJ99" s="4">
        <f>=ROUNDDOWN({0},0)</f>
      </c>
      <c r="AK99" s="5"/>
      <c r="AL99" s="2" t="s">
        <v>200</v>
      </c>
      <c r="AM99" s="4"/>
      <c r="AN99" s="4"/>
      <c r="AO99" s="7"/>
      <c r="AP99" s="4"/>
      <c r="AQ99" s="8"/>
      <c r="AR99" s="4"/>
      <c r="AS99" s="8"/>
      <c r="AT99" s="7"/>
      <c r="AU99" s="7"/>
      <c r="AV99" s="4"/>
      <c r="AW99" s="8"/>
      <c r="AX99" s="4"/>
      <c r="AY99" s="8"/>
      <c r="AZ99" s="7"/>
      <c r="BA99" s="7"/>
      <c r="BB99" s="7"/>
      <c r="BC99" s="4" t="s">
        <v>200</v>
      </c>
      <c r="BD99" s="8" t="s">
        <v>200</v>
      </c>
      <c r="BE99" s="4" t="s">
        <v>200</v>
      </c>
      <c r="BF99" s="8" t="s">
        <v>200</v>
      </c>
      <c r="BG99" s="7" t="s">
        <v>200</v>
      </c>
      <c r="BH99" s="7" t="s">
        <v>200</v>
      </c>
      <c r="BI99" s="7"/>
      <c r="BJ99" s="4"/>
      <c r="BK99" s="8"/>
      <c r="BL99" s="2" t="s">
        <v>200</v>
      </c>
      <c r="BM99" s="7"/>
      <c r="BN99" s="7"/>
      <c r="BO99" s="4"/>
      <c r="BP99" s="8"/>
      <c r="BQ99" s="4"/>
      <c r="BR99" s="8"/>
      <c r="BS99" s="7"/>
      <c r="BT99" s="7"/>
      <c r="BU99" s="2" t="s">
        <v>805</v>
      </c>
      <c r="BV99" s="2" t="s">
        <v>200</v>
      </c>
      <c r="BW99" s="2" t="s">
        <v>200</v>
      </c>
      <c r="BX99" s="2" t="s">
        <v>620</v>
      </c>
      <c r="BY99" s="2" t="s">
        <v>247</v>
      </c>
      <c r="BZ99" s="2" t="s">
        <v>212</v>
      </c>
      <c r="CA99" s="2" t="s">
        <v>806</v>
      </c>
      <c r="CB99" s="2" t="s">
        <v>200</v>
      </c>
      <c r="CC99" s="2" t="s">
        <v>213</v>
      </c>
      <c r="CD99" s="2" t="s">
        <v>200</v>
      </c>
      <c r="CE99" s="4"/>
      <c r="CF99" s="4">
        <v>79</v>
      </c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</row>
    <row r="100">
      <c r="A100" s="2" t="s">
        <v>807</v>
      </c>
      <c r="B100" s="2" t="s">
        <v>705</v>
      </c>
      <c r="C100" s="2" t="s">
        <v>745</v>
      </c>
      <c r="D100" s="2" t="s">
        <v>808</v>
      </c>
      <c r="E100" s="2" t="s">
        <v>809</v>
      </c>
      <c r="F100" s="2" t="s">
        <v>797</v>
      </c>
      <c r="G100" s="2" t="s">
        <v>797</v>
      </c>
      <c r="H100" s="2" t="s">
        <v>797</v>
      </c>
      <c r="I100" s="2" t="s">
        <v>810</v>
      </c>
      <c r="J100" s="2" t="s">
        <v>711</v>
      </c>
      <c r="K100" s="2" t="s">
        <v>811</v>
      </c>
      <c r="L100" s="3">
        <v>22.42</v>
      </c>
      <c r="M100" s="3">
        <v>23.54</v>
      </c>
      <c r="N100" s="3">
        <v>47.99</v>
      </c>
      <c r="O100" s="2" t="s">
        <v>460</v>
      </c>
      <c r="P100" s="2" t="s">
        <v>285</v>
      </c>
      <c r="Q100" s="2" t="s">
        <v>206</v>
      </c>
      <c r="R100" s="2" t="s">
        <v>200</v>
      </c>
      <c r="S100" s="2" t="s">
        <v>200</v>
      </c>
      <c r="T100" s="2" t="s">
        <v>200</v>
      </c>
      <c r="U100" s="2" t="s">
        <v>270</v>
      </c>
      <c r="V100" s="2" t="s">
        <v>616</v>
      </c>
      <c r="W100" s="2" t="s">
        <v>379</v>
      </c>
      <c r="X100" s="2" t="s">
        <v>200</v>
      </c>
      <c r="Y100" s="2" t="s">
        <v>812</v>
      </c>
      <c r="Z100" s="4">
        <v>95</v>
      </c>
      <c r="AA100" s="4">
        <f>=ROUNDDOWN(95,0)</f>
      </c>
      <c r="AB100" s="5">
        <v>1</v>
      </c>
      <c r="AC100" s="2" t="s">
        <v>200</v>
      </c>
      <c r="AD100" s="4"/>
      <c r="AE100" s="4"/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200</v>
      </c>
      <c r="AM100" s="4"/>
      <c r="AN100" s="4"/>
      <c r="AO100" s="7"/>
      <c r="AP100" s="4"/>
      <c r="AQ100" s="8"/>
      <c r="AR100" s="4"/>
      <c r="AS100" s="8"/>
      <c r="AT100" s="7"/>
      <c r="AU100" s="7"/>
      <c r="AV100" s="4"/>
      <c r="AW100" s="8"/>
      <c r="AX100" s="4"/>
      <c r="AY100" s="8"/>
      <c r="AZ100" s="7"/>
      <c r="BA100" s="7"/>
      <c r="BB100" s="7"/>
      <c r="BC100" s="4" t="s">
        <v>200</v>
      </c>
      <c r="BD100" s="8" t="s">
        <v>200</v>
      </c>
      <c r="BE100" s="4" t="s">
        <v>200</v>
      </c>
      <c r="BF100" s="8" t="s">
        <v>200</v>
      </c>
      <c r="BG100" s="7" t="s">
        <v>200</v>
      </c>
      <c r="BH100" s="7" t="s">
        <v>200</v>
      </c>
      <c r="BI100" s="7"/>
      <c r="BJ100" s="4"/>
      <c r="BK100" s="8"/>
      <c r="BL100" s="2" t="s">
        <v>813</v>
      </c>
      <c r="BM100" s="7"/>
      <c r="BN100" s="7"/>
      <c r="BO100" s="4"/>
      <c r="BP100" s="8"/>
      <c r="BQ100" s="4"/>
      <c r="BR100" s="8"/>
      <c r="BS100" s="7"/>
      <c r="BT100" s="7"/>
      <c r="BU100" s="2" t="s">
        <v>814</v>
      </c>
      <c r="BV100" s="2" t="s">
        <v>200</v>
      </c>
      <c r="BW100" s="2" t="s">
        <v>200</v>
      </c>
      <c r="BX100" s="2" t="s">
        <v>289</v>
      </c>
      <c r="BY100" s="2" t="s">
        <v>247</v>
      </c>
      <c r="BZ100" s="2" t="s">
        <v>212</v>
      </c>
      <c r="CA100" s="2" t="s">
        <v>815</v>
      </c>
      <c r="CB100" s="2" t="s">
        <v>200</v>
      </c>
      <c r="CC100" s="2" t="s">
        <v>213</v>
      </c>
      <c r="CD100" s="2" t="s">
        <v>200</v>
      </c>
      <c r="CE100" s="4"/>
      <c r="CF100" s="4">
        <v>95</v>
      </c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</row>
    <row r="101">
      <c r="A101" s="2" t="s">
        <v>816</v>
      </c>
      <c r="B101" s="2" t="s">
        <v>705</v>
      </c>
      <c r="C101" s="2" t="s">
        <v>745</v>
      </c>
      <c r="D101" s="2" t="s">
        <v>817</v>
      </c>
      <c r="E101" s="2" t="s">
        <v>818</v>
      </c>
      <c r="F101" s="2" t="s">
        <v>819</v>
      </c>
      <c r="G101" s="2" t="s">
        <v>819</v>
      </c>
      <c r="H101" s="2" t="s">
        <v>819</v>
      </c>
      <c r="I101" s="2" t="s">
        <v>820</v>
      </c>
      <c r="J101" s="2" t="s">
        <v>711</v>
      </c>
      <c r="K101" s="2" t="s">
        <v>257</v>
      </c>
      <c r="L101" s="3">
        <v>46.17</v>
      </c>
      <c r="M101" s="3">
        <v>48.48</v>
      </c>
      <c r="N101" s="3">
        <v>104.99</v>
      </c>
      <c r="O101" s="2" t="s">
        <v>212</v>
      </c>
      <c r="P101" s="2" t="s">
        <v>258</v>
      </c>
      <c r="Q101" s="2" t="s">
        <v>206</v>
      </c>
      <c r="R101" s="2" t="s">
        <v>200</v>
      </c>
      <c r="S101" s="2" t="s">
        <v>200</v>
      </c>
      <c r="T101" s="2" t="s">
        <v>200</v>
      </c>
      <c r="U101" s="2" t="s">
        <v>270</v>
      </c>
      <c r="V101" s="2" t="s">
        <v>616</v>
      </c>
      <c r="W101" s="2" t="s">
        <v>379</v>
      </c>
      <c r="X101" s="2" t="s">
        <v>200</v>
      </c>
      <c r="Y101" s="2" t="s">
        <v>821</v>
      </c>
      <c r="Z101" s="4">
        <v>97</v>
      </c>
      <c r="AA101" s="4">
        <f>=ROUNDDOWN(33.448275862069,0)</f>
      </c>
      <c r="AB101" s="5">
        <v>2.9</v>
      </c>
      <c r="AC101" s="2" t="s">
        <v>200</v>
      </c>
      <c r="AD101" s="4"/>
      <c r="AE101" s="4"/>
      <c r="AF101" s="6">
        <v>65</v>
      </c>
      <c r="AG101" s="6"/>
      <c r="AH101" s="7">
        <v>0.8</v>
      </c>
      <c r="AI101" s="4"/>
      <c r="AJ101" s="4">
        <f>=ROUNDDOWN({0},0)</f>
      </c>
      <c r="AK101" s="5"/>
      <c r="AL101" s="2" t="s">
        <v>200</v>
      </c>
      <c r="AM101" s="4"/>
      <c r="AN101" s="4"/>
      <c r="AO101" s="7"/>
      <c r="AP101" s="4"/>
      <c r="AQ101" s="8"/>
      <c r="AR101" s="4"/>
      <c r="AS101" s="8"/>
      <c r="AT101" s="7"/>
      <c r="AU101" s="7"/>
      <c r="AV101" s="4"/>
      <c r="AW101" s="8"/>
      <c r="AX101" s="4"/>
      <c r="AY101" s="8"/>
      <c r="AZ101" s="7"/>
      <c r="BA101" s="7"/>
      <c r="BB101" s="7"/>
      <c r="BC101" s="4"/>
      <c r="BD101" s="8"/>
      <c r="BE101" s="4"/>
      <c r="BF101" s="8"/>
      <c r="BG101" s="7"/>
      <c r="BH101" s="7"/>
      <c r="BI101" s="7"/>
      <c r="BJ101" s="4">
        <v>4</v>
      </c>
      <c r="BK101" s="8">
        <v>221.17</v>
      </c>
      <c r="BL101" s="2" t="s">
        <v>822</v>
      </c>
      <c r="BM101" s="7"/>
      <c r="BN101" s="7"/>
      <c r="BO101" s="4"/>
      <c r="BP101" s="8"/>
      <c r="BQ101" s="4"/>
      <c r="BR101" s="8"/>
      <c r="BS101" s="7"/>
      <c r="BT101" s="7"/>
      <c r="BU101" s="2" t="s">
        <v>823</v>
      </c>
      <c r="BV101" s="2" t="s">
        <v>200</v>
      </c>
      <c r="BW101" s="2" t="s">
        <v>200</v>
      </c>
      <c r="BX101" s="2" t="s">
        <v>264</v>
      </c>
      <c r="BY101" s="2" t="s">
        <v>247</v>
      </c>
      <c r="BZ101" s="2" t="s">
        <v>212</v>
      </c>
      <c r="CA101" s="2" t="s">
        <v>824</v>
      </c>
      <c r="CB101" s="2" t="s">
        <v>825</v>
      </c>
      <c r="CC101" s="2" t="s">
        <v>213</v>
      </c>
      <c r="CD101" s="2" t="s">
        <v>200</v>
      </c>
      <c r="CE101" s="4"/>
      <c r="CF101" s="4">
        <v>97</v>
      </c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</row>
    <row r="102">
      <c r="A102" s="2" t="s">
        <v>826</v>
      </c>
      <c r="B102" s="2" t="s">
        <v>827</v>
      </c>
      <c r="C102" s="2" t="s">
        <v>231</v>
      </c>
      <c r="D102" s="2" t="s">
        <v>828</v>
      </c>
      <c r="E102" s="2" t="s">
        <v>829</v>
      </c>
      <c r="F102" s="2" t="s">
        <v>830</v>
      </c>
      <c r="G102" s="2" t="s">
        <v>831</v>
      </c>
      <c r="H102" s="2" t="s">
        <v>832</v>
      </c>
      <c r="I102" s="2" t="s">
        <v>833</v>
      </c>
      <c r="J102" s="2" t="s">
        <v>834</v>
      </c>
      <c r="K102" s="2" t="s">
        <v>436</v>
      </c>
      <c r="L102" s="3">
        <v>19</v>
      </c>
      <c r="M102" s="3">
        <v>19.95</v>
      </c>
      <c r="N102" s="3">
        <v>39.99</v>
      </c>
      <c r="O102" s="2" t="s">
        <v>417</v>
      </c>
      <c r="P102" s="2" t="s">
        <v>285</v>
      </c>
      <c r="Q102" s="2" t="s">
        <v>206</v>
      </c>
      <c r="R102" s="2" t="s">
        <v>200</v>
      </c>
      <c r="S102" s="2" t="s">
        <v>835</v>
      </c>
      <c r="T102" s="2" t="s">
        <v>378</v>
      </c>
      <c r="U102" s="2" t="s">
        <v>677</v>
      </c>
      <c r="V102" s="2" t="s">
        <v>339</v>
      </c>
      <c r="W102" s="2" t="s">
        <v>241</v>
      </c>
      <c r="X102" s="2" t="s">
        <v>200</v>
      </c>
      <c r="Y102" s="2" t="s">
        <v>836</v>
      </c>
      <c r="Z102" s="4">
        <v>138</v>
      </c>
      <c r="AA102" s="4">
        <f>=ROUNDDOWN(69,0)</f>
      </c>
      <c r="AB102" s="5">
        <v>2</v>
      </c>
      <c r="AC102" s="2" t="s">
        <v>200</v>
      </c>
      <c r="AD102" s="4"/>
      <c r="AE102" s="4"/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200</v>
      </c>
      <c r="AM102" s="4"/>
      <c r="AN102" s="4"/>
      <c r="AO102" s="7"/>
      <c r="AP102" s="4"/>
      <c r="AQ102" s="8"/>
      <c r="AR102" s="4"/>
      <c r="AS102" s="8"/>
      <c r="AT102" s="7"/>
      <c r="AU102" s="7"/>
      <c r="AV102" s="4"/>
      <c r="AW102" s="8"/>
      <c r="AX102" s="4"/>
      <c r="AY102" s="8"/>
      <c r="AZ102" s="7"/>
      <c r="BA102" s="7"/>
      <c r="BB102" s="7"/>
      <c r="BC102" s="4" t="s">
        <v>200</v>
      </c>
      <c r="BD102" s="8" t="s">
        <v>200</v>
      </c>
      <c r="BE102" s="4" t="s">
        <v>200</v>
      </c>
      <c r="BF102" s="8" t="s">
        <v>200</v>
      </c>
      <c r="BG102" s="7" t="s">
        <v>200</v>
      </c>
      <c r="BH102" s="7" t="s">
        <v>200</v>
      </c>
      <c r="BI102" s="7"/>
      <c r="BJ102" s="4">
        <v>6</v>
      </c>
      <c r="BK102" s="8">
        <v>114.48</v>
      </c>
      <c r="BL102" s="2" t="s">
        <v>837</v>
      </c>
      <c r="BM102" s="7"/>
      <c r="BN102" s="7"/>
      <c r="BO102" s="4"/>
      <c r="BP102" s="8"/>
      <c r="BQ102" s="4"/>
      <c r="BR102" s="8"/>
      <c r="BS102" s="7"/>
      <c r="BT102" s="7"/>
      <c r="BU102" s="2" t="s">
        <v>838</v>
      </c>
      <c r="BV102" s="2" t="s">
        <v>200</v>
      </c>
      <c r="BW102" s="2" t="s">
        <v>200</v>
      </c>
      <c r="BX102" s="2" t="s">
        <v>289</v>
      </c>
      <c r="BY102" s="2" t="s">
        <v>247</v>
      </c>
      <c r="BZ102" s="2" t="s">
        <v>212</v>
      </c>
      <c r="CA102" s="2" t="s">
        <v>839</v>
      </c>
      <c r="CB102" s="2" t="s">
        <v>840</v>
      </c>
      <c r="CC102" s="2" t="s">
        <v>213</v>
      </c>
      <c r="CD102" s="2" t="s">
        <v>200</v>
      </c>
      <c r="CE102" s="4">
        <v>138</v>
      </c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</row>
    <row r="103">
      <c r="A103" s="2" t="s">
        <v>841</v>
      </c>
      <c r="B103" s="2" t="s">
        <v>827</v>
      </c>
      <c r="C103" s="2" t="s">
        <v>231</v>
      </c>
      <c r="D103" s="2" t="s">
        <v>828</v>
      </c>
      <c r="E103" s="2" t="s">
        <v>829</v>
      </c>
      <c r="F103" s="2" t="s">
        <v>830</v>
      </c>
      <c r="G103" s="2" t="s">
        <v>831</v>
      </c>
      <c r="H103" s="2" t="s">
        <v>832</v>
      </c>
      <c r="I103" s="2" t="s">
        <v>833</v>
      </c>
      <c r="J103" s="2" t="s">
        <v>834</v>
      </c>
      <c r="K103" s="2" t="s">
        <v>257</v>
      </c>
      <c r="L103" s="3">
        <v>19</v>
      </c>
      <c r="M103" s="3">
        <v>19.95</v>
      </c>
      <c r="N103" s="3">
        <v>39.99</v>
      </c>
      <c r="O103" s="2" t="s">
        <v>417</v>
      </c>
      <c r="P103" s="2" t="s">
        <v>285</v>
      </c>
      <c r="Q103" s="2" t="s">
        <v>206</v>
      </c>
      <c r="R103" s="2" t="s">
        <v>200</v>
      </c>
      <c r="S103" s="2" t="s">
        <v>842</v>
      </c>
      <c r="T103" s="2" t="s">
        <v>378</v>
      </c>
      <c r="U103" s="2" t="s">
        <v>677</v>
      </c>
      <c r="V103" s="2" t="s">
        <v>339</v>
      </c>
      <c r="W103" s="2" t="s">
        <v>241</v>
      </c>
      <c r="X103" s="2" t="s">
        <v>200</v>
      </c>
      <c r="Y103" s="2" t="s">
        <v>836</v>
      </c>
      <c r="Z103" s="4">
        <v>66</v>
      </c>
      <c r="AA103" s="4">
        <f>=ROUNDDOWN(22,0)</f>
      </c>
      <c r="AB103" s="5">
        <v>3</v>
      </c>
      <c r="AC103" s="2" t="s">
        <v>200</v>
      </c>
      <c r="AD103" s="4"/>
      <c r="AE103" s="4"/>
      <c r="AF103" s="6">
        <v>65</v>
      </c>
      <c r="AG103" s="6"/>
      <c r="AH103" s="7">
        <v>0.8667</v>
      </c>
      <c r="AI103" s="4"/>
      <c r="AJ103" s="4">
        <f>=ROUNDDOWN({0},0)</f>
      </c>
      <c r="AK103" s="5"/>
      <c r="AL103" s="2" t="s">
        <v>200</v>
      </c>
      <c r="AM103" s="4"/>
      <c r="AN103" s="4"/>
      <c r="AO103" s="7"/>
      <c r="AP103" s="4"/>
      <c r="AQ103" s="8"/>
      <c r="AR103" s="4"/>
      <c r="AS103" s="8"/>
      <c r="AT103" s="7"/>
      <c r="AU103" s="7"/>
      <c r="AV103" s="4"/>
      <c r="AW103" s="8"/>
      <c r="AX103" s="4"/>
      <c r="AY103" s="8"/>
      <c r="AZ103" s="7"/>
      <c r="BA103" s="7"/>
      <c r="BB103" s="7"/>
      <c r="BC103" s="4" t="s">
        <v>200</v>
      </c>
      <c r="BD103" s="8" t="s">
        <v>200</v>
      </c>
      <c r="BE103" s="4" t="s">
        <v>200</v>
      </c>
      <c r="BF103" s="8" t="s">
        <v>200</v>
      </c>
      <c r="BG103" s="7" t="s">
        <v>200</v>
      </c>
      <c r="BH103" s="7" t="s">
        <v>200</v>
      </c>
      <c r="BI103" s="7"/>
      <c r="BJ103" s="4">
        <v>1</v>
      </c>
      <c r="BK103" s="8">
        <v>22.54</v>
      </c>
      <c r="BL103" s="2" t="s">
        <v>843</v>
      </c>
      <c r="BM103" s="7"/>
      <c r="BN103" s="7"/>
      <c r="BO103" s="4"/>
      <c r="BP103" s="8"/>
      <c r="BQ103" s="4"/>
      <c r="BR103" s="8"/>
      <c r="BS103" s="7"/>
      <c r="BT103" s="7"/>
      <c r="BU103" s="2" t="s">
        <v>844</v>
      </c>
      <c r="BV103" s="2" t="s">
        <v>200</v>
      </c>
      <c r="BW103" s="2" t="s">
        <v>200</v>
      </c>
      <c r="BX103" s="2" t="s">
        <v>289</v>
      </c>
      <c r="BY103" s="2" t="s">
        <v>247</v>
      </c>
      <c r="BZ103" s="2" t="s">
        <v>212</v>
      </c>
      <c r="CA103" s="2" t="s">
        <v>839</v>
      </c>
      <c r="CB103" s="2" t="s">
        <v>458</v>
      </c>
      <c r="CC103" s="2" t="s">
        <v>213</v>
      </c>
      <c r="CD103" s="2" t="s">
        <v>200</v>
      </c>
      <c r="CE103" s="4">
        <v>66</v>
      </c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</row>
    <row r="104">
      <c r="A104" s="2" t="s">
        <v>845</v>
      </c>
      <c r="B104" s="2" t="s">
        <v>744</v>
      </c>
      <c r="C104" s="2" t="s">
        <v>231</v>
      </c>
      <c r="D104" s="2" t="s">
        <v>795</v>
      </c>
      <c r="E104" s="2" t="s">
        <v>210</v>
      </c>
      <c r="F104" s="2" t="s">
        <v>846</v>
      </c>
      <c r="G104" s="2" t="s">
        <v>847</v>
      </c>
      <c r="H104" s="2" t="s">
        <v>848</v>
      </c>
      <c r="I104" s="2" t="s">
        <v>849</v>
      </c>
      <c r="J104" s="2" t="s">
        <v>711</v>
      </c>
      <c r="K104" s="2" t="s">
        <v>850</v>
      </c>
      <c r="L104" s="3">
        <v>282.15</v>
      </c>
      <c r="M104" s="3">
        <v>296.26</v>
      </c>
      <c r="N104" s="3">
        <v>599</v>
      </c>
      <c r="O104" s="2" t="s">
        <v>212</v>
      </c>
      <c r="P104" s="2" t="s">
        <v>851</v>
      </c>
      <c r="Q104" s="2" t="s">
        <v>206</v>
      </c>
      <c r="R104" s="2" t="s">
        <v>200</v>
      </c>
      <c r="S104" s="2" t="s">
        <v>200</v>
      </c>
      <c r="T104" s="2" t="s">
        <v>200</v>
      </c>
      <c r="U104" s="2" t="s">
        <v>270</v>
      </c>
      <c r="V104" s="2" t="s">
        <v>208</v>
      </c>
      <c r="W104" s="2" t="s">
        <v>200</v>
      </c>
      <c r="X104" s="2" t="s">
        <v>200</v>
      </c>
      <c r="Y104" s="2" t="s">
        <v>852</v>
      </c>
      <c r="Z104" s="4"/>
      <c r="AA104" s="4">
        <f>=ROUNDDOWN({0},0)</f>
      </c>
      <c r="AB104" s="5">
        <v>5</v>
      </c>
      <c r="AC104" s="2" t="s">
        <v>853</v>
      </c>
      <c r="AD104" s="4">
        <v>105</v>
      </c>
      <c r="AE104" s="4">
        <v>192</v>
      </c>
      <c r="AF104" s="6">
        <v>66</v>
      </c>
      <c r="AG104" s="6"/>
      <c r="AH104" s="7"/>
      <c r="AI104" s="4"/>
      <c r="AJ104" s="4">
        <f>=ROUNDDOWN({0},0)</f>
      </c>
      <c r="AK104" s="5"/>
      <c r="AL104" s="2" t="s">
        <v>200</v>
      </c>
      <c r="AM104" s="4"/>
      <c r="AN104" s="4"/>
      <c r="AO104" s="7"/>
      <c r="AP104" s="4"/>
      <c r="AQ104" s="8"/>
      <c r="AR104" s="4"/>
      <c r="AS104" s="8"/>
      <c r="AT104" s="7"/>
      <c r="AU104" s="7"/>
      <c r="AV104" s="4"/>
      <c r="AW104" s="8"/>
      <c r="AX104" s="4"/>
      <c r="AY104" s="8"/>
      <c r="AZ104" s="7"/>
      <c r="BA104" s="7"/>
      <c r="BB104" s="7"/>
      <c r="BC104" s="4"/>
      <c r="BD104" s="8"/>
      <c r="BE104" s="4"/>
      <c r="BF104" s="8"/>
      <c r="BG104" s="7"/>
      <c r="BH104" s="7"/>
      <c r="BI104" s="7"/>
      <c r="BJ104" s="4"/>
      <c r="BK104" s="8"/>
      <c r="BL104" s="2" t="s">
        <v>200</v>
      </c>
      <c r="BM104" s="7"/>
      <c r="BN104" s="7"/>
      <c r="BO104" s="4"/>
      <c r="BP104" s="8"/>
      <c r="BQ104" s="4"/>
      <c r="BR104" s="8"/>
      <c r="BS104" s="7"/>
      <c r="BT104" s="7"/>
      <c r="BU104" s="2" t="s">
        <v>210</v>
      </c>
      <c r="BV104" s="2" t="s">
        <v>200</v>
      </c>
      <c r="BW104" s="2" t="s">
        <v>200</v>
      </c>
      <c r="BX104" s="2" t="s">
        <v>210</v>
      </c>
      <c r="BY104" s="2" t="s">
        <v>211</v>
      </c>
      <c r="BZ104" s="2" t="s">
        <v>212</v>
      </c>
      <c r="CA104" s="2" t="s">
        <v>200</v>
      </c>
      <c r="CB104" s="2" t="s">
        <v>200</v>
      </c>
      <c r="CC104" s="2" t="s">
        <v>213</v>
      </c>
      <c r="CD104" s="2" t="s">
        <v>200</v>
      </c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>
        <v>105</v>
      </c>
      <c r="EN104" s="4"/>
      <c r="EO104" s="4"/>
      <c r="EP104" s="4"/>
      <c r="EQ104" s="4"/>
      <c r="ER104" s="4"/>
      <c r="ES104" s="4"/>
      <c r="ET104" s="4"/>
      <c r="EU104" s="4"/>
      <c r="EV104" s="4"/>
      <c r="EW104" s="4">
        <v>54</v>
      </c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>
        <v>14</v>
      </c>
      <c r="FJ104" s="4"/>
      <c r="FK104" s="4"/>
      <c r="FL104" s="4">
        <v>19</v>
      </c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</row>
    <row r="105">
      <c r="A105" s="2" t="s">
        <v>854</v>
      </c>
      <c r="B105" s="2" t="s">
        <v>705</v>
      </c>
      <c r="C105" s="2" t="s">
        <v>745</v>
      </c>
      <c r="D105" s="2" t="s">
        <v>817</v>
      </c>
      <c r="E105" s="2" t="s">
        <v>818</v>
      </c>
      <c r="F105" s="2" t="s">
        <v>855</v>
      </c>
      <c r="G105" s="2" t="s">
        <v>855</v>
      </c>
      <c r="H105" s="2" t="s">
        <v>855</v>
      </c>
      <c r="I105" s="2" t="s">
        <v>856</v>
      </c>
      <c r="J105" s="2" t="s">
        <v>711</v>
      </c>
      <c r="K105" s="2" t="s">
        <v>857</v>
      </c>
      <c r="L105" s="3">
        <v>24.5</v>
      </c>
      <c r="M105" s="3">
        <v>25.73</v>
      </c>
      <c r="N105" s="3">
        <v>49.99</v>
      </c>
      <c r="O105" s="2" t="s">
        <v>212</v>
      </c>
      <c r="P105" s="2" t="s">
        <v>205</v>
      </c>
      <c r="Q105" s="2" t="s">
        <v>206</v>
      </c>
      <c r="R105" s="2" t="s">
        <v>200</v>
      </c>
      <c r="S105" s="2" t="s">
        <v>200</v>
      </c>
      <c r="T105" s="2" t="s">
        <v>200</v>
      </c>
      <c r="U105" s="2" t="s">
        <v>270</v>
      </c>
      <c r="V105" s="2" t="s">
        <v>616</v>
      </c>
      <c r="W105" s="2" t="s">
        <v>241</v>
      </c>
      <c r="X105" s="2" t="s">
        <v>379</v>
      </c>
      <c r="Y105" s="2" t="s">
        <v>858</v>
      </c>
      <c r="Z105" s="4">
        <v>62</v>
      </c>
      <c r="AA105" s="4">
        <f>=ROUNDDOWN(31,0)</f>
      </c>
      <c r="AB105" s="5">
        <v>2</v>
      </c>
      <c r="AC105" s="2" t="s">
        <v>200</v>
      </c>
      <c r="AD105" s="4"/>
      <c r="AE105" s="4"/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200</v>
      </c>
      <c r="AM105" s="4"/>
      <c r="AN105" s="4"/>
      <c r="AO105" s="7"/>
      <c r="AP105" s="4"/>
      <c r="AQ105" s="8"/>
      <c r="AR105" s="4"/>
      <c r="AS105" s="8"/>
      <c r="AT105" s="7"/>
      <c r="AU105" s="7"/>
      <c r="AV105" s="4"/>
      <c r="AW105" s="8"/>
      <c r="AX105" s="4"/>
      <c r="AY105" s="8"/>
      <c r="AZ105" s="7"/>
      <c r="BA105" s="7"/>
      <c r="BB105" s="7"/>
      <c r="BC105" s="4"/>
      <c r="BD105" s="8"/>
      <c r="BE105" s="4"/>
      <c r="BF105" s="8"/>
      <c r="BG105" s="7"/>
      <c r="BH105" s="7"/>
      <c r="BI105" s="7"/>
      <c r="BJ105" s="4">
        <v>13</v>
      </c>
      <c r="BK105" s="8">
        <v>340.87</v>
      </c>
      <c r="BL105" s="2" t="s">
        <v>859</v>
      </c>
      <c r="BM105" s="7"/>
      <c r="BN105" s="7"/>
      <c r="BO105" s="4"/>
      <c r="BP105" s="8"/>
      <c r="BQ105" s="4"/>
      <c r="BR105" s="8"/>
      <c r="BS105" s="7"/>
      <c r="BT105" s="7"/>
      <c r="BU105" s="2" t="s">
        <v>860</v>
      </c>
      <c r="BV105" s="2" t="s">
        <v>200</v>
      </c>
      <c r="BW105" s="2" t="s">
        <v>200</v>
      </c>
      <c r="BX105" s="2" t="s">
        <v>264</v>
      </c>
      <c r="BY105" s="2" t="s">
        <v>247</v>
      </c>
      <c r="BZ105" s="2" t="s">
        <v>212</v>
      </c>
      <c r="CA105" s="2" t="s">
        <v>861</v>
      </c>
      <c r="CB105" s="2" t="s">
        <v>200</v>
      </c>
      <c r="CC105" s="2" t="s">
        <v>213</v>
      </c>
      <c r="CD105" s="2" t="s">
        <v>200</v>
      </c>
      <c r="CE105" s="4"/>
      <c r="CF105" s="4">
        <v>62</v>
      </c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</row>
    <row r="106">
      <c r="A106" s="2" t="s">
        <v>862</v>
      </c>
      <c r="B106" s="2" t="s">
        <v>827</v>
      </c>
      <c r="C106" s="2" t="s">
        <v>231</v>
      </c>
      <c r="D106" s="2" t="s">
        <v>828</v>
      </c>
      <c r="E106" s="2" t="s">
        <v>863</v>
      </c>
      <c r="F106" s="2" t="s">
        <v>864</v>
      </c>
      <c r="G106" s="2" t="s">
        <v>865</v>
      </c>
      <c r="H106" s="2" t="s">
        <v>866</v>
      </c>
      <c r="I106" s="2" t="s">
        <v>867</v>
      </c>
      <c r="J106" s="2" t="s">
        <v>868</v>
      </c>
      <c r="K106" s="2" t="s">
        <v>257</v>
      </c>
      <c r="L106" s="3">
        <v>31.35</v>
      </c>
      <c r="M106" s="3">
        <v>32.92</v>
      </c>
      <c r="N106" s="3">
        <v>69.99</v>
      </c>
      <c r="O106" s="2" t="s">
        <v>460</v>
      </c>
      <c r="P106" s="2" t="s">
        <v>285</v>
      </c>
      <c r="Q106" s="2" t="s">
        <v>206</v>
      </c>
      <c r="R106" s="2" t="s">
        <v>200</v>
      </c>
      <c r="S106" s="2" t="s">
        <v>869</v>
      </c>
      <c r="T106" s="2" t="s">
        <v>870</v>
      </c>
      <c r="U106" s="2" t="s">
        <v>270</v>
      </c>
      <c r="V106" s="2" t="s">
        <v>208</v>
      </c>
      <c r="W106" s="2" t="s">
        <v>241</v>
      </c>
      <c r="X106" s="2" t="s">
        <v>200</v>
      </c>
      <c r="Y106" s="2" t="s">
        <v>871</v>
      </c>
      <c r="Z106" s="4">
        <v>220</v>
      </c>
      <c r="AA106" s="4">
        <f>=ROUNDDOWN(73.3333333333333,0)</f>
      </c>
      <c r="AB106" s="5">
        <v>3</v>
      </c>
      <c r="AC106" s="2" t="s">
        <v>200</v>
      </c>
      <c r="AD106" s="4"/>
      <c r="AE106" s="4"/>
      <c r="AF106" s="6">
        <v>72</v>
      </c>
      <c r="AG106" s="6"/>
      <c r="AH106" s="7">
        <v>1</v>
      </c>
      <c r="AI106" s="4"/>
      <c r="AJ106" s="4">
        <f>=ROUNDDOWN({0},0)</f>
      </c>
      <c r="AK106" s="5"/>
      <c r="AL106" s="2" t="s">
        <v>200</v>
      </c>
      <c r="AM106" s="4"/>
      <c r="AN106" s="4"/>
      <c r="AO106" s="7"/>
      <c r="AP106" s="4"/>
      <c r="AQ106" s="8"/>
      <c r="AR106" s="4"/>
      <c r="AS106" s="8"/>
      <c r="AT106" s="7"/>
      <c r="AU106" s="7"/>
      <c r="AV106" s="4"/>
      <c r="AW106" s="8"/>
      <c r="AX106" s="4"/>
      <c r="AY106" s="8"/>
      <c r="AZ106" s="7"/>
      <c r="BA106" s="7"/>
      <c r="BB106" s="7"/>
      <c r="BC106" s="4"/>
      <c r="BD106" s="8"/>
      <c r="BE106" s="4"/>
      <c r="BF106" s="8"/>
      <c r="BG106" s="7"/>
      <c r="BH106" s="7"/>
      <c r="BI106" s="7"/>
      <c r="BJ106" s="4"/>
      <c r="BK106" s="8"/>
      <c r="BL106" s="2" t="s">
        <v>872</v>
      </c>
      <c r="BM106" s="7"/>
      <c r="BN106" s="7"/>
      <c r="BO106" s="4"/>
      <c r="BP106" s="8"/>
      <c r="BQ106" s="4"/>
      <c r="BR106" s="8"/>
      <c r="BS106" s="7"/>
      <c r="BT106" s="7"/>
      <c r="BU106" s="2" t="s">
        <v>873</v>
      </c>
      <c r="BV106" s="2" t="s">
        <v>200</v>
      </c>
      <c r="BW106" s="2" t="s">
        <v>200</v>
      </c>
      <c r="BX106" s="2" t="s">
        <v>289</v>
      </c>
      <c r="BY106" s="2" t="s">
        <v>247</v>
      </c>
      <c r="BZ106" s="2" t="s">
        <v>212</v>
      </c>
      <c r="CA106" s="2" t="s">
        <v>874</v>
      </c>
      <c r="CB106" s="2" t="s">
        <v>875</v>
      </c>
      <c r="CC106" s="2" t="s">
        <v>213</v>
      </c>
      <c r="CD106" s="2" t="s">
        <v>200</v>
      </c>
      <c r="CE106" s="4">
        <v>220</v>
      </c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</row>
    <row r="107">
      <c r="A107" s="2" t="s">
        <v>876</v>
      </c>
      <c r="B107" s="2" t="s">
        <v>827</v>
      </c>
      <c r="C107" s="2" t="s">
        <v>877</v>
      </c>
      <c r="D107" s="2" t="s">
        <v>828</v>
      </c>
      <c r="E107" s="2" t="s">
        <v>878</v>
      </c>
      <c r="F107" s="2" t="s">
        <v>879</v>
      </c>
      <c r="G107" s="2" t="s">
        <v>880</v>
      </c>
      <c r="H107" s="2" t="s">
        <v>881</v>
      </c>
      <c r="I107" s="2" t="s">
        <v>882</v>
      </c>
      <c r="J107" s="2" t="s">
        <v>883</v>
      </c>
      <c r="K107" s="2" t="s">
        <v>660</v>
      </c>
      <c r="L107" s="3">
        <v>20</v>
      </c>
      <c r="M107" s="3">
        <v>20.99</v>
      </c>
      <c r="N107" s="3">
        <v>39.99</v>
      </c>
      <c r="O107" s="2" t="s">
        <v>460</v>
      </c>
      <c r="P107" s="2" t="s">
        <v>285</v>
      </c>
      <c r="Q107" s="2" t="s">
        <v>206</v>
      </c>
      <c r="R107" s="2" t="s">
        <v>200</v>
      </c>
      <c r="S107" s="2" t="s">
        <v>884</v>
      </c>
      <c r="T107" s="2" t="s">
        <v>200</v>
      </c>
      <c r="U107" s="2" t="s">
        <v>200</v>
      </c>
      <c r="V107" s="2" t="s">
        <v>885</v>
      </c>
      <c r="W107" s="2" t="s">
        <v>379</v>
      </c>
      <c r="X107" s="2" t="s">
        <v>200</v>
      </c>
      <c r="Y107" s="2" t="s">
        <v>261</v>
      </c>
      <c r="Z107" s="4">
        <v>177</v>
      </c>
      <c r="AA107" s="4">
        <f>=ROUNDDOWN(104.117647058824,0)</f>
      </c>
      <c r="AB107" s="5">
        <v>1.7</v>
      </c>
      <c r="AC107" s="2" t="s">
        <v>200</v>
      </c>
      <c r="AD107" s="4"/>
      <c r="AE107" s="4"/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200</v>
      </c>
      <c r="AM107" s="4"/>
      <c r="AN107" s="4"/>
      <c r="AO107" s="7"/>
      <c r="AP107" s="4"/>
      <c r="AQ107" s="8"/>
      <c r="AR107" s="4"/>
      <c r="AS107" s="8"/>
      <c r="AT107" s="7"/>
      <c r="AU107" s="7"/>
      <c r="AV107" s="4"/>
      <c r="AW107" s="8"/>
      <c r="AX107" s="4"/>
      <c r="AY107" s="8"/>
      <c r="AZ107" s="7"/>
      <c r="BA107" s="7"/>
      <c r="BB107" s="7"/>
      <c r="BC107" s="4" t="s">
        <v>200</v>
      </c>
      <c r="BD107" s="8" t="s">
        <v>200</v>
      </c>
      <c r="BE107" s="4" t="s">
        <v>200</v>
      </c>
      <c r="BF107" s="8" t="s">
        <v>200</v>
      </c>
      <c r="BG107" s="7" t="s">
        <v>200</v>
      </c>
      <c r="BH107" s="7" t="s">
        <v>200</v>
      </c>
      <c r="BI107" s="7"/>
      <c r="BJ107" s="4">
        <v>30</v>
      </c>
      <c r="BK107" s="8">
        <v>478.22</v>
      </c>
      <c r="BL107" s="2" t="s">
        <v>886</v>
      </c>
      <c r="BM107" s="7"/>
      <c r="BN107" s="7"/>
      <c r="BO107" s="4"/>
      <c r="BP107" s="8"/>
      <c r="BQ107" s="4"/>
      <c r="BR107" s="8"/>
      <c r="BS107" s="7"/>
      <c r="BT107" s="7"/>
      <c r="BU107" s="2" t="s">
        <v>887</v>
      </c>
      <c r="BV107" s="2" t="s">
        <v>200</v>
      </c>
      <c r="BW107" s="2" t="s">
        <v>200</v>
      </c>
      <c r="BX107" s="2" t="s">
        <v>289</v>
      </c>
      <c r="BY107" s="2" t="s">
        <v>247</v>
      </c>
      <c r="BZ107" s="2" t="s">
        <v>212</v>
      </c>
      <c r="CA107" s="2" t="s">
        <v>265</v>
      </c>
      <c r="CB107" s="2" t="s">
        <v>888</v>
      </c>
      <c r="CC107" s="2" t="s">
        <v>213</v>
      </c>
      <c r="CD107" s="2" t="s">
        <v>200</v>
      </c>
      <c r="CE107" s="4">
        <v>177</v>
      </c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</row>
    <row r="108">
      <c r="A108" s="2" t="s">
        <v>889</v>
      </c>
      <c r="B108" s="2" t="s">
        <v>827</v>
      </c>
      <c r="C108" s="2" t="s">
        <v>877</v>
      </c>
      <c r="D108" s="2" t="s">
        <v>828</v>
      </c>
      <c r="E108" s="2" t="s">
        <v>878</v>
      </c>
      <c r="F108" s="2" t="s">
        <v>879</v>
      </c>
      <c r="G108" s="2" t="s">
        <v>880</v>
      </c>
      <c r="H108" s="2" t="s">
        <v>881</v>
      </c>
      <c r="I108" s="2" t="s">
        <v>882</v>
      </c>
      <c r="J108" s="2" t="s">
        <v>883</v>
      </c>
      <c r="K108" s="2" t="s">
        <v>890</v>
      </c>
      <c r="L108" s="3">
        <v>20</v>
      </c>
      <c r="M108" s="3">
        <v>20.99</v>
      </c>
      <c r="N108" s="3">
        <v>39.99</v>
      </c>
      <c r="O108" s="2" t="s">
        <v>460</v>
      </c>
      <c r="P108" s="2" t="s">
        <v>285</v>
      </c>
      <c r="Q108" s="2" t="s">
        <v>206</v>
      </c>
      <c r="R108" s="2" t="s">
        <v>200</v>
      </c>
      <c r="S108" s="2" t="s">
        <v>891</v>
      </c>
      <c r="T108" s="2" t="s">
        <v>200</v>
      </c>
      <c r="U108" s="2" t="s">
        <v>200</v>
      </c>
      <c r="V108" s="2" t="s">
        <v>885</v>
      </c>
      <c r="W108" s="2" t="s">
        <v>379</v>
      </c>
      <c r="X108" s="2" t="s">
        <v>200</v>
      </c>
      <c r="Y108" s="2" t="s">
        <v>261</v>
      </c>
      <c r="Z108" s="4">
        <v>1223</v>
      </c>
      <c r="AA108" s="4">
        <f>=ROUNDDOWN(135.888888888889,0)</f>
      </c>
      <c r="AB108" s="5">
        <v>9</v>
      </c>
      <c r="AC108" s="2" t="s">
        <v>200</v>
      </c>
      <c r="AD108" s="4"/>
      <c r="AE108" s="4"/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200</v>
      </c>
      <c r="AM108" s="4"/>
      <c r="AN108" s="4"/>
      <c r="AO108" s="7"/>
      <c r="AP108" s="4"/>
      <c r="AQ108" s="8"/>
      <c r="AR108" s="4"/>
      <c r="AS108" s="8"/>
      <c r="AT108" s="7"/>
      <c r="AU108" s="7"/>
      <c r="AV108" s="4"/>
      <c r="AW108" s="8"/>
      <c r="AX108" s="4"/>
      <c r="AY108" s="8"/>
      <c r="AZ108" s="7"/>
      <c r="BA108" s="7"/>
      <c r="BB108" s="7"/>
      <c r="BC108" s="4" t="s">
        <v>200</v>
      </c>
      <c r="BD108" s="8" t="s">
        <v>200</v>
      </c>
      <c r="BE108" s="4" t="s">
        <v>200</v>
      </c>
      <c r="BF108" s="8" t="s">
        <v>200</v>
      </c>
      <c r="BG108" s="7" t="s">
        <v>200</v>
      </c>
      <c r="BH108" s="7" t="s">
        <v>200</v>
      </c>
      <c r="BI108" s="7"/>
      <c r="BJ108" s="4">
        <v>6</v>
      </c>
      <c r="BK108" s="8">
        <v>121.68</v>
      </c>
      <c r="BL108" s="2" t="s">
        <v>892</v>
      </c>
      <c r="BM108" s="7"/>
      <c r="BN108" s="7"/>
      <c r="BO108" s="4"/>
      <c r="BP108" s="8"/>
      <c r="BQ108" s="4"/>
      <c r="BR108" s="8"/>
      <c r="BS108" s="7"/>
      <c r="BT108" s="7"/>
      <c r="BU108" s="2" t="s">
        <v>893</v>
      </c>
      <c r="BV108" s="2" t="s">
        <v>200</v>
      </c>
      <c r="BW108" s="2" t="s">
        <v>200</v>
      </c>
      <c r="BX108" s="2" t="s">
        <v>289</v>
      </c>
      <c r="BY108" s="2" t="s">
        <v>247</v>
      </c>
      <c r="BZ108" s="2" t="s">
        <v>212</v>
      </c>
      <c r="CA108" s="2" t="s">
        <v>265</v>
      </c>
      <c r="CB108" s="2" t="s">
        <v>894</v>
      </c>
      <c r="CC108" s="2" t="s">
        <v>213</v>
      </c>
      <c r="CD108" s="2" t="s">
        <v>200</v>
      </c>
      <c r="CE108" s="4">
        <v>1223</v>
      </c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</row>
    <row r="109">
      <c r="A109" s="2" t="s">
        <v>895</v>
      </c>
      <c r="B109" s="2" t="s">
        <v>705</v>
      </c>
      <c r="C109" s="2" t="s">
        <v>706</v>
      </c>
      <c r="D109" s="2" t="s">
        <v>707</v>
      </c>
      <c r="E109" s="2" t="s">
        <v>708</v>
      </c>
      <c r="F109" s="2" t="s">
        <v>896</v>
      </c>
      <c r="G109" s="2" t="s">
        <v>896</v>
      </c>
      <c r="H109" s="2" t="s">
        <v>896</v>
      </c>
      <c r="I109" s="2" t="s">
        <v>897</v>
      </c>
      <c r="J109" s="2" t="s">
        <v>711</v>
      </c>
      <c r="K109" s="2" t="s">
        <v>898</v>
      </c>
      <c r="L109" s="3">
        <v>56.7</v>
      </c>
      <c r="M109" s="3">
        <v>59.54</v>
      </c>
      <c r="N109" s="3">
        <v>134.99</v>
      </c>
      <c r="O109" s="2" t="s">
        <v>460</v>
      </c>
      <c r="P109" s="2" t="s">
        <v>285</v>
      </c>
      <c r="Q109" s="2" t="s">
        <v>206</v>
      </c>
      <c r="R109" s="2" t="s">
        <v>200</v>
      </c>
      <c r="S109" s="2" t="s">
        <v>200</v>
      </c>
      <c r="T109" s="2" t="s">
        <v>200</v>
      </c>
      <c r="U109" s="2" t="s">
        <v>270</v>
      </c>
      <c r="V109" s="2" t="s">
        <v>616</v>
      </c>
      <c r="W109" s="2" t="s">
        <v>379</v>
      </c>
      <c r="X109" s="2" t="s">
        <v>200</v>
      </c>
      <c r="Y109" s="2" t="s">
        <v>899</v>
      </c>
      <c r="Z109" s="4">
        <v>91</v>
      </c>
      <c r="AA109" s="4">
        <f>=ROUNDDOWN({0},0)</f>
      </c>
      <c r="AB109" s="5"/>
      <c r="AC109" s="2" t="s">
        <v>200</v>
      </c>
      <c r="AD109" s="4"/>
      <c r="AE109" s="4"/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200</v>
      </c>
      <c r="AM109" s="4"/>
      <c r="AN109" s="4"/>
      <c r="AO109" s="7"/>
      <c r="AP109" s="4"/>
      <c r="AQ109" s="8"/>
      <c r="AR109" s="4"/>
      <c r="AS109" s="8"/>
      <c r="AT109" s="7"/>
      <c r="AU109" s="7"/>
      <c r="AV109" s="4"/>
      <c r="AW109" s="8"/>
      <c r="AX109" s="4"/>
      <c r="AY109" s="8"/>
      <c r="AZ109" s="7"/>
      <c r="BA109" s="7"/>
      <c r="BB109" s="7"/>
      <c r="BC109" s="4" t="s">
        <v>200</v>
      </c>
      <c r="BD109" s="8" t="s">
        <v>200</v>
      </c>
      <c r="BE109" s="4" t="s">
        <v>200</v>
      </c>
      <c r="BF109" s="8" t="s">
        <v>200</v>
      </c>
      <c r="BG109" s="7" t="s">
        <v>200</v>
      </c>
      <c r="BH109" s="7" t="s">
        <v>200</v>
      </c>
      <c r="BI109" s="7"/>
      <c r="BJ109" s="4"/>
      <c r="BK109" s="8"/>
      <c r="BL109" s="2" t="s">
        <v>200</v>
      </c>
      <c r="BM109" s="7"/>
      <c r="BN109" s="7"/>
      <c r="BO109" s="4"/>
      <c r="BP109" s="8"/>
      <c r="BQ109" s="4"/>
      <c r="BR109" s="8"/>
      <c r="BS109" s="7"/>
      <c r="BT109" s="7"/>
      <c r="BU109" s="2" t="s">
        <v>900</v>
      </c>
      <c r="BV109" s="2" t="s">
        <v>200</v>
      </c>
      <c r="BW109" s="2" t="s">
        <v>200</v>
      </c>
      <c r="BX109" s="2" t="s">
        <v>289</v>
      </c>
      <c r="BY109" s="2" t="s">
        <v>247</v>
      </c>
      <c r="BZ109" s="2" t="s">
        <v>212</v>
      </c>
      <c r="CA109" s="2" t="s">
        <v>901</v>
      </c>
      <c r="CB109" s="2" t="s">
        <v>200</v>
      </c>
      <c r="CC109" s="2" t="s">
        <v>213</v>
      </c>
      <c r="CD109" s="2" t="s">
        <v>200</v>
      </c>
      <c r="CE109" s="4"/>
      <c r="CF109" s="4">
        <v>91</v>
      </c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</row>
    <row r="110">
      <c r="A110" s="2" t="s">
        <v>902</v>
      </c>
      <c r="B110" s="2" t="s">
        <v>903</v>
      </c>
      <c r="C110" s="2" t="s">
        <v>307</v>
      </c>
      <c r="D110" s="2" t="s">
        <v>608</v>
      </c>
      <c r="E110" s="2" t="s">
        <v>904</v>
      </c>
      <c r="F110" s="2" t="s">
        <v>896</v>
      </c>
      <c r="G110" s="2" t="s">
        <v>905</v>
      </c>
      <c r="H110" s="2" t="s">
        <v>906</v>
      </c>
      <c r="I110" s="2" t="s">
        <v>907</v>
      </c>
      <c r="J110" s="2" t="s">
        <v>302</v>
      </c>
      <c r="K110" s="2" t="s">
        <v>387</v>
      </c>
      <c r="L110" s="3">
        <v>33.6</v>
      </c>
      <c r="M110" s="3">
        <v>35.28</v>
      </c>
      <c r="N110" s="3">
        <v>69.99</v>
      </c>
      <c r="O110" s="2" t="s">
        <v>212</v>
      </c>
      <c r="P110" s="2" t="s">
        <v>205</v>
      </c>
      <c r="Q110" s="2" t="s">
        <v>206</v>
      </c>
      <c r="R110" s="2" t="s">
        <v>200</v>
      </c>
      <c r="S110" s="2" t="s">
        <v>908</v>
      </c>
      <c r="T110" s="2" t="s">
        <v>378</v>
      </c>
      <c r="U110" s="2" t="s">
        <v>909</v>
      </c>
      <c r="V110" s="2" t="s">
        <v>348</v>
      </c>
      <c r="W110" s="2" t="s">
        <v>910</v>
      </c>
      <c r="X110" s="2" t="s">
        <v>200</v>
      </c>
      <c r="Y110" s="2" t="s">
        <v>911</v>
      </c>
      <c r="Z110" s="4">
        <v>253</v>
      </c>
      <c r="AA110" s="4">
        <f>=ROUNDDOWN(13.3157894736842,0)</f>
      </c>
      <c r="AB110" s="5">
        <v>19</v>
      </c>
      <c r="AC110" s="2" t="s">
        <v>912</v>
      </c>
      <c r="AD110" s="4">
        <v>240</v>
      </c>
      <c r="AE110" s="4">
        <v>240</v>
      </c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200</v>
      </c>
      <c r="AM110" s="4"/>
      <c r="AN110" s="4"/>
      <c r="AO110" s="7"/>
      <c r="AP110" s="4"/>
      <c r="AQ110" s="8"/>
      <c r="AR110" s="4"/>
      <c r="AS110" s="8"/>
      <c r="AT110" s="7"/>
      <c r="AU110" s="7"/>
      <c r="AV110" s="4"/>
      <c r="AW110" s="8"/>
      <c r="AX110" s="4"/>
      <c r="AY110" s="8"/>
      <c r="AZ110" s="7"/>
      <c r="BA110" s="7"/>
      <c r="BB110" s="7"/>
      <c r="BC110" s="4" t="s">
        <v>200</v>
      </c>
      <c r="BD110" s="8" t="s">
        <v>200</v>
      </c>
      <c r="BE110" s="4" t="s">
        <v>200</v>
      </c>
      <c r="BF110" s="8" t="s">
        <v>200</v>
      </c>
      <c r="BG110" s="7" t="s">
        <v>200</v>
      </c>
      <c r="BH110" s="7" t="s">
        <v>200</v>
      </c>
      <c r="BI110" s="7"/>
      <c r="BJ110" s="4">
        <v>66</v>
      </c>
      <c r="BK110" s="8">
        <v>2521.2</v>
      </c>
      <c r="BL110" s="2" t="s">
        <v>913</v>
      </c>
      <c r="BM110" s="7"/>
      <c r="BN110" s="7"/>
      <c r="BO110" s="4"/>
      <c r="BP110" s="8"/>
      <c r="BQ110" s="4"/>
      <c r="BR110" s="8"/>
      <c r="BS110" s="7"/>
      <c r="BT110" s="7"/>
      <c r="BU110" s="2" t="s">
        <v>914</v>
      </c>
      <c r="BV110" s="2" t="s">
        <v>200</v>
      </c>
      <c r="BW110" s="2" t="s">
        <v>200</v>
      </c>
      <c r="BX110" s="2" t="s">
        <v>264</v>
      </c>
      <c r="BY110" s="2" t="s">
        <v>247</v>
      </c>
      <c r="BZ110" s="2" t="s">
        <v>212</v>
      </c>
      <c r="CA110" s="2" t="s">
        <v>915</v>
      </c>
      <c r="CB110" s="2" t="s">
        <v>916</v>
      </c>
      <c r="CC110" s="2" t="s">
        <v>213</v>
      </c>
      <c r="CD110" s="2" t="s">
        <v>200</v>
      </c>
      <c r="CE110" s="4">
        <v>253</v>
      </c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>
        <v>240</v>
      </c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</row>
    <row r="111">
      <c r="A111" s="2" t="s">
        <v>917</v>
      </c>
      <c r="B111" s="2" t="s">
        <v>903</v>
      </c>
      <c r="C111" s="2" t="s">
        <v>231</v>
      </c>
      <c r="D111" s="2" t="s">
        <v>918</v>
      </c>
      <c r="E111" s="2" t="s">
        <v>919</v>
      </c>
      <c r="F111" s="2" t="s">
        <v>920</v>
      </c>
      <c r="G111" s="2" t="s">
        <v>921</v>
      </c>
      <c r="H111" s="2" t="s">
        <v>922</v>
      </c>
      <c r="I111" s="2" t="s">
        <v>923</v>
      </c>
      <c r="J111" s="2" t="s">
        <v>924</v>
      </c>
      <c r="K111" s="2" t="s">
        <v>387</v>
      </c>
      <c r="L111" s="3">
        <v>47.61</v>
      </c>
      <c r="M111" s="3">
        <v>49.99</v>
      </c>
      <c r="N111" s="3">
        <v>99.99</v>
      </c>
      <c r="O111" s="2" t="s">
        <v>212</v>
      </c>
      <c r="P111" s="2" t="s">
        <v>285</v>
      </c>
      <c r="Q111" s="2" t="s">
        <v>206</v>
      </c>
      <c r="R111" s="2" t="s">
        <v>200</v>
      </c>
      <c r="S111" s="2" t="s">
        <v>925</v>
      </c>
      <c r="T111" s="2" t="s">
        <v>200</v>
      </c>
      <c r="U111" s="2" t="s">
        <v>454</v>
      </c>
      <c r="V111" s="2" t="s">
        <v>339</v>
      </c>
      <c r="W111" s="2" t="s">
        <v>926</v>
      </c>
      <c r="X111" s="2" t="s">
        <v>200</v>
      </c>
      <c r="Y111" s="2" t="s">
        <v>927</v>
      </c>
      <c r="Z111" s="4">
        <v>101</v>
      </c>
      <c r="AA111" s="4">
        <f>=ROUNDDOWN(56.1111111111111,0)</f>
      </c>
      <c r="AB111" s="5">
        <v>1.8</v>
      </c>
      <c r="AC111" s="2" t="s">
        <v>200</v>
      </c>
      <c r="AD111" s="4"/>
      <c r="AE111" s="4"/>
      <c r="AF111" s="6">
        <v>66</v>
      </c>
      <c r="AG111" s="6"/>
      <c r="AH111" s="7">
        <v>1</v>
      </c>
      <c r="AI111" s="4"/>
      <c r="AJ111" s="4">
        <f>=ROUNDDOWN({0},0)</f>
      </c>
      <c r="AK111" s="5"/>
      <c r="AL111" s="2" t="s">
        <v>200</v>
      </c>
      <c r="AM111" s="4"/>
      <c r="AN111" s="4"/>
      <c r="AO111" s="7"/>
      <c r="AP111" s="4"/>
      <c r="AQ111" s="8"/>
      <c r="AR111" s="4"/>
      <c r="AS111" s="8"/>
      <c r="AT111" s="7"/>
      <c r="AU111" s="7"/>
      <c r="AV111" s="4"/>
      <c r="AW111" s="8"/>
      <c r="AX111" s="4"/>
      <c r="AY111" s="8"/>
      <c r="AZ111" s="7"/>
      <c r="BA111" s="7"/>
      <c r="BB111" s="7"/>
      <c r="BC111" s="4"/>
      <c r="BD111" s="8"/>
      <c r="BE111" s="4"/>
      <c r="BF111" s="8"/>
      <c r="BG111" s="7"/>
      <c r="BH111" s="7"/>
      <c r="BI111" s="7"/>
      <c r="BJ111" s="4">
        <v>7</v>
      </c>
      <c r="BK111" s="8">
        <v>322.45</v>
      </c>
      <c r="BL111" s="2" t="s">
        <v>293</v>
      </c>
      <c r="BM111" s="7"/>
      <c r="BN111" s="7"/>
      <c r="BO111" s="4"/>
      <c r="BP111" s="8"/>
      <c r="BQ111" s="4"/>
      <c r="BR111" s="8"/>
      <c r="BS111" s="7"/>
      <c r="BT111" s="7"/>
      <c r="BU111" s="2" t="s">
        <v>928</v>
      </c>
      <c r="BV111" s="2" t="s">
        <v>200</v>
      </c>
      <c r="BW111" s="2" t="s">
        <v>200</v>
      </c>
      <c r="BX111" s="2" t="s">
        <v>289</v>
      </c>
      <c r="BY111" s="2" t="s">
        <v>247</v>
      </c>
      <c r="BZ111" s="2" t="s">
        <v>212</v>
      </c>
      <c r="CA111" s="2" t="s">
        <v>929</v>
      </c>
      <c r="CB111" s="2" t="s">
        <v>930</v>
      </c>
      <c r="CC111" s="2" t="s">
        <v>213</v>
      </c>
      <c r="CD111" s="2" t="s">
        <v>200</v>
      </c>
      <c r="CE111" s="4">
        <v>101</v>
      </c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</row>
    <row r="112">
      <c r="A112" s="2" t="s">
        <v>931</v>
      </c>
      <c r="B112" s="2" t="s">
        <v>932</v>
      </c>
      <c r="C112" s="2" t="s">
        <v>933</v>
      </c>
      <c r="D112" s="2" t="s">
        <v>918</v>
      </c>
      <c r="E112" s="2" t="s">
        <v>934</v>
      </c>
      <c r="F112" s="2" t="s">
        <v>935</v>
      </c>
      <c r="G112" s="2" t="s">
        <v>936</v>
      </c>
      <c r="H112" s="2" t="s">
        <v>937</v>
      </c>
      <c r="I112" s="2" t="s">
        <v>938</v>
      </c>
      <c r="J112" s="2" t="s">
        <v>269</v>
      </c>
      <c r="K112" s="2" t="s">
        <v>890</v>
      </c>
      <c r="L112" s="3">
        <v>21.15</v>
      </c>
      <c r="M112" s="3">
        <v>22.21</v>
      </c>
      <c r="N112" s="3">
        <v>44.99</v>
      </c>
      <c r="O112" s="2" t="s">
        <v>212</v>
      </c>
      <c r="P112" s="2" t="s">
        <v>258</v>
      </c>
      <c r="Q112" s="2" t="s">
        <v>206</v>
      </c>
      <c r="R112" s="2" t="s">
        <v>200</v>
      </c>
      <c r="S112" s="2" t="s">
        <v>939</v>
      </c>
      <c r="T112" s="2" t="s">
        <v>378</v>
      </c>
      <c r="U112" s="2" t="s">
        <v>454</v>
      </c>
      <c r="V112" s="2" t="s">
        <v>940</v>
      </c>
      <c r="W112" s="2" t="s">
        <v>241</v>
      </c>
      <c r="X112" s="2" t="s">
        <v>419</v>
      </c>
      <c r="Y112" s="2" t="s">
        <v>261</v>
      </c>
      <c r="Z112" s="4">
        <v>193</v>
      </c>
      <c r="AA112" s="4">
        <f>=ROUNDDOWN(48.25,0)</f>
      </c>
      <c r="AB112" s="5">
        <v>4</v>
      </c>
      <c r="AC112" s="2" t="s">
        <v>200</v>
      </c>
      <c r="AD112" s="4"/>
      <c r="AE112" s="4"/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200</v>
      </c>
      <c r="AM112" s="4"/>
      <c r="AN112" s="4"/>
      <c r="AO112" s="7"/>
      <c r="AP112" s="4"/>
      <c r="AQ112" s="8"/>
      <c r="AR112" s="4"/>
      <c r="AS112" s="8"/>
      <c r="AT112" s="7"/>
      <c r="AU112" s="7"/>
      <c r="AV112" s="4"/>
      <c r="AW112" s="8"/>
      <c r="AX112" s="4"/>
      <c r="AY112" s="8"/>
      <c r="AZ112" s="7"/>
      <c r="BA112" s="7"/>
      <c r="BB112" s="7"/>
      <c r="BC112" s="4"/>
      <c r="BD112" s="8"/>
      <c r="BE112" s="4"/>
      <c r="BF112" s="8"/>
      <c r="BG112" s="7"/>
      <c r="BH112" s="7"/>
      <c r="BI112" s="7"/>
      <c r="BJ112" s="4">
        <v>5</v>
      </c>
      <c r="BK112" s="8">
        <v>94.45</v>
      </c>
      <c r="BL112" s="2" t="s">
        <v>941</v>
      </c>
      <c r="BM112" s="7"/>
      <c r="BN112" s="7"/>
      <c r="BO112" s="4"/>
      <c r="BP112" s="8"/>
      <c r="BQ112" s="4"/>
      <c r="BR112" s="8"/>
      <c r="BS112" s="7"/>
      <c r="BT112" s="7"/>
      <c r="BU112" s="2" t="s">
        <v>942</v>
      </c>
      <c r="BV112" s="2" t="s">
        <v>200</v>
      </c>
      <c r="BW112" s="2" t="s">
        <v>200</v>
      </c>
      <c r="BX112" s="2" t="s">
        <v>264</v>
      </c>
      <c r="BY112" s="2" t="s">
        <v>247</v>
      </c>
      <c r="BZ112" s="2" t="s">
        <v>212</v>
      </c>
      <c r="CA112" s="2" t="s">
        <v>265</v>
      </c>
      <c r="CB112" s="2" t="s">
        <v>943</v>
      </c>
      <c r="CC112" s="2" t="s">
        <v>213</v>
      </c>
      <c r="CD112" s="2" t="s">
        <v>200</v>
      </c>
      <c r="CE112" s="4">
        <v>193</v>
      </c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</row>
    <row r="113">
      <c r="A113" s="2" t="s">
        <v>944</v>
      </c>
      <c r="B113" s="2" t="s">
        <v>945</v>
      </c>
      <c r="C113" s="2" t="s">
        <v>946</v>
      </c>
      <c r="D113" s="2" t="s">
        <v>947</v>
      </c>
      <c r="E113" s="2" t="s">
        <v>948</v>
      </c>
      <c r="F113" s="2" t="s">
        <v>949</v>
      </c>
      <c r="G113" s="2" t="s">
        <v>949</v>
      </c>
      <c r="H113" s="2" t="s">
        <v>949</v>
      </c>
      <c r="I113" s="2" t="s">
        <v>950</v>
      </c>
      <c r="J113" s="2" t="s">
        <v>951</v>
      </c>
      <c r="K113" s="2" t="s">
        <v>221</v>
      </c>
      <c r="L113" s="3">
        <v>22.49</v>
      </c>
      <c r="M113" s="3">
        <v>23.61</v>
      </c>
      <c r="N113" s="3">
        <v>49.99</v>
      </c>
      <c r="O113" s="2" t="s">
        <v>212</v>
      </c>
      <c r="P113" s="2" t="s">
        <v>258</v>
      </c>
      <c r="Q113" s="2" t="s">
        <v>206</v>
      </c>
      <c r="R113" s="2" t="s">
        <v>200</v>
      </c>
      <c r="S113" s="2" t="s">
        <v>200</v>
      </c>
      <c r="T113" s="2" t="s">
        <v>200</v>
      </c>
      <c r="U113" s="2" t="s">
        <v>270</v>
      </c>
      <c r="V113" s="2" t="s">
        <v>616</v>
      </c>
      <c r="W113" s="2" t="s">
        <v>241</v>
      </c>
      <c r="X113" s="2" t="s">
        <v>200</v>
      </c>
      <c r="Y113" s="2" t="s">
        <v>952</v>
      </c>
      <c r="Z113" s="4">
        <v>361</v>
      </c>
      <c r="AA113" s="4">
        <f>=ROUNDDOWN(72.2,0)</f>
      </c>
      <c r="AB113" s="5">
        <v>5</v>
      </c>
      <c r="AC113" s="2" t="s">
        <v>200</v>
      </c>
      <c r="AD113" s="4"/>
      <c r="AE113" s="4"/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200</v>
      </c>
      <c r="AM113" s="4"/>
      <c r="AN113" s="4"/>
      <c r="AO113" s="7"/>
      <c r="AP113" s="4"/>
      <c r="AQ113" s="8"/>
      <c r="AR113" s="4"/>
      <c r="AS113" s="8"/>
      <c r="AT113" s="7"/>
      <c r="AU113" s="7"/>
      <c r="AV113" s="4"/>
      <c r="AW113" s="8"/>
      <c r="AX113" s="4"/>
      <c r="AY113" s="8"/>
      <c r="AZ113" s="7"/>
      <c r="BA113" s="7"/>
      <c r="BB113" s="7"/>
      <c r="BC113" s="4" t="s">
        <v>200</v>
      </c>
      <c r="BD113" s="8" t="s">
        <v>200</v>
      </c>
      <c r="BE113" s="4" t="s">
        <v>200</v>
      </c>
      <c r="BF113" s="8" t="s">
        <v>200</v>
      </c>
      <c r="BG113" s="7" t="s">
        <v>200</v>
      </c>
      <c r="BH113" s="7" t="s">
        <v>200</v>
      </c>
      <c r="BI113" s="7"/>
      <c r="BJ113" s="4">
        <v>15</v>
      </c>
      <c r="BK113" s="8">
        <v>484.38</v>
      </c>
      <c r="BL113" s="2" t="s">
        <v>953</v>
      </c>
      <c r="BM113" s="7"/>
      <c r="BN113" s="7"/>
      <c r="BO113" s="4"/>
      <c r="BP113" s="8"/>
      <c r="BQ113" s="4"/>
      <c r="BR113" s="8"/>
      <c r="BS113" s="7"/>
      <c r="BT113" s="7"/>
      <c r="BU113" s="2" t="s">
        <v>954</v>
      </c>
      <c r="BV113" s="2" t="s">
        <v>200</v>
      </c>
      <c r="BW113" s="2" t="s">
        <v>200</v>
      </c>
      <c r="BX113" s="2" t="s">
        <v>264</v>
      </c>
      <c r="BY113" s="2" t="s">
        <v>247</v>
      </c>
      <c r="BZ113" s="2" t="s">
        <v>212</v>
      </c>
      <c r="CA113" s="2" t="s">
        <v>955</v>
      </c>
      <c r="CB113" s="2" t="s">
        <v>956</v>
      </c>
      <c r="CC113" s="2" t="s">
        <v>213</v>
      </c>
      <c r="CD113" s="2" t="s">
        <v>200</v>
      </c>
      <c r="CE113" s="4">
        <v>361</v>
      </c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</row>
    <row r="114">
      <c r="A114" s="2" t="s">
        <v>957</v>
      </c>
      <c r="B114" s="2" t="s">
        <v>945</v>
      </c>
      <c r="C114" s="2" t="s">
        <v>946</v>
      </c>
      <c r="D114" s="2" t="s">
        <v>947</v>
      </c>
      <c r="E114" s="2" t="s">
        <v>948</v>
      </c>
      <c r="F114" s="2" t="s">
        <v>949</v>
      </c>
      <c r="G114" s="2" t="s">
        <v>949</v>
      </c>
      <c r="H114" s="2" t="s">
        <v>949</v>
      </c>
      <c r="I114" s="2" t="s">
        <v>950</v>
      </c>
      <c r="J114" s="2" t="s">
        <v>951</v>
      </c>
      <c r="K114" s="2" t="s">
        <v>539</v>
      </c>
      <c r="L114" s="3">
        <v>22.49</v>
      </c>
      <c r="M114" s="3">
        <v>23.61</v>
      </c>
      <c r="N114" s="3">
        <v>49.99</v>
      </c>
      <c r="O114" s="2" t="s">
        <v>212</v>
      </c>
      <c r="P114" s="2" t="s">
        <v>258</v>
      </c>
      <c r="Q114" s="2" t="s">
        <v>206</v>
      </c>
      <c r="R114" s="2" t="s">
        <v>200</v>
      </c>
      <c r="S114" s="2" t="s">
        <v>200</v>
      </c>
      <c r="T114" s="2" t="s">
        <v>200</v>
      </c>
      <c r="U114" s="2" t="s">
        <v>270</v>
      </c>
      <c r="V114" s="2" t="s">
        <v>616</v>
      </c>
      <c r="W114" s="2" t="s">
        <v>241</v>
      </c>
      <c r="X114" s="2" t="s">
        <v>200</v>
      </c>
      <c r="Y114" s="2" t="s">
        <v>952</v>
      </c>
      <c r="Z114" s="4">
        <v>1</v>
      </c>
      <c r="AA114" s="4">
        <f>=ROUNDDOWN(0.4,0)</f>
      </c>
      <c r="AB114" s="5">
        <v>2.5</v>
      </c>
      <c r="AC114" s="2" t="s">
        <v>200</v>
      </c>
      <c r="AD114" s="4"/>
      <c r="AE114" s="4"/>
      <c r="AF114" s="6">
        <v>65</v>
      </c>
      <c r="AG114" s="6"/>
      <c r="AH114" s="7">
        <v>0.8667</v>
      </c>
      <c r="AI114" s="4"/>
      <c r="AJ114" s="4">
        <f>=ROUNDDOWN({0},0)</f>
      </c>
      <c r="AK114" s="5"/>
      <c r="AL114" s="2" t="s">
        <v>200</v>
      </c>
      <c r="AM114" s="4"/>
      <c r="AN114" s="4"/>
      <c r="AO114" s="7"/>
      <c r="AP114" s="4"/>
      <c r="AQ114" s="8"/>
      <c r="AR114" s="4"/>
      <c r="AS114" s="8"/>
      <c r="AT114" s="7"/>
      <c r="AU114" s="7"/>
      <c r="AV114" s="4"/>
      <c r="AW114" s="8"/>
      <c r="AX114" s="4"/>
      <c r="AY114" s="8"/>
      <c r="AZ114" s="7"/>
      <c r="BA114" s="7"/>
      <c r="BB114" s="7"/>
      <c r="BC114" s="4" t="s">
        <v>200</v>
      </c>
      <c r="BD114" s="8" t="s">
        <v>200</v>
      </c>
      <c r="BE114" s="4" t="s">
        <v>200</v>
      </c>
      <c r="BF114" s="8" t="s">
        <v>200</v>
      </c>
      <c r="BG114" s="7" t="s">
        <v>200</v>
      </c>
      <c r="BH114" s="7" t="s">
        <v>200</v>
      </c>
      <c r="BI114" s="7"/>
      <c r="BJ114" s="4">
        <v>20</v>
      </c>
      <c r="BK114" s="8">
        <v>679.8</v>
      </c>
      <c r="BL114" s="2" t="s">
        <v>958</v>
      </c>
      <c r="BM114" s="7"/>
      <c r="BN114" s="7"/>
      <c r="BO114" s="4"/>
      <c r="BP114" s="8"/>
      <c r="BQ114" s="4"/>
      <c r="BR114" s="8"/>
      <c r="BS114" s="7"/>
      <c r="BT114" s="7"/>
      <c r="BU114" s="2" t="s">
        <v>959</v>
      </c>
      <c r="BV114" s="2" t="s">
        <v>200</v>
      </c>
      <c r="BW114" s="2" t="s">
        <v>200</v>
      </c>
      <c r="BX114" s="2" t="s">
        <v>264</v>
      </c>
      <c r="BY114" s="2" t="s">
        <v>247</v>
      </c>
      <c r="BZ114" s="2" t="s">
        <v>212</v>
      </c>
      <c r="CA114" s="2" t="s">
        <v>955</v>
      </c>
      <c r="CB114" s="2" t="s">
        <v>861</v>
      </c>
      <c r="CC114" s="2" t="s">
        <v>213</v>
      </c>
      <c r="CD114" s="2" t="s">
        <v>200</v>
      </c>
      <c r="CE114" s="4">
        <v>1</v>
      </c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</row>
    <row r="115">
      <c r="A115" s="2" t="s">
        <v>960</v>
      </c>
      <c r="B115" s="2" t="s">
        <v>945</v>
      </c>
      <c r="C115" s="2" t="s">
        <v>946</v>
      </c>
      <c r="D115" s="2" t="s">
        <v>947</v>
      </c>
      <c r="E115" s="2" t="s">
        <v>948</v>
      </c>
      <c r="F115" s="2" t="s">
        <v>949</v>
      </c>
      <c r="G115" s="2" t="s">
        <v>949</v>
      </c>
      <c r="H115" s="2" t="s">
        <v>949</v>
      </c>
      <c r="I115" s="2" t="s">
        <v>950</v>
      </c>
      <c r="J115" s="2" t="s">
        <v>951</v>
      </c>
      <c r="K115" s="2" t="s">
        <v>223</v>
      </c>
      <c r="L115" s="3">
        <v>22.49</v>
      </c>
      <c r="M115" s="3">
        <v>23.61</v>
      </c>
      <c r="N115" s="3">
        <v>49.99</v>
      </c>
      <c r="O115" s="2" t="s">
        <v>212</v>
      </c>
      <c r="P115" s="2" t="s">
        <v>258</v>
      </c>
      <c r="Q115" s="2" t="s">
        <v>206</v>
      </c>
      <c r="R115" s="2" t="s">
        <v>200</v>
      </c>
      <c r="S115" s="2" t="s">
        <v>200</v>
      </c>
      <c r="T115" s="2" t="s">
        <v>200</v>
      </c>
      <c r="U115" s="2" t="s">
        <v>270</v>
      </c>
      <c r="V115" s="2" t="s">
        <v>616</v>
      </c>
      <c r="W115" s="2" t="s">
        <v>241</v>
      </c>
      <c r="X115" s="2" t="s">
        <v>200</v>
      </c>
      <c r="Y115" s="2" t="s">
        <v>952</v>
      </c>
      <c r="Z115" s="4">
        <v>107</v>
      </c>
      <c r="AA115" s="4">
        <f>=ROUNDDOWN(59.4444444444444,0)</f>
      </c>
      <c r="AB115" s="5">
        <v>1.8</v>
      </c>
      <c r="AC115" s="2" t="s">
        <v>200</v>
      </c>
      <c r="AD115" s="4"/>
      <c r="AE115" s="4"/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200</v>
      </c>
      <c r="AM115" s="4"/>
      <c r="AN115" s="4"/>
      <c r="AO115" s="7"/>
      <c r="AP115" s="4"/>
      <c r="AQ115" s="8"/>
      <c r="AR115" s="4"/>
      <c r="AS115" s="8"/>
      <c r="AT115" s="7"/>
      <c r="AU115" s="7"/>
      <c r="AV115" s="4"/>
      <c r="AW115" s="8"/>
      <c r="AX115" s="4"/>
      <c r="AY115" s="8"/>
      <c r="AZ115" s="7"/>
      <c r="BA115" s="7"/>
      <c r="BB115" s="7"/>
      <c r="BC115" s="4" t="s">
        <v>200</v>
      </c>
      <c r="BD115" s="8" t="s">
        <v>200</v>
      </c>
      <c r="BE115" s="4" t="s">
        <v>200</v>
      </c>
      <c r="BF115" s="8" t="s">
        <v>200</v>
      </c>
      <c r="BG115" s="7" t="s">
        <v>200</v>
      </c>
      <c r="BH115" s="7" t="s">
        <v>200</v>
      </c>
      <c r="BI115" s="7"/>
      <c r="BJ115" s="4">
        <v>27</v>
      </c>
      <c r="BK115" s="8">
        <v>892.26</v>
      </c>
      <c r="BL115" s="2" t="s">
        <v>961</v>
      </c>
      <c r="BM115" s="7"/>
      <c r="BN115" s="7"/>
      <c r="BO115" s="4"/>
      <c r="BP115" s="8"/>
      <c r="BQ115" s="4"/>
      <c r="BR115" s="8"/>
      <c r="BS115" s="7"/>
      <c r="BT115" s="7"/>
      <c r="BU115" s="2" t="s">
        <v>962</v>
      </c>
      <c r="BV115" s="2" t="s">
        <v>200</v>
      </c>
      <c r="BW115" s="2" t="s">
        <v>200</v>
      </c>
      <c r="BX115" s="2" t="s">
        <v>264</v>
      </c>
      <c r="BY115" s="2" t="s">
        <v>247</v>
      </c>
      <c r="BZ115" s="2" t="s">
        <v>212</v>
      </c>
      <c r="CA115" s="2" t="s">
        <v>955</v>
      </c>
      <c r="CB115" s="2" t="s">
        <v>963</v>
      </c>
      <c r="CC115" s="2" t="s">
        <v>213</v>
      </c>
      <c r="CD115" s="2" t="s">
        <v>200</v>
      </c>
      <c r="CE115" s="4">
        <v>107</v>
      </c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</row>
    <row r="116">
      <c r="A116" s="2" t="s">
        <v>964</v>
      </c>
      <c r="B116" s="2" t="s">
        <v>903</v>
      </c>
      <c r="C116" s="2" t="s">
        <v>745</v>
      </c>
      <c r="D116" s="2" t="s">
        <v>918</v>
      </c>
      <c r="E116" s="2" t="s">
        <v>919</v>
      </c>
      <c r="F116" s="2" t="s">
        <v>965</v>
      </c>
      <c r="G116" s="2" t="s">
        <v>965</v>
      </c>
      <c r="H116" s="2" t="s">
        <v>965</v>
      </c>
      <c r="I116" s="2" t="s">
        <v>966</v>
      </c>
      <c r="J116" s="2" t="s">
        <v>924</v>
      </c>
      <c r="K116" s="2" t="s">
        <v>660</v>
      </c>
      <c r="L116" s="3">
        <v>58.5</v>
      </c>
      <c r="M116" s="3">
        <v>61.42</v>
      </c>
      <c r="N116" s="3">
        <v>119.99</v>
      </c>
      <c r="O116" s="2" t="s">
        <v>212</v>
      </c>
      <c r="P116" s="2" t="s">
        <v>258</v>
      </c>
      <c r="Q116" s="2" t="s">
        <v>206</v>
      </c>
      <c r="R116" s="2" t="s">
        <v>200</v>
      </c>
      <c r="S116" s="2" t="s">
        <v>967</v>
      </c>
      <c r="T116" s="2" t="s">
        <v>968</v>
      </c>
      <c r="U116" s="2" t="s">
        <v>454</v>
      </c>
      <c r="V116" s="2" t="s">
        <v>885</v>
      </c>
      <c r="W116" s="2" t="s">
        <v>969</v>
      </c>
      <c r="X116" s="2" t="s">
        <v>970</v>
      </c>
      <c r="Y116" s="2" t="s">
        <v>261</v>
      </c>
      <c r="Z116" s="4">
        <v>104</v>
      </c>
      <c r="AA116" s="4">
        <f>=ROUNDDOWN(52,0)</f>
      </c>
      <c r="AB116" s="5">
        <v>2</v>
      </c>
      <c r="AC116" s="2" t="s">
        <v>200</v>
      </c>
      <c r="AD116" s="4"/>
      <c r="AE116" s="4"/>
      <c r="AF116" s="6">
        <v>65</v>
      </c>
      <c r="AG116" s="6">
        <v>73</v>
      </c>
      <c r="AH116" s="7">
        <v>1</v>
      </c>
      <c r="AI116" s="4"/>
      <c r="AJ116" s="4">
        <f>=ROUNDDOWN({0},0)</f>
      </c>
      <c r="AK116" s="5"/>
      <c r="AL116" s="2" t="s">
        <v>200</v>
      </c>
      <c r="AM116" s="4"/>
      <c r="AN116" s="4"/>
      <c r="AO116" s="7"/>
      <c r="AP116" s="4"/>
      <c r="AQ116" s="8"/>
      <c r="AR116" s="4"/>
      <c r="AS116" s="8"/>
      <c r="AT116" s="7"/>
      <c r="AU116" s="7"/>
      <c r="AV116" s="4"/>
      <c r="AW116" s="8"/>
      <c r="AX116" s="4"/>
      <c r="AY116" s="8"/>
      <c r="AZ116" s="7"/>
      <c r="BA116" s="7"/>
      <c r="BB116" s="7"/>
      <c r="BC116" s="4" t="s">
        <v>200</v>
      </c>
      <c r="BD116" s="8" t="s">
        <v>200</v>
      </c>
      <c r="BE116" s="4" t="s">
        <v>200</v>
      </c>
      <c r="BF116" s="8" t="s">
        <v>200</v>
      </c>
      <c r="BG116" s="7" t="s">
        <v>200</v>
      </c>
      <c r="BH116" s="7" t="s">
        <v>200</v>
      </c>
      <c r="BI116" s="7"/>
      <c r="BJ116" s="4">
        <v>13</v>
      </c>
      <c r="BK116" s="8">
        <v>811.76</v>
      </c>
      <c r="BL116" s="2" t="s">
        <v>370</v>
      </c>
      <c r="BM116" s="7"/>
      <c r="BN116" s="7"/>
      <c r="BO116" s="4"/>
      <c r="BP116" s="8"/>
      <c r="BQ116" s="4"/>
      <c r="BR116" s="8"/>
      <c r="BS116" s="7"/>
      <c r="BT116" s="7"/>
      <c r="BU116" s="2" t="s">
        <v>971</v>
      </c>
      <c r="BV116" s="2" t="s">
        <v>200</v>
      </c>
      <c r="BW116" s="2" t="s">
        <v>200</v>
      </c>
      <c r="BX116" s="2" t="s">
        <v>264</v>
      </c>
      <c r="BY116" s="2" t="s">
        <v>247</v>
      </c>
      <c r="BZ116" s="2" t="s">
        <v>212</v>
      </c>
      <c r="CA116" s="2" t="s">
        <v>972</v>
      </c>
      <c r="CB116" s="2" t="s">
        <v>973</v>
      </c>
      <c r="CC116" s="2" t="s">
        <v>213</v>
      </c>
      <c r="CD116" s="2" t="s">
        <v>200</v>
      </c>
      <c r="CE116" s="4">
        <v>65</v>
      </c>
      <c r="CF116" s="4">
        <v>29</v>
      </c>
      <c r="CG116" s="4"/>
      <c r="CH116" s="4">
        <v>10</v>
      </c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</row>
    <row r="117">
      <c r="A117" s="2" t="s">
        <v>974</v>
      </c>
      <c r="B117" s="2" t="s">
        <v>903</v>
      </c>
      <c r="C117" s="2" t="s">
        <v>745</v>
      </c>
      <c r="D117" s="2" t="s">
        <v>918</v>
      </c>
      <c r="E117" s="2" t="s">
        <v>934</v>
      </c>
      <c r="F117" s="2" t="s">
        <v>965</v>
      </c>
      <c r="G117" s="2" t="s">
        <v>965</v>
      </c>
      <c r="H117" s="2" t="s">
        <v>965</v>
      </c>
      <c r="I117" s="2" t="s">
        <v>975</v>
      </c>
      <c r="J117" s="2" t="s">
        <v>612</v>
      </c>
      <c r="K117" s="2" t="s">
        <v>499</v>
      </c>
      <c r="L117" s="3">
        <v>44.1</v>
      </c>
      <c r="M117" s="3">
        <v>46.3</v>
      </c>
      <c r="N117" s="3">
        <v>89.99</v>
      </c>
      <c r="O117" s="2" t="s">
        <v>460</v>
      </c>
      <c r="P117" s="2" t="s">
        <v>760</v>
      </c>
      <c r="Q117" s="2" t="s">
        <v>206</v>
      </c>
      <c r="R117" s="2" t="s">
        <v>200</v>
      </c>
      <c r="S117" s="2" t="s">
        <v>976</v>
      </c>
      <c r="T117" s="2" t="s">
        <v>200</v>
      </c>
      <c r="U117" s="2" t="s">
        <v>200</v>
      </c>
      <c r="V117" s="2" t="s">
        <v>977</v>
      </c>
      <c r="W117" s="2" t="s">
        <v>712</v>
      </c>
      <c r="X117" s="2" t="s">
        <v>970</v>
      </c>
      <c r="Y117" s="2" t="s">
        <v>978</v>
      </c>
      <c r="Z117" s="4">
        <v>27</v>
      </c>
      <c r="AA117" s="4">
        <f>=ROUNDDOWN(6.75,0)</f>
      </c>
      <c r="AB117" s="5">
        <v>4</v>
      </c>
      <c r="AC117" s="2" t="s">
        <v>200</v>
      </c>
      <c r="AD117" s="4"/>
      <c r="AE117" s="4"/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200</v>
      </c>
      <c r="AM117" s="4"/>
      <c r="AN117" s="4"/>
      <c r="AO117" s="7"/>
      <c r="AP117" s="4"/>
      <c r="AQ117" s="8"/>
      <c r="AR117" s="4"/>
      <c r="AS117" s="8"/>
      <c r="AT117" s="7"/>
      <c r="AU117" s="7"/>
      <c r="AV117" s="4"/>
      <c r="AW117" s="8"/>
      <c r="AX117" s="4"/>
      <c r="AY117" s="8"/>
      <c r="AZ117" s="7"/>
      <c r="BA117" s="7"/>
      <c r="BB117" s="7"/>
      <c r="BC117" s="4" t="s">
        <v>200</v>
      </c>
      <c r="BD117" s="8" t="s">
        <v>200</v>
      </c>
      <c r="BE117" s="4" t="s">
        <v>200</v>
      </c>
      <c r="BF117" s="8" t="s">
        <v>200</v>
      </c>
      <c r="BG117" s="7" t="s">
        <v>200</v>
      </c>
      <c r="BH117" s="7" t="s">
        <v>200</v>
      </c>
      <c r="BI117" s="7"/>
      <c r="BJ117" s="4">
        <v>12</v>
      </c>
      <c r="BK117" s="8">
        <v>537.4</v>
      </c>
      <c r="BL117" s="2" t="s">
        <v>370</v>
      </c>
      <c r="BM117" s="7"/>
      <c r="BN117" s="7"/>
      <c r="BO117" s="4"/>
      <c r="BP117" s="8"/>
      <c r="BQ117" s="4"/>
      <c r="BR117" s="8"/>
      <c r="BS117" s="7"/>
      <c r="BT117" s="7"/>
      <c r="BU117" s="2" t="s">
        <v>979</v>
      </c>
      <c r="BV117" s="2" t="s">
        <v>200</v>
      </c>
      <c r="BW117" s="2" t="s">
        <v>200</v>
      </c>
      <c r="BX117" s="2" t="s">
        <v>289</v>
      </c>
      <c r="BY117" s="2" t="s">
        <v>247</v>
      </c>
      <c r="BZ117" s="2" t="s">
        <v>212</v>
      </c>
      <c r="CA117" s="2" t="s">
        <v>980</v>
      </c>
      <c r="CB117" s="2" t="s">
        <v>981</v>
      </c>
      <c r="CC117" s="2" t="s">
        <v>213</v>
      </c>
      <c r="CD117" s="2" t="s">
        <v>200</v>
      </c>
      <c r="CE117" s="4">
        <v>26</v>
      </c>
      <c r="CF117" s="4">
        <v>1</v>
      </c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</row>
    <row r="118">
      <c r="A118" s="2" t="s">
        <v>982</v>
      </c>
      <c r="B118" s="2" t="s">
        <v>903</v>
      </c>
      <c r="C118" s="2" t="s">
        <v>745</v>
      </c>
      <c r="D118" s="2" t="s">
        <v>918</v>
      </c>
      <c r="E118" s="2" t="s">
        <v>919</v>
      </c>
      <c r="F118" s="2" t="s">
        <v>965</v>
      </c>
      <c r="G118" s="2" t="s">
        <v>965</v>
      </c>
      <c r="H118" s="2" t="s">
        <v>965</v>
      </c>
      <c r="I118" s="2" t="s">
        <v>966</v>
      </c>
      <c r="J118" s="2" t="s">
        <v>924</v>
      </c>
      <c r="K118" s="2" t="s">
        <v>223</v>
      </c>
      <c r="L118" s="3">
        <v>58.5</v>
      </c>
      <c r="M118" s="3">
        <v>61.42</v>
      </c>
      <c r="N118" s="3">
        <v>119.99</v>
      </c>
      <c r="O118" s="2" t="s">
        <v>212</v>
      </c>
      <c r="P118" s="2" t="s">
        <v>258</v>
      </c>
      <c r="Q118" s="2" t="s">
        <v>206</v>
      </c>
      <c r="R118" s="2" t="s">
        <v>200</v>
      </c>
      <c r="S118" s="2" t="s">
        <v>983</v>
      </c>
      <c r="T118" s="2" t="s">
        <v>968</v>
      </c>
      <c r="U118" s="2" t="s">
        <v>454</v>
      </c>
      <c r="V118" s="2" t="s">
        <v>885</v>
      </c>
      <c r="W118" s="2" t="s">
        <v>969</v>
      </c>
      <c r="X118" s="2" t="s">
        <v>970</v>
      </c>
      <c r="Y118" s="2" t="s">
        <v>261</v>
      </c>
      <c r="Z118" s="4">
        <v>170</v>
      </c>
      <c r="AA118" s="4">
        <f>=ROUNDDOWN(42.5,0)</f>
      </c>
      <c r="AB118" s="5">
        <v>4</v>
      </c>
      <c r="AC118" s="2" t="s">
        <v>200</v>
      </c>
      <c r="AD118" s="4"/>
      <c r="AE118" s="4"/>
      <c r="AF118" s="6">
        <v>65</v>
      </c>
      <c r="AG118" s="6">
        <v>73</v>
      </c>
      <c r="AH118" s="7">
        <v>1</v>
      </c>
      <c r="AI118" s="4"/>
      <c r="AJ118" s="4">
        <f>=ROUNDDOWN({0},0)</f>
      </c>
      <c r="AK118" s="5"/>
      <c r="AL118" s="2" t="s">
        <v>200</v>
      </c>
      <c r="AM118" s="4"/>
      <c r="AN118" s="4"/>
      <c r="AO118" s="7"/>
      <c r="AP118" s="4"/>
      <c r="AQ118" s="8"/>
      <c r="AR118" s="4"/>
      <c r="AS118" s="8"/>
      <c r="AT118" s="7"/>
      <c r="AU118" s="7"/>
      <c r="AV118" s="4"/>
      <c r="AW118" s="8"/>
      <c r="AX118" s="4"/>
      <c r="AY118" s="8"/>
      <c r="AZ118" s="7"/>
      <c r="BA118" s="7"/>
      <c r="BB118" s="7"/>
      <c r="BC118" s="4" t="s">
        <v>200</v>
      </c>
      <c r="BD118" s="8" t="s">
        <v>200</v>
      </c>
      <c r="BE118" s="4" t="s">
        <v>200</v>
      </c>
      <c r="BF118" s="8" t="s">
        <v>200</v>
      </c>
      <c r="BG118" s="7" t="s">
        <v>200</v>
      </c>
      <c r="BH118" s="7" t="s">
        <v>200</v>
      </c>
      <c r="BI118" s="7"/>
      <c r="BJ118" s="4">
        <v>18</v>
      </c>
      <c r="BK118" s="8">
        <v>1144.62</v>
      </c>
      <c r="BL118" s="2" t="s">
        <v>984</v>
      </c>
      <c r="BM118" s="7"/>
      <c r="BN118" s="7"/>
      <c r="BO118" s="4"/>
      <c r="BP118" s="8"/>
      <c r="BQ118" s="4"/>
      <c r="BR118" s="8"/>
      <c r="BS118" s="7"/>
      <c r="BT118" s="7"/>
      <c r="BU118" s="2" t="s">
        <v>985</v>
      </c>
      <c r="BV118" s="2" t="s">
        <v>200</v>
      </c>
      <c r="BW118" s="2" t="s">
        <v>200</v>
      </c>
      <c r="BX118" s="2" t="s">
        <v>264</v>
      </c>
      <c r="BY118" s="2" t="s">
        <v>247</v>
      </c>
      <c r="BZ118" s="2" t="s">
        <v>212</v>
      </c>
      <c r="CA118" s="2" t="s">
        <v>265</v>
      </c>
      <c r="CB118" s="2" t="s">
        <v>986</v>
      </c>
      <c r="CC118" s="2" t="s">
        <v>213</v>
      </c>
      <c r="CD118" s="2" t="s">
        <v>200</v>
      </c>
      <c r="CE118" s="4">
        <v>120</v>
      </c>
      <c r="CF118" s="4">
        <v>50</v>
      </c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</row>
    <row r="119">
      <c r="A119" s="2" t="s">
        <v>987</v>
      </c>
      <c r="B119" s="2" t="s">
        <v>744</v>
      </c>
      <c r="C119" s="2" t="s">
        <v>607</v>
      </c>
      <c r="D119" s="2" t="s">
        <v>988</v>
      </c>
      <c r="E119" s="2" t="s">
        <v>210</v>
      </c>
      <c r="F119" s="2" t="s">
        <v>989</v>
      </c>
      <c r="G119" s="2" t="s">
        <v>989</v>
      </c>
      <c r="H119" s="2" t="s">
        <v>989</v>
      </c>
      <c r="I119" s="2" t="s">
        <v>200</v>
      </c>
      <c r="J119" s="2" t="s">
        <v>990</v>
      </c>
      <c r="K119" s="2" t="s">
        <v>237</v>
      </c>
      <c r="L119" s="3">
        <v>81.19</v>
      </c>
      <c r="M119" s="3"/>
      <c r="N119" s="3"/>
      <c r="O119" s="2" t="s">
        <v>204</v>
      </c>
      <c r="P119" s="2" t="s">
        <v>200</v>
      </c>
      <c r="Q119" s="2" t="s">
        <v>200</v>
      </c>
      <c r="R119" s="2" t="s">
        <v>200</v>
      </c>
      <c r="S119" s="2" t="s">
        <v>200</v>
      </c>
      <c r="T119" s="2" t="s">
        <v>200</v>
      </c>
      <c r="U119" s="2" t="s">
        <v>200</v>
      </c>
      <c r="V119" s="2" t="s">
        <v>200</v>
      </c>
      <c r="W119" s="2" t="s">
        <v>200</v>
      </c>
      <c r="X119" s="2" t="s">
        <v>200</v>
      </c>
      <c r="Y119" s="2" t="s">
        <v>200</v>
      </c>
      <c r="Z119" s="4"/>
      <c r="AA119" s="4">
        <f>=ROUNDDOWN({0},0)</f>
      </c>
      <c r="AB119" s="5"/>
      <c r="AC119" s="2" t="s">
        <v>200</v>
      </c>
      <c r="AD119" s="4"/>
      <c r="AE119" s="4"/>
      <c r="AF119" s="6"/>
      <c r="AG119" s="6"/>
      <c r="AH119" s="7"/>
      <c r="AI119" s="4"/>
      <c r="AJ119" s="4">
        <f>=ROUNDDOWN({0},0)</f>
      </c>
      <c r="AK119" s="5"/>
      <c r="AL119" s="2" t="s">
        <v>200</v>
      </c>
      <c r="AM119" s="4"/>
      <c r="AN119" s="4"/>
      <c r="AO119" s="7"/>
      <c r="AP119" s="4"/>
      <c r="AQ119" s="8"/>
      <c r="AR119" s="4"/>
      <c r="AS119" s="8"/>
      <c r="AT119" s="7"/>
      <c r="AU119" s="7"/>
      <c r="AV119" s="4"/>
      <c r="AW119" s="8"/>
      <c r="AX119" s="4"/>
      <c r="AY119" s="8"/>
      <c r="AZ119" s="7"/>
      <c r="BA119" s="7"/>
      <c r="BB119" s="7"/>
      <c r="BC119" s="4"/>
      <c r="BD119" s="8"/>
      <c r="BE119" s="4"/>
      <c r="BF119" s="8"/>
      <c r="BG119" s="7"/>
      <c r="BH119" s="7"/>
      <c r="BI119" s="7"/>
      <c r="BJ119" s="4"/>
      <c r="BK119" s="8"/>
      <c r="BL119" s="2" t="s">
        <v>200</v>
      </c>
      <c r="BM119" s="7"/>
      <c r="BN119" s="7"/>
      <c r="BO119" s="4"/>
      <c r="BP119" s="8"/>
      <c r="BQ119" s="4"/>
      <c r="BR119" s="8"/>
      <c r="BS119" s="7"/>
      <c r="BT119" s="7"/>
      <c r="BU119" s="2" t="s">
        <v>200</v>
      </c>
      <c r="BV119" s="2" t="s">
        <v>200</v>
      </c>
      <c r="BW119" s="2" t="s">
        <v>200</v>
      </c>
      <c r="BX119" s="2" t="s">
        <v>200</v>
      </c>
      <c r="BY119" s="2" t="s">
        <v>200</v>
      </c>
      <c r="BZ119" s="2" t="s">
        <v>200</v>
      </c>
      <c r="CA119" s="2" t="s">
        <v>200</v>
      </c>
      <c r="CB119" s="2" t="s">
        <v>200</v>
      </c>
      <c r="CC119" s="2" t="s">
        <v>200</v>
      </c>
      <c r="CD119" s="2" t="s">
        <v>200</v>
      </c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</row>
    <row r="120">
      <c r="A120" s="2" t="s">
        <v>991</v>
      </c>
      <c r="B120" s="2" t="s">
        <v>992</v>
      </c>
      <c r="C120" s="2" t="s">
        <v>231</v>
      </c>
      <c r="D120" s="2" t="s">
        <v>992</v>
      </c>
      <c r="E120" s="2" t="s">
        <v>992</v>
      </c>
      <c r="F120" s="2" t="s">
        <v>993</v>
      </c>
      <c r="G120" s="2" t="s">
        <v>994</v>
      </c>
      <c r="H120" s="2" t="s">
        <v>995</v>
      </c>
      <c r="I120" s="2" t="s">
        <v>996</v>
      </c>
      <c r="J120" s="2" t="s">
        <v>997</v>
      </c>
      <c r="K120" s="2" t="s">
        <v>998</v>
      </c>
      <c r="L120" s="3">
        <v>71.71</v>
      </c>
      <c r="M120" s="3">
        <v>75.3</v>
      </c>
      <c r="N120" s="3">
        <v>159.99</v>
      </c>
      <c r="O120" s="2" t="s">
        <v>460</v>
      </c>
      <c r="P120" s="2" t="s">
        <v>285</v>
      </c>
      <c r="Q120" s="2" t="s">
        <v>206</v>
      </c>
      <c r="R120" s="2" t="s">
        <v>200</v>
      </c>
      <c r="S120" s="2" t="s">
        <v>200</v>
      </c>
      <c r="T120" s="2" t="s">
        <v>200</v>
      </c>
      <c r="U120" s="2" t="s">
        <v>270</v>
      </c>
      <c r="V120" s="2" t="s">
        <v>724</v>
      </c>
      <c r="W120" s="2" t="s">
        <v>379</v>
      </c>
      <c r="X120" s="2" t="s">
        <v>200</v>
      </c>
      <c r="Y120" s="2" t="s">
        <v>999</v>
      </c>
      <c r="Z120" s="4">
        <v>47</v>
      </c>
      <c r="AA120" s="4">
        <f>=ROUNDDOWN(29.375,0)</f>
      </c>
      <c r="AB120" s="5">
        <v>1.6</v>
      </c>
      <c r="AC120" s="2" t="s">
        <v>200</v>
      </c>
      <c r="AD120" s="4"/>
      <c r="AE120" s="4"/>
      <c r="AF120" s="6">
        <v>63</v>
      </c>
      <c r="AG120" s="6"/>
      <c r="AH120" s="7">
        <v>1</v>
      </c>
      <c r="AI120" s="4"/>
      <c r="AJ120" s="4">
        <f>=ROUNDDOWN({0},0)</f>
      </c>
      <c r="AK120" s="5"/>
      <c r="AL120" s="2" t="s">
        <v>200</v>
      </c>
      <c r="AM120" s="4"/>
      <c r="AN120" s="4"/>
      <c r="AO120" s="7"/>
      <c r="AP120" s="4"/>
      <c r="AQ120" s="8"/>
      <c r="AR120" s="4"/>
      <c r="AS120" s="8"/>
      <c r="AT120" s="7"/>
      <c r="AU120" s="7"/>
      <c r="AV120" s="4" t="s">
        <v>200</v>
      </c>
      <c r="AW120" s="8" t="s">
        <v>200</v>
      </c>
      <c r="AX120" s="4" t="s">
        <v>200</v>
      </c>
      <c r="AY120" s="8" t="s">
        <v>200</v>
      </c>
      <c r="AZ120" s="7" t="s">
        <v>200</v>
      </c>
      <c r="BA120" s="7" t="s">
        <v>200</v>
      </c>
      <c r="BB120" s="7"/>
      <c r="BC120" s="4" t="s">
        <v>200</v>
      </c>
      <c r="BD120" s="8" t="s">
        <v>200</v>
      </c>
      <c r="BE120" s="4" t="s">
        <v>200</v>
      </c>
      <c r="BF120" s="8" t="s">
        <v>200</v>
      </c>
      <c r="BG120" s="7" t="s">
        <v>200</v>
      </c>
      <c r="BH120" s="7" t="s">
        <v>200</v>
      </c>
      <c r="BI120" s="7"/>
      <c r="BJ120" s="4">
        <v>2</v>
      </c>
      <c r="BK120" s="8">
        <v>114.74</v>
      </c>
      <c r="BL120" s="2" t="s">
        <v>1000</v>
      </c>
      <c r="BM120" s="7"/>
      <c r="BN120" s="7"/>
      <c r="BO120" s="4"/>
      <c r="BP120" s="8"/>
      <c r="BQ120" s="4"/>
      <c r="BR120" s="8"/>
      <c r="BS120" s="7"/>
      <c r="BT120" s="7"/>
      <c r="BU120" s="2" t="s">
        <v>1001</v>
      </c>
      <c r="BV120" s="2" t="s">
        <v>200</v>
      </c>
      <c r="BW120" s="2" t="s">
        <v>200</v>
      </c>
      <c r="BX120" s="2" t="s">
        <v>289</v>
      </c>
      <c r="BY120" s="2" t="s">
        <v>247</v>
      </c>
      <c r="BZ120" s="2" t="s">
        <v>212</v>
      </c>
      <c r="CA120" s="2" t="s">
        <v>1002</v>
      </c>
      <c r="CB120" s="2" t="s">
        <v>1003</v>
      </c>
      <c r="CC120" s="2" t="s">
        <v>213</v>
      </c>
      <c r="CD120" s="2" t="s">
        <v>200</v>
      </c>
      <c r="CE120" s="4"/>
      <c r="CF120" s="4">
        <v>47</v>
      </c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</row>
    <row r="121">
      <c r="A121" s="2" t="s">
        <v>1004</v>
      </c>
      <c r="B121" s="2" t="s">
        <v>992</v>
      </c>
      <c r="C121" s="2" t="s">
        <v>231</v>
      </c>
      <c r="D121" s="2" t="s">
        <v>992</v>
      </c>
      <c r="E121" s="2" t="s">
        <v>992</v>
      </c>
      <c r="F121" s="2" t="s">
        <v>993</v>
      </c>
      <c r="G121" s="2" t="s">
        <v>994</v>
      </c>
      <c r="H121" s="2" t="s">
        <v>995</v>
      </c>
      <c r="I121" s="2" t="s">
        <v>996</v>
      </c>
      <c r="J121" s="2" t="s">
        <v>1005</v>
      </c>
      <c r="K121" s="2" t="s">
        <v>998</v>
      </c>
      <c r="L121" s="3">
        <v>114.18</v>
      </c>
      <c r="M121" s="3">
        <v>119.89</v>
      </c>
      <c r="N121" s="3">
        <v>254.99</v>
      </c>
      <c r="O121" s="2" t="s">
        <v>460</v>
      </c>
      <c r="P121" s="2" t="s">
        <v>285</v>
      </c>
      <c r="Q121" s="2" t="s">
        <v>206</v>
      </c>
      <c r="R121" s="2" t="s">
        <v>200</v>
      </c>
      <c r="S121" s="2" t="s">
        <v>200</v>
      </c>
      <c r="T121" s="2" t="s">
        <v>200</v>
      </c>
      <c r="U121" s="2" t="s">
        <v>270</v>
      </c>
      <c r="V121" s="2" t="s">
        <v>724</v>
      </c>
      <c r="W121" s="2" t="s">
        <v>379</v>
      </c>
      <c r="X121" s="2" t="s">
        <v>200</v>
      </c>
      <c r="Y121" s="2" t="s">
        <v>999</v>
      </c>
      <c r="Z121" s="4">
        <v>91</v>
      </c>
      <c r="AA121" s="4">
        <f>=ROUNDDOWN(36.4,0)</f>
      </c>
      <c r="AB121" s="5">
        <v>2.5</v>
      </c>
      <c r="AC121" s="2" t="s">
        <v>200</v>
      </c>
      <c r="AD121" s="4"/>
      <c r="AE121" s="4"/>
      <c r="AF121" s="6">
        <v>63</v>
      </c>
      <c r="AG121" s="6"/>
      <c r="AH121" s="7">
        <v>1</v>
      </c>
      <c r="AI121" s="4"/>
      <c r="AJ121" s="4">
        <f>=ROUNDDOWN({0},0)</f>
      </c>
      <c r="AK121" s="5"/>
      <c r="AL121" s="2" t="s">
        <v>200</v>
      </c>
      <c r="AM121" s="4"/>
      <c r="AN121" s="4"/>
      <c r="AO121" s="7"/>
      <c r="AP121" s="4"/>
      <c r="AQ121" s="8"/>
      <c r="AR121" s="4"/>
      <c r="AS121" s="8"/>
      <c r="AT121" s="7"/>
      <c r="AU121" s="7"/>
      <c r="AV121" s="4" t="s">
        <v>200</v>
      </c>
      <c r="AW121" s="8" t="s">
        <v>200</v>
      </c>
      <c r="AX121" s="4" t="s">
        <v>200</v>
      </c>
      <c r="AY121" s="8" t="s">
        <v>200</v>
      </c>
      <c r="AZ121" s="7" t="s">
        <v>200</v>
      </c>
      <c r="BA121" s="7" t="s">
        <v>200</v>
      </c>
      <c r="BB121" s="7"/>
      <c r="BC121" s="4" t="s">
        <v>200</v>
      </c>
      <c r="BD121" s="8" t="s">
        <v>200</v>
      </c>
      <c r="BE121" s="4" t="s">
        <v>200</v>
      </c>
      <c r="BF121" s="8" t="s">
        <v>200</v>
      </c>
      <c r="BG121" s="7" t="s">
        <v>200</v>
      </c>
      <c r="BH121" s="7" t="s">
        <v>200</v>
      </c>
      <c r="BI121" s="7"/>
      <c r="BJ121" s="4">
        <v>3</v>
      </c>
      <c r="BK121" s="8">
        <v>384.36</v>
      </c>
      <c r="BL121" s="2" t="s">
        <v>1006</v>
      </c>
      <c r="BM121" s="7"/>
      <c r="BN121" s="7"/>
      <c r="BO121" s="4"/>
      <c r="BP121" s="8"/>
      <c r="BQ121" s="4"/>
      <c r="BR121" s="8"/>
      <c r="BS121" s="7"/>
      <c r="BT121" s="7"/>
      <c r="BU121" s="2" t="s">
        <v>1007</v>
      </c>
      <c r="BV121" s="2" t="s">
        <v>200</v>
      </c>
      <c r="BW121" s="2" t="s">
        <v>200</v>
      </c>
      <c r="BX121" s="2" t="s">
        <v>289</v>
      </c>
      <c r="BY121" s="2" t="s">
        <v>247</v>
      </c>
      <c r="BZ121" s="2" t="s">
        <v>212</v>
      </c>
      <c r="CA121" s="2" t="s">
        <v>1002</v>
      </c>
      <c r="CB121" s="2" t="s">
        <v>1008</v>
      </c>
      <c r="CC121" s="2" t="s">
        <v>213</v>
      </c>
      <c r="CD121" s="2" t="s">
        <v>200</v>
      </c>
      <c r="CE121" s="4"/>
      <c r="CF121" s="4">
        <v>91</v>
      </c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</row>
    <row r="122">
      <c r="A122" s="2" t="s">
        <v>1009</v>
      </c>
      <c r="B122" s="2" t="s">
        <v>827</v>
      </c>
      <c r="C122" s="2" t="s">
        <v>1010</v>
      </c>
      <c r="D122" s="2" t="s">
        <v>828</v>
      </c>
      <c r="E122" s="2" t="s">
        <v>1011</v>
      </c>
      <c r="F122" s="2" t="s">
        <v>1012</v>
      </c>
      <c r="G122" s="2" t="s">
        <v>1013</v>
      </c>
      <c r="H122" s="2" t="s">
        <v>1014</v>
      </c>
      <c r="I122" s="2" t="s">
        <v>1015</v>
      </c>
      <c r="J122" s="2" t="s">
        <v>1016</v>
      </c>
      <c r="K122" s="2" t="s">
        <v>1017</v>
      </c>
      <c r="L122" s="3">
        <v>16.8</v>
      </c>
      <c r="M122" s="3">
        <v>17.64</v>
      </c>
      <c r="N122" s="3">
        <v>39.99</v>
      </c>
      <c r="O122" s="2" t="s">
        <v>212</v>
      </c>
      <c r="P122" s="2" t="s">
        <v>285</v>
      </c>
      <c r="Q122" s="2" t="s">
        <v>206</v>
      </c>
      <c r="R122" s="2" t="s">
        <v>200</v>
      </c>
      <c r="S122" s="2" t="s">
        <v>1018</v>
      </c>
      <c r="T122" s="2" t="s">
        <v>200</v>
      </c>
      <c r="U122" s="2" t="s">
        <v>270</v>
      </c>
      <c r="V122" s="2" t="s">
        <v>1019</v>
      </c>
      <c r="W122" s="2" t="s">
        <v>200</v>
      </c>
      <c r="X122" s="2" t="s">
        <v>1020</v>
      </c>
      <c r="Y122" s="2" t="s">
        <v>852</v>
      </c>
      <c r="Z122" s="4">
        <v>1</v>
      </c>
      <c r="AA122" s="4">
        <f>=ROUNDDOWN(0.0526315789473684,0)</f>
      </c>
      <c r="AB122" s="5">
        <v>19</v>
      </c>
      <c r="AC122" s="2" t="s">
        <v>200</v>
      </c>
      <c r="AD122" s="4"/>
      <c r="AE122" s="4"/>
      <c r="AF122" s="6">
        <v>68</v>
      </c>
      <c r="AG122" s="6"/>
      <c r="AH122" s="7">
        <v>0.9667</v>
      </c>
      <c r="AI122" s="4"/>
      <c r="AJ122" s="4">
        <f>=ROUNDDOWN({0},0)</f>
      </c>
      <c r="AK122" s="5"/>
      <c r="AL122" s="2" t="s">
        <v>200</v>
      </c>
      <c r="AM122" s="4"/>
      <c r="AN122" s="4"/>
      <c r="AO122" s="7"/>
      <c r="AP122" s="4"/>
      <c r="AQ122" s="8"/>
      <c r="AR122" s="4"/>
      <c r="AS122" s="8"/>
      <c r="AT122" s="7"/>
      <c r="AU122" s="7"/>
      <c r="AV122" s="4"/>
      <c r="AW122" s="8"/>
      <c r="AX122" s="4"/>
      <c r="AY122" s="8"/>
      <c r="AZ122" s="7"/>
      <c r="BA122" s="7"/>
      <c r="BB122" s="7"/>
      <c r="BC122" s="4" t="s">
        <v>200</v>
      </c>
      <c r="BD122" s="8" t="s">
        <v>200</v>
      </c>
      <c r="BE122" s="4" t="s">
        <v>200</v>
      </c>
      <c r="BF122" s="8" t="s">
        <v>200</v>
      </c>
      <c r="BG122" s="7" t="s">
        <v>200</v>
      </c>
      <c r="BH122" s="7" t="s">
        <v>200</v>
      </c>
      <c r="BI122" s="7"/>
      <c r="BJ122" s="4">
        <v>138</v>
      </c>
      <c r="BK122" s="8">
        <v>4159.96</v>
      </c>
      <c r="BL122" s="2" t="s">
        <v>1021</v>
      </c>
      <c r="BM122" s="7"/>
      <c r="BN122" s="7"/>
      <c r="BO122" s="4"/>
      <c r="BP122" s="8"/>
      <c r="BQ122" s="4"/>
      <c r="BR122" s="8"/>
      <c r="BS122" s="7"/>
      <c r="BT122" s="7"/>
      <c r="BU122" s="2" t="s">
        <v>1022</v>
      </c>
      <c r="BV122" s="2" t="s">
        <v>200</v>
      </c>
      <c r="BW122" s="2" t="s">
        <v>200</v>
      </c>
      <c r="BX122" s="2" t="s">
        <v>289</v>
      </c>
      <c r="BY122" s="2" t="s">
        <v>247</v>
      </c>
      <c r="BZ122" s="2" t="s">
        <v>212</v>
      </c>
      <c r="CA122" s="2" t="s">
        <v>1023</v>
      </c>
      <c r="CB122" s="2" t="s">
        <v>1024</v>
      </c>
      <c r="CC122" s="2" t="s">
        <v>213</v>
      </c>
      <c r="CD122" s="2" t="s">
        <v>200</v>
      </c>
      <c r="CE122" s="4">
        <v>1</v>
      </c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</row>
    <row r="123">
      <c r="A123" s="2" t="s">
        <v>1025</v>
      </c>
      <c r="B123" s="2" t="s">
        <v>705</v>
      </c>
      <c r="C123" s="2" t="s">
        <v>730</v>
      </c>
      <c r="D123" s="2" t="s">
        <v>707</v>
      </c>
      <c r="E123" s="2" t="s">
        <v>708</v>
      </c>
      <c r="F123" s="2" t="s">
        <v>1012</v>
      </c>
      <c r="G123" s="2" t="s">
        <v>1012</v>
      </c>
      <c r="H123" s="2" t="s">
        <v>1012</v>
      </c>
      <c r="I123" s="2" t="s">
        <v>1026</v>
      </c>
      <c r="J123" s="2" t="s">
        <v>711</v>
      </c>
      <c r="K123" s="2" t="s">
        <v>1027</v>
      </c>
      <c r="L123" s="3">
        <v>56.88</v>
      </c>
      <c r="M123" s="3">
        <v>59.72</v>
      </c>
      <c r="N123" s="3">
        <v>129.99</v>
      </c>
      <c r="O123" s="2" t="s">
        <v>460</v>
      </c>
      <c r="P123" s="2" t="s">
        <v>285</v>
      </c>
      <c r="Q123" s="2" t="s">
        <v>206</v>
      </c>
      <c r="R123" s="2" t="s">
        <v>200</v>
      </c>
      <c r="S123" s="2" t="s">
        <v>200</v>
      </c>
      <c r="T123" s="2" t="s">
        <v>200</v>
      </c>
      <c r="U123" s="2" t="s">
        <v>270</v>
      </c>
      <c r="V123" s="2" t="s">
        <v>616</v>
      </c>
      <c r="W123" s="2" t="s">
        <v>242</v>
      </c>
      <c r="X123" s="2" t="s">
        <v>737</v>
      </c>
      <c r="Y123" s="2" t="s">
        <v>1028</v>
      </c>
      <c r="Z123" s="4">
        <v>93</v>
      </c>
      <c r="AA123" s="4">
        <f>=ROUNDDOWN(93,0)</f>
      </c>
      <c r="AB123" s="5">
        <v>1</v>
      </c>
      <c r="AC123" s="2" t="s">
        <v>200</v>
      </c>
      <c r="AD123" s="4"/>
      <c r="AE123" s="4"/>
      <c r="AF123" s="6">
        <v>63</v>
      </c>
      <c r="AG123" s="6"/>
      <c r="AH123" s="7">
        <v>1</v>
      </c>
      <c r="AI123" s="4"/>
      <c r="AJ123" s="4">
        <f>=ROUNDDOWN({0},0)</f>
      </c>
      <c r="AK123" s="5"/>
      <c r="AL123" s="2" t="s">
        <v>200</v>
      </c>
      <c r="AM123" s="4"/>
      <c r="AN123" s="4"/>
      <c r="AO123" s="7"/>
      <c r="AP123" s="4"/>
      <c r="AQ123" s="8"/>
      <c r="AR123" s="4"/>
      <c r="AS123" s="8"/>
      <c r="AT123" s="7"/>
      <c r="AU123" s="7"/>
      <c r="AV123" s="4"/>
      <c r="AW123" s="8"/>
      <c r="AX123" s="4"/>
      <c r="AY123" s="8"/>
      <c r="AZ123" s="7"/>
      <c r="BA123" s="7"/>
      <c r="BB123" s="7"/>
      <c r="BC123" s="4" t="s">
        <v>200</v>
      </c>
      <c r="BD123" s="8" t="s">
        <v>200</v>
      </c>
      <c r="BE123" s="4" t="s">
        <v>200</v>
      </c>
      <c r="BF123" s="8" t="s">
        <v>200</v>
      </c>
      <c r="BG123" s="7" t="s">
        <v>200</v>
      </c>
      <c r="BH123" s="7" t="s">
        <v>200</v>
      </c>
      <c r="BI123" s="7"/>
      <c r="BJ123" s="4"/>
      <c r="BK123" s="8"/>
      <c r="BL123" s="2" t="s">
        <v>1029</v>
      </c>
      <c r="BM123" s="7"/>
      <c r="BN123" s="7"/>
      <c r="BO123" s="4"/>
      <c r="BP123" s="8"/>
      <c r="BQ123" s="4"/>
      <c r="BR123" s="8"/>
      <c r="BS123" s="7"/>
      <c r="BT123" s="7"/>
      <c r="BU123" s="2" t="s">
        <v>1030</v>
      </c>
      <c r="BV123" s="2" t="s">
        <v>200</v>
      </c>
      <c r="BW123" s="2" t="s">
        <v>200</v>
      </c>
      <c r="BX123" s="2" t="s">
        <v>289</v>
      </c>
      <c r="BY123" s="2" t="s">
        <v>247</v>
      </c>
      <c r="BZ123" s="2" t="s">
        <v>212</v>
      </c>
      <c r="CA123" s="2" t="s">
        <v>1031</v>
      </c>
      <c r="CB123" s="2" t="s">
        <v>1032</v>
      </c>
      <c r="CC123" s="2" t="s">
        <v>213</v>
      </c>
      <c r="CD123" s="2" t="s">
        <v>200</v>
      </c>
      <c r="CE123" s="4"/>
      <c r="CF123" s="4">
        <v>93</v>
      </c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</row>
    <row r="124">
      <c r="A124" s="2" t="s">
        <v>1033</v>
      </c>
      <c r="B124" s="2" t="s">
        <v>744</v>
      </c>
      <c r="C124" s="2" t="s">
        <v>231</v>
      </c>
      <c r="D124" s="2" t="s">
        <v>1034</v>
      </c>
      <c r="E124" s="2" t="s">
        <v>1035</v>
      </c>
      <c r="F124" s="2" t="s">
        <v>1012</v>
      </c>
      <c r="G124" s="2" t="s">
        <v>1036</v>
      </c>
      <c r="H124" s="2" t="s">
        <v>1037</v>
      </c>
      <c r="I124" s="2" t="s">
        <v>1038</v>
      </c>
      <c r="J124" s="2" t="s">
        <v>297</v>
      </c>
      <c r="K124" s="2" t="s">
        <v>223</v>
      </c>
      <c r="L124" s="3">
        <v>180.5</v>
      </c>
      <c r="M124" s="3">
        <v>189.52</v>
      </c>
      <c r="N124" s="3">
        <v>379</v>
      </c>
      <c r="O124" s="2" t="s">
        <v>212</v>
      </c>
      <c r="P124" s="2" t="s">
        <v>258</v>
      </c>
      <c r="Q124" s="2" t="s">
        <v>206</v>
      </c>
      <c r="R124" s="2" t="s">
        <v>200</v>
      </c>
      <c r="S124" s="2" t="s">
        <v>200</v>
      </c>
      <c r="T124" s="2" t="s">
        <v>200</v>
      </c>
      <c r="U124" s="2" t="s">
        <v>270</v>
      </c>
      <c r="V124" s="2" t="s">
        <v>208</v>
      </c>
      <c r="W124" s="2" t="s">
        <v>419</v>
      </c>
      <c r="X124" s="2" t="s">
        <v>200</v>
      </c>
      <c r="Y124" s="2" t="s">
        <v>1039</v>
      </c>
      <c r="Z124" s="4">
        <v>71</v>
      </c>
      <c r="AA124" s="4">
        <f>=ROUNDDOWN(11.09375,0)</f>
      </c>
      <c r="AB124" s="5">
        <v>6.4</v>
      </c>
      <c r="AC124" s="2" t="s">
        <v>1040</v>
      </c>
      <c r="AD124" s="4">
        <v>60</v>
      </c>
      <c r="AE124" s="4">
        <v>168</v>
      </c>
      <c r="AF124" s="6">
        <v>74</v>
      </c>
      <c r="AG124" s="6"/>
      <c r="AH124" s="7">
        <v>1</v>
      </c>
      <c r="AI124" s="4"/>
      <c r="AJ124" s="4">
        <f>=ROUNDDOWN({0},0)</f>
      </c>
      <c r="AK124" s="5"/>
      <c r="AL124" s="2" t="s">
        <v>200</v>
      </c>
      <c r="AM124" s="4"/>
      <c r="AN124" s="4"/>
      <c r="AO124" s="7"/>
      <c r="AP124" s="4"/>
      <c r="AQ124" s="8"/>
      <c r="AR124" s="4"/>
      <c r="AS124" s="8"/>
      <c r="AT124" s="7"/>
      <c r="AU124" s="7"/>
      <c r="AV124" s="4" t="s">
        <v>200</v>
      </c>
      <c r="AW124" s="8" t="s">
        <v>200</v>
      </c>
      <c r="AX124" s="4" t="s">
        <v>200</v>
      </c>
      <c r="AY124" s="8" t="s">
        <v>200</v>
      </c>
      <c r="AZ124" s="7" t="s">
        <v>200</v>
      </c>
      <c r="BA124" s="7" t="s">
        <v>200</v>
      </c>
      <c r="BB124" s="7"/>
      <c r="BC124" s="4" t="s">
        <v>200</v>
      </c>
      <c r="BD124" s="8" t="s">
        <v>200</v>
      </c>
      <c r="BE124" s="4" t="s">
        <v>200</v>
      </c>
      <c r="BF124" s="8" t="s">
        <v>200</v>
      </c>
      <c r="BG124" s="7" t="s">
        <v>200</v>
      </c>
      <c r="BH124" s="7" t="s">
        <v>200</v>
      </c>
      <c r="BI124" s="7"/>
      <c r="BJ124" s="4">
        <v>23</v>
      </c>
      <c r="BK124" s="8">
        <v>3947.27</v>
      </c>
      <c r="BL124" s="2" t="s">
        <v>1041</v>
      </c>
      <c r="BM124" s="7"/>
      <c r="BN124" s="7"/>
      <c r="BO124" s="4"/>
      <c r="BP124" s="8"/>
      <c r="BQ124" s="4"/>
      <c r="BR124" s="8"/>
      <c r="BS124" s="7"/>
      <c r="BT124" s="7"/>
      <c r="BU124" s="2" t="s">
        <v>1042</v>
      </c>
      <c r="BV124" s="2" t="s">
        <v>200</v>
      </c>
      <c r="BW124" s="2" t="s">
        <v>200</v>
      </c>
      <c r="BX124" s="2" t="s">
        <v>620</v>
      </c>
      <c r="BY124" s="2" t="s">
        <v>247</v>
      </c>
      <c r="BZ124" s="2" t="s">
        <v>212</v>
      </c>
      <c r="CA124" s="2" t="s">
        <v>1043</v>
      </c>
      <c r="CB124" s="2" t="s">
        <v>1044</v>
      </c>
      <c r="CC124" s="2" t="s">
        <v>213</v>
      </c>
      <c r="CD124" s="2" t="s">
        <v>200</v>
      </c>
      <c r="CE124" s="4"/>
      <c r="CF124" s="4">
        <v>71</v>
      </c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>
        <v>60</v>
      </c>
      <c r="DW124" s="4"/>
      <c r="DX124" s="4"/>
      <c r="DY124" s="4"/>
      <c r="DZ124" s="4"/>
      <c r="EA124" s="4"/>
      <c r="EB124" s="4"/>
      <c r="EC124" s="4"/>
      <c r="ED124" s="4">
        <v>8</v>
      </c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>
        <v>100</v>
      </c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</row>
    <row r="125">
      <c r="A125" s="2" t="s">
        <v>1045</v>
      </c>
      <c r="B125" s="2" t="s">
        <v>827</v>
      </c>
      <c r="C125" s="2" t="s">
        <v>1010</v>
      </c>
      <c r="D125" s="2" t="s">
        <v>828</v>
      </c>
      <c r="E125" s="2" t="s">
        <v>1011</v>
      </c>
      <c r="F125" s="2" t="s">
        <v>1012</v>
      </c>
      <c r="G125" s="2" t="s">
        <v>1013</v>
      </c>
      <c r="H125" s="2" t="s">
        <v>1014</v>
      </c>
      <c r="I125" s="2" t="s">
        <v>1015</v>
      </c>
      <c r="J125" s="2" t="s">
        <v>1016</v>
      </c>
      <c r="K125" s="2" t="s">
        <v>223</v>
      </c>
      <c r="L125" s="3">
        <v>16.8</v>
      </c>
      <c r="M125" s="3">
        <v>17.64</v>
      </c>
      <c r="N125" s="3">
        <v>39.99</v>
      </c>
      <c r="O125" s="2" t="s">
        <v>212</v>
      </c>
      <c r="P125" s="2" t="s">
        <v>285</v>
      </c>
      <c r="Q125" s="2" t="s">
        <v>206</v>
      </c>
      <c r="R125" s="2" t="s">
        <v>200</v>
      </c>
      <c r="S125" s="2" t="s">
        <v>1046</v>
      </c>
      <c r="T125" s="2" t="s">
        <v>200</v>
      </c>
      <c r="U125" s="2" t="s">
        <v>270</v>
      </c>
      <c r="V125" s="2" t="s">
        <v>1019</v>
      </c>
      <c r="W125" s="2" t="s">
        <v>200</v>
      </c>
      <c r="X125" s="2" t="s">
        <v>1020</v>
      </c>
      <c r="Y125" s="2" t="s">
        <v>852</v>
      </c>
      <c r="Z125" s="4">
        <v>41</v>
      </c>
      <c r="AA125" s="4">
        <f>=ROUNDDOWN(4.1,0)</f>
      </c>
      <c r="AB125" s="5">
        <v>10</v>
      </c>
      <c r="AC125" s="2" t="s">
        <v>200</v>
      </c>
      <c r="AD125" s="4"/>
      <c r="AE125" s="4"/>
      <c r="AF125" s="6">
        <v>68</v>
      </c>
      <c r="AG125" s="6"/>
      <c r="AH125" s="7">
        <v>1</v>
      </c>
      <c r="AI125" s="4"/>
      <c r="AJ125" s="4">
        <f>=ROUNDDOWN({0},0)</f>
      </c>
      <c r="AK125" s="5"/>
      <c r="AL125" s="2" t="s">
        <v>200</v>
      </c>
      <c r="AM125" s="4"/>
      <c r="AN125" s="4"/>
      <c r="AO125" s="7"/>
      <c r="AP125" s="4"/>
      <c r="AQ125" s="8"/>
      <c r="AR125" s="4"/>
      <c r="AS125" s="8"/>
      <c r="AT125" s="7"/>
      <c r="AU125" s="7"/>
      <c r="AV125" s="4" t="s">
        <v>200</v>
      </c>
      <c r="AW125" s="8" t="s">
        <v>200</v>
      </c>
      <c r="AX125" s="4" t="s">
        <v>200</v>
      </c>
      <c r="AY125" s="8" t="s">
        <v>200</v>
      </c>
      <c r="AZ125" s="7" t="s">
        <v>200</v>
      </c>
      <c r="BA125" s="7" t="s">
        <v>200</v>
      </c>
      <c r="BB125" s="7"/>
      <c r="BC125" s="4" t="s">
        <v>200</v>
      </c>
      <c r="BD125" s="8" t="s">
        <v>200</v>
      </c>
      <c r="BE125" s="4" t="s">
        <v>200</v>
      </c>
      <c r="BF125" s="8" t="s">
        <v>200</v>
      </c>
      <c r="BG125" s="7" t="s">
        <v>200</v>
      </c>
      <c r="BH125" s="7" t="s">
        <v>200</v>
      </c>
      <c r="BI125" s="7"/>
      <c r="BJ125" s="4">
        <v>56</v>
      </c>
      <c r="BK125" s="8">
        <v>1014.36</v>
      </c>
      <c r="BL125" s="2" t="s">
        <v>1047</v>
      </c>
      <c r="BM125" s="7"/>
      <c r="BN125" s="7"/>
      <c r="BO125" s="4"/>
      <c r="BP125" s="8"/>
      <c r="BQ125" s="4"/>
      <c r="BR125" s="8"/>
      <c r="BS125" s="7"/>
      <c r="BT125" s="7"/>
      <c r="BU125" s="2" t="s">
        <v>1048</v>
      </c>
      <c r="BV125" s="2" t="s">
        <v>200</v>
      </c>
      <c r="BW125" s="2" t="s">
        <v>200</v>
      </c>
      <c r="BX125" s="2" t="s">
        <v>289</v>
      </c>
      <c r="BY125" s="2" t="s">
        <v>247</v>
      </c>
      <c r="BZ125" s="2" t="s">
        <v>212</v>
      </c>
      <c r="CA125" s="2" t="s">
        <v>1049</v>
      </c>
      <c r="CB125" s="2" t="s">
        <v>1050</v>
      </c>
      <c r="CC125" s="2" t="s">
        <v>213</v>
      </c>
      <c r="CD125" s="2" t="s">
        <v>200</v>
      </c>
      <c r="CE125" s="4">
        <v>41</v>
      </c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</row>
    <row r="126">
      <c r="A126" s="2" t="s">
        <v>1051</v>
      </c>
      <c r="B126" s="2" t="s">
        <v>827</v>
      </c>
      <c r="C126" s="2" t="s">
        <v>1010</v>
      </c>
      <c r="D126" s="2" t="s">
        <v>828</v>
      </c>
      <c r="E126" s="2" t="s">
        <v>1011</v>
      </c>
      <c r="F126" s="2" t="s">
        <v>1012</v>
      </c>
      <c r="G126" s="2" t="s">
        <v>1013</v>
      </c>
      <c r="H126" s="2" t="s">
        <v>1014</v>
      </c>
      <c r="I126" s="2" t="s">
        <v>1015</v>
      </c>
      <c r="J126" s="2" t="s">
        <v>1016</v>
      </c>
      <c r="K126" s="2" t="s">
        <v>257</v>
      </c>
      <c r="L126" s="3">
        <v>16.8</v>
      </c>
      <c r="M126" s="3">
        <v>17.64</v>
      </c>
      <c r="N126" s="3">
        <v>39.99</v>
      </c>
      <c r="O126" s="2" t="s">
        <v>212</v>
      </c>
      <c r="P126" s="2" t="s">
        <v>285</v>
      </c>
      <c r="Q126" s="2" t="s">
        <v>206</v>
      </c>
      <c r="R126" s="2" t="s">
        <v>200</v>
      </c>
      <c r="S126" s="2" t="s">
        <v>1052</v>
      </c>
      <c r="T126" s="2" t="s">
        <v>200</v>
      </c>
      <c r="U126" s="2" t="s">
        <v>270</v>
      </c>
      <c r="V126" s="2" t="s">
        <v>1019</v>
      </c>
      <c r="W126" s="2" t="s">
        <v>200</v>
      </c>
      <c r="X126" s="2" t="s">
        <v>1020</v>
      </c>
      <c r="Y126" s="2" t="s">
        <v>852</v>
      </c>
      <c r="Z126" s="4">
        <v>39</v>
      </c>
      <c r="AA126" s="4">
        <f>=ROUNDDOWN(2.4375,0)</f>
      </c>
      <c r="AB126" s="5">
        <v>16</v>
      </c>
      <c r="AC126" s="2" t="s">
        <v>200</v>
      </c>
      <c r="AD126" s="4"/>
      <c r="AE126" s="4"/>
      <c r="AF126" s="6">
        <v>68</v>
      </c>
      <c r="AG126" s="6"/>
      <c r="AH126" s="7">
        <v>1</v>
      </c>
      <c r="AI126" s="4"/>
      <c r="AJ126" s="4">
        <f>=ROUNDDOWN({0},0)</f>
      </c>
      <c r="AK126" s="5"/>
      <c r="AL126" s="2" t="s">
        <v>200</v>
      </c>
      <c r="AM126" s="4"/>
      <c r="AN126" s="4"/>
      <c r="AO126" s="7"/>
      <c r="AP126" s="4"/>
      <c r="AQ126" s="8"/>
      <c r="AR126" s="4"/>
      <c r="AS126" s="8"/>
      <c r="AT126" s="7"/>
      <c r="AU126" s="7"/>
      <c r="AV126" s="4" t="s">
        <v>200</v>
      </c>
      <c r="AW126" s="8" t="s">
        <v>200</v>
      </c>
      <c r="AX126" s="4" t="s">
        <v>200</v>
      </c>
      <c r="AY126" s="8" t="s">
        <v>200</v>
      </c>
      <c r="AZ126" s="7" t="s">
        <v>200</v>
      </c>
      <c r="BA126" s="7" t="s">
        <v>200</v>
      </c>
      <c r="BB126" s="7"/>
      <c r="BC126" s="4" t="s">
        <v>200</v>
      </c>
      <c r="BD126" s="8" t="s">
        <v>200</v>
      </c>
      <c r="BE126" s="4" t="s">
        <v>200</v>
      </c>
      <c r="BF126" s="8" t="s">
        <v>200</v>
      </c>
      <c r="BG126" s="7" t="s">
        <v>200</v>
      </c>
      <c r="BH126" s="7" t="s">
        <v>200</v>
      </c>
      <c r="BI126" s="7"/>
      <c r="BJ126" s="4">
        <v>53</v>
      </c>
      <c r="BK126" s="8">
        <v>1349.74</v>
      </c>
      <c r="BL126" s="2" t="s">
        <v>1053</v>
      </c>
      <c r="BM126" s="7"/>
      <c r="BN126" s="7"/>
      <c r="BO126" s="4"/>
      <c r="BP126" s="8"/>
      <c r="BQ126" s="4"/>
      <c r="BR126" s="8"/>
      <c r="BS126" s="7"/>
      <c r="BT126" s="7"/>
      <c r="BU126" s="2" t="s">
        <v>1054</v>
      </c>
      <c r="BV126" s="2" t="s">
        <v>200</v>
      </c>
      <c r="BW126" s="2" t="s">
        <v>200</v>
      </c>
      <c r="BX126" s="2" t="s">
        <v>289</v>
      </c>
      <c r="BY126" s="2" t="s">
        <v>247</v>
      </c>
      <c r="BZ126" s="2" t="s">
        <v>212</v>
      </c>
      <c r="CA126" s="2" t="s">
        <v>1049</v>
      </c>
      <c r="CB126" s="2" t="s">
        <v>1055</v>
      </c>
      <c r="CC126" s="2" t="s">
        <v>213</v>
      </c>
      <c r="CD126" s="2" t="s">
        <v>200</v>
      </c>
      <c r="CE126" s="4">
        <v>39</v>
      </c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</row>
    <row r="127">
      <c r="A127" s="2" t="s">
        <v>1056</v>
      </c>
      <c r="B127" s="2" t="s">
        <v>827</v>
      </c>
      <c r="C127" s="2" t="s">
        <v>1010</v>
      </c>
      <c r="D127" s="2" t="s">
        <v>828</v>
      </c>
      <c r="E127" s="2" t="s">
        <v>1011</v>
      </c>
      <c r="F127" s="2" t="s">
        <v>1012</v>
      </c>
      <c r="G127" s="2" t="s">
        <v>1013</v>
      </c>
      <c r="H127" s="2" t="s">
        <v>1014</v>
      </c>
      <c r="I127" s="2" t="s">
        <v>1015</v>
      </c>
      <c r="J127" s="2" t="s">
        <v>1057</v>
      </c>
      <c r="K127" s="2" t="s">
        <v>257</v>
      </c>
      <c r="L127" s="3">
        <v>21</v>
      </c>
      <c r="M127" s="3">
        <v>22.05</v>
      </c>
      <c r="N127" s="3">
        <v>49.99</v>
      </c>
      <c r="O127" s="2" t="s">
        <v>212</v>
      </c>
      <c r="P127" s="2" t="s">
        <v>285</v>
      </c>
      <c r="Q127" s="2" t="s">
        <v>206</v>
      </c>
      <c r="R127" s="2" t="s">
        <v>200</v>
      </c>
      <c r="S127" s="2" t="s">
        <v>1052</v>
      </c>
      <c r="T127" s="2" t="s">
        <v>200</v>
      </c>
      <c r="U127" s="2" t="s">
        <v>270</v>
      </c>
      <c r="V127" s="2" t="s">
        <v>1019</v>
      </c>
      <c r="W127" s="2" t="s">
        <v>200</v>
      </c>
      <c r="X127" s="2" t="s">
        <v>1020</v>
      </c>
      <c r="Y127" s="2" t="s">
        <v>852</v>
      </c>
      <c r="Z127" s="4">
        <v>76</v>
      </c>
      <c r="AA127" s="4">
        <f>=ROUNDDOWN(19,0)</f>
      </c>
      <c r="AB127" s="5">
        <v>4</v>
      </c>
      <c r="AC127" s="2" t="s">
        <v>200</v>
      </c>
      <c r="AD127" s="4"/>
      <c r="AE127" s="4"/>
      <c r="AF127" s="6">
        <v>68</v>
      </c>
      <c r="AG127" s="6"/>
      <c r="AH127" s="7">
        <v>1</v>
      </c>
      <c r="AI127" s="4"/>
      <c r="AJ127" s="4">
        <f>=ROUNDDOWN({0},0)</f>
      </c>
      <c r="AK127" s="5"/>
      <c r="AL127" s="2" t="s">
        <v>200</v>
      </c>
      <c r="AM127" s="4"/>
      <c r="AN127" s="4"/>
      <c r="AO127" s="7"/>
      <c r="AP127" s="4"/>
      <c r="AQ127" s="8"/>
      <c r="AR127" s="4"/>
      <c r="AS127" s="8"/>
      <c r="AT127" s="7"/>
      <c r="AU127" s="7"/>
      <c r="AV127" s="4" t="s">
        <v>200</v>
      </c>
      <c r="AW127" s="8" t="s">
        <v>200</v>
      </c>
      <c r="AX127" s="4" t="s">
        <v>200</v>
      </c>
      <c r="AY127" s="8" t="s">
        <v>200</v>
      </c>
      <c r="AZ127" s="7" t="s">
        <v>200</v>
      </c>
      <c r="BA127" s="7" t="s">
        <v>200</v>
      </c>
      <c r="BB127" s="7"/>
      <c r="BC127" s="4" t="s">
        <v>200</v>
      </c>
      <c r="BD127" s="8" t="s">
        <v>200</v>
      </c>
      <c r="BE127" s="4" t="s">
        <v>200</v>
      </c>
      <c r="BF127" s="8" t="s">
        <v>200</v>
      </c>
      <c r="BG127" s="7" t="s">
        <v>200</v>
      </c>
      <c r="BH127" s="7" t="s">
        <v>200</v>
      </c>
      <c r="BI127" s="7"/>
      <c r="BJ127" s="4">
        <v>33</v>
      </c>
      <c r="BK127" s="8">
        <v>681.87</v>
      </c>
      <c r="BL127" s="2" t="s">
        <v>1058</v>
      </c>
      <c r="BM127" s="7"/>
      <c r="BN127" s="7"/>
      <c r="BO127" s="4"/>
      <c r="BP127" s="8"/>
      <c r="BQ127" s="4"/>
      <c r="BR127" s="8"/>
      <c r="BS127" s="7"/>
      <c r="BT127" s="7"/>
      <c r="BU127" s="2" t="s">
        <v>1059</v>
      </c>
      <c r="BV127" s="2" t="s">
        <v>200</v>
      </c>
      <c r="BW127" s="2" t="s">
        <v>200</v>
      </c>
      <c r="BX127" s="2" t="s">
        <v>289</v>
      </c>
      <c r="BY127" s="2" t="s">
        <v>247</v>
      </c>
      <c r="BZ127" s="2" t="s">
        <v>212</v>
      </c>
      <c r="CA127" s="2" t="s">
        <v>1049</v>
      </c>
      <c r="CB127" s="2" t="s">
        <v>1060</v>
      </c>
      <c r="CC127" s="2" t="s">
        <v>213</v>
      </c>
      <c r="CD127" s="2" t="s">
        <v>200</v>
      </c>
      <c r="CE127" s="4">
        <v>76</v>
      </c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</row>
    <row r="128">
      <c r="A128" s="2" t="s">
        <v>1061</v>
      </c>
      <c r="B128" s="2" t="s">
        <v>903</v>
      </c>
      <c r="C128" s="2" t="s">
        <v>231</v>
      </c>
      <c r="D128" s="2" t="s">
        <v>608</v>
      </c>
      <c r="E128" s="2" t="s">
        <v>609</v>
      </c>
      <c r="F128" s="2" t="s">
        <v>1062</v>
      </c>
      <c r="G128" s="2" t="s">
        <v>1063</v>
      </c>
      <c r="H128" s="2" t="s">
        <v>1064</v>
      </c>
      <c r="I128" s="2" t="s">
        <v>1065</v>
      </c>
      <c r="J128" s="2" t="s">
        <v>236</v>
      </c>
      <c r="K128" s="2" t="s">
        <v>660</v>
      </c>
      <c r="L128" s="3">
        <v>71.14</v>
      </c>
      <c r="M128" s="3">
        <v>74.7</v>
      </c>
      <c r="N128" s="3">
        <v>144.99</v>
      </c>
      <c r="O128" s="2" t="s">
        <v>460</v>
      </c>
      <c r="P128" s="2" t="s">
        <v>285</v>
      </c>
      <c r="Q128" s="2" t="s">
        <v>206</v>
      </c>
      <c r="R128" s="2" t="s">
        <v>200</v>
      </c>
      <c r="S128" s="2" t="s">
        <v>1066</v>
      </c>
      <c r="T128" s="2" t="s">
        <v>200</v>
      </c>
      <c r="U128" s="2" t="s">
        <v>1067</v>
      </c>
      <c r="V128" s="2" t="s">
        <v>1068</v>
      </c>
      <c r="W128" s="2" t="s">
        <v>419</v>
      </c>
      <c r="X128" s="2" t="s">
        <v>1069</v>
      </c>
      <c r="Y128" s="2" t="s">
        <v>261</v>
      </c>
      <c r="Z128" s="4">
        <v>197</v>
      </c>
      <c r="AA128" s="4">
        <f>=ROUNDDOWN(32.8333333333333,0)</f>
      </c>
      <c r="AB128" s="5">
        <v>6</v>
      </c>
      <c r="AC128" s="2" t="s">
        <v>200</v>
      </c>
      <c r="AD128" s="4"/>
      <c r="AE128" s="4"/>
      <c r="AF128" s="6">
        <v>65</v>
      </c>
      <c r="AG128" s="6">
        <v>48</v>
      </c>
      <c r="AH128" s="7">
        <v>1</v>
      </c>
      <c r="AI128" s="4"/>
      <c r="AJ128" s="4">
        <f>=ROUNDDOWN({0},0)</f>
      </c>
      <c r="AK128" s="5"/>
      <c r="AL128" s="2" t="s">
        <v>200</v>
      </c>
      <c r="AM128" s="4"/>
      <c r="AN128" s="4"/>
      <c r="AO128" s="7"/>
      <c r="AP128" s="4"/>
      <c r="AQ128" s="8"/>
      <c r="AR128" s="4"/>
      <c r="AS128" s="8"/>
      <c r="AT128" s="7"/>
      <c r="AU128" s="7"/>
      <c r="AV128" s="4" t="s">
        <v>200</v>
      </c>
      <c r="AW128" s="8" t="s">
        <v>200</v>
      </c>
      <c r="AX128" s="4" t="s">
        <v>200</v>
      </c>
      <c r="AY128" s="8" t="s">
        <v>200</v>
      </c>
      <c r="AZ128" s="7" t="s">
        <v>200</v>
      </c>
      <c r="BA128" s="7" t="s">
        <v>200</v>
      </c>
      <c r="BB128" s="7"/>
      <c r="BC128" s="4" t="s">
        <v>200</v>
      </c>
      <c r="BD128" s="8" t="s">
        <v>200</v>
      </c>
      <c r="BE128" s="4" t="s">
        <v>200</v>
      </c>
      <c r="BF128" s="8" t="s">
        <v>200</v>
      </c>
      <c r="BG128" s="7" t="s">
        <v>200</v>
      </c>
      <c r="BH128" s="7" t="s">
        <v>200</v>
      </c>
      <c r="BI128" s="7"/>
      <c r="BJ128" s="4">
        <v>23</v>
      </c>
      <c r="BK128" s="8">
        <v>975.53</v>
      </c>
      <c r="BL128" s="2" t="s">
        <v>1070</v>
      </c>
      <c r="BM128" s="7"/>
      <c r="BN128" s="7"/>
      <c r="BO128" s="4"/>
      <c r="BP128" s="8"/>
      <c r="BQ128" s="4"/>
      <c r="BR128" s="8"/>
      <c r="BS128" s="7"/>
      <c r="BT128" s="7"/>
      <c r="BU128" s="2" t="s">
        <v>1071</v>
      </c>
      <c r="BV128" s="2" t="s">
        <v>200</v>
      </c>
      <c r="BW128" s="2" t="s">
        <v>200</v>
      </c>
      <c r="BX128" s="2" t="s">
        <v>289</v>
      </c>
      <c r="BY128" s="2" t="s">
        <v>247</v>
      </c>
      <c r="BZ128" s="2" t="s">
        <v>212</v>
      </c>
      <c r="CA128" s="2" t="s">
        <v>265</v>
      </c>
      <c r="CB128" s="2" t="s">
        <v>1072</v>
      </c>
      <c r="CC128" s="2" t="s">
        <v>213</v>
      </c>
      <c r="CD128" s="2" t="s">
        <v>200</v>
      </c>
      <c r="CE128" s="4">
        <v>138</v>
      </c>
      <c r="CF128" s="4"/>
      <c r="CG128" s="4"/>
      <c r="CH128" s="4">
        <v>59</v>
      </c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</row>
    <row r="129">
      <c r="A129" s="2" t="s">
        <v>1073</v>
      </c>
      <c r="B129" s="2" t="s">
        <v>827</v>
      </c>
      <c r="C129" s="2" t="s">
        <v>231</v>
      </c>
      <c r="D129" s="2" t="s">
        <v>828</v>
      </c>
      <c r="E129" s="2" t="s">
        <v>1011</v>
      </c>
      <c r="F129" s="2" t="s">
        <v>1062</v>
      </c>
      <c r="G129" s="2" t="s">
        <v>1063</v>
      </c>
      <c r="H129" s="2" t="s">
        <v>1064</v>
      </c>
      <c r="I129" s="2" t="s">
        <v>1074</v>
      </c>
      <c r="J129" s="2" t="s">
        <v>1016</v>
      </c>
      <c r="K129" s="2" t="s">
        <v>660</v>
      </c>
      <c r="L129" s="3">
        <v>15.75</v>
      </c>
      <c r="M129" s="3">
        <v>16.54</v>
      </c>
      <c r="N129" s="3">
        <v>34.99</v>
      </c>
      <c r="O129" s="2" t="s">
        <v>212</v>
      </c>
      <c r="P129" s="2" t="s">
        <v>1075</v>
      </c>
      <c r="Q129" s="2" t="s">
        <v>206</v>
      </c>
      <c r="R129" s="2" t="s">
        <v>200</v>
      </c>
      <c r="S129" s="2" t="s">
        <v>1076</v>
      </c>
      <c r="T129" s="2" t="s">
        <v>200</v>
      </c>
      <c r="U129" s="2" t="s">
        <v>200</v>
      </c>
      <c r="V129" s="2" t="s">
        <v>1077</v>
      </c>
      <c r="W129" s="2" t="s">
        <v>419</v>
      </c>
      <c r="X129" s="2" t="s">
        <v>1078</v>
      </c>
      <c r="Y129" s="2" t="s">
        <v>1079</v>
      </c>
      <c r="Z129" s="4">
        <v>1420</v>
      </c>
      <c r="AA129" s="4">
        <f>=ROUNDDOWN(35.5,0)</f>
      </c>
      <c r="AB129" s="5">
        <v>40</v>
      </c>
      <c r="AC129" s="2" t="s">
        <v>553</v>
      </c>
      <c r="AD129" s="4">
        <v>360</v>
      </c>
      <c r="AE129" s="4">
        <v>360</v>
      </c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200</v>
      </c>
      <c r="AM129" s="4"/>
      <c r="AN129" s="4"/>
      <c r="AO129" s="7"/>
      <c r="AP129" s="4"/>
      <c r="AQ129" s="8"/>
      <c r="AR129" s="4"/>
      <c r="AS129" s="8"/>
      <c r="AT129" s="7"/>
      <c r="AU129" s="7"/>
      <c r="AV129" s="4" t="s">
        <v>200</v>
      </c>
      <c r="AW129" s="8" t="s">
        <v>200</v>
      </c>
      <c r="AX129" s="4" t="s">
        <v>200</v>
      </c>
      <c r="AY129" s="8" t="s">
        <v>200</v>
      </c>
      <c r="AZ129" s="7" t="s">
        <v>200</v>
      </c>
      <c r="BA129" s="7" t="s">
        <v>200</v>
      </c>
      <c r="BB129" s="7"/>
      <c r="BC129" s="4" t="s">
        <v>200</v>
      </c>
      <c r="BD129" s="8" t="s">
        <v>200</v>
      </c>
      <c r="BE129" s="4" t="s">
        <v>200</v>
      </c>
      <c r="BF129" s="8" t="s">
        <v>200</v>
      </c>
      <c r="BG129" s="7" t="s">
        <v>200</v>
      </c>
      <c r="BH129" s="7" t="s">
        <v>200</v>
      </c>
      <c r="BI129" s="7"/>
      <c r="BJ129" s="4">
        <v>106</v>
      </c>
      <c r="BK129" s="8">
        <v>1734.72</v>
      </c>
      <c r="BL129" s="2" t="s">
        <v>1080</v>
      </c>
      <c r="BM129" s="7"/>
      <c r="BN129" s="7"/>
      <c r="BO129" s="4"/>
      <c r="BP129" s="8"/>
      <c r="BQ129" s="4"/>
      <c r="BR129" s="8"/>
      <c r="BS129" s="7"/>
      <c r="BT129" s="7"/>
      <c r="BU129" s="2" t="s">
        <v>1081</v>
      </c>
      <c r="BV129" s="2" t="s">
        <v>200</v>
      </c>
      <c r="BW129" s="2" t="s">
        <v>200</v>
      </c>
      <c r="BX129" s="2" t="s">
        <v>264</v>
      </c>
      <c r="BY129" s="2" t="s">
        <v>247</v>
      </c>
      <c r="BZ129" s="2" t="s">
        <v>212</v>
      </c>
      <c r="CA129" s="2" t="s">
        <v>504</v>
      </c>
      <c r="CB129" s="2" t="s">
        <v>1082</v>
      </c>
      <c r="CC129" s="2" t="s">
        <v>213</v>
      </c>
      <c r="CD129" s="2" t="s">
        <v>200</v>
      </c>
      <c r="CE129" s="4">
        <v>1420</v>
      </c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>
        <v>360</v>
      </c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</row>
    <row r="130">
      <c r="A130" s="2" t="s">
        <v>1083</v>
      </c>
      <c r="B130" s="2" t="s">
        <v>827</v>
      </c>
      <c r="C130" s="2" t="s">
        <v>231</v>
      </c>
      <c r="D130" s="2" t="s">
        <v>1084</v>
      </c>
      <c r="E130" s="2" t="s">
        <v>1085</v>
      </c>
      <c r="F130" s="2" t="s">
        <v>1062</v>
      </c>
      <c r="G130" s="2" t="s">
        <v>1063</v>
      </c>
      <c r="H130" s="2" t="s">
        <v>1064</v>
      </c>
      <c r="I130" s="2" t="s">
        <v>1086</v>
      </c>
      <c r="J130" s="2" t="s">
        <v>1087</v>
      </c>
      <c r="K130" s="2" t="s">
        <v>660</v>
      </c>
      <c r="L130" s="3">
        <v>10</v>
      </c>
      <c r="M130" s="3">
        <v>10.5</v>
      </c>
      <c r="N130" s="3">
        <v>24.99</v>
      </c>
      <c r="O130" s="2" t="s">
        <v>212</v>
      </c>
      <c r="P130" s="2" t="s">
        <v>258</v>
      </c>
      <c r="Q130" s="2" t="s">
        <v>206</v>
      </c>
      <c r="R130" s="2" t="s">
        <v>200</v>
      </c>
      <c r="S130" s="2" t="s">
        <v>1076</v>
      </c>
      <c r="T130" s="2" t="s">
        <v>200</v>
      </c>
      <c r="U130" s="2" t="s">
        <v>200</v>
      </c>
      <c r="V130" s="2" t="s">
        <v>1077</v>
      </c>
      <c r="W130" s="2" t="s">
        <v>419</v>
      </c>
      <c r="X130" s="2" t="s">
        <v>200</v>
      </c>
      <c r="Y130" s="2" t="s">
        <v>1079</v>
      </c>
      <c r="Z130" s="4">
        <v>433</v>
      </c>
      <c r="AA130" s="4">
        <f>=ROUNDDOWN(27.0625,0)</f>
      </c>
      <c r="AB130" s="5">
        <v>16</v>
      </c>
      <c r="AC130" s="2" t="s">
        <v>1088</v>
      </c>
      <c r="AD130" s="4">
        <v>160</v>
      </c>
      <c r="AE130" s="4">
        <v>440</v>
      </c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200</v>
      </c>
      <c r="AM130" s="4"/>
      <c r="AN130" s="4"/>
      <c r="AO130" s="7"/>
      <c r="AP130" s="4"/>
      <c r="AQ130" s="8"/>
      <c r="AR130" s="4"/>
      <c r="AS130" s="8"/>
      <c r="AT130" s="7"/>
      <c r="AU130" s="7"/>
      <c r="AV130" s="4" t="s">
        <v>200</v>
      </c>
      <c r="AW130" s="8" t="s">
        <v>200</v>
      </c>
      <c r="AX130" s="4" t="s">
        <v>200</v>
      </c>
      <c r="AY130" s="8" t="s">
        <v>200</v>
      </c>
      <c r="AZ130" s="7" t="s">
        <v>200</v>
      </c>
      <c r="BA130" s="7" t="s">
        <v>200</v>
      </c>
      <c r="BB130" s="7"/>
      <c r="BC130" s="4" t="s">
        <v>200</v>
      </c>
      <c r="BD130" s="8" t="s">
        <v>200</v>
      </c>
      <c r="BE130" s="4" t="s">
        <v>200</v>
      </c>
      <c r="BF130" s="8" t="s">
        <v>200</v>
      </c>
      <c r="BG130" s="7" t="s">
        <v>200</v>
      </c>
      <c r="BH130" s="7" t="s">
        <v>200</v>
      </c>
      <c r="BI130" s="7"/>
      <c r="BJ130" s="4">
        <v>55</v>
      </c>
      <c r="BK130" s="8">
        <v>537.92</v>
      </c>
      <c r="BL130" s="2" t="s">
        <v>1089</v>
      </c>
      <c r="BM130" s="7"/>
      <c r="BN130" s="7"/>
      <c r="BO130" s="4"/>
      <c r="BP130" s="8"/>
      <c r="BQ130" s="4"/>
      <c r="BR130" s="8"/>
      <c r="BS130" s="7"/>
      <c r="BT130" s="7"/>
      <c r="BU130" s="2" t="s">
        <v>1090</v>
      </c>
      <c r="BV130" s="2" t="s">
        <v>200</v>
      </c>
      <c r="BW130" s="2" t="s">
        <v>200</v>
      </c>
      <c r="BX130" s="2" t="s">
        <v>264</v>
      </c>
      <c r="BY130" s="2" t="s">
        <v>247</v>
      </c>
      <c r="BZ130" s="2" t="s">
        <v>212</v>
      </c>
      <c r="CA130" s="2" t="s">
        <v>1091</v>
      </c>
      <c r="CB130" s="2" t="s">
        <v>400</v>
      </c>
      <c r="CC130" s="2" t="s">
        <v>213</v>
      </c>
      <c r="CD130" s="2" t="s">
        <v>200</v>
      </c>
      <c r="CE130" s="4">
        <v>433</v>
      </c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>
        <v>160</v>
      </c>
      <c r="FD130" s="4"/>
      <c r="FE130" s="4"/>
      <c r="FF130" s="4"/>
      <c r="FG130" s="4"/>
      <c r="FH130" s="4"/>
      <c r="FI130" s="4">
        <v>280</v>
      </c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</row>
    <row r="131">
      <c r="A131" s="2" t="s">
        <v>1092</v>
      </c>
      <c r="B131" s="2" t="s">
        <v>827</v>
      </c>
      <c r="C131" s="2" t="s">
        <v>231</v>
      </c>
      <c r="D131" s="2" t="s">
        <v>1084</v>
      </c>
      <c r="E131" s="2" t="s">
        <v>1085</v>
      </c>
      <c r="F131" s="2" t="s">
        <v>1062</v>
      </c>
      <c r="G131" s="2" t="s">
        <v>1063</v>
      </c>
      <c r="H131" s="2" t="s">
        <v>1064</v>
      </c>
      <c r="I131" s="2" t="s">
        <v>1093</v>
      </c>
      <c r="J131" s="2" t="s">
        <v>1087</v>
      </c>
      <c r="K131" s="2" t="s">
        <v>387</v>
      </c>
      <c r="L131" s="3">
        <v>10</v>
      </c>
      <c r="M131" s="3">
        <v>10.5</v>
      </c>
      <c r="N131" s="3">
        <v>24.99</v>
      </c>
      <c r="O131" s="2" t="s">
        <v>212</v>
      </c>
      <c r="P131" s="2" t="s">
        <v>258</v>
      </c>
      <c r="Q131" s="2" t="s">
        <v>206</v>
      </c>
      <c r="R131" s="2" t="s">
        <v>200</v>
      </c>
      <c r="S131" s="2" t="s">
        <v>1094</v>
      </c>
      <c r="T131" s="2" t="s">
        <v>200</v>
      </c>
      <c r="U131" s="2" t="s">
        <v>200</v>
      </c>
      <c r="V131" s="2" t="s">
        <v>1077</v>
      </c>
      <c r="W131" s="2" t="s">
        <v>419</v>
      </c>
      <c r="X131" s="2" t="s">
        <v>200</v>
      </c>
      <c r="Y131" s="2" t="s">
        <v>261</v>
      </c>
      <c r="Z131" s="4">
        <v>730</v>
      </c>
      <c r="AA131" s="4">
        <f>=ROUNDDOWN(66.3636363636364,0)</f>
      </c>
      <c r="AB131" s="5">
        <v>11</v>
      </c>
      <c r="AC131" s="2" t="s">
        <v>200</v>
      </c>
      <c r="AD131" s="4"/>
      <c r="AE131" s="4"/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200</v>
      </c>
      <c r="AM131" s="4"/>
      <c r="AN131" s="4"/>
      <c r="AO131" s="7"/>
      <c r="AP131" s="4"/>
      <c r="AQ131" s="8"/>
      <c r="AR131" s="4"/>
      <c r="AS131" s="8"/>
      <c r="AT131" s="7"/>
      <c r="AU131" s="7"/>
      <c r="AV131" s="4" t="s">
        <v>200</v>
      </c>
      <c r="AW131" s="8" t="s">
        <v>200</v>
      </c>
      <c r="AX131" s="4" t="s">
        <v>200</v>
      </c>
      <c r="AY131" s="8" t="s">
        <v>200</v>
      </c>
      <c r="AZ131" s="7" t="s">
        <v>200</v>
      </c>
      <c r="BA131" s="7" t="s">
        <v>200</v>
      </c>
      <c r="BB131" s="7"/>
      <c r="BC131" s="4" t="s">
        <v>200</v>
      </c>
      <c r="BD131" s="8" t="s">
        <v>200</v>
      </c>
      <c r="BE131" s="4" t="s">
        <v>200</v>
      </c>
      <c r="BF131" s="8" t="s">
        <v>200</v>
      </c>
      <c r="BG131" s="7" t="s">
        <v>200</v>
      </c>
      <c r="BH131" s="7" t="s">
        <v>200</v>
      </c>
      <c r="BI131" s="7"/>
      <c r="BJ131" s="4">
        <v>46</v>
      </c>
      <c r="BK131" s="8">
        <v>487.57</v>
      </c>
      <c r="BL131" s="2" t="s">
        <v>1095</v>
      </c>
      <c r="BM131" s="7"/>
      <c r="BN131" s="7"/>
      <c r="BO131" s="4"/>
      <c r="BP131" s="8"/>
      <c r="BQ131" s="4"/>
      <c r="BR131" s="8"/>
      <c r="BS131" s="7"/>
      <c r="BT131" s="7"/>
      <c r="BU131" s="2" t="s">
        <v>1096</v>
      </c>
      <c r="BV131" s="2" t="s">
        <v>200</v>
      </c>
      <c r="BW131" s="2" t="s">
        <v>200</v>
      </c>
      <c r="BX131" s="2" t="s">
        <v>264</v>
      </c>
      <c r="BY131" s="2" t="s">
        <v>247</v>
      </c>
      <c r="BZ131" s="2" t="s">
        <v>212</v>
      </c>
      <c r="CA131" s="2" t="s">
        <v>265</v>
      </c>
      <c r="CB131" s="2" t="s">
        <v>1097</v>
      </c>
      <c r="CC131" s="2" t="s">
        <v>213</v>
      </c>
      <c r="CD131" s="2" t="s">
        <v>200</v>
      </c>
      <c r="CE131" s="4">
        <v>730</v>
      </c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</row>
    <row r="132">
      <c r="A132" s="2" t="s">
        <v>1098</v>
      </c>
      <c r="B132" s="2" t="s">
        <v>1099</v>
      </c>
      <c r="C132" s="2" t="s">
        <v>231</v>
      </c>
      <c r="D132" s="2" t="s">
        <v>1100</v>
      </c>
      <c r="E132" s="2" t="s">
        <v>1101</v>
      </c>
      <c r="F132" s="2" t="s">
        <v>1062</v>
      </c>
      <c r="G132" s="2" t="s">
        <v>1063</v>
      </c>
      <c r="H132" s="2" t="s">
        <v>1064</v>
      </c>
      <c r="I132" s="2" t="s">
        <v>1102</v>
      </c>
      <c r="J132" s="2" t="s">
        <v>1103</v>
      </c>
      <c r="K132" s="2" t="s">
        <v>387</v>
      </c>
      <c r="L132" s="3">
        <v>13.8</v>
      </c>
      <c r="M132" s="3">
        <v>14.49</v>
      </c>
      <c r="N132" s="3">
        <v>29.99</v>
      </c>
      <c r="O132" s="2" t="s">
        <v>212</v>
      </c>
      <c r="P132" s="2" t="s">
        <v>258</v>
      </c>
      <c r="Q132" s="2" t="s">
        <v>206</v>
      </c>
      <c r="R132" s="2" t="s">
        <v>200</v>
      </c>
      <c r="S132" s="2" t="s">
        <v>1104</v>
      </c>
      <c r="T132" s="2" t="s">
        <v>312</v>
      </c>
      <c r="U132" s="2" t="s">
        <v>270</v>
      </c>
      <c r="V132" s="2" t="s">
        <v>1068</v>
      </c>
      <c r="W132" s="2" t="s">
        <v>419</v>
      </c>
      <c r="X132" s="2" t="s">
        <v>200</v>
      </c>
      <c r="Y132" s="2" t="s">
        <v>261</v>
      </c>
      <c r="Z132" s="4">
        <v>559</v>
      </c>
      <c r="AA132" s="4">
        <f>=ROUNDDOWN(24.304347826087,0)</f>
      </c>
      <c r="AB132" s="5">
        <v>23</v>
      </c>
      <c r="AC132" s="2" t="s">
        <v>1105</v>
      </c>
      <c r="AD132" s="4">
        <v>300</v>
      </c>
      <c r="AE132" s="4">
        <v>540</v>
      </c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200</v>
      </c>
      <c r="AM132" s="4"/>
      <c r="AN132" s="4"/>
      <c r="AO132" s="7"/>
      <c r="AP132" s="4"/>
      <c r="AQ132" s="8"/>
      <c r="AR132" s="4"/>
      <c r="AS132" s="8"/>
      <c r="AT132" s="7"/>
      <c r="AU132" s="7"/>
      <c r="AV132" s="4" t="s">
        <v>200</v>
      </c>
      <c r="AW132" s="8" t="s">
        <v>200</v>
      </c>
      <c r="AX132" s="4" t="s">
        <v>200</v>
      </c>
      <c r="AY132" s="8" t="s">
        <v>200</v>
      </c>
      <c r="AZ132" s="7" t="s">
        <v>200</v>
      </c>
      <c r="BA132" s="7" t="s">
        <v>200</v>
      </c>
      <c r="BB132" s="7"/>
      <c r="BC132" s="4" t="s">
        <v>200</v>
      </c>
      <c r="BD132" s="8" t="s">
        <v>200</v>
      </c>
      <c r="BE132" s="4" t="s">
        <v>200</v>
      </c>
      <c r="BF132" s="8" t="s">
        <v>200</v>
      </c>
      <c r="BG132" s="7" t="s">
        <v>200</v>
      </c>
      <c r="BH132" s="7" t="s">
        <v>200</v>
      </c>
      <c r="BI132" s="7"/>
      <c r="BJ132" s="4">
        <v>109</v>
      </c>
      <c r="BK132" s="8">
        <v>1531.25</v>
      </c>
      <c r="BL132" s="2" t="s">
        <v>1106</v>
      </c>
      <c r="BM132" s="7"/>
      <c r="BN132" s="7"/>
      <c r="BO132" s="4"/>
      <c r="BP132" s="8"/>
      <c r="BQ132" s="4"/>
      <c r="BR132" s="8"/>
      <c r="BS132" s="7"/>
      <c r="BT132" s="7"/>
      <c r="BU132" s="2" t="s">
        <v>1107</v>
      </c>
      <c r="BV132" s="2" t="s">
        <v>200</v>
      </c>
      <c r="BW132" s="2" t="s">
        <v>200</v>
      </c>
      <c r="BX132" s="2" t="s">
        <v>264</v>
      </c>
      <c r="BY132" s="2" t="s">
        <v>247</v>
      </c>
      <c r="BZ132" s="2" t="s">
        <v>212</v>
      </c>
      <c r="CA132" s="2" t="s">
        <v>265</v>
      </c>
      <c r="CB132" s="2" t="s">
        <v>1108</v>
      </c>
      <c r="CC132" s="2" t="s">
        <v>213</v>
      </c>
      <c r="CD132" s="2" t="s">
        <v>200</v>
      </c>
      <c r="CE132" s="4">
        <v>559</v>
      </c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>
        <v>300</v>
      </c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>
        <v>240</v>
      </c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</row>
    <row r="133">
      <c r="A133" s="2" t="s">
        <v>1109</v>
      </c>
      <c r="B133" s="2" t="s">
        <v>1099</v>
      </c>
      <c r="C133" s="2" t="s">
        <v>231</v>
      </c>
      <c r="D133" s="2" t="s">
        <v>1100</v>
      </c>
      <c r="E133" s="2" t="s">
        <v>1101</v>
      </c>
      <c r="F133" s="2" t="s">
        <v>1062</v>
      </c>
      <c r="G133" s="2" t="s">
        <v>1063</v>
      </c>
      <c r="H133" s="2" t="s">
        <v>1064</v>
      </c>
      <c r="I133" s="2" t="s">
        <v>1102</v>
      </c>
      <c r="J133" s="2" t="s">
        <v>1110</v>
      </c>
      <c r="K133" s="2" t="s">
        <v>387</v>
      </c>
      <c r="L133" s="3">
        <v>25.44</v>
      </c>
      <c r="M133" s="3">
        <v>26.71</v>
      </c>
      <c r="N133" s="3">
        <v>52.99</v>
      </c>
      <c r="O133" s="2" t="s">
        <v>212</v>
      </c>
      <c r="P133" s="2" t="s">
        <v>258</v>
      </c>
      <c r="Q133" s="2" t="s">
        <v>206</v>
      </c>
      <c r="R133" s="2" t="s">
        <v>200</v>
      </c>
      <c r="S133" s="2" t="s">
        <v>200</v>
      </c>
      <c r="T133" s="2" t="s">
        <v>200</v>
      </c>
      <c r="U133" s="2" t="s">
        <v>200</v>
      </c>
      <c r="V133" s="2" t="s">
        <v>1068</v>
      </c>
      <c r="W133" s="2" t="s">
        <v>419</v>
      </c>
      <c r="X133" s="2" t="s">
        <v>200</v>
      </c>
      <c r="Y133" s="2" t="s">
        <v>978</v>
      </c>
      <c r="Z133" s="4">
        <v>211</v>
      </c>
      <c r="AA133" s="4">
        <f>=ROUNDDOWN(35.1666666666667,0)</f>
      </c>
      <c r="AB133" s="5">
        <v>6</v>
      </c>
      <c r="AC133" s="2" t="s">
        <v>1105</v>
      </c>
      <c r="AD133" s="4">
        <v>90</v>
      </c>
      <c r="AE133" s="4">
        <v>180</v>
      </c>
      <c r="AF133" s="6">
        <v>67</v>
      </c>
      <c r="AG133" s="6"/>
      <c r="AH133" s="7">
        <v>1</v>
      </c>
      <c r="AI133" s="4"/>
      <c r="AJ133" s="4">
        <f>=ROUNDDOWN({0},0)</f>
      </c>
      <c r="AK133" s="5"/>
      <c r="AL133" s="2" t="s">
        <v>200</v>
      </c>
      <c r="AM133" s="4"/>
      <c r="AN133" s="4"/>
      <c r="AO133" s="7"/>
      <c r="AP133" s="4"/>
      <c r="AQ133" s="8"/>
      <c r="AR133" s="4"/>
      <c r="AS133" s="8"/>
      <c r="AT133" s="7"/>
      <c r="AU133" s="7"/>
      <c r="AV133" s="4" t="s">
        <v>200</v>
      </c>
      <c r="AW133" s="8" t="s">
        <v>200</v>
      </c>
      <c r="AX133" s="4" t="s">
        <v>200</v>
      </c>
      <c r="AY133" s="8" t="s">
        <v>200</v>
      </c>
      <c r="AZ133" s="7" t="s">
        <v>200</v>
      </c>
      <c r="BA133" s="7" t="s">
        <v>200</v>
      </c>
      <c r="BB133" s="7"/>
      <c r="BC133" s="4" t="s">
        <v>200</v>
      </c>
      <c r="BD133" s="8" t="s">
        <v>200</v>
      </c>
      <c r="BE133" s="4" t="s">
        <v>200</v>
      </c>
      <c r="BF133" s="8" t="s">
        <v>200</v>
      </c>
      <c r="BG133" s="7" t="s">
        <v>200</v>
      </c>
      <c r="BH133" s="7" t="s">
        <v>200</v>
      </c>
      <c r="BI133" s="7"/>
      <c r="BJ133" s="4">
        <v>19</v>
      </c>
      <c r="BK133" s="8">
        <v>530.47</v>
      </c>
      <c r="BL133" s="2" t="s">
        <v>1111</v>
      </c>
      <c r="BM133" s="7"/>
      <c r="BN133" s="7"/>
      <c r="BO133" s="4"/>
      <c r="BP133" s="8"/>
      <c r="BQ133" s="4"/>
      <c r="BR133" s="8"/>
      <c r="BS133" s="7"/>
      <c r="BT133" s="7"/>
      <c r="BU133" s="2" t="s">
        <v>1112</v>
      </c>
      <c r="BV133" s="2" t="s">
        <v>200</v>
      </c>
      <c r="BW133" s="2" t="s">
        <v>200</v>
      </c>
      <c r="BX133" s="2" t="s">
        <v>264</v>
      </c>
      <c r="BY133" s="2" t="s">
        <v>247</v>
      </c>
      <c r="BZ133" s="2" t="s">
        <v>212</v>
      </c>
      <c r="CA133" s="2" t="s">
        <v>1113</v>
      </c>
      <c r="CB133" s="2" t="s">
        <v>1114</v>
      </c>
      <c r="CC133" s="2" t="s">
        <v>213</v>
      </c>
      <c r="CD133" s="2" t="s">
        <v>200</v>
      </c>
      <c r="CE133" s="4">
        <v>211</v>
      </c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>
        <v>90</v>
      </c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>
        <v>90</v>
      </c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</row>
    <row r="134">
      <c r="A134" s="2" t="s">
        <v>1115</v>
      </c>
      <c r="B134" s="2" t="s">
        <v>827</v>
      </c>
      <c r="C134" s="2" t="s">
        <v>231</v>
      </c>
      <c r="D134" s="2" t="s">
        <v>1084</v>
      </c>
      <c r="E134" s="2" t="s">
        <v>1085</v>
      </c>
      <c r="F134" s="2" t="s">
        <v>1062</v>
      </c>
      <c r="G134" s="2" t="s">
        <v>1063</v>
      </c>
      <c r="H134" s="2" t="s">
        <v>1064</v>
      </c>
      <c r="I134" s="2" t="s">
        <v>1086</v>
      </c>
      <c r="J134" s="2" t="s">
        <v>1087</v>
      </c>
      <c r="K134" s="2" t="s">
        <v>1116</v>
      </c>
      <c r="L134" s="3">
        <v>10</v>
      </c>
      <c r="M134" s="3">
        <v>10.5</v>
      </c>
      <c r="N134" s="3">
        <v>24.99</v>
      </c>
      <c r="O134" s="2" t="s">
        <v>212</v>
      </c>
      <c r="P134" s="2" t="s">
        <v>258</v>
      </c>
      <c r="Q134" s="2" t="s">
        <v>206</v>
      </c>
      <c r="R134" s="2" t="s">
        <v>200</v>
      </c>
      <c r="S134" s="2" t="s">
        <v>1117</v>
      </c>
      <c r="T134" s="2" t="s">
        <v>200</v>
      </c>
      <c r="U134" s="2" t="s">
        <v>200</v>
      </c>
      <c r="V134" s="2" t="s">
        <v>1077</v>
      </c>
      <c r="W134" s="2" t="s">
        <v>419</v>
      </c>
      <c r="X134" s="2" t="s">
        <v>200</v>
      </c>
      <c r="Y134" s="2" t="s">
        <v>1079</v>
      </c>
      <c r="Z134" s="4">
        <v>409</v>
      </c>
      <c r="AA134" s="4">
        <f>=ROUNDDOWN(25.5625,0)</f>
      </c>
      <c r="AB134" s="5">
        <v>16</v>
      </c>
      <c r="AC134" s="2" t="s">
        <v>111</v>
      </c>
      <c r="AD134" s="4">
        <v>460</v>
      </c>
      <c r="AE134" s="4">
        <v>460</v>
      </c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200</v>
      </c>
      <c r="AM134" s="4"/>
      <c r="AN134" s="4"/>
      <c r="AO134" s="7"/>
      <c r="AP134" s="4"/>
      <c r="AQ134" s="8"/>
      <c r="AR134" s="4"/>
      <c r="AS134" s="8"/>
      <c r="AT134" s="7"/>
      <c r="AU134" s="7"/>
      <c r="AV134" s="4"/>
      <c r="AW134" s="8"/>
      <c r="AX134" s="4"/>
      <c r="AY134" s="8"/>
      <c r="AZ134" s="7"/>
      <c r="BA134" s="7"/>
      <c r="BB134" s="7"/>
      <c r="BC134" s="4" t="s">
        <v>200</v>
      </c>
      <c r="BD134" s="8" t="s">
        <v>200</v>
      </c>
      <c r="BE134" s="4" t="s">
        <v>200</v>
      </c>
      <c r="BF134" s="8" t="s">
        <v>200</v>
      </c>
      <c r="BG134" s="7" t="s">
        <v>200</v>
      </c>
      <c r="BH134" s="7" t="s">
        <v>200</v>
      </c>
      <c r="BI134" s="7"/>
      <c r="BJ134" s="4">
        <v>49</v>
      </c>
      <c r="BK134" s="8">
        <v>517.9</v>
      </c>
      <c r="BL134" s="2" t="s">
        <v>1118</v>
      </c>
      <c r="BM134" s="7"/>
      <c r="BN134" s="7"/>
      <c r="BO134" s="4"/>
      <c r="BP134" s="8"/>
      <c r="BQ134" s="4"/>
      <c r="BR134" s="8"/>
      <c r="BS134" s="7"/>
      <c r="BT134" s="7"/>
      <c r="BU134" s="2" t="s">
        <v>1119</v>
      </c>
      <c r="BV134" s="2" t="s">
        <v>200</v>
      </c>
      <c r="BW134" s="2" t="s">
        <v>200</v>
      </c>
      <c r="BX134" s="2" t="s">
        <v>264</v>
      </c>
      <c r="BY134" s="2" t="s">
        <v>247</v>
      </c>
      <c r="BZ134" s="2" t="s">
        <v>212</v>
      </c>
      <c r="CA134" s="2" t="s">
        <v>1091</v>
      </c>
      <c r="CB134" s="2" t="s">
        <v>1120</v>
      </c>
      <c r="CC134" s="2" t="s">
        <v>213</v>
      </c>
      <c r="CD134" s="2" t="s">
        <v>200</v>
      </c>
      <c r="CE134" s="4">
        <v>409</v>
      </c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>
        <v>460</v>
      </c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</row>
    <row r="135">
      <c r="A135" s="2" t="s">
        <v>1121</v>
      </c>
      <c r="B135" s="2" t="s">
        <v>903</v>
      </c>
      <c r="C135" s="2" t="s">
        <v>231</v>
      </c>
      <c r="D135" s="2" t="s">
        <v>608</v>
      </c>
      <c r="E135" s="2" t="s">
        <v>609</v>
      </c>
      <c r="F135" s="2" t="s">
        <v>1062</v>
      </c>
      <c r="G135" s="2" t="s">
        <v>1063</v>
      </c>
      <c r="H135" s="2" t="s">
        <v>1064</v>
      </c>
      <c r="I135" s="2" t="s">
        <v>1065</v>
      </c>
      <c r="J135" s="2" t="s">
        <v>277</v>
      </c>
      <c r="K135" s="2" t="s">
        <v>416</v>
      </c>
      <c r="L135" s="3">
        <v>53.99</v>
      </c>
      <c r="M135" s="3">
        <v>56.69</v>
      </c>
      <c r="N135" s="3">
        <v>109.99</v>
      </c>
      <c r="O135" s="2" t="s">
        <v>417</v>
      </c>
      <c r="P135" s="2" t="s">
        <v>285</v>
      </c>
      <c r="Q135" s="2" t="s">
        <v>206</v>
      </c>
      <c r="R135" s="2" t="s">
        <v>200</v>
      </c>
      <c r="S135" s="2" t="s">
        <v>1122</v>
      </c>
      <c r="T135" s="2" t="s">
        <v>200</v>
      </c>
      <c r="U135" s="2" t="s">
        <v>1067</v>
      </c>
      <c r="V135" s="2" t="s">
        <v>1068</v>
      </c>
      <c r="W135" s="2" t="s">
        <v>419</v>
      </c>
      <c r="X135" s="2" t="s">
        <v>1069</v>
      </c>
      <c r="Y135" s="2" t="s">
        <v>261</v>
      </c>
      <c r="Z135" s="4">
        <v>89</v>
      </c>
      <c r="AA135" s="4">
        <f>=ROUNDDOWN(12.7142857142857,0)</f>
      </c>
      <c r="AB135" s="5">
        <v>7</v>
      </c>
      <c r="AC135" s="2" t="s">
        <v>200</v>
      </c>
      <c r="AD135" s="4"/>
      <c r="AE135" s="4"/>
      <c r="AF135" s="6">
        <v>65</v>
      </c>
      <c r="AG135" s="6">
        <v>48</v>
      </c>
      <c r="AH135" s="7">
        <v>0.9667</v>
      </c>
      <c r="AI135" s="4"/>
      <c r="AJ135" s="4">
        <f>=ROUNDDOWN({0},0)</f>
      </c>
      <c r="AK135" s="5"/>
      <c r="AL135" s="2" t="s">
        <v>200</v>
      </c>
      <c r="AM135" s="4"/>
      <c r="AN135" s="4"/>
      <c r="AO135" s="7"/>
      <c r="AP135" s="4"/>
      <c r="AQ135" s="8"/>
      <c r="AR135" s="4"/>
      <c r="AS135" s="8"/>
      <c r="AT135" s="7"/>
      <c r="AU135" s="7"/>
      <c r="AV135" s="4"/>
      <c r="AW135" s="8"/>
      <c r="AX135" s="4"/>
      <c r="AY135" s="8"/>
      <c r="AZ135" s="7"/>
      <c r="BA135" s="7"/>
      <c r="BB135" s="7"/>
      <c r="BC135" s="4" t="s">
        <v>200</v>
      </c>
      <c r="BD135" s="8" t="s">
        <v>200</v>
      </c>
      <c r="BE135" s="4" t="s">
        <v>200</v>
      </c>
      <c r="BF135" s="8" t="s">
        <v>200</v>
      </c>
      <c r="BG135" s="7" t="s">
        <v>200</v>
      </c>
      <c r="BH135" s="7" t="s">
        <v>200</v>
      </c>
      <c r="BI135" s="7"/>
      <c r="BJ135" s="4">
        <v>9</v>
      </c>
      <c r="BK135" s="8">
        <v>292.57</v>
      </c>
      <c r="BL135" s="2" t="s">
        <v>1123</v>
      </c>
      <c r="BM135" s="7"/>
      <c r="BN135" s="7"/>
      <c r="BO135" s="4"/>
      <c r="BP135" s="8"/>
      <c r="BQ135" s="4"/>
      <c r="BR135" s="8"/>
      <c r="BS135" s="7"/>
      <c r="BT135" s="7"/>
      <c r="BU135" s="2" t="s">
        <v>1124</v>
      </c>
      <c r="BV135" s="2" t="s">
        <v>200</v>
      </c>
      <c r="BW135" s="2" t="s">
        <v>200</v>
      </c>
      <c r="BX135" s="2" t="s">
        <v>289</v>
      </c>
      <c r="BY135" s="2" t="s">
        <v>247</v>
      </c>
      <c r="BZ135" s="2" t="s">
        <v>212</v>
      </c>
      <c r="CA135" s="2" t="s">
        <v>265</v>
      </c>
      <c r="CB135" s="2" t="s">
        <v>1125</v>
      </c>
      <c r="CC135" s="2" t="s">
        <v>213</v>
      </c>
      <c r="CD135" s="2" t="s">
        <v>200</v>
      </c>
      <c r="CE135" s="4">
        <v>89</v>
      </c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</row>
    <row r="136">
      <c r="A136" s="2" t="s">
        <v>1126</v>
      </c>
      <c r="B136" s="2" t="s">
        <v>827</v>
      </c>
      <c r="C136" s="2" t="s">
        <v>231</v>
      </c>
      <c r="D136" s="2" t="s">
        <v>828</v>
      </c>
      <c r="E136" s="2" t="s">
        <v>1011</v>
      </c>
      <c r="F136" s="2" t="s">
        <v>1062</v>
      </c>
      <c r="G136" s="2" t="s">
        <v>1063</v>
      </c>
      <c r="H136" s="2" t="s">
        <v>1064</v>
      </c>
      <c r="I136" s="2" t="s">
        <v>1074</v>
      </c>
      <c r="J136" s="2" t="s">
        <v>1016</v>
      </c>
      <c r="K136" s="2" t="s">
        <v>221</v>
      </c>
      <c r="L136" s="3">
        <v>15.75</v>
      </c>
      <c r="M136" s="3">
        <v>16.54</v>
      </c>
      <c r="N136" s="3">
        <v>34.99</v>
      </c>
      <c r="O136" s="2" t="s">
        <v>212</v>
      </c>
      <c r="P136" s="2" t="s">
        <v>258</v>
      </c>
      <c r="Q136" s="2" t="s">
        <v>206</v>
      </c>
      <c r="R136" s="2" t="s">
        <v>200</v>
      </c>
      <c r="S136" s="2" t="s">
        <v>1127</v>
      </c>
      <c r="T136" s="2" t="s">
        <v>200</v>
      </c>
      <c r="U136" s="2" t="s">
        <v>200</v>
      </c>
      <c r="V136" s="2" t="s">
        <v>1077</v>
      </c>
      <c r="W136" s="2" t="s">
        <v>419</v>
      </c>
      <c r="X136" s="2" t="s">
        <v>1078</v>
      </c>
      <c r="Y136" s="2" t="s">
        <v>1079</v>
      </c>
      <c r="Z136" s="4">
        <v>342</v>
      </c>
      <c r="AA136" s="4">
        <f>=ROUNDDOWN(15.5454545454545,0)</f>
      </c>
      <c r="AB136" s="5">
        <v>22</v>
      </c>
      <c r="AC136" s="2" t="s">
        <v>115</v>
      </c>
      <c r="AD136" s="4">
        <v>180</v>
      </c>
      <c r="AE136" s="4">
        <v>340</v>
      </c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200</v>
      </c>
      <c r="AM136" s="4"/>
      <c r="AN136" s="4"/>
      <c r="AO136" s="7"/>
      <c r="AP136" s="4"/>
      <c r="AQ136" s="8"/>
      <c r="AR136" s="4"/>
      <c r="AS136" s="8"/>
      <c r="AT136" s="7"/>
      <c r="AU136" s="7"/>
      <c r="AV136" s="4" t="s">
        <v>200</v>
      </c>
      <c r="AW136" s="8" t="s">
        <v>200</v>
      </c>
      <c r="AX136" s="4" t="s">
        <v>200</v>
      </c>
      <c r="AY136" s="8" t="s">
        <v>200</v>
      </c>
      <c r="AZ136" s="7" t="s">
        <v>200</v>
      </c>
      <c r="BA136" s="7" t="s">
        <v>200</v>
      </c>
      <c r="BB136" s="7"/>
      <c r="BC136" s="4" t="s">
        <v>200</v>
      </c>
      <c r="BD136" s="8" t="s">
        <v>200</v>
      </c>
      <c r="BE136" s="4" t="s">
        <v>200</v>
      </c>
      <c r="BF136" s="8" t="s">
        <v>200</v>
      </c>
      <c r="BG136" s="7" t="s">
        <v>200</v>
      </c>
      <c r="BH136" s="7" t="s">
        <v>200</v>
      </c>
      <c r="BI136" s="7"/>
      <c r="BJ136" s="4">
        <v>111</v>
      </c>
      <c r="BK136" s="8">
        <v>1811.79</v>
      </c>
      <c r="BL136" s="2" t="s">
        <v>1128</v>
      </c>
      <c r="BM136" s="7"/>
      <c r="BN136" s="7"/>
      <c r="BO136" s="4"/>
      <c r="BP136" s="8"/>
      <c r="BQ136" s="4"/>
      <c r="BR136" s="8"/>
      <c r="BS136" s="7"/>
      <c r="BT136" s="7"/>
      <c r="BU136" s="2" t="s">
        <v>1129</v>
      </c>
      <c r="BV136" s="2" t="s">
        <v>200</v>
      </c>
      <c r="BW136" s="2" t="s">
        <v>200</v>
      </c>
      <c r="BX136" s="2" t="s">
        <v>264</v>
      </c>
      <c r="BY136" s="2" t="s">
        <v>247</v>
      </c>
      <c r="BZ136" s="2" t="s">
        <v>212</v>
      </c>
      <c r="CA136" s="2" t="s">
        <v>504</v>
      </c>
      <c r="CB136" s="2" t="s">
        <v>1130</v>
      </c>
      <c r="CC136" s="2" t="s">
        <v>213</v>
      </c>
      <c r="CD136" s="2" t="s">
        <v>200</v>
      </c>
      <c r="CE136" s="4">
        <v>342</v>
      </c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>
        <v>180</v>
      </c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>
        <v>100</v>
      </c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>
        <v>60</v>
      </c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</row>
    <row r="137">
      <c r="A137" s="2" t="s">
        <v>1131</v>
      </c>
      <c r="B137" s="2" t="s">
        <v>827</v>
      </c>
      <c r="C137" s="2" t="s">
        <v>231</v>
      </c>
      <c r="D137" s="2" t="s">
        <v>1084</v>
      </c>
      <c r="E137" s="2" t="s">
        <v>1085</v>
      </c>
      <c r="F137" s="2" t="s">
        <v>1062</v>
      </c>
      <c r="G137" s="2" t="s">
        <v>1063</v>
      </c>
      <c r="H137" s="2" t="s">
        <v>1064</v>
      </c>
      <c r="I137" s="2" t="s">
        <v>1086</v>
      </c>
      <c r="J137" s="2" t="s">
        <v>1087</v>
      </c>
      <c r="K137" s="2" t="s">
        <v>221</v>
      </c>
      <c r="L137" s="3">
        <v>10</v>
      </c>
      <c r="M137" s="3">
        <v>10.5</v>
      </c>
      <c r="N137" s="3">
        <v>24.99</v>
      </c>
      <c r="O137" s="2" t="s">
        <v>212</v>
      </c>
      <c r="P137" s="2" t="s">
        <v>258</v>
      </c>
      <c r="Q137" s="2" t="s">
        <v>206</v>
      </c>
      <c r="R137" s="2" t="s">
        <v>200</v>
      </c>
      <c r="S137" s="2" t="s">
        <v>1127</v>
      </c>
      <c r="T137" s="2" t="s">
        <v>200</v>
      </c>
      <c r="U137" s="2" t="s">
        <v>200</v>
      </c>
      <c r="V137" s="2" t="s">
        <v>1077</v>
      </c>
      <c r="W137" s="2" t="s">
        <v>419</v>
      </c>
      <c r="X137" s="2" t="s">
        <v>200</v>
      </c>
      <c r="Y137" s="2" t="s">
        <v>1079</v>
      </c>
      <c r="Z137" s="4">
        <v>858</v>
      </c>
      <c r="AA137" s="4">
        <f>=ROUNDDOWN(17.16,0)</f>
      </c>
      <c r="AB137" s="5">
        <v>50</v>
      </c>
      <c r="AC137" s="2" t="s">
        <v>115</v>
      </c>
      <c r="AD137" s="4">
        <v>200</v>
      </c>
      <c r="AE137" s="4">
        <v>780</v>
      </c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200</v>
      </c>
      <c r="AM137" s="4"/>
      <c r="AN137" s="4"/>
      <c r="AO137" s="7"/>
      <c r="AP137" s="4"/>
      <c r="AQ137" s="8"/>
      <c r="AR137" s="4"/>
      <c r="AS137" s="8"/>
      <c r="AT137" s="7"/>
      <c r="AU137" s="7"/>
      <c r="AV137" s="4" t="s">
        <v>200</v>
      </c>
      <c r="AW137" s="8" t="s">
        <v>200</v>
      </c>
      <c r="AX137" s="4" t="s">
        <v>200</v>
      </c>
      <c r="AY137" s="8" t="s">
        <v>200</v>
      </c>
      <c r="AZ137" s="7" t="s">
        <v>200</v>
      </c>
      <c r="BA137" s="7" t="s">
        <v>200</v>
      </c>
      <c r="BB137" s="7"/>
      <c r="BC137" s="4" t="s">
        <v>200</v>
      </c>
      <c r="BD137" s="8" t="s">
        <v>200</v>
      </c>
      <c r="BE137" s="4" t="s">
        <v>200</v>
      </c>
      <c r="BF137" s="8" t="s">
        <v>200</v>
      </c>
      <c r="BG137" s="7" t="s">
        <v>200</v>
      </c>
      <c r="BH137" s="7" t="s">
        <v>200</v>
      </c>
      <c r="BI137" s="7"/>
      <c r="BJ137" s="4">
        <v>152</v>
      </c>
      <c r="BK137" s="8">
        <v>1479.98</v>
      </c>
      <c r="BL137" s="2" t="s">
        <v>1132</v>
      </c>
      <c r="BM137" s="7"/>
      <c r="BN137" s="7"/>
      <c r="BO137" s="4"/>
      <c r="BP137" s="8"/>
      <c r="BQ137" s="4"/>
      <c r="BR137" s="8"/>
      <c r="BS137" s="7"/>
      <c r="BT137" s="7"/>
      <c r="BU137" s="2" t="s">
        <v>1133</v>
      </c>
      <c r="BV137" s="2" t="s">
        <v>200</v>
      </c>
      <c r="BW137" s="2" t="s">
        <v>200</v>
      </c>
      <c r="BX137" s="2" t="s">
        <v>264</v>
      </c>
      <c r="BY137" s="2" t="s">
        <v>247</v>
      </c>
      <c r="BZ137" s="2" t="s">
        <v>212</v>
      </c>
      <c r="CA137" s="2" t="s">
        <v>1091</v>
      </c>
      <c r="CB137" s="2" t="s">
        <v>400</v>
      </c>
      <c r="CC137" s="2" t="s">
        <v>213</v>
      </c>
      <c r="CD137" s="2" t="s">
        <v>200</v>
      </c>
      <c r="CE137" s="4">
        <v>858</v>
      </c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>
        <v>200</v>
      </c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>
        <v>480</v>
      </c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>
        <v>100</v>
      </c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</row>
    <row r="138">
      <c r="A138" s="2" t="s">
        <v>1134</v>
      </c>
      <c r="B138" s="2" t="s">
        <v>903</v>
      </c>
      <c r="C138" s="2" t="s">
        <v>231</v>
      </c>
      <c r="D138" s="2" t="s">
        <v>608</v>
      </c>
      <c r="E138" s="2" t="s">
        <v>609</v>
      </c>
      <c r="F138" s="2" t="s">
        <v>1062</v>
      </c>
      <c r="G138" s="2" t="s">
        <v>1063</v>
      </c>
      <c r="H138" s="2" t="s">
        <v>1064</v>
      </c>
      <c r="I138" s="2" t="s">
        <v>1065</v>
      </c>
      <c r="J138" s="2" t="s">
        <v>236</v>
      </c>
      <c r="K138" s="2" t="s">
        <v>1135</v>
      </c>
      <c r="L138" s="3">
        <v>71.14</v>
      </c>
      <c r="M138" s="3">
        <v>74.7</v>
      </c>
      <c r="N138" s="3">
        <v>144.99</v>
      </c>
      <c r="O138" s="2" t="s">
        <v>460</v>
      </c>
      <c r="P138" s="2" t="s">
        <v>285</v>
      </c>
      <c r="Q138" s="2" t="s">
        <v>206</v>
      </c>
      <c r="R138" s="2" t="s">
        <v>200</v>
      </c>
      <c r="S138" s="2" t="s">
        <v>1136</v>
      </c>
      <c r="T138" s="2" t="s">
        <v>200</v>
      </c>
      <c r="U138" s="2" t="s">
        <v>1067</v>
      </c>
      <c r="V138" s="2" t="s">
        <v>1068</v>
      </c>
      <c r="W138" s="2" t="s">
        <v>419</v>
      </c>
      <c r="X138" s="2" t="s">
        <v>1069</v>
      </c>
      <c r="Y138" s="2" t="s">
        <v>261</v>
      </c>
      <c r="Z138" s="4">
        <v>154</v>
      </c>
      <c r="AA138" s="4">
        <f>=ROUNDDOWN(38.5,0)</f>
      </c>
      <c r="AB138" s="5">
        <v>4</v>
      </c>
      <c r="AC138" s="2" t="s">
        <v>200</v>
      </c>
      <c r="AD138" s="4"/>
      <c r="AE138" s="4"/>
      <c r="AF138" s="6">
        <v>65</v>
      </c>
      <c r="AG138" s="6">
        <v>48</v>
      </c>
      <c r="AH138" s="7">
        <v>1</v>
      </c>
      <c r="AI138" s="4"/>
      <c r="AJ138" s="4">
        <f>=ROUNDDOWN({0},0)</f>
      </c>
      <c r="AK138" s="5"/>
      <c r="AL138" s="2" t="s">
        <v>200</v>
      </c>
      <c r="AM138" s="4"/>
      <c r="AN138" s="4"/>
      <c r="AO138" s="7"/>
      <c r="AP138" s="4"/>
      <c r="AQ138" s="8"/>
      <c r="AR138" s="4"/>
      <c r="AS138" s="8"/>
      <c r="AT138" s="7"/>
      <c r="AU138" s="7"/>
      <c r="AV138" s="4" t="s">
        <v>200</v>
      </c>
      <c r="AW138" s="8" t="s">
        <v>200</v>
      </c>
      <c r="AX138" s="4" t="s">
        <v>200</v>
      </c>
      <c r="AY138" s="8" t="s">
        <v>200</v>
      </c>
      <c r="AZ138" s="7" t="s">
        <v>200</v>
      </c>
      <c r="BA138" s="7" t="s">
        <v>200</v>
      </c>
      <c r="BB138" s="7"/>
      <c r="BC138" s="4" t="s">
        <v>200</v>
      </c>
      <c r="BD138" s="8" t="s">
        <v>200</v>
      </c>
      <c r="BE138" s="4" t="s">
        <v>200</v>
      </c>
      <c r="BF138" s="8" t="s">
        <v>200</v>
      </c>
      <c r="BG138" s="7" t="s">
        <v>200</v>
      </c>
      <c r="BH138" s="7" t="s">
        <v>200</v>
      </c>
      <c r="BI138" s="7"/>
      <c r="BJ138" s="4">
        <v>56</v>
      </c>
      <c r="BK138" s="8">
        <v>2420.38</v>
      </c>
      <c r="BL138" s="2" t="s">
        <v>1137</v>
      </c>
      <c r="BM138" s="7"/>
      <c r="BN138" s="7"/>
      <c r="BO138" s="4"/>
      <c r="BP138" s="8"/>
      <c r="BQ138" s="4"/>
      <c r="BR138" s="8"/>
      <c r="BS138" s="7"/>
      <c r="BT138" s="7"/>
      <c r="BU138" s="2" t="s">
        <v>1138</v>
      </c>
      <c r="BV138" s="2" t="s">
        <v>200</v>
      </c>
      <c r="BW138" s="2" t="s">
        <v>200</v>
      </c>
      <c r="BX138" s="2" t="s">
        <v>289</v>
      </c>
      <c r="BY138" s="2" t="s">
        <v>247</v>
      </c>
      <c r="BZ138" s="2" t="s">
        <v>212</v>
      </c>
      <c r="CA138" s="2" t="s">
        <v>265</v>
      </c>
      <c r="CB138" s="2" t="s">
        <v>1139</v>
      </c>
      <c r="CC138" s="2" t="s">
        <v>213</v>
      </c>
      <c r="CD138" s="2" t="s">
        <v>200</v>
      </c>
      <c r="CE138" s="4">
        <v>103</v>
      </c>
      <c r="CF138" s="4"/>
      <c r="CG138" s="4"/>
      <c r="CH138" s="4">
        <v>51</v>
      </c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</row>
    <row r="139">
      <c r="A139" s="2" t="s">
        <v>1140</v>
      </c>
      <c r="B139" s="2" t="s">
        <v>827</v>
      </c>
      <c r="C139" s="2" t="s">
        <v>231</v>
      </c>
      <c r="D139" s="2" t="s">
        <v>828</v>
      </c>
      <c r="E139" s="2" t="s">
        <v>1011</v>
      </c>
      <c r="F139" s="2" t="s">
        <v>1062</v>
      </c>
      <c r="G139" s="2" t="s">
        <v>1063</v>
      </c>
      <c r="H139" s="2" t="s">
        <v>1064</v>
      </c>
      <c r="I139" s="2" t="s">
        <v>1074</v>
      </c>
      <c r="J139" s="2" t="s">
        <v>1016</v>
      </c>
      <c r="K139" s="2" t="s">
        <v>1135</v>
      </c>
      <c r="L139" s="3">
        <v>15.75</v>
      </c>
      <c r="M139" s="3">
        <v>16.54</v>
      </c>
      <c r="N139" s="3">
        <v>34.99</v>
      </c>
      <c r="O139" s="2" t="s">
        <v>212</v>
      </c>
      <c r="P139" s="2" t="s">
        <v>258</v>
      </c>
      <c r="Q139" s="2" t="s">
        <v>206</v>
      </c>
      <c r="R139" s="2" t="s">
        <v>200</v>
      </c>
      <c r="S139" s="2" t="s">
        <v>1136</v>
      </c>
      <c r="T139" s="2" t="s">
        <v>200</v>
      </c>
      <c r="U139" s="2" t="s">
        <v>200</v>
      </c>
      <c r="V139" s="2" t="s">
        <v>1077</v>
      </c>
      <c r="W139" s="2" t="s">
        <v>419</v>
      </c>
      <c r="X139" s="2" t="s">
        <v>1078</v>
      </c>
      <c r="Y139" s="2" t="s">
        <v>261</v>
      </c>
      <c r="Z139" s="4">
        <v>421</v>
      </c>
      <c r="AA139" s="4">
        <f>=ROUNDDOWN(28.0666666666667,0)</f>
      </c>
      <c r="AB139" s="5">
        <v>15</v>
      </c>
      <c r="AC139" s="2" t="s">
        <v>1141</v>
      </c>
      <c r="AD139" s="4">
        <v>112</v>
      </c>
      <c r="AE139" s="4">
        <v>112</v>
      </c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200</v>
      </c>
      <c r="AM139" s="4"/>
      <c r="AN139" s="4"/>
      <c r="AO139" s="7"/>
      <c r="AP139" s="4"/>
      <c r="AQ139" s="8"/>
      <c r="AR139" s="4"/>
      <c r="AS139" s="8"/>
      <c r="AT139" s="7"/>
      <c r="AU139" s="7"/>
      <c r="AV139" s="4" t="s">
        <v>200</v>
      </c>
      <c r="AW139" s="8" t="s">
        <v>200</v>
      </c>
      <c r="AX139" s="4" t="s">
        <v>200</v>
      </c>
      <c r="AY139" s="8" t="s">
        <v>200</v>
      </c>
      <c r="AZ139" s="7" t="s">
        <v>200</v>
      </c>
      <c r="BA139" s="7" t="s">
        <v>200</v>
      </c>
      <c r="BB139" s="7"/>
      <c r="BC139" s="4" t="s">
        <v>200</v>
      </c>
      <c r="BD139" s="8" t="s">
        <v>200</v>
      </c>
      <c r="BE139" s="4" t="s">
        <v>200</v>
      </c>
      <c r="BF139" s="8" t="s">
        <v>200</v>
      </c>
      <c r="BG139" s="7" t="s">
        <v>200</v>
      </c>
      <c r="BH139" s="7" t="s">
        <v>200</v>
      </c>
      <c r="BI139" s="7"/>
      <c r="BJ139" s="4">
        <v>56</v>
      </c>
      <c r="BK139" s="8">
        <v>1007.3</v>
      </c>
      <c r="BL139" s="2" t="s">
        <v>1142</v>
      </c>
      <c r="BM139" s="7"/>
      <c r="BN139" s="7"/>
      <c r="BO139" s="4"/>
      <c r="BP139" s="8"/>
      <c r="BQ139" s="4"/>
      <c r="BR139" s="8"/>
      <c r="BS139" s="7"/>
      <c r="BT139" s="7"/>
      <c r="BU139" s="2" t="s">
        <v>1143</v>
      </c>
      <c r="BV139" s="2" t="s">
        <v>200</v>
      </c>
      <c r="BW139" s="2" t="s">
        <v>200</v>
      </c>
      <c r="BX139" s="2" t="s">
        <v>264</v>
      </c>
      <c r="BY139" s="2" t="s">
        <v>247</v>
      </c>
      <c r="BZ139" s="2" t="s">
        <v>212</v>
      </c>
      <c r="CA139" s="2" t="s">
        <v>265</v>
      </c>
      <c r="CB139" s="2" t="s">
        <v>894</v>
      </c>
      <c r="CC139" s="2" t="s">
        <v>213</v>
      </c>
      <c r="CD139" s="2" t="s">
        <v>200</v>
      </c>
      <c r="CE139" s="4">
        <v>421</v>
      </c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>
        <v>112</v>
      </c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</row>
    <row r="140">
      <c r="A140" s="2" t="s">
        <v>1144</v>
      </c>
      <c r="B140" s="2" t="s">
        <v>1099</v>
      </c>
      <c r="C140" s="2" t="s">
        <v>231</v>
      </c>
      <c r="D140" s="2" t="s">
        <v>1100</v>
      </c>
      <c r="E140" s="2" t="s">
        <v>1101</v>
      </c>
      <c r="F140" s="2" t="s">
        <v>1062</v>
      </c>
      <c r="G140" s="2" t="s">
        <v>1063</v>
      </c>
      <c r="H140" s="2" t="s">
        <v>1064</v>
      </c>
      <c r="I140" s="2" t="s">
        <v>1102</v>
      </c>
      <c r="J140" s="2" t="s">
        <v>1103</v>
      </c>
      <c r="K140" s="2" t="s">
        <v>223</v>
      </c>
      <c r="L140" s="3">
        <v>13.8</v>
      </c>
      <c r="M140" s="3">
        <v>14.49</v>
      </c>
      <c r="N140" s="3">
        <v>29.99</v>
      </c>
      <c r="O140" s="2" t="s">
        <v>212</v>
      </c>
      <c r="P140" s="2" t="s">
        <v>258</v>
      </c>
      <c r="Q140" s="2" t="s">
        <v>206</v>
      </c>
      <c r="R140" s="2" t="s">
        <v>200</v>
      </c>
      <c r="S140" s="2" t="s">
        <v>1145</v>
      </c>
      <c r="T140" s="2" t="s">
        <v>312</v>
      </c>
      <c r="U140" s="2" t="s">
        <v>270</v>
      </c>
      <c r="V140" s="2" t="s">
        <v>1068</v>
      </c>
      <c r="W140" s="2" t="s">
        <v>419</v>
      </c>
      <c r="X140" s="2" t="s">
        <v>200</v>
      </c>
      <c r="Y140" s="2" t="s">
        <v>1146</v>
      </c>
      <c r="Z140" s="4">
        <v>376</v>
      </c>
      <c r="AA140" s="4">
        <f>=ROUNDDOWN(19.7894736842105,0)</f>
      </c>
      <c r="AB140" s="5">
        <v>19</v>
      </c>
      <c r="AC140" s="2" t="s">
        <v>1147</v>
      </c>
      <c r="AD140" s="4">
        <v>174</v>
      </c>
      <c r="AE140" s="4">
        <v>522</v>
      </c>
      <c r="AF140" s="6">
        <v>67</v>
      </c>
      <c r="AG140" s="6"/>
      <c r="AH140" s="7">
        <v>0.3333</v>
      </c>
      <c r="AI140" s="4"/>
      <c r="AJ140" s="4">
        <f>=ROUNDDOWN({0},0)</f>
      </c>
      <c r="AK140" s="5"/>
      <c r="AL140" s="2" t="s">
        <v>200</v>
      </c>
      <c r="AM140" s="4"/>
      <c r="AN140" s="4"/>
      <c r="AO140" s="7"/>
      <c r="AP140" s="4"/>
      <c r="AQ140" s="8"/>
      <c r="AR140" s="4"/>
      <c r="AS140" s="8"/>
      <c r="AT140" s="7"/>
      <c r="AU140" s="7"/>
      <c r="AV140" s="4"/>
      <c r="AW140" s="8"/>
      <c r="AX140" s="4"/>
      <c r="AY140" s="8"/>
      <c r="AZ140" s="7"/>
      <c r="BA140" s="7"/>
      <c r="BB140" s="7"/>
      <c r="BC140" s="4" t="s">
        <v>200</v>
      </c>
      <c r="BD140" s="8" t="s">
        <v>200</v>
      </c>
      <c r="BE140" s="4" t="s">
        <v>200</v>
      </c>
      <c r="BF140" s="8" t="s">
        <v>200</v>
      </c>
      <c r="BG140" s="7" t="s">
        <v>200</v>
      </c>
      <c r="BH140" s="7" t="s">
        <v>200</v>
      </c>
      <c r="BI140" s="7"/>
      <c r="BJ140" s="4">
        <v>8</v>
      </c>
      <c r="BK140" s="8">
        <v>124.12</v>
      </c>
      <c r="BL140" s="2" t="s">
        <v>1148</v>
      </c>
      <c r="BM140" s="7"/>
      <c r="BN140" s="7"/>
      <c r="BO140" s="4"/>
      <c r="BP140" s="8"/>
      <c r="BQ140" s="4"/>
      <c r="BR140" s="8"/>
      <c r="BS140" s="7"/>
      <c r="BT140" s="7"/>
      <c r="BU140" s="2" t="s">
        <v>1149</v>
      </c>
      <c r="BV140" s="2" t="s">
        <v>200</v>
      </c>
      <c r="BW140" s="2" t="s">
        <v>200</v>
      </c>
      <c r="BX140" s="2" t="s">
        <v>264</v>
      </c>
      <c r="BY140" s="2" t="s">
        <v>247</v>
      </c>
      <c r="BZ140" s="2" t="s">
        <v>212</v>
      </c>
      <c r="CA140" s="2" t="s">
        <v>1150</v>
      </c>
      <c r="CB140" s="2" t="s">
        <v>1151</v>
      </c>
      <c r="CC140" s="2" t="s">
        <v>213</v>
      </c>
      <c r="CD140" s="2" t="s">
        <v>200</v>
      </c>
      <c r="CE140" s="4">
        <v>376</v>
      </c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>
        <v>174</v>
      </c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>
        <v>348</v>
      </c>
      <c r="FY140" s="4"/>
      <c r="FZ140" s="4"/>
      <c r="GA140" s="4"/>
      <c r="GB140" s="4"/>
      <c r="GC140" s="4"/>
      <c r="GD140" s="4"/>
      <c r="GE140" s="4"/>
      <c r="GF140" s="4"/>
      <c r="GG140" s="4"/>
      <c r="GH140" s="4"/>
    </row>
    <row r="141">
      <c r="A141" s="2" t="s">
        <v>1152</v>
      </c>
      <c r="B141" s="2" t="s">
        <v>827</v>
      </c>
      <c r="C141" s="2" t="s">
        <v>231</v>
      </c>
      <c r="D141" s="2" t="s">
        <v>1084</v>
      </c>
      <c r="E141" s="2" t="s">
        <v>1085</v>
      </c>
      <c r="F141" s="2" t="s">
        <v>1062</v>
      </c>
      <c r="G141" s="2" t="s">
        <v>1063</v>
      </c>
      <c r="H141" s="2" t="s">
        <v>1064</v>
      </c>
      <c r="I141" s="2" t="s">
        <v>1093</v>
      </c>
      <c r="J141" s="2" t="s">
        <v>1087</v>
      </c>
      <c r="K141" s="2" t="s">
        <v>1153</v>
      </c>
      <c r="L141" s="3">
        <v>10</v>
      </c>
      <c r="M141" s="3">
        <v>10.5</v>
      </c>
      <c r="N141" s="3">
        <v>24.99</v>
      </c>
      <c r="O141" s="2" t="s">
        <v>212</v>
      </c>
      <c r="P141" s="2" t="s">
        <v>258</v>
      </c>
      <c r="Q141" s="2" t="s">
        <v>206</v>
      </c>
      <c r="R141" s="2" t="s">
        <v>200</v>
      </c>
      <c r="S141" s="2" t="s">
        <v>1154</v>
      </c>
      <c r="T141" s="2" t="s">
        <v>200</v>
      </c>
      <c r="U141" s="2" t="s">
        <v>200</v>
      </c>
      <c r="V141" s="2" t="s">
        <v>1077</v>
      </c>
      <c r="W141" s="2" t="s">
        <v>419</v>
      </c>
      <c r="X141" s="2" t="s">
        <v>200</v>
      </c>
      <c r="Y141" s="2" t="s">
        <v>261</v>
      </c>
      <c r="Z141" s="4">
        <v>772</v>
      </c>
      <c r="AA141" s="4">
        <f>=ROUNDDOWN(59.3846153846154,0)</f>
      </c>
      <c r="AB141" s="5">
        <v>13</v>
      </c>
      <c r="AC141" s="2" t="s">
        <v>200</v>
      </c>
      <c r="AD141" s="4"/>
      <c r="AE141" s="4"/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200</v>
      </c>
      <c r="AM141" s="4"/>
      <c r="AN141" s="4"/>
      <c r="AO141" s="7"/>
      <c r="AP141" s="4"/>
      <c r="AQ141" s="8"/>
      <c r="AR141" s="4"/>
      <c r="AS141" s="8"/>
      <c r="AT141" s="7"/>
      <c r="AU141" s="7"/>
      <c r="AV141" s="4" t="s">
        <v>200</v>
      </c>
      <c r="AW141" s="8" t="s">
        <v>200</v>
      </c>
      <c r="AX141" s="4" t="s">
        <v>200</v>
      </c>
      <c r="AY141" s="8" t="s">
        <v>200</v>
      </c>
      <c r="AZ141" s="7" t="s">
        <v>200</v>
      </c>
      <c r="BA141" s="7" t="s">
        <v>200</v>
      </c>
      <c r="BB141" s="7"/>
      <c r="BC141" s="4" t="s">
        <v>200</v>
      </c>
      <c r="BD141" s="8" t="s">
        <v>200</v>
      </c>
      <c r="BE141" s="4" t="s">
        <v>200</v>
      </c>
      <c r="BF141" s="8" t="s">
        <v>200</v>
      </c>
      <c r="BG141" s="7" t="s">
        <v>200</v>
      </c>
      <c r="BH141" s="7" t="s">
        <v>200</v>
      </c>
      <c r="BI141" s="7"/>
      <c r="BJ141" s="4">
        <v>50</v>
      </c>
      <c r="BK141" s="8">
        <v>545.04</v>
      </c>
      <c r="BL141" s="2" t="s">
        <v>1155</v>
      </c>
      <c r="BM141" s="7"/>
      <c r="BN141" s="7"/>
      <c r="BO141" s="4"/>
      <c r="BP141" s="8"/>
      <c r="BQ141" s="4"/>
      <c r="BR141" s="8"/>
      <c r="BS141" s="7"/>
      <c r="BT141" s="7"/>
      <c r="BU141" s="2" t="s">
        <v>1156</v>
      </c>
      <c r="BV141" s="2" t="s">
        <v>200</v>
      </c>
      <c r="BW141" s="2" t="s">
        <v>200</v>
      </c>
      <c r="BX141" s="2" t="s">
        <v>264</v>
      </c>
      <c r="BY141" s="2" t="s">
        <v>247</v>
      </c>
      <c r="BZ141" s="2" t="s">
        <v>212</v>
      </c>
      <c r="CA141" s="2" t="s">
        <v>265</v>
      </c>
      <c r="CB141" s="2" t="s">
        <v>1157</v>
      </c>
      <c r="CC141" s="2" t="s">
        <v>213</v>
      </c>
      <c r="CD141" s="2" t="s">
        <v>200</v>
      </c>
      <c r="CE141" s="4">
        <v>772</v>
      </c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</row>
    <row r="142">
      <c r="A142" s="2" t="s">
        <v>1158</v>
      </c>
      <c r="B142" s="2" t="s">
        <v>1099</v>
      </c>
      <c r="C142" s="2" t="s">
        <v>231</v>
      </c>
      <c r="D142" s="2" t="s">
        <v>1159</v>
      </c>
      <c r="E142" s="2" t="s">
        <v>1160</v>
      </c>
      <c r="F142" s="2" t="s">
        <v>1062</v>
      </c>
      <c r="G142" s="2" t="s">
        <v>1063</v>
      </c>
      <c r="H142" s="2" t="s">
        <v>1064</v>
      </c>
      <c r="I142" s="2" t="s">
        <v>1161</v>
      </c>
      <c r="J142" s="2" t="s">
        <v>1162</v>
      </c>
      <c r="K142" s="2" t="s">
        <v>1153</v>
      </c>
      <c r="L142" s="3">
        <v>13.2</v>
      </c>
      <c r="M142" s="3">
        <v>13.86</v>
      </c>
      <c r="N142" s="3">
        <v>29.99</v>
      </c>
      <c r="O142" s="2" t="s">
        <v>212</v>
      </c>
      <c r="P142" s="2" t="s">
        <v>258</v>
      </c>
      <c r="Q142" s="2" t="s">
        <v>206</v>
      </c>
      <c r="R142" s="2" t="s">
        <v>200</v>
      </c>
      <c r="S142" s="2" t="s">
        <v>1154</v>
      </c>
      <c r="T142" s="2" t="s">
        <v>200</v>
      </c>
      <c r="U142" s="2" t="s">
        <v>200</v>
      </c>
      <c r="V142" s="2" t="s">
        <v>1077</v>
      </c>
      <c r="W142" s="2" t="s">
        <v>419</v>
      </c>
      <c r="X142" s="2" t="s">
        <v>200</v>
      </c>
      <c r="Y142" s="2" t="s">
        <v>261</v>
      </c>
      <c r="Z142" s="4">
        <v>223</v>
      </c>
      <c r="AA142" s="4">
        <f>=ROUNDDOWN(12.4581005586592,0)</f>
      </c>
      <c r="AB142" s="5">
        <v>17.9</v>
      </c>
      <c r="AC142" s="2" t="s">
        <v>115</v>
      </c>
      <c r="AD142" s="4">
        <v>200</v>
      </c>
      <c r="AE142" s="4">
        <v>620</v>
      </c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200</v>
      </c>
      <c r="AM142" s="4"/>
      <c r="AN142" s="4"/>
      <c r="AO142" s="7"/>
      <c r="AP142" s="4"/>
      <c r="AQ142" s="8"/>
      <c r="AR142" s="4"/>
      <c r="AS142" s="8"/>
      <c r="AT142" s="7"/>
      <c r="AU142" s="7"/>
      <c r="AV142" s="4" t="s">
        <v>200</v>
      </c>
      <c r="AW142" s="8" t="s">
        <v>200</v>
      </c>
      <c r="AX142" s="4" t="s">
        <v>200</v>
      </c>
      <c r="AY142" s="8" t="s">
        <v>200</v>
      </c>
      <c r="AZ142" s="7" t="s">
        <v>200</v>
      </c>
      <c r="BA142" s="7" t="s">
        <v>200</v>
      </c>
      <c r="BB142" s="7"/>
      <c r="BC142" s="4" t="s">
        <v>200</v>
      </c>
      <c r="BD142" s="8" t="s">
        <v>200</v>
      </c>
      <c r="BE142" s="4" t="s">
        <v>200</v>
      </c>
      <c r="BF142" s="8" t="s">
        <v>200</v>
      </c>
      <c r="BG142" s="7" t="s">
        <v>200</v>
      </c>
      <c r="BH142" s="7" t="s">
        <v>200</v>
      </c>
      <c r="BI142" s="7"/>
      <c r="BJ142" s="4">
        <v>127</v>
      </c>
      <c r="BK142" s="8">
        <v>1822.31</v>
      </c>
      <c r="BL142" s="2" t="s">
        <v>1163</v>
      </c>
      <c r="BM142" s="7"/>
      <c r="BN142" s="7"/>
      <c r="BO142" s="4"/>
      <c r="BP142" s="8"/>
      <c r="BQ142" s="4"/>
      <c r="BR142" s="8"/>
      <c r="BS142" s="7"/>
      <c r="BT142" s="7"/>
      <c r="BU142" s="2" t="s">
        <v>1164</v>
      </c>
      <c r="BV142" s="2" t="s">
        <v>200</v>
      </c>
      <c r="BW142" s="2" t="s">
        <v>200</v>
      </c>
      <c r="BX142" s="2" t="s">
        <v>620</v>
      </c>
      <c r="BY142" s="2" t="s">
        <v>247</v>
      </c>
      <c r="BZ142" s="2" t="s">
        <v>212</v>
      </c>
      <c r="CA142" s="2" t="s">
        <v>265</v>
      </c>
      <c r="CB142" s="2" t="s">
        <v>1165</v>
      </c>
      <c r="CC142" s="2" t="s">
        <v>213</v>
      </c>
      <c r="CD142" s="2" t="s">
        <v>200</v>
      </c>
      <c r="CE142" s="4">
        <v>223</v>
      </c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>
        <v>200</v>
      </c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>
        <v>220</v>
      </c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>
        <v>200</v>
      </c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</row>
    <row r="143">
      <c r="A143" s="2" t="s">
        <v>1166</v>
      </c>
      <c r="B143" s="2" t="s">
        <v>195</v>
      </c>
      <c r="C143" s="2" t="s">
        <v>1167</v>
      </c>
      <c r="D143" s="2" t="s">
        <v>1168</v>
      </c>
      <c r="E143" s="2" t="s">
        <v>1169</v>
      </c>
      <c r="F143" s="2" t="s">
        <v>1170</v>
      </c>
      <c r="G143" s="2" t="s">
        <v>1171</v>
      </c>
      <c r="H143" s="2" t="s">
        <v>1171</v>
      </c>
      <c r="I143" s="2" t="s">
        <v>1172</v>
      </c>
      <c r="J143" s="2" t="s">
        <v>1173</v>
      </c>
      <c r="K143" s="2" t="s">
        <v>1174</v>
      </c>
      <c r="L143" s="3">
        <v>33.33</v>
      </c>
      <c r="M143" s="3">
        <v>35</v>
      </c>
      <c r="N143" s="3">
        <v>69.99</v>
      </c>
      <c r="O143" s="2" t="s">
        <v>212</v>
      </c>
      <c r="P143" s="2" t="s">
        <v>205</v>
      </c>
      <c r="Q143" s="2" t="s">
        <v>206</v>
      </c>
      <c r="R143" s="2" t="s">
        <v>200</v>
      </c>
      <c r="S143" s="2" t="s">
        <v>1175</v>
      </c>
      <c r="T143" s="2" t="s">
        <v>1176</v>
      </c>
      <c r="U143" s="2" t="s">
        <v>270</v>
      </c>
      <c r="V143" s="2" t="s">
        <v>208</v>
      </c>
      <c r="W143" s="2" t="s">
        <v>241</v>
      </c>
      <c r="X143" s="2" t="s">
        <v>200</v>
      </c>
      <c r="Y143" s="2" t="s">
        <v>1177</v>
      </c>
      <c r="Z143" s="4">
        <v>909</v>
      </c>
      <c r="AA143" s="4">
        <f>=ROUNDDOWN(75.75,0)</f>
      </c>
      <c r="AB143" s="5">
        <v>12</v>
      </c>
      <c r="AC143" s="2" t="s">
        <v>200</v>
      </c>
      <c r="AD143" s="4"/>
      <c r="AE143" s="4"/>
      <c r="AF143" s="6">
        <v>66</v>
      </c>
      <c r="AG143" s="6"/>
      <c r="AH143" s="7">
        <v>1</v>
      </c>
      <c r="AI143" s="4"/>
      <c r="AJ143" s="4">
        <f>=ROUNDDOWN({0},0)</f>
      </c>
      <c r="AK143" s="5"/>
      <c r="AL143" s="2" t="s">
        <v>200</v>
      </c>
      <c r="AM143" s="4"/>
      <c r="AN143" s="4"/>
      <c r="AO143" s="7"/>
      <c r="AP143" s="4"/>
      <c r="AQ143" s="8"/>
      <c r="AR143" s="4"/>
      <c r="AS143" s="8"/>
      <c r="AT143" s="7"/>
      <c r="AU143" s="7"/>
      <c r="AV143" s="4"/>
      <c r="AW143" s="8"/>
      <c r="AX143" s="4"/>
      <c r="AY143" s="8"/>
      <c r="AZ143" s="7"/>
      <c r="BA143" s="7"/>
      <c r="BB143" s="7"/>
      <c r="BC143" s="4" t="s">
        <v>200</v>
      </c>
      <c r="BD143" s="8" t="s">
        <v>200</v>
      </c>
      <c r="BE143" s="4" t="s">
        <v>200</v>
      </c>
      <c r="BF143" s="8" t="s">
        <v>200</v>
      </c>
      <c r="BG143" s="7" t="s">
        <v>200</v>
      </c>
      <c r="BH143" s="7" t="s">
        <v>200</v>
      </c>
      <c r="BI143" s="7"/>
      <c r="BJ143" s="4">
        <v>57</v>
      </c>
      <c r="BK143" s="8">
        <v>2162.78</v>
      </c>
      <c r="BL143" s="2" t="s">
        <v>913</v>
      </c>
      <c r="BM143" s="7"/>
      <c r="BN143" s="7"/>
      <c r="BO143" s="4"/>
      <c r="BP143" s="8"/>
      <c r="BQ143" s="4"/>
      <c r="BR143" s="8"/>
      <c r="BS143" s="7"/>
      <c r="BT143" s="7"/>
      <c r="BU143" s="2" t="s">
        <v>1178</v>
      </c>
      <c r="BV143" s="2" t="s">
        <v>200</v>
      </c>
      <c r="BW143" s="2" t="s">
        <v>200</v>
      </c>
      <c r="BX143" s="2" t="s">
        <v>264</v>
      </c>
      <c r="BY143" s="2" t="s">
        <v>247</v>
      </c>
      <c r="BZ143" s="2" t="s">
        <v>212</v>
      </c>
      <c r="CA143" s="2" t="s">
        <v>697</v>
      </c>
      <c r="CB143" s="2" t="s">
        <v>1179</v>
      </c>
      <c r="CC143" s="2" t="s">
        <v>213</v>
      </c>
      <c r="CD143" s="2" t="s">
        <v>200</v>
      </c>
      <c r="CE143" s="4">
        <v>909</v>
      </c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</row>
    <row r="144">
      <c r="A144" s="2" t="s">
        <v>1180</v>
      </c>
      <c r="B144" s="2" t="s">
        <v>195</v>
      </c>
      <c r="C144" s="2" t="s">
        <v>1167</v>
      </c>
      <c r="D144" s="2" t="s">
        <v>1168</v>
      </c>
      <c r="E144" s="2" t="s">
        <v>1169</v>
      </c>
      <c r="F144" s="2" t="s">
        <v>1170</v>
      </c>
      <c r="G144" s="2" t="s">
        <v>1171</v>
      </c>
      <c r="H144" s="2" t="s">
        <v>1171</v>
      </c>
      <c r="I144" s="2" t="s">
        <v>1172</v>
      </c>
      <c r="J144" s="2" t="s">
        <v>1173</v>
      </c>
      <c r="K144" s="2" t="s">
        <v>1181</v>
      </c>
      <c r="L144" s="3">
        <v>33.33</v>
      </c>
      <c r="M144" s="3">
        <v>35</v>
      </c>
      <c r="N144" s="3">
        <v>69.99</v>
      </c>
      <c r="O144" s="2" t="s">
        <v>212</v>
      </c>
      <c r="P144" s="2" t="s">
        <v>205</v>
      </c>
      <c r="Q144" s="2" t="s">
        <v>206</v>
      </c>
      <c r="R144" s="2" t="s">
        <v>200</v>
      </c>
      <c r="S144" s="2" t="s">
        <v>1182</v>
      </c>
      <c r="T144" s="2" t="s">
        <v>1176</v>
      </c>
      <c r="U144" s="2" t="s">
        <v>270</v>
      </c>
      <c r="V144" s="2" t="s">
        <v>885</v>
      </c>
      <c r="W144" s="2" t="s">
        <v>379</v>
      </c>
      <c r="X144" s="2" t="s">
        <v>200</v>
      </c>
      <c r="Y144" s="2" t="s">
        <v>1183</v>
      </c>
      <c r="Z144" s="4">
        <v>662</v>
      </c>
      <c r="AA144" s="4">
        <f>=ROUNDDOWN(66.2,0)</f>
      </c>
      <c r="AB144" s="5">
        <v>10</v>
      </c>
      <c r="AC144" s="2" t="s">
        <v>200</v>
      </c>
      <c r="AD144" s="4"/>
      <c r="AE144" s="4"/>
      <c r="AF144" s="6">
        <v>66</v>
      </c>
      <c r="AG144" s="6"/>
      <c r="AH144" s="7">
        <v>1</v>
      </c>
      <c r="AI144" s="4"/>
      <c r="AJ144" s="4">
        <f>=ROUNDDOWN({0},0)</f>
      </c>
      <c r="AK144" s="5"/>
      <c r="AL144" s="2" t="s">
        <v>200</v>
      </c>
      <c r="AM144" s="4"/>
      <c r="AN144" s="4"/>
      <c r="AO144" s="7"/>
      <c r="AP144" s="4"/>
      <c r="AQ144" s="8"/>
      <c r="AR144" s="4"/>
      <c r="AS144" s="8"/>
      <c r="AT144" s="7"/>
      <c r="AU144" s="7"/>
      <c r="AV144" s="4"/>
      <c r="AW144" s="8"/>
      <c r="AX144" s="4"/>
      <c r="AY144" s="8"/>
      <c r="AZ144" s="7"/>
      <c r="BA144" s="7"/>
      <c r="BB144" s="7"/>
      <c r="BC144" s="4" t="s">
        <v>200</v>
      </c>
      <c r="BD144" s="8" t="s">
        <v>200</v>
      </c>
      <c r="BE144" s="4" t="s">
        <v>200</v>
      </c>
      <c r="BF144" s="8" t="s">
        <v>200</v>
      </c>
      <c r="BG144" s="7" t="s">
        <v>200</v>
      </c>
      <c r="BH144" s="7" t="s">
        <v>200</v>
      </c>
      <c r="BI144" s="7"/>
      <c r="BJ144" s="4">
        <v>26</v>
      </c>
      <c r="BK144" s="8">
        <v>988.63</v>
      </c>
      <c r="BL144" s="2" t="s">
        <v>1184</v>
      </c>
      <c r="BM144" s="7"/>
      <c r="BN144" s="7"/>
      <c r="BO144" s="4"/>
      <c r="BP144" s="8"/>
      <c r="BQ144" s="4"/>
      <c r="BR144" s="8"/>
      <c r="BS144" s="7"/>
      <c r="BT144" s="7"/>
      <c r="BU144" s="2" t="s">
        <v>1185</v>
      </c>
      <c r="BV144" s="2" t="s">
        <v>200</v>
      </c>
      <c r="BW144" s="2" t="s">
        <v>200</v>
      </c>
      <c r="BX144" s="2" t="s">
        <v>264</v>
      </c>
      <c r="BY144" s="2" t="s">
        <v>247</v>
      </c>
      <c r="BZ144" s="2" t="s">
        <v>212</v>
      </c>
      <c r="CA144" s="2" t="s">
        <v>1186</v>
      </c>
      <c r="CB144" s="2" t="s">
        <v>200</v>
      </c>
      <c r="CC144" s="2" t="s">
        <v>213</v>
      </c>
      <c r="CD144" s="2" t="s">
        <v>200</v>
      </c>
      <c r="CE144" s="4">
        <v>662</v>
      </c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</row>
    <row r="145">
      <c r="A145" s="2" t="s">
        <v>1187</v>
      </c>
      <c r="B145" s="2" t="s">
        <v>195</v>
      </c>
      <c r="C145" s="2" t="s">
        <v>1167</v>
      </c>
      <c r="D145" s="2" t="s">
        <v>1168</v>
      </c>
      <c r="E145" s="2" t="s">
        <v>1169</v>
      </c>
      <c r="F145" s="2" t="s">
        <v>1170</v>
      </c>
      <c r="G145" s="2" t="s">
        <v>1171</v>
      </c>
      <c r="H145" s="2" t="s">
        <v>1171</v>
      </c>
      <c r="I145" s="2" t="s">
        <v>1172</v>
      </c>
      <c r="J145" s="2" t="s">
        <v>1173</v>
      </c>
      <c r="K145" s="2" t="s">
        <v>1188</v>
      </c>
      <c r="L145" s="3">
        <v>33.33</v>
      </c>
      <c r="M145" s="3">
        <v>35</v>
      </c>
      <c r="N145" s="3">
        <v>69.99</v>
      </c>
      <c r="O145" s="2" t="s">
        <v>212</v>
      </c>
      <c r="P145" s="2" t="s">
        <v>205</v>
      </c>
      <c r="Q145" s="2" t="s">
        <v>206</v>
      </c>
      <c r="R145" s="2" t="s">
        <v>200</v>
      </c>
      <c r="S145" s="2" t="s">
        <v>1189</v>
      </c>
      <c r="T145" s="2" t="s">
        <v>1176</v>
      </c>
      <c r="U145" s="2" t="s">
        <v>270</v>
      </c>
      <c r="V145" s="2" t="s">
        <v>885</v>
      </c>
      <c r="W145" s="2" t="s">
        <v>379</v>
      </c>
      <c r="X145" s="2" t="s">
        <v>200</v>
      </c>
      <c r="Y145" s="2" t="s">
        <v>1190</v>
      </c>
      <c r="Z145" s="4">
        <v>807</v>
      </c>
      <c r="AA145" s="4">
        <f>=ROUNDDOWN(62.0769230769231,0)</f>
      </c>
      <c r="AB145" s="5">
        <v>13</v>
      </c>
      <c r="AC145" s="2" t="s">
        <v>200</v>
      </c>
      <c r="AD145" s="4"/>
      <c r="AE145" s="4"/>
      <c r="AF145" s="6">
        <v>66</v>
      </c>
      <c r="AG145" s="6"/>
      <c r="AH145" s="7">
        <v>1</v>
      </c>
      <c r="AI145" s="4"/>
      <c r="AJ145" s="4">
        <f>=ROUNDDOWN({0},0)</f>
      </c>
      <c r="AK145" s="5"/>
      <c r="AL145" s="2" t="s">
        <v>200</v>
      </c>
      <c r="AM145" s="4"/>
      <c r="AN145" s="4"/>
      <c r="AO145" s="7"/>
      <c r="AP145" s="4"/>
      <c r="AQ145" s="8"/>
      <c r="AR145" s="4"/>
      <c r="AS145" s="8"/>
      <c r="AT145" s="7"/>
      <c r="AU145" s="7"/>
      <c r="AV145" s="4"/>
      <c r="AW145" s="8"/>
      <c r="AX145" s="4"/>
      <c r="AY145" s="8"/>
      <c r="AZ145" s="7"/>
      <c r="BA145" s="7"/>
      <c r="BB145" s="7"/>
      <c r="BC145" s="4" t="s">
        <v>200</v>
      </c>
      <c r="BD145" s="8" t="s">
        <v>200</v>
      </c>
      <c r="BE145" s="4" t="s">
        <v>200</v>
      </c>
      <c r="BF145" s="8" t="s">
        <v>200</v>
      </c>
      <c r="BG145" s="7" t="s">
        <v>200</v>
      </c>
      <c r="BH145" s="7" t="s">
        <v>200</v>
      </c>
      <c r="BI145" s="7"/>
      <c r="BJ145" s="4">
        <v>74</v>
      </c>
      <c r="BK145" s="8">
        <v>2821.58</v>
      </c>
      <c r="BL145" s="2" t="s">
        <v>1184</v>
      </c>
      <c r="BM145" s="7"/>
      <c r="BN145" s="7"/>
      <c r="BO145" s="4"/>
      <c r="BP145" s="8"/>
      <c r="BQ145" s="4"/>
      <c r="BR145" s="8"/>
      <c r="BS145" s="7"/>
      <c r="BT145" s="7"/>
      <c r="BU145" s="2" t="s">
        <v>1191</v>
      </c>
      <c r="BV145" s="2" t="s">
        <v>200</v>
      </c>
      <c r="BW145" s="2" t="s">
        <v>200</v>
      </c>
      <c r="BX145" s="2" t="s">
        <v>264</v>
      </c>
      <c r="BY145" s="2" t="s">
        <v>247</v>
      </c>
      <c r="BZ145" s="2" t="s">
        <v>212</v>
      </c>
      <c r="CA145" s="2" t="s">
        <v>697</v>
      </c>
      <c r="CB145" s="2" t="s">
        <v>200</v>
      </c>
      <c r="CC145" s="2" t="s">
        <v>213</v>
      </c>
      <c r="CD145" s="2" t="s">
        <v>200</v>
      </c>
      <c r="CE145" s="4">
        <v>807</v>
      </c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</row>
    <row r="146">
      <c r="A146" s="2" t="s">
        <v>1192</v>
      </c>
      <c r="B146" s="2" t="s">
        <v>827</v>
      </c>
      <c r="C146" s="2" t="s">
        <v>231</v>
      </c>
      <c r="D146" s="2" t="s">
        <v>828</v>
      </c>
      <c r="E146" s="2" t="s">
        <v>1011</v>
      </c>
      <c r="F146" s="2" t="s">
        <v>1193</v>
      </c>
      <c r="G146" s="2" t="s">
        <v>1194</v>
      </c>
      <c r="H146" s="2" t="s">
        <v>1195</v>
      </c>
      <c r="I146" s="2" t="s">
        <v>1196</v>
      </c>
      <c r="J146" s="2" t="s">
        <v>1016</v>
      </c>
      <c r="K146" s="2" t="s">
        <v>1174</v>
      </c>
      <c r="L146" s="3">
        <v>18.24</v>
      </c>
      <c r="M146" s="3">
        <v>19.15</v>
      </c>
      <c r="N146" s="3">
        <v>37.99</v>
      </c>
      <c r="O146" s="2" t="s">
        <v>212</v>
      </c>
      <c r="P146" s="2" t="s">
        <v>258</v>
      </c>
      <c r="Q146" s="2" t="s">
        <v>206</v>
      </c>
      <c r="R146" s="2" t="s">
        <v>200</v>
      </c>
      <c r="S146" s="2" t="s">
        <v>1197</v>
      </c>
      <c r="T146" s="2" t="s">
        <v>200</v>
      </c>
      <c r="U146" s="2" t="s">
        <v>270</v>
      </c>
      <c r="V146" s="2" t="s">
        <v>1198</v>
      </c>
      <c r="W146" s="2" t="s">
        <v>241</v>
      </c>
      <c r="X146" s="2" t="s">
        <v>1078</v>
      </c>
      <c r="Y146" s="2" t="s">
        <v>1199</v>
      </c>
      <c r="Z146" s="4">
        <v>215</v>
      </c>
      <c r="AA146" s="4">
        <f>=ROUNDDOWN(6.32352941176471,0)</f>
      </c>
      <c r="AB146" s="5">
        <v>34</v>
      </c>
      <c r="AC146" s="2" t="s">
        <v>112</v>
      </c>
      <c r="AD146" s="4">
        <v>200</v>
      </c>
      <c r="AE146" s="4">
        <v>880</v>
      </c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200</v>
      </c>
      <c r="AM146" s="4"/>
      <c r="AN146" s="4"/>
      <c r="AO146" s="7"/>
      <c r="AP146" s="4"/>
      <c r="AQ146" s="8"/>
      <c r="AR146" s="4"/>
      <c r="AS146" s="8"/>
      <c r="AT146" s="7"/>
      <c r="AU146" s="7"/>
      <c r="AV146" s="4"/>
      <c r="AW146" s="8"/>
      <c r="AX146" s="4"/>
      <c r="AY146" s="8"/>
      <c r="AZ146" s="7"/>
      <c r="BA146" s="7"/>
      <c r="BB146" s="7"/>
      <c r="BC146" s="4" t="s">
        <v>200</v>
      </c>
      <c r="BD146" s="8" t="s">
        <v>200</v>
      </c>
      <c r="BE146" s="4" t="s">
        <v>200</v>
      </c>
      <c r="BF146" s="8" t="s">
        <v>200</v>
      </c>
      <c r="BG146" s="7" t="s">
        <v>200</v>
      </c>
      <c r="BH146" s="7" t="s">
        <v>200</v>
      </c>
      <c r="BI146" s="7"/>
      <c r="BJ146" s="4">
        <v>155</v>
      </c>
      <c r="BK146" s="8">
        <v>3050.29</v>
      </c>
      <c r="BL146" s="2" t="s">
        <v>1200</v>
      </c>
      <c r="BM146" s="7"/>
      <c r="BN146" s="7"/>
      <c r="BO146" s="4"/>
      <c r="BP146" s="8"/>
      <c r="BQ146" s="4"/>
      <c r="BR146" s="8"/>
      <c r="BS146" s="7"/>
      <c r="BT146" s="7"/>
      <c r="BU146" s="2" t="s">
        <v>1201</v>
      </c>
      <c r="BV146" s="2" t="s">
        <v>200</v>
      </c>
      <c r="BW146" s="2" t="s">
        <v>200</v>
      </c>
      <c r="BX146" s="2" t="s">
        <v>620</v>
      </c>
      <c r="BY146" s="2" t="s">
        <v>247</v>
      </c>
      <c r="BZ146" s="2" t="s">
        <v>212</v>
      </c>
      <c r="CA146" s="2" t="s">
        <v>1202</v>
      </c>
      <c r="CB146" s="2" t="s">
        <v>1203</v>
      </c>
      <c r="CC146" s="2" t="s">
        <v>213</v>
      </c>
      <c r="CD146" s="2" t="s">
        <v>200</v>
      </c>
      <c r="CE146" s="4">
        <v>215</v>
      </c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>
        <v>200</v>
      </c>
      <c r="CZ146" s="4"/>
      <c r="DA146" s="4"/>
      <c r="DB146" s="4"/>
      <c r="DC146" s="4"/>
      <c r="DD146" s="4"/>
      <c r="DE146" s="4"/>
      <c r="DF146" s="4">
        <v>220</v>
      </c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>
        <v>280</v>
      </c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>
        <v>180</v>
      </c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</row>
    <row r="147">
      <c r="A147" s="2" t="s">
        <v>1204</v>
      </c>
      <c r="B147" s="2" t="s">
        <v>827</v>
      </c>
      <c r="C147" s="2" t="s">
        <v>231</v>
      </c>
      <c r="D147" s="2" t="s">
        <v>828</v>
      </c>
      <c r="E147" s="2" t="s">
        <v>1011</v>
      </c>
      <c r="F147" s="2" t="s">
        <v>1193</v>
      </c>
      <c r="G147" s="2" t="s">
        <v>1194</v>
      </c>
      <c r="H147" s="2" t="s">
        <v>1195</v>
      </c>
      <c r="I147" s="2" t="s">
        <v>1196</v>
      </c>
      <c r="J147" s="2" t="s">
        <v>1016</v>
      </c>
      <c r="K147" s="2" t="s">
        <v>416</v>
      </c>
      <c r="L147" s="3">
        <v>18.24</v>
      </c>
      <c r="M147" s="3">
        <v>19.15</v>
      </c>
      <c r="N147" s="3">
        <v>37.99</v>
      </c>
      <c r="O147" s="2" t="s">
        <v>212</v>
      </c>
      <c r="P147" s="2" t="s">
        <v>258</v>
      </c>
      <c r="Q147" s="2" t="s">
        <v>206</v>
      </c>
      <c r="R147" s="2" t="s">
        <v>200</v>
      </c>
      <c r="S147" s="2" t="s">
        <v>1205</v>
      </c>
      <c r="T147" s="2" t="s">
        <v>200</v>
      </c>
      <c r="U147" s="2" t="s">
        <v>270</v>
      </c>
      <c r="V147" s="2" t="s">
        <v>1198</v>
      </c>
      <c r="W147" s="2" t="s">
        <v>241</v>
      </c>
      <c r="X147" s="2" t="s">
        <v>1078</v>
      </c>
      <c r="Y147" s="2" t="s">
        <v>1206</v>
      </c>
      <c r="Z147" s="4">
        <v>466</v>
      </c>
      <c r="AA147" s="4">
        <f>=ROUNDDOWN(29.125,0)</f>
      </c>
      <c r="AB147" s="5">
        <v>16</v>
      </c>
      <c r="AC147" s="2" t="s">
        <v>369</v>
      </c>
      <c r="AD147" s="4">
        <v>360</v>
      </c>
      <c r="AE147" s="4">
        <v>480</v>
      </c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200</v>
      </c>
      <c r="AM147" s="4"/>
      <c r="AN147" s="4"/>
      <c r="AO147" s="7"/>
      <c r="AP147" s="4"/>
      <c r="AQ147" s="8"/>
      <c r="AR147" s="4"/>
      <c r="AS147" s="8"/>
      <c r="AT147" s="7"/>
      <c r="AU147" s="7"/>
      <c r="AV147" s="4"/>
      <c r="AW147" s="8"/>
      <c r="AX147" s="4"/>
      <c r="AY147" s="8"/>
      <c r="AZ147" s="7"/>
      <c r="BA147" s="7"/>
      <c r="BB147" s="7"/>
      <c r="BC147" s="4" t="s">
        <v>200</v>
      </c>
      <c r="BD147" s="8" t="s">
        <v>200</v>
      </c>
      <c r="BE147" s="4" t="s">
        <v>200</v>
      </c>
      <c r="BF147" s="8" t="s">
        <v>200</v>
      </c>
      <c r="BG147" s="7" t="s">
        <v>200</v>
      </c>
      <c r="BH147" s="7" t="s">
        <v>200</v>
      </c>
      <c r="BI147" s="7"/>
      <c r="BJ147" s="4">
        <v>33</v>
      </c>
      <c r="BK147" s="8">
        <v>688.67</v>
      </c>
      <c r="BL147" s="2" t="s">
        <v>1207</v>
      </c>
      <c r="BM147" s="7"/>
      <c r="BN147" s="7"/>
      <c r="BO147" s="4"/>
      <c r="BP147" s="8"/>
      <c r="BQ147" s="4"/>
      <c r="BR147" s="8"/>
      <c r="BS147" s="7"/>
      <c r="BT147" s="7"/>
      <c r="BU147" s="2" t="s">
        <v>1208</v>
      </c>
      <c r="BV147" s="2" t="s">
        <v>200</v>
      </c>
      <c r="BW147" s="2" t="s">
        <v>200</v>
      </c>
      <c r="BX147" s="2" t="s">
        <v>620</v>
      </c>
      <c r="BY147" s="2" t="s">
        <v>247</v>
      </c>
      <c r="BZ147" s="2" t="s">
        <v>212</v>
      </c>
      <c r="CA147" s="2" t="s">
        <v>1209</v>
      </c>
      <c r="CB147" s="2" t="s">
        <v>697</v>
      </c>
      <c r="CC147" s="2" t="s">
        <v>213</v>
      </c>
      <c r="CD147" s="2" t="s">
        <v>200</v>
      </c>
      <c r="CE147" s="4">
        <v>466</v>
      </c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>
        <v>360</v>
      </c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>
        <v>120</v>
      </c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</row>
    <row r="148">
      <c r="A148" s="2" t="s">
        <v>1210</v>
      </c>
      <c r="B148" s="2" t="s">
        <v>903</v>
      </c>
      <c r="C148" s="2" t="s">
        <v>1211</v>
      </c>
      <c r="D148" s="2" t="s">
        <v>918</v>
      </c>
      <c r="E148" s="2" t="s">
        <v>934</v>
      </c>
      <c r="F148" s="2" t="s">
        <v>1212</v>
      </c>
      <c r="G148" s="2" t="s">
        <v>1212</v>
      </c>
      <c r="H148" s="2" t="s">
        <v>1212</v>
      </c>
      <c r="I148" s="2" t="s">
        <v>1213</v>
      </c>
      <c r="J148" s="2" t="s">
        <v>612</v>
      </c>
      <c r="K148" s="2" t="s">
        <v>1214</v>
      </c>
      <c r="L148" s="3">
        <v>68.09</v>
      </c>
      <c r="M148" s="3">
        <v>71.49</v>
      </c>
      <c r="N148" s="3">
        <v>199.99</v>
      </c>
      <c r="O148" s="2" t="s">
        <v>212</v>
      </c>
      <c r="P148" s="2" t="s">
        <v>285</v>
      </c>
      <c r="Q148" s="2" t="s">
        <v>206</v>
      </c>
      <c r="R148" s="2" t="s">
        <v>200</v>
      </c>
      <c r="S148" s="2" t="s">
        <v>200</v>
      </c>
      <c r="T148" s="2" t="s">
        <v>312</v>
      </c>
      <c r="U148" s="2" t="s">
        <v>200</v>
      </c>
      <c r="V148" s="2" t="s">
        <v>208</v>
      </c>
      <c r="W148" s="2" t="s">
        <v>379</v>
      </c>
      <c r="X148" s="2" t="s">
        <v>200</v>
      </c>
      <c r="Y148" s="2" t="s">
        <v>1215</v>
      </c>
      <c r="Z148" s="4">
        <v>70</v>
      </c>
      <c r="AA148" s="4">
        <f>=ROUNDDOWN(36.8421052631579,0)</f>
      </c>
      <c r="AB148" s="5">
        <v>1.9</v>
      </c>
      <c r="AC148" s="2" t="s">
        <v>200</v>
      </c>
      <c r="AD148" s="4"/>
      <c r="AE148" s="4"/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200</v>
      </c>
      <c r="AM148" s="4"/>
      <c r="AN148" s="4"/>
      <c r="AO148" s="7"/>
      <c r="AP148" s="4"/>
      <c r="AQ148" s="8"/>
      <c r="AR148" s="4"/>
      <c r="AS148" s="8"/>
      <c r="AT148" s="7"/>
      <c r="AU148" s="7"/>
      <c r="AV148" s="4"/>
      <c r="AW148" s="8"/>
      <c r="AX148" s="4"/>
      <c r="AY148" s="8"/>
      <c r="AZ148" s="7"/>
      <c r="BA148" s="7"/>
      <c r="BB148" s="7"/>
      <c r="BC148" s="4"/>
      <c r="BD148" s="8"/>
      <c r="BE148" s="4"/>
      <c r="BF148" s="8"/>
      <c r="BG148" s="7"/>
      <c r="BH148" s="7"/>
      <c r="BI148" s="7"/>
      <c r="BJ148" s="4">
        <v>17</v>
      </c>
      <c r="BK148" s="8">
        <v>859.95</v>
      </c>
      <c r="BL148" s="2" t="s">
        <v>1216</v>
      </c>
      <c r="BM148" s="7"/>
      <c r="BN148" s="7"/>
      <c r="BO148" s="4"/>
      <c r="BP148" s="8"/>
      <c r="BQ148" s="4"/>
      <c r="BR148" s="8"/>
      <c r="BS148" s="7"/>
      <c r="BT148" s="7"/>
      <c r="BU148" s="2" t="s">
        <v>1217</v>
      </c>
      <c r="BV148" s="2" t="s">
        <v>200</v>
      </c>
      <c r="BW148" s="2" t="s">
        <v>200</v>
      </c>
      <c r="BX148" s="2" t="s">
        <v>289</v>
      </c>
      <c r="BY148" s="2" t="s">
        <v>247</v>
      </c>
      <c r="BZ148" s="2" t="s">
        <v>212</v>
      </c>
      <c r="CA148" s="2" t="s">
        <v>1218</v>
      </c>
      <c r="CB148" s="2" t="s">
        <v>442</v>
      </c>
      <c r="CC148" s="2" t="s">
        <v>213</v>
      </c>
      <c r="CD148" s="2" t="s">
        <v>200</v>
      </c>
      <c r="CE148" s="4">
        <v>70</v>
      </c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</row>
    <row r="149">
      <c r="A149" s="2" t="s">
        <v>1219</v>
      </c>
      <c r="B149" s="2" t="s">
        <v>827</v>
      </c>
      <c r="C149" s="2" t="s">
        <v>231</v>
      </c>
      <c r="D149" s="2" t="s">
        <v>1084</v>
      </c>
      <c r="E149" s="2" t="s">
        <v>1085</v>
      </c>
      <c r="F149" s="2" t="s">
        <v>1220</v>
      </c>
      <c r="G149" s="2" t="s">
        <v>1221</v>
      </c>
      <c r="H149" s="2" t="s">
        <v>1222</v>
      </c>
      <c r="I149" s="2" t="s">
        <v>1223</v>
      </c>
      <c r="J149" s="2" t="s">
        <v>1087</v>
      </c>
      <c r="K149" s="2" t="s">
        <v>387</v>
      </c>
      <c r="L149" s="3">
        <v>11.76</v>
      </c>
      <c r="M149" s="3">
        <v>12.35</v>
      </c>
      <c r="N149" s="3">
        <v>27.99</v>
      </c>
      <c r="O149" s="2" t="s">
        <v>212</v>
      </c>
      <c r="P149" s="2" t="s">
        <v>258</v>
      </c>
      <c r="Q149" s="2" t="s">
        <v>206</v>
      </c>
      <c r="R149" s="2" t="s">
        <v>200</v>
      </c>
      <c r="S149" s="2" t="s">
        <v>1224</v>
      </c>
      <c r="T149" s="2" t="s">
        <v>200</v>
      </c>
      <c r="U149" s="2" t="s">
        <v>200</v>
      </c>
      <c r="V149" s="2" t="s">
        <v>348</v>
      </c>
      <c r="W149" s="2" t="s">
        <v>419</v>
      </c>
      <c r="X149" s="2" t="s">
        <v>200</v>
      </c>
      <c r="Y149" s="2" t="s">
        <v>1225</v>
      </c>
      <c r="Z149" s="4">
        <v>405</v>
      </c>
      <c r="AA149" s="4">
        <f>=ROUNDDOWN(40.5,0)</f>
      </c>
      <c r="AB149" s="5">
        <v>10</v>
      </c>
      <c r="AC149" s="2" t="s">
        <v>112</v>
      </c>
      <c r="AD149" s="4">
        <v>104</v>
      </c>
      <c r="AE149" s="4">
        <v>272</v>
      </c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200</v>
      </c>
      <c r="AM149" s="4"/>
      <c r="AN149" s="4"/>
      <c r="AO149" s="7"/>
      <c r="AP149" s="4"/>
      <c r="AQ149" s="8"/>
      <c r="AR149" s="4"/>
      <c r="AS149" s="8"/>
      <c r="AT149" s="7"/>
      <c r="AU149" s="7"/>
      <c r="AV149" s="4"/>
      <c r="AW149" s="8"/>
      <c r="AX149" s="4"/>
      <c r="AY149" s="8"/>
      <c r="AZ149" s="7"/>
      <c r="BA149" s="7"/>
      <c r="BB149" s="7"/>
      <c r="BC149" s="4" t="s">
        <v>200</v>
      </c>
      <c r="BD149" s="8" t="s">
        <v>200</v>
      </c>
      <c r="BE149" s="4" t="s">
        <v>200</v>
      </c>
      <c r="BF149" s="8" t="s">
        <v>200</v>
      </c>
      <c r="BG149" s="7" t="s">
        <v>200</v>
      </c>
      <c r="BH149" s="7" t="s">
        <v>200</v>
      </c>
      <c r="BI149" s="7"/>
      <c r="BJ149" s="4">
        <v>38</v>
      </c>
      <c r="BK149" s="8">
        <v>467.75</v>
      </c>
      <c r="BL149" s="2" t="s">
        <v>1226</v>
      </c>
      <c r="BM149" s="7"/>
      <c r="BN149" s="7"/>
      <c r="BO149" s="4"/>
      <c r="BP149" s="8"/>
      <c r="BQ149" s="4"/>
      <c r="BR149" s="8"/>
      <c r="BS149" s="7"/>
      <c r="BT149" s="7"/>
      <c r="BU149" s="2" t="s">
        <v>1227</v>
      </c>
      <c r="BV149" s="2" t="s">
        <v>200</v>
      </c>
      <c r="BW149" s="2" t="s">
        <v>200</v>
      </c>
      <c r="BX149" s="2" t="s">
        <v>264</v>
      </c>
      <c r="BY149" s="2" t="s">
        <v>247</v>
      </c>
      <c r="BZ149" s="2" t="s">
        <v>212</v>
      </c>
      <c r="CA149" s="2" t="s">
        <v>1228</v>
      </c>
      <c r="CB149" s="2" t="s">
        <v>1229</v>
      </c>
      <c r="CC149" s="2" t="s">
        <v>213</v>
      </c>
      <c r="CD149" s="2" t="s">
        <v>200</v>
      </c>
      <c r="CE149" s="4">
        <v>405</v>
      </c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>
        <v>104</v>
      </c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>
        <v>168</v>
      </c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</row>
    <row r="150">
      <c r="A150" s="2" t="s">
        <v>1230</v>
      </c>
      <c r="B150" s="2" t="s">
        <v>827</v>
      </c>
      <c r="C150" s="2" t="s">
        <v>231</v>
      </c>
      <c r="D150" s="2" t="s">
        <v>828</v>
      </c>
      <c r="E150" s="2" t="s">
        <v>1011</v>
      </c>
      <c r="F150" s="2" t="s">
        <v>1220</v>
      </c>
      <c r="G150" s="2" t="s">
        <v>1221</v>
      </c>
      <c r="H150" s="2" t="s">
        <v>1222</v>
      </c>
      <c r="I150" s="2" t="s">
        <v>1231</v>
      </c>
      <c r="J150" s="2" t="s">
        <v>1016</v>
      </c>
      <c r="K150" s="2" t="s">
        <v>221</v>
      </c>
      <c r="L150" s="3">
        <v>16.65</v>
      </c>
      <c r="M150" s="3">
        <v>17.48</v>
      </c>
      <c r="N150" s="3">
        <v>36.99</v>
      </c>
      <c r="O150" s="2" t="s">
        <v>212</v>
      </c>
      <c r="P150" s="2" t="s">
        <v>258</v>
      </c>
      <c r="Q150" s="2" t="s">
        <v>206</v>
      </c>
      <c r="R150" s="2" t="s">
        <v>200</v>
      </c>
      <c r="S150" s="2" t="s">
        <v>1232</v>
      </c>
      <c r="T150" s="2" t="s">
        <v>200</v>
      </c>
      <c r="U150" s="2" t="s">
        <v>200</v>
      </c>
      <c r="V150" s="2" t="s">
        <v>348</v>
      </c>
      <c r="W150" s="2" t="s">
        <v>419</v>
      </c>
      <c r="X150" s="2" t="s">
        <v>1078</v>
      </c>
      <c r="Y150" s="2" t="s">
        <v>261</v>
      </c>
      <c r="Z150" s="4">
        <v>145</v>
      </c>
      <c r="AA150" s="4">
        <f>=ROUNDDOWN(14.5,0)</f>
      </c>
      <c r="AB150" s="5">
        <v>10</v>
      </c>
      <c r="AC150" s="2" t="s">
        <v>112</v>
      </c>
      <c r="AD150" s="4">
        <v>132</v>
      </c>
      <c r="AE150" s="4">
        <v>300</v>
      </c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200</v>
      </c>
      <c r="AM150" s="4"/>
      <c r="AN150" s="4"/>
      <c r="AO150" s="7"/>
      <c r="AP150" s="4"/>
      <c r="AQ150" s="8"/>
      <c r="AR150" s="4"/>
      <c r="AS150" s="8"/>
      <c r="AT150" s="7"/>
      <c r="AU150" s="7"/>
      <c r="AV150" s="4" t="s">
        <v>200</v>
      </c>
      <c r="AW150" s="8" t="s">
        <v>200</v>
      </c>
      <c r="AX150" s="4" t="s">
        <v>200</v>
      </c>
      <c r="AY150" s="8" t="s">
        <v>200</v>
      </c>
      <c r="AZ150" s="7" t="s">
        <v>200</v>
      </c>
      <c r="BA150" s="7" t="s">
        <v>200</v>
      </c>
      <c r="BB150" s="7"/>
      <c r="BC150" s="4" t="s">
        <v>200</v>
      </c>
      <c r="BD150" s="8" t="s">
        <v>200</v>
      </c>
      <c r="BE150" s="4" t="s">
        <v>200</v>
      </c>
      <c r="BF150" s="8" t="s">
        <v>200</v>
      </c>
      <c r="BG150" s="7" t="s">
        <v>200</v>
      </c>
      <c r="BH150" s="7" t="s">
        <v>200</v>
      </c>
      <c r="BI150" s="7"/>
      <c r="BJ150" s="4">
        <v>44</v>
      </c>
      <c r="BK150" s="8">
        <v>784.13</v>
      </c>
      <c r="BL150" s="2" t="s">
        <v>1233</v>
      </c>
      <c r="BM150" s="7"/>
      <c r="BN150" s="7"/>
      <c r="BO150" s="4"/>
      <c r="BP150" s="8"/>
      <c r="BQ150" s="4"/>
      <c r="BR150" s="8"/>
      <c r="BS150" s="7"/>
      <c r="BT150" s="7"/>
      <c r="BU150" s="2" t="s">
        <v>1234</v>
      </c>
      <c r="BV150" s="2" t="s">
        <v>200</v>
      </c>
      <c r="BW150" s="2" t="s">
        <v>200</v>
      </c>
      <c r="BX150" s="2" t="s">
        <v>264</v>
      </c>
      <c r="BY150" s="2" t="s">
        <v>247</v>
      </c>
      <c r="BZ150" s="2" t="s">
        <v>212</v>
      </c>
      <c r="CA150" s="2" t="s">
        <v>265</v>
      </c>
      <c r="CB150" s="2" t="s">
        <v>1235</v>
      </c>
      <c r="CC150" s="2" t="s">
        <v>213</v>
      </c>
      <c r="CD150" s="2" t="s">
        <v>200</v>
      </c>
      <c r="CE150" s="4">
        <v>145</v>
      </c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>
        <v>132</v>
      </c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>
        <v>168</v>
      </c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</row>
    <row r="151">
      <c r="A151" s="2" t="s">
        <v>1236</v>
      </c>
      <c r="B151" s="2" t="s">
        <v>827</v>
      </c>
      <c r="C151" s="2" t="s">
        <v>231</v>
      </c>
      <c r="D151" s="2" t="s">
        <v>1084</v>
      </c>
      <c r="E151" s="2" t="s">
        <v>1085</v>
      </c>
      <c r="F151" s="2" t="s">
        <v>1220</v>
      </c>
      <c r="G151" s="2" t="s">
        <v>1221</v>
      </c>
      <c r="H151" s="2" t="s">
        <v>1222</v>
      </c>
      <c r="I151" s="2" t="s">
        <v>1223</v>
      </c>
      <c r="J151" s="2" t="s">
        <v>1087</v>
      </c>
      <c r="K151" s="2" t="s">
        <v>221</v>
      </c>
      <c r="L151" s="3">
        <v>11.76</v>
      </c>
      <c r="M151" s="3">
        <v>12.35</v>
      </c>
      <c r="N151" s="3">
        <v>27.99</v>
      </c>
      <c r="O151" s="2" t="s">
        <v>212</v>
      </c>
      <c r="P151" s="2" t="s">
        <v>258</v>
      </c>
      <c r="Q151" s="2" t="s">
        <v>206</v>
      </c>
      <c r="R151" s="2" t="s">
        <v>200</v>
      </c>
      <c r="S151" s="2" t="s">
        <v>1232</v>
      </c>
      <c r="T151" s="2" t="s">
        <v>200</v>
      </c>
      <c r="U151" s="2" t="s">
        <v>200</v>
      </c>
      <c r="V151" s="2" t="s">
        <v>348</v>
      </c>
      <c r="W151" s="2" t="s">
        <v>419</v>
      </c>
      <c r="X151" s="2" t="s">
        <v>200</v>
      </c>
      <c r="Y151" s="2" t="s">
        <v>1237</v>
      </c>
      <c r="Z151" s="4">
        <v>979</v>
      </c>
      <c r="AA151" s="4">
        <f>=ROUNDDOWN(51.5263157894737,0)</f>
      </c>
      <c r="AB151" s="5">
        <v>19</v>
      </c>
      <c r="AC151" s="2" t="s">
        <v>200</v>
      </c>
      <c r="AD151" s="4"/>
      <c r="AE151" s="4"/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200</v>
      </c>
      <c r="AM151" s="4"/>
      <c r="AN151" s="4"/>
      <c r="AO151" s="7"/>
      <c r="AP151" s="4"/>
      <c r="AQ151" s="8"/>
      <c r="AR151" s="4"/>
      <c r="AS151" s="8"/>
      <c r="AT151" s="7"/>
      <c r="AU151" s="7"/>
      <c r="AV151" s="4" t="s">
        <v>200</v>
      </c>
      <c r="AW151" s="8" t="s">
        <v>200</v>
      </c>
      <c r="AX151" s="4" t="s">
        <v>200</v>
      </c>
      <c r="AY151" s="8" t="s">
        <v>200</v>
      </c>
      <c r="AZ151" s="7" t="s">
        <v>200</v>
      </c>
      <c r="BA151" s="7" t="s">
        <v>200</v>
      </c>
      <c r="BB151" s="7"/>
      <c r="BC151" s="4" t="s">
        <v>200</v>
      </c>
      <c r="BD151" s="8" t="s">
        <v>200</v>
      </c>
      <c r="BE151" s="4" t="s">
        <v>200</v>
      </c>
      <c r="BF151" s="8" t="s">
        <v>200</v>
      </c>
      <c r="BG151" s="7" t="s">
        <v>200</v>
      </c>
      <c r="BH151" s="7" t="s">
        <v>200</v>
      </c>
      <c r="BI151" s="7"/>
      <c r="BJ151" s="4">
        <v>46</v>
      </c>
      <c r="BK151" s="8">
        <v>558.48</v>
      </c>
      <c r="BL151" s="2" t="s">
        <v>1238</v>
      </c>
      <c r="BM151" s="7"/>
      <c r="BN151" s="7"/>
      <c r="BO151" s="4"/>
      <c r="BP151" s="8"/>
      <c r="BQ151" s="4"/>
      <c r="BR151" s="8"/>
      <c r="BS151" s="7"/>
      <c r="BT151" s="7"/>
      <c r="BU151" s="2" t="s">
        <v>1239</v>
      </c>
      <c r="BV151" s="2" t="s">
        <v>200</v>
      </c>
      <c r="BW151" s="2" t="s">
        <v>200</v>
      </c>
      <c r="BX151" s="2" t="s">
        <v>264</v>
      </c>
      <c r="BY151" s="2" t="s">
        <v>247</v>
      </c>
      <c r="BZ151" s="2" t="s">
        <v>212</v>
      </c>
      <c r="CA151" s="2" t="s">
        <v>1228</v>
      </c>
      <c r="CB151" s="2" t="s">
        <v>1240</v>
      </c>
      <c r="CC151" s="2" t="s">
        <v>213</v>
      </c>
      <c r="CD151" s="2" t="s">
        <v>200</v>
      </c>
      <c r="CE151" s="4">
        <v>979</v>
      </c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</row>
    <row r="152">
      <c r="A152" s="2" t="s">
        <v>1241</v>
      </c>
      <c r="B152" s="2" t="s">
        <v>827</v>
      </c>
      <c r="C152" s="2" t="s">
        <v>231</v>
      </c>
      <c r="D152" s="2" t="s">
        <v>828</v>
      </c>
      <c r="E152" s="2" t="s">
        <v>1011</v>
      </c>
      <c r="F152" s="2" t="s">
        <v>1220</v>
      </c>
      <c r="G152" s="2" t="s">
        <v>1221</v>
      </c>
      <c r="H152" s="2" t="s">
        <v>1222</v>
      </c>
      <c r="I152" s="2" t="s">
        <v>1231</v>
      </c>
      <c r="J152" s="2" t="s">
        <v>1242</v>
      </c>
      <c r="K152" s="2" t="s">
        <v>223</v>
      </c>
      <c r="L152" s="3">
        <v>19.35</v>
      </c>
      <c r="M152" s="3">
        <v>20.32</v>
      </c>
      <c r="N152" s="3">
        <v>42.99</v>
      </c>
      <c r="O152" s="2" t="s">
        <v>212</v>
      </c>
      <c r="P152" s="2" t="s">
        <v>258</v>
      </c>
      <c r="Q152" s="2" t="s">
        <v>206</v>
      </c>
      <c r="R152" s="2" t="s">
        <v>200</v>
      </c>
      <c r="S152" s="2" t="s">
        <v>1243</v>
      </c>
      <c r="T152" s="2" t="s">
        <v>200</v>
      </c>
      <c r="U152" s="2" t="s">
        <v>200</v>
      </c>
      <c r="V152" s="2" t="s">
        <v>348</v>
      </c>
      <c r="W152" s="2" t="s">
        <v>419</v>
      </c>
      <c r="X152" s="2" t="s">
        <v>1078</v>
      </c>
      <c r="Y152" s="2" t="s">
        <v>261</v>
      </c>
      <c r="Z152" s="4">
        <v>43</v>
      </c>
      <c r="AA152" s="4">
        <f>=ROUNDDOWN(6.14285714285714,0)</f>
      </c>
      <c r="AB152" s="5">
        <v>7</v>
      </c>
      <c r="AC152" s="2" t="s">
        <v>112</v>
      </c>
      <c r="AD152" s="4">
        <v>60</v>
      </c>
      <c r="AE152" s="4">
        <v>220</v>
      </c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200</v>
      </c>
      <c r="AM152" s="4"/>
      <c r="AN152" s="4"/>
      <c r="AO152" s="7"/>
      <c r="AP152" s="4"/>
      <c r="AQ152" s="8"/>
      <c r="AR152" s="4"/>
      <c r="AS152" s="8"/>
      <c r="AT152" s="7"/>
      <c r="AU152" s="7"/>
      <c r="AV152" s="4"/>
      <c r="AW152" s="8"/>
      <c r="AX152" s="4"/>
      <c r="AY152" s="8"/>
      <c r="AZ152" s="7"/>
      <c r="BA152" s="7"/>
      <c r="BB152" s="7"/>
      <c r="BC152" s="4" t="s">
        <v>200</v>
      </c>
      <c r="BD152" s="8" t="s">
        <v>200</v>
      </c>
      <c r="BE152" s="4" t="s">
        <v>200</v>
      </c>
      <c r="BF152" s="8" t="s">
        <v>200</v>
      </c>
      <c r="BG152" s="7" t="s">
        <v>200</v>
      </c>
      <c r="BH152" s="7" t="s">
        <v>200</v>
      </c>
      <c r="BI152" s="7"/>
      <c r="BJ152" s="4">
        <v>29</v>
      </c>
      <c r="BK152" s="8">
        <v>994.25</v>
      </c>
      <c r="BL152" s="2" t="s">
        <v>892</v>
      </c>
      <c r="BM152" s="7"/>
      <c r="BN152" s="7"/>
      <c r="BO152" s="4"/>
      <c r="BP152" s="8"/>
      <c r="BQ152" s="4"/>
      <c r="BR152" s="8"/>
      <c r="BS152" s="7"/>
      <c r="BT152" s="7"/>
      <c r="BU152" s="2" t="s">
        <v>1244</v>
      </c>
      <c r="BV152" s="2" t="s">
        <v>200</v>
      </c>
      <c r="BW152" s="2" t="s">
        <v>200</v>
      </c>
      <c r="BX152" s="2" t="s">
        <v>264</v>
      </c>
      <c r="BY152" s="2" t="s">
        <v>247</v>
      </c>
      <c r="BZ152" s="2" t="s">
        <v>212</v>
      </c>
      <c r="CA152" s="2" t="s">
        <v>265</v>
      </c>
      <c r="CB152" s="2" t="s">
        <v>1245</v>
      </c>
      <c r="CC152" s="2" t="s">
        <v>213</v>
      </c>
      <c r="CD152" s="2" t="s">
        <v>200</v>
      </c>
      <c r="CE152" s="4">
        <v>43</v>
      </c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>
        <v>60</v>
      </c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>
        <v>32</v>
      </c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>
        <v>128</v>
      </c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</row>
    <row r="153">
      <c r="A153" s="2" t="s">
        <v>1246</v>
      </c>
      <c r="B153" s="2" t="s">
        <v>827</v>
      </c>
      <c r="C153" s="2" t="s">
        <v>231</v>
      </c>
      <c r="D153" s="2" t="s">
        <v>828</v>
      </c>
      <c r="E153" s="2" t="s">
        <v>1011</v>
      </c>
      <c r="F153" s="2" t="s">
        <v>1220</v>
      </c>
      <c r="G153" s="2" t="s">
        <v>1221</v>
      </c>
      <c r="H153" s="2" t="s">
        <v>1222</v>
      </c>
      <c r="I153" s="2" t="s">
        <v>1231</v>
      </c>
      <c r="J153" s="2" t="s">
        <v>1242</v>
      </c>
      <c r="K153" s="2" t="s">
        <v>257</v>
      </c>
      <c r="L153" s="3">
        <v>19.35</v>
      </c>
      <c r="M153" s="3">
        <v>20.32</v>
      </c>
      <c r="N153" s="3">
        <v>42.99</v>
      </c>
      <c r="O153" s="2" t="s">
        <v>212</v>
      </c>
      <c r="P153" s="2" t="s">
        <v>1247</v>
      </c>
      <c r="Q153" s="2" t="s">
        <v>206</v>
      </c>
      <c r="R153" s="2" t="s">
        <v>200</v>
      </c>
      <c r="S153" s="2" t="s">
        <v>1248</v>
      </c>
      <c r="T153" s="2" t="s">
        <v>200</v>
      </c>
      <c r="U153" s="2" t="s">
        <v>200</v>
      </c>
      <c r="V153" s="2" t="s">
        <v>348</v>
      </c>
      <c r="W153" s="2" t="s">
        <v>419</v>
      </c>
      <c r="X153" s="2" t="s">
        <v>1078</v>
      </c>
      <c r="Y153" s="2" t="s">
        <v>261</v>
      </c>
      <c r="Z153" s="4">
        <v>155</v>
      </c>
      <c r="AA153" s="4">
        <f>=ROUNDDOWN(14.0909090909091,0)</f>
      </c>
      <c r="AB153" s="5">
        <v>11</v>
      </c>
      <c r="AC153" s="2" t="s">
        <v>112</v>
      </c>
      <c r="AD153" s="4">
        <v>100</v>
      </c>
      <c r="AE153" s="4">
        <v>328</v>
      </c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200</v>
      </c>
      <c r="AM153" s="4"/>
      <c r="AN153" s="4"/>
      <c r="AO153" s="7"/>
      <c r="AP153" s="4"/>
      <c r="AQ153" s="8"/>
      <c r="AR153" s="4"/>
      <c r="AS153" s="8"/>
      <c r="AT153" s="7"/>
      <c r="AU153" s="7"/>
      <c r="AV153" s="4"/>
      <c r="AW153" s="8"/>
      <c r="AX153" s="4"/>
      <c r="AY153" s="8"/>
      <c r="AZ153" s="7"/>
      <c r="BA153" s="7"/>
      <c r="BB153" s="7"/>
      <c r="BC153" s="4" t="s">
        <v>200</v>
      </c>
      <c r="BD153" s="8" t="s">
        <v>200</v>
      </c>
      <c r="BE153" s="4" t="s">
        <v>200</v>
      </c>
      <c r="BF153" s="8" t="s">
        <v>200</v>
      </c>
      <c r="BG153" s="7" t="s">
        <v>200</v>
      </c>
      <c r="BH153" s="7" t="s">
        <v>200</v>
      </c>
      <c r="BI153" s="7"/>
      <c r="BJ153" s="4">
        <v>56</v>
      </c>
      <c r="BK153" s="8">
        <v>1580.39</v>
      </c>
      <c r="BL153" s="2" t="s">
        <v>1249</v>
      </c>
      <c r="BM153" s="7"/>
      <c r="BN153" s="7"/>
      <c r="BO153" s="4"/>
      <c r="BP153" s="8"/>
      <c r="BQ153" s="4"/>
      <c r="BR153" s="8"/>
      <c r="BS153" s="7"/>
      <c r="BT153" s="7"/>
      <c r="BU153" s="2" t="s">
        <v>1250</v>
      </c>
      <c r="BV153" s="2" t="s">
        <v>200</v>
      </c>
      <c r="BW153" s="2" t="s">
        <v>200</v>
      </c>
      <c r="BX153" s="2" t="s">
        <v>264</v>
      </c>
      <c r="BY153" s="2" t="s">
        <v>247</v>
      </c>
      <c r="BZ153" s="2" t="s">
        <v>212</v>
      </c>
      <c r="CA153" s="2" t="s">
        <v>265</v>
      </c>
      <c r="CB153" s="2" t="s">
        <v>1108</v>
      </c>
      <c r="CC153" s="2" t="s">
        <v>213</v>
      </c>
      <c r="CD153" s="2" t="s">
        <v>200</v>
      </c>
      <c r="CE153" s="4">
        <v>155</v>
      </c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>
        <v>100</v>
      </c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>
        <v>228</v>
      </c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</row>
    <row r="154">
      <c r="A154" s="2" t="s">
        <v>1251</v>
      </c>
      <c r="B154" s="2" t="s">
        <v>195</v>
      </c>
      <c r="C154" s="2" t="s">
        <v>1252</v>
      </c>
      <c r="D154" s="2" t="s">
        <v>1253</v>
      </c>
      <c r="E154" s="2" t="s">
        <v>1253</v>
      </c>
      <c r="F154" s="2" t="s">
        <v>1254</v>
      </c>
      <c r="G154" s="2" t="s">
        <v>200</v>
      </c>
      <c r="H154" s="2" t="s">
        <v>200</v>
      </c>
      <c r="I154" s="2" t="s">
        <v>1255</v>
      </c>
      <c r="J154" s="2" t="s">
        <v>1256</v>
      </c>
      <c r="K154" s="2" t="s">
        <v>1257</v>
      </c>
      <c r="L154" s="3">
        <v>13.86</v>
      </c>
      <c r="M154" s="3">
        <v>14.55</v>
      </c>
      <c r="N154" s="3">
        <v>24.99</v>
      </c>
      <c r="O154" s="2" t="s">
        <v>212</v>
      </c>
      <c r="P154" s="2" t="s">
        <v>1258</v>
      </c>
      <c r="Q154" s="2" t="s">
        <v>206</v>
      </c>
      <c r="R154" s="2" t="s">
        <v>1259</v>
      </c>
      <c r="S154" s="2" t="s">
        <v>200</v>
      </c>
      <c r="T154" s="2" t="s">
        <v>200</v>
      </c>
      <c r="U154" s="2" t="s">
        <v>200</v>
      </c>
      <c r="V154" s="2" t="s">
        <v>208</v>
      </c>
      <c r="W154" s="2" t="s">
        <v>200</v>
      </c>
      <c r="X154" s="2" t="s">
        <v>200</v>
      </c>
      <c r="Y154" s="2" t="s">
        <v>1260</v>
      </c>
      <c r="Z154" s="4">
        <v>8</v>
      </c>
      <c r="AA154" s="4">
        <f>=ROUNDDOWN(1,0)</f>
      </c>
      <c r="AB154" s="5">
        <v>8</v>
      </c>
      <c r="AC154" s="2" t="s">
        <v>200</v>
      </c>
      <c r="AD154" s="4"/>
      <c r="AE154" s="4"/>
      <c r="AF154" s="6">
        <v>64</v>
      </c>
      <c r="AG154" s="6"/>
      <c r="AH154" s="7">
        <v>1</v>
      </c>
      <c r="AI154" s="4"/>
      <c r="AJ154" s="4">
        <f>=ROUNDDOWN({0},0)</f>
      </c>
      <c r="AK154" s="5"/>
      <c r="AL154" s="2" t="s">
        <v>200</v>
      </c>
      <c r="AM154" s="4"/>
      <c r="AN154" s="4"/>
      <c r="AO154" s="7"/>
      <c r="AP154" s="4"/>
      <c r="AQ154" s="8"/>
      <c r="AR154" s="4"/>
      <c r="AS154" s="8"/>
      <c r="AT154" s="7"/>
      <c r="AU154" s="7"/>
      <c r="AV154" s="4"/>
      <c r="AW154" s="8"/>
      <c r="AX154" s="4"/>
      <c r="AY154" s="8"/>
      <c r="AZ154" s="7"/>
      <c r="BA154" s="7"/>
      <c r="BB154" s="7"/>
      <c r="BC154" s="4"/>
      <c r="BD154" s="8"/>
      <c r="BE154" s="4"/>
      <c r="BF154" s="8"/>
      <c r="BG154" s="7"/>
      <c r="BH154" s="7"/>
      <c r="BI154" s="7"/>
      <c r="BJ154" s="4">
        <v>1</v>
      </c>
      <c r="BK154" s="8">
        <v>8.96</v>
      </c>
      <c r="BL154" s="2" t="s">
        <v>1261</v>
      </c>
      <c r="BM154" s="7"/>
      <c r="BN154" s="7"/>
      <c r="BO154" s="4"/>
      <c r="BP154" s="8"/>
      <c r="BQ154" s="4"/>
      <c r="BR154" s="8"/>
      <c r="BS154" s="7"/>
      <c r="BT154" s="7"/>
      <c r="BU154" s="2" t="s">
        <v>1262</v>
      </c>
      <c r="BV154" s="2" t="s">
        <v>200</v>
      </c>
      <c r="BW154" s="2" t="s">
        <v>200</v>
      </c>
      <c r="BX154" s="2" t="s">
        <v>289</v>
      </c>
      <c r="BY154" s="2" t="s">
        <v>247</v>
      </c>
      <c r="BZ154" s="2" t="s">
        <v>212</v>
      </c>
      <c r="CA154" s="2" t="s">
        <v>1263</v>
      </c>
      <c r="CB154" s="2" t="s">
        <v>1264</v>
      </c>
      <c r="CC154" s="2" t="s">
        <v>213</v>
      </c>
      <c r="CD154" s="2" t="s">
        <v>200</v>
      </c>
      <c r="CE154" s="4">
        <v>8</v>
      </c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</row>
    <row r="155">
      <c r="A155" s="2" t="s">
        <v>1265</v>
      </c>
      <c r="B155" s="2" t="s">
        <v>827</v>
      </c>
      <c r="C155" s="2" t="s">
        <v>231</v>
      </c>
      <c r="D155" s="2" t="s">
        <v>828</v>
      </c>
      <c r="E155" s="2" t="s">
        <v>1011</v>
      </c>
      <c r="F155" s="2" t="s">
        <v>1266</v>
      </c>
      <c r="G155" s="2" t="s">
        <v>1267</v>
      </c>
      <c r="H155" s="2" t="s">
        <v>1268</v>
      </c>
      <c r="I155" s="2" t="s">
        <v>1269</v>
      </c>
      <c r="J155" s="2" t="s">
        <v>1016</v>
      </c>
      <c r="K155" s="2" t="s">
        <v>257</v>
      </c>
      <c r="L155" s="3">
        <v>16.1</v>
      </c>
      <c r="M155" s="3">
        <v>16.9</v>
      </c>
      <c r="N155" s="3">
        <v>34.99</v>
      </c>
      <c r="O155" s="2" t="s">
        <v>212</v>
      </c>
      <c r="P155" s="2" t="s">
        <v>1247</v>
      </c>
      <c r="Q155" s="2" t="s">
        <v>206</v>
      </c>
      <c r="R155" s="2" t="s">
        <v>200</v>
      </c>
      <c r="S155" s="2" t="s">
        <v>1270</v>
      </c>
      <c r="T155" s="2" t="s">
        <v>200</v>
      </c>
      <c r="U155" s="2" t="s">
        <v>200</v>
      </c>
      <c r="V155" s="2" t="s">
        <v>208</v>
      </c>
      <c r="W155" s="2" t="s">
        <v>1271</v>
      </c>
      <c r="X155" s="2" t="s">
        <v>1078</v>
      </c>
      <c r="Y155" s="2" t="s">
        <v>261</v>
      </c>
      <c r="Z155" s="4">
        <v>532</v>
      </c>
      <c r="AA155" s="4">
        <f>=ROUNDDOWN(25.3333333333333,0)</f>
      </c>
      <c r="AB155" s="5">
        <v>21</v>
      </c>
      <c r="AC155" s="2" t="s">
        <v>120</v>
      </c>
      <c r="AD155" s="4">
        <v>172</v>
      </c>
      <c r="AE155" s="4">
        <v>552</v>
      </c>
      <c r="AF155" s="6">
        <v>65</v>
      </c>
      <c r="AG155" s="6"/>
      <c r="AH155" s="7">
        <v>1</v>
      </c>
      <c r="AI155" s="4"/>
      <c r="AJ155" s="4">
        <f>=ROUNDDOWN({0},0)</f>
      </c>
      <c r="AK155" s="5"/>
      <c r="AL155" s="2" t="s">
        <v>200</v>
      </c>
      <c r="AM155" s="4"/>
      <c r="AN155" s="4"/>
      <c r="AO155" s="7"/>
      <c r="AP155" s="4"/>
      <c r="AQ155" s="8"/>
      <c r="AR155" s="4"/>
      <c r="AS155" s="8"/>
      <c r="AT155" s="7"/>
      <c r="AU155" s="7"/>
      <c r="AV155" s="4"/>
      <c r="AW155" s="8"/>
      <c r="AX155" s="4"/>
      <c r="AY155" s="8"/>
      <c r="AZ155" s="7"/>
      <c r="BA155" s="7"/>
      <c r="BB155" s="7"/>
      <c r="BC155" s="4"/>
      <c r="BD155" s="8"/>
      <c r="BE155" s="4"/>
      <c r="BF155" s="8"/>
      <c r="BG155" s="7"/>
      <c r="BH155" s="7"/>
      <c r="BI155" s="7"/>
      <c r="BJ155" s="4">
        <v>58</v>
      </c>
      <c r="BK155" s="8">
        <v>1121.96</v>
      </c>
      <c r="BL155" s="2" t="s">
        <v>1272</v>
      </c>
      <c r="BM155" s="7"/>
      <c r="BN155" s="7"/>
      <c r="BO155" s="4"/>
      <c r="BP155" s="8"/>
      <c r="BQ155" s="4"/>
      <c r="BR155" s="8"/>
      <c r="BS155" s="7"/>
      <c r="BT155" s="7"/>
      <c r="BU155" s="2" t="s">
        <v>1273</v>
      </c>
      <c r="BV155" s="2" t="s">
        <v>200</v>
      </c>
      <c r="BW155" s="2" t="s">
        <v>200</v>
      </c>
      <c r="BX155" s="2" t="s">
        <v>264</v>
      </c>
      <c r="BY155" s="2" t="s">
        <v>247</v>
      </c>
      <c r="BZ155" s="2" t="s">
        <v>212</v>
      </c>
      <c r="CA155" s="2" t="s">
        <v>265</v>
      </c>
      <c r="CB155" s="2" t="s">
        <v>1108</v>
      </c>
      <c r="CC155" s="2" t="s">
        <v>213</v>
      </c>
      <c r="CD155" s="2" t="s">
        <v>200</v>
      </c>
      <c r="CE155" s="4">
        <v>532</v>
      </c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>
        <v>172</v>
      </c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>
        <v>80</v>
      </c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>
        <v>300</v>
      </c>
      <c r="GB155" s="4"/>
      <c r="GC155" s="4"/>
      <c r="GD155" s="4"/>
      <c r="GE155" s="4"/>
      <c r="GF155" s="4"/>
      <c r="GG155" s="4"/>
      <c r="GH155" s="4"/>
    </row>
    <row r="156">
      <c r="A156" s="2" t="s">
        <v>1274</v>
      </c>
      <c r="B156" s="2" t="s">
        <v>744</v>
      </c>
      <c r="C156" s="2" t="s">
        <v>231</v>
      </c>
      <c r="D156" s="2" t="s">
        <v>1275</v>
      </c>
      <c r="E156" s="2" t="s">
        <v>1276</v>
      </c>
      <c r="F156" s="2" t="s">
        <v>1277</v>
      </c>
      <c r="G156" s="2" t="s">
        <v>1278</v>
      </c>
      <c r="H156" s="2" t="s">
        <v>1279</v>
      </c>
      <c r="I156" s="2" t="s">
        <v>1280</v>
      </c>
      <c r="J156" s="2" t="s">
        <v>711</v>
      </c>
      <c r="K156" s="2" t="s">
        <v>1174</v>
      </c>
      <c r="L156" s="3">
        <v>187.91</v>
      </c>
      <c r="M156" s="3">
        <v>197.31</v>
      </c>
      <c r="N156" s="3">
        <v>399</v>
      </c>
      <c r="O156" s="2" t="s">
        <v>460</v>
      </c>
      <c r="P156" s="2" t="s">
        <v>285</v>
      </c>
      <c r="Q156" s="2" t="s">
        <v>206</v>
      </c>
      <c r="R156" s="2" t="s">
        <v>200</v>
      </c>
      <c r="S156" s="2" t="s">
        <v>1281</v>
      </c>
      <c r="T156" s="2" t="s">
        <v>200</v>
      </c>
      <c r="U156" s="2" t="s">
        <v>200</v>
      </c>
      <c r="V156" s="2" t="s">
        <v>208</v>
      </c>
      <c r="W156" s="2" t="s">
        <v>736</v>
      </c>
      <c r="X156" s="2" t="s">
        <v>200</v>
      </c>
      <c r="Y156" s="2" t="s">
        <v>1282</v>
      </c>
      <c r="Z156" s="4">
        <v>1</v>
      </c>
      <c r="AA156" s="4">
        <f>=ROUNDDOWN(1,0)</f>
      </c>
      <c r="AB156" s="5">
        <v>1</v>
      </c>
      <c r="AC156" s="2" t="s">
        <v>200</v>
      </c>
      <c r="AD156" s="4"/>
      <c r="AE156" s="4"/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200</v>
      </c>
      <c r="AM156" s="4"/>
      <c r="AN156" s="4"/>
      <c r="AO156" s="7"/>
      <c r="AP156" s="4"/>
      <c r="AQ156" s="8"/>
      <c r="AR156" s="4"/>
      <c r="AS156" s="8"/>
      <c r="AT156" s="7"/>
      <c r="AU156" s="7"/>
      <c r="AV156" s="4"/>
      <c r="AW156" s="8"/>
      <c r="AX156" s="4"/>
      <c r="AY156" s="8"/>
      <c r="AZ156" s="7"/>
      <c r="BA156" s="7"/>
      <c r="BB156" s="7"/>
      <c r="BC156" s="4"/>
      <c r="BD156" s="8"/>
      <c r="BE156" s="4"/>
      <c r="BF156" s="8"/>
      <c r="BG156" s="7"/>
      <c r="BH156" s="7"/>
      <c r="BI156" s="7"/>
      <c r="BJ156" s="4">
        <v>9</v>
      </c>
      <c r="BK156" s="8">
        <v>1490.63</v>
      </c>
      <c r="BL156" s="2" t="s">
        <v>1283</v>
      </c>
      <c r="BM156" s="7"/>
      <c r="BN156" s="7"/>
      <c r="BO156" s="4"/>
      <c r="BP156" s="8"/>
      <c r="BQ156" s="4"/>
      <c r="BR156" s="8"/>
      <c r="BS156" s="7"/>
      <c r="BT156" s="7"/>
      <c r="BU156" s="2" t="s">
        <v>1284</v>
      </c>
      <c r="BV156" s="2" t="s">
        <v>200</v>
      </c>
      <c r="BW156" s="2" t="s">
        <v>200</v>
      </c>
      <c r="BX156" s="2" t="s">
        <v>289</v>
      </c>
      <c r="BY156" s="2" t="s">
        <v>247</v>
      </c>
      <c r="BZ156" s="2" t="s">
        <v>212</v>
      </c>
      <c r="CA156" s="2" t="s">
        <v>1285</v>
      </c>
      <c r="CB156" s="2" t="s">
        <v>1286</v>
      </c>
      <c r="CC156" s="2" t="s">
        <v>213</v>
      </c>
      <c r="CD156" s="2" t="s">
        <v>200</v>
      </c>
      <c r="CE156" s="4"/>
      <c r="CF156" s="4">
        <v>1</v>
      </c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</row>
    <row r="157">
      <c r="A157" s="2" t="s">
        <v>1287</v>
      </c>
      <c r="B157" s="2" t="s">
        <v>705</v>
      </c>
      <c r="C157" s="2" t="s">
        <v>745</v>
      </c>
      <c r="D157" s="2" t="s">
        <v>817</v>
      </c>
      <c r="E157" s="2" t="s">
        <v>818</v>
      </c>
      <c r="F157" s="2" t="s">
        <v>1288</v>
      </c>
      <c r="G157" s="2" t="s">
        <v>1289</v>
      </c>
      <c r="H157" s="2" t="s">
        <v>1288</v>
      </c>
      <c r="I157" s="2" t="s">
        <v>1290</v>
      </c>
      <c r="J157" s="2" t="s">
        <v>711</v>
      </c>
      <c r="K157" s="2" t="s">
        <v>387</v>
      </c>
      <c r="L157" s="3">
        <v>53</v>
      </c>
      <c r="M157" s="3">
        <v>55.65</v>
      </c>
      <c r="N157" s="3">
        <v>109.99</v>
      </c>
      <c r="O157" s="2" t="s">
        <v>212</v>
      </c>
      <c r="P157" s="2" t="s">
        <v>205</v>
      </c>
      <c r="Q157" s="2" t="s">
        <v>206</v>
      </c>
      <c r="R157" s="2" t="s">
        <v>200</v>
      </c>
      <c r="S157" s="2" t="s">
        <v>200</v>
      </c>
      <c r="T157" s="2" t="s">
        <v>200</v>
      </c>
      <c r="U157" s="2" t="s">
        <v>270</v>
      </c>
      <c r="V157" s="2" t="s">
        <v>616</v>
      </c>
      <c r="W157" s="2" t="s">
        <v>1291</v>
      </c>
      <c r="X157" s="2" t="s">
        <v>379</v>
      </c>
      <c r="Y157" s="2" t="s">
        <v>858</v>
      </c>
      <c r="Z157" s="4">
        <v>46</v>
      </c>
      <c r="AA157" s="4">
        <f>=ROUNDDOWN(15.3333333333333,0)</f>
      </c>
      <c r="AB157" s="5">
        <v>3</v>
      </c>
      <c r="AC157" s="2" t="s">
        <v>200</v>
      </c>
      <c r="AD157" s="4"/>
      <c r="AE157" s="4"/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200</v>
      </c>
      <c r="AM157" s="4"/>
      <c r="AN157" s="4"/>
      <c r="AO157" s="7"/>
      <c r="AP157" s="4"/>
      <c r="AQ157" s="8"/>
      <c r="AR157" s="4"/>
      <c r="AS157" s="8"/>
      <c r="AT157" s="7"/>
      <c r="AU157" s="7"/>
      <c r="AV157" s="4"/>
      <c r="AW157" s="8"/>
      <c r="AX157" s="4"/>
      <c r="AY157" s="8"/>
      <c r="AZ157" s="7"/>
      <c r="BA157" s="7"/>
      <c r="BB157" s="7"/>
      <c r="BC157" s="4"/>
      <c r="BD157" s="8"/>
      <c r="BE157" s="4"/>
      <c r="BF157" s="8"/>
      <c r="BG157" s="7"/>
      <c r="BH157" s="7"/>
      <c r="BI157" s="7"/>
      <c r="BJ157" s="4">
        <v>20</v>
      </c>
      <c r="BK157" s="8">
        <v>1246.6</v>
      </c>
      <c r="BL157" s="2" t="s">
        <v>1292</v>
      </c>
      <c r="BM157" s="7"/>
      <c r="BN157" s="7"/>
      <c r="BO157" s="4"/>
      <c r="BP157" s="8"/>
      <c r="BQ157" s="4"/>
      <c r="BR157" s="8"/>
      <c r="BS157" s="7"/>
      <c r="BT157" s="7"/>
      <c r="BU157" s="2" t="s">
        <v>1293</v>
      </c>
      <c r="BV157" s="2" t="s">
        <v>200</v>
      </c>
      <c r="BW157" s="2" t="s">
        <v>200</v>
      </c>
      <c r="BX157" s="2" t="s">
        <v>264</v>
      </c>
      <c r="BY157" s="2" t="s">
        <v>247</v>
      </c>
      <c r="BZ157" s="2" t="s">
        <v>212</v>
      </c>
      <c r="CA157" s="2" t="s">
        <v>1294</v>
      </c>
      <c r="CB157" s="2" t="s">
        <v>1295</v>
      </c>
      <c r="CC157" s="2" t="s">
        <v>213</v>
      </c>
      <c r="CD157" s="2" t="s">
        <v>200</v>
      </c>
      <c r="CE157" s="4"/>
      <c r="CF157" s="4">
        <v>46</v>
      </c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</row>
    <row r="158">
      <c r="A158" s="2" t="s">
        <v>1296</v>
      </c>
      <c r="B158" s="2" t="s">
        <v>744</v>
      </c>
      <c r="C158" s="2" t="s">
        <v>231</v>
      </c>
      <c r="D158" s="2" t="s">
        <v>795</v>
      </c>
      <c r="E158" s="2" t="s">
        <v>796</v>
      </c>
      <c r="F158" s="2" t="s">
        <v>1297</v>
      </c>
      <c r="G158" s="2" t="s">
        <v>1298</v>
      </c>
      <c r="H158" s="2" t="s">
        <v>1299</v>
      </c>
      <c r="I158" s="2" t="s">
        <v>1300</v>
      </c>
      <c r="J158" s="2" t="s">
        <v>711</v>
      </c>
      <c r="K158" s="2" t="s">
        <v>1174</v>
      </c>
      <c r="L158" s="3">
        <v>234</v>
      </c>
      <c r="M158" s="3">
        <v>245.7</v>
      </c>
      <c r="N158" s="3">
        <v>499</v>
      </c>
      <c r="O158" s="2" t="s">
        <v>212</v>
      </c>
      <c r="P158" s="2" t="s">
        <v>285</v>
      </c>
      <c r="Q158" s="2" t="s">
        <v>206</v>
      </c>
      <c r="R158" s="2" t="s">
        <v>200</v>
      </c>
      <c r="S158" s="2" t="s">
        <v>200</v>
      </c>
      <c r="T158" s="2" t="s">
        <v>200</v>
      </c>
      <c r="U158" s="2" t="s">
        <v>270</v>
      </c>
      <c r="V158" s="2" t="s">
        <v>616</v>
      </c>
      <c r="W158" s="2" t="s">
        <v>736</v>
      </c>
      <c r="X158" s="2" t="s">
        <v>419</v>
      </c>
      <c r="Y158" s="2" t="s">
        <v>1301</v>
      </c>
      <c r="Z158" s="4">
        <v>44</v>
      </c>
      <c r="AA158" s="4">
        <f>=ROUNDDOWN(14.6666666666667,0)</f>
      </c>
      <c r="AB158" s="5">
        <v>3</v>
      </c>
      <c r="AC158" s="2" t="s">
        <v>200</v>
      </c>
      <c r="AD158" s="4"/>
      <c r="AE158" s="4"/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200</v>
      </c>
      <c r="AM158" s="4"/>
      <c r="AN158" s="4"/>
      <c r="AO158" s="7"/>
      <c r="AP158" s="4"/>
      <c r="AQ158" s="8"/>
      <c r="AR158" s="4"/>
      <c r="AS158" s="8"/>
      <c r="AT158" s="7"/>
      <c r="AU158" s="7"/>
      <c r="AV158" s="4"/>
      <c r="AW158" s="8"/>
      <c r="AX158" s="4"/>
      <c r="AY158" s="8"/>
      <c r="AZ158" s="7"/>
      <c r="BA158" s="7"/>
      <c r="BB158" s="7"/>
      <c r="BC158" s="4"/>
      <c r="BD158" s="8"/>
      <c r="BE158" s="4"/>
      <c r="BF158" s="8"/>
      <c r="BG158" s="7"/>
      <c r="BH158" s="7"/>
      <c r="BI158" s="7"/>
      <c r="BJ158" s="4">
        <v>5</v>
      </c>
      <c r="BK158" s="8">
        <v>1285.02</v>
      </c>
      <c r="BL158" s="2" t="s">
        <v>1302</v>
      </c>
      <c r="BM158" s="7"/>
      <c r="BN158" s="7"/>
      <c r="BO158" s="4"/>
      <c r="BP158" s="8"/>
      <c r="BQ158" s="4"/>
      <c r="BR158" s="8"/>
      <c r="BS158" s="7"/>
      <c r="BT158" s="7"/>
      <c r="BU158" s="2" t="s">
        <v>1303</v>
      </c>
      <c r="BV158" s="2" t="s">
        <v>200</v>
      </c>
      <c r="BW158" s="2" t="s">
        <v>200</v>
      </c>
      <c r="BX158" s="2" t="s">
        <v>289</v>
      </c>
      <c r="BY158" s="2" t="s">
        <v>247</v>
      </c>
      <c r="BZ158" s="2" t="s">
        <v>212</v>
      </c>
      <c r="CA158" s="2" t="s">
        <v>1301</v>
      </c>
      <c r="CB158" s="2" t="s">
        <v>1304</v>
      </c>
      <c r="CC158" s="2" t="s">
        <v>213</v>
      </c>
      <c r="CD158" s="2" t="s">
        <v>200</v>
      </c>
      <c r="CE158" s="4"/>
      <c r="CF158" s="4">
        <v>44</v>
      </c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</row>
    <row r="159">
      <c r="A159" s="2" t="s">
        <v>1305</v>
      </c>
      <c r="B159" s="2" t="s">
        <v>705</v>
      </c>
      <c r="C159" s="2" t="s">
        <v>745</v>
      </c>
      <c r="D159" s="2" t="s">
        <v>808</v>
      </c>
      <c r="E159" s="2" t="s">
        <v>809</v>
      </c>
      <c r="F159" s="2" t="s">
        <v>1306</v>
      </c>
      <c r="G159" s="2" t="s">
        <v>1306</v>
      </c>
      <c r="H159" s="2" t="s">
        <v>1306</v>
      </c>
      <c r="I159" s="2" t="s">
        <v>1307</v>
      </c>
      <c r="J159" s="2" t="s">
        <v>711</v>
      </c>
      <c r="K159" s="2" t="s">
        <v>1135</v>
      </c>
      <c r="L159" s="3">
        <v>33.5</v>
      </c>
      <c r="M159" s="3">
        <v>35.18</v>
      </c>
      <c r="N159" s="3">
        <v>69.99</v>
      </c>
      <c r="O159" s="2" t="s">
        <v>460</v>
      </c>
      <c r="P159" s="2" t="s">
        <v>285</v>
      </c>
      <c r="Q159" s="2" t="s">
        <v>206</v>
      </c>
      <c r="R159" s="2" t="s">
        <v>200</v>
      </c>
      <c r="S159" s="2" t="s">
        <v>200</v>
      </c>
      <c r="T159" s="2" t="s">
        <v>200</v>
      </c>
      <c r="U159" s="2" t="s">
        <v>270</v>
      </c>
      <c r="V159" s="2" t="s">
        <v>616</v>
      </c>
      <c r="W159" s="2" t="s">
        <v>379</v>
      </c>
      <c r="X159" s="2" t="s">
        <v>1308</v>
      </c>
      <c r="Y159" s="2" t="s">
        <v>1215</v>
      </c>
      <c r="Z159" s="4">
        <v>29</v>
      </c>
      <c r="AA159" s="4">
        <f>=ROUNDDOWN(29,0)</f>
      </c>
      <c r="AB159" s="5">
        <v>1</v>
      </c>
      <c r="AC159" s="2" t="s">
        <v>200</v>
      </c>
      <c r="AD159" s="4"/>
      <c r="AE159" s="4"/>
      <c r="AF159" s="6">
        <v>63</v>
      </c>
      <c r="AG159" s="6"/>
      <c r="AH159" s="7">
        <v>1</v>
      </c>
      <c r="AI159" s="4"/>
      <c r="AJ159" s="4">
        <f>=ROUNDDOWN({0},0)</f>
      </c>
      <c r="AK159" s="5"/>
      <c r="AL159" s="2" t="s">
        <v>200</v>
      </c>
      <c r="AM159" s="4"/>
      <c r="AN159" s="4"/>
      <c r="AO159" s="7"/>
      <c r="AP159" s="4"/>
      <c r="AQ159" s="8"/>
      <c r="AR159" s="4"/>
      <c r="AS159" s="8"/>
      <c r="AT159" s="7"/>
      <c r="AU159" s="7"/>
      <c r="AV159" s="4"/>
      <c r="AW159" s="8"/>
      <c r="AX159" s="4"/>
      <c r="AY159" s="8"/>
      <c r="AZ159" s="7"/>
      <c r="BA159" s="7"/>
      <c r="BB159" s="7"/>
      <c r="BC159" s="4"/>
      <c r="BD159" s="8"/>
      <c r="BE159" s="4"/>
      <c r="BF159" s="8"/>
      <c r="BG159" s="7"/>
      <c r="BH159" s="7"/>
      <c r="BI159" s="7"/>
      <c r="BJ159" s="4">
        <v>4</v>
      </c>
      <c r="BK159" s="8">
        <v>192.96</v>
      </c>
      <c r="BL159" s="2" t="s">
        <v>941</v>
      </c>
      <c r="BM159" s="7"/>
      <c r="BN159" s="7"/>
      <c r="BO159" s="4"/>
      <c r="BP159" s="8"/>
      <c r="BQ159" s="4"/>
      <c r="BR159" s="8"/>
      <c r="BS159" s="7"/>
      <c r="BT159" s="7"/>
      <c r="BU159" s="2" t="s">
        <v>1309</v>
      </c>
      <c r="BV159" s="2" t="s">
        <v>200</v>
      </c>
      <c r="BW159" s="2" t="s">
        <v>200</v>
      </c>
      <c r="BX159" s="2" t="s">
        <v>289</v>
      </c>
      <c r="BY159" s="2" t="s">
        <v>247</v>
      </c>
      <c r="BZ159" s="2" t="s">
        <v>212</v>
      </c>
      <c r="CA159" s="2" t="s">
        <v>1310</v>
      </c>
      <c r="CB159" s="2" t="s">
        <v>1311</v>
      </c>
      <c r="CC159" s="2" t="s">
        <v>213</v>
      </c>
      <c r="CD159" s="2" t="s">
        <v>200</v>
      </c>
      <c r="CE159" s="4"/>
      <c r="CF159" s="4">
        <v>29</v>
      </c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</row>
    <row r="160">
      <c r="A160" s="2" t="s">
        <v>1312</v>
      </c>
      <c r="B160" s="2" t="s">
        <v>744</v>
      </c>
      <c r="C160" s="2" t="s">
        <v>231</v>
      </c>
      <c r="D160" s="2" t="s">
        <v>1275</v>
      </c>
      <c r="E160" s="2" t="s">
        <v>1276</v>
      </c>
      <c r="F160" s="2" t="s">
        <v>1313</v>
      </c>
      <c r="G160" s="2" t="s">
        <v>1314</v>
      </c>
      <c r="H160" s="2" t="s">
        <v>1306</v>
      </c>
      <c r="I160" s="2" t="s">
        <v>1315</v>
      </c>
      <c r="J160" s="2" t="s">
        <v>711</v>
      </c>
      <c r="K160" s="2" t="s">
        <v>1316</v>
      </c>
      <c r="L160" s="3">
        <v>182.75</v>
      </c>
      <c r="M160" s="3">
        <v>191.89</v>
      </c>
      <c r="N160" s="3">
        <v>379</v>
      </c>
      <c r="O160" s="2" t="s">
        <v>212</v>
      </c>
      <c r="P160" s="2" t="s">
        <v>285</v>
      </c>
      <c r="Q160" s="2" t="s">
        <v>206</v>
      </c>
      <c r="R160" s="2" t="s">
        <v>200</v>
      </c>
      <c r="S160" s="2" t="s">
        <v>200</v>
      </c>
      <c r="T160" s="2" t="s">
        <v>200</v>
      </c>
      <c r="U160" s="2" t="s">
        <v>200</v>
      </c>
      <c r="V160" s="2" t="s">
        <v>208</v>
      </c>
      <c r="W160" s="2" t="s">
        <v>419</v>
      </c>
      <c r="X160" s="2" t="s">
        <v>200</v>
      </c>
      <c r="Y160" s="2" t="s">
        <v>1317</v>
      </c>
      <c r="Z160" s="4">
        <v>110</v>
      </c>
      <c r="AA160" s="4">
        <f>=ROUNDDOWN(36.6666666666667,0)</f>
      </c>
      <c r="AB160" s="5">
        <v>3</v>
      </c>
      <c r="AC160" s="2" t="s">
        <v>200</v>
      </c>
      <c r="AD160" s="4"/>
      <c r="AE160" s="4"/>
      <c r="AF160" s="6">
        <v>74</v>
      </c>
      <c r="AG160" s="6"/>
      <c r="AH160" s="7">
        <v>1</v>
      </c>
      <c r="AI160" s="4"/>
      <c r="AJ160" s="4">
        <f>=ROUNDDOWN({0},0)</f>
      </c>
      <c r="AK160" s="5"/>
      <c r="AL160" s="2" t="s">
        <v>200</v>
      </c>
      <c r="AM160" s="4"/>
      <c r="AN160" s="4"/>
      <c r="AO160" s="7"/>
      <c r="AP160" s="4"/>
      <c r="AQ160" s="8"/>
      <c r="AR160" s="4"/>
      <c r="AS160" s="8"/>
      <c r="AT160" s="7"/>
      <c r="AU160" s="7"/>
      <c r="AV160" s="4"/>
      <c r="AW160" s="8"/>
      <c r="AX160" s="4"/>
      <c r="AY160" s="8"/>
      <c r="AZ160" s="7"/>
      <c r="BA160" s="7"/>
      <c r="BB160" s="7"/>
      <c r="BC160" s="4"/>
      <c r="BD160" s="8"/>
      <c r="BE160" s="4"/>
      <c r="BF160" s="8"/>
      <c r="BG160" s="7"/>
      <c r="BH160" s="7"/>
      <c r="BI160" s="7"/>
      <c r="BJ160" s="4">
        <v>33</v>
      </c>
      <c r="BK160" s="8">
        <v>3955.44</v>
      </c>
      <c r="BL160" s="2" t="s">
        <v>1318</v>
      </c>
      <c r="BM160" s="7"/>
      <c r="BN160" s="7"/>
      <c r="BO160" s="4"/>
      <c r="BP160" s="8"/>
      <c r="BQ160" s="4"/>
      <c r="BR160" s="8"/>
      <c r="BS160" s="7"/>
      <c r="BT160" s="7"/>
      <c r="BU160" s="2" t="s">
        <v>1319</v>
      </c>
      <c r="BV160" s="2" t="s">
        <v>200</v>
      </c>
      <c r="BW160" s="2" t="s">
        <v>200</v>
      </c>
      <c r="BX160" s="2" t="s">
        <v>289</v>
      </c>
      <c r="BY160" s="2" t="s">
        <v>247</v>
      </c>
      <c r="BZ160" s="2" t="s">
        <v>212</v>
      </c>
      <c r="CA160" s="2" t="s">
        <v>1320</v>
      </c>
      <c r="CB160" s="2" t="s">
        <v>1321</v>
      </c>
      <c r="CC160" s="2" t="s">
        <v>213</v>
      </c>
      <c r="CD160" s="2" t="s">
        <v>200</v>
      </c>
      <c r="CE160" s="4"/>
      <c r="CF160" s="4">
        <v>110</v>
      </c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</row>
    <row r="161">
      <c r="A161" s="2" t="s">
        <v>1322</v>
      </c>
      <c r="B161" s="2" t="s">
        <v>903</v>
      </c>
      <c r="C161" s="2" t="s">
        <v>1323</v>
      </c>
      <c r="D161" s="2" t="s">
        <v>608</v>
      </c>
      <c r="E161" s="2" t="s">
        <v>1324</v>
      </c>
      <c r="F161" s="2" t="s">
        <v>1325</v>
      </c>
      <c r="G161" s="2" t="s">
        <v>1325</v>
      </c>
      <c r="H161" s="2" t="s">
        <v>1325</v>
      </c>
      <c r="I161" s="2" t="s">
        <v>1326</v>
      </c>
      <c r="J161" s="2" t="s">
        <v>612</v>
      </c>
      <c r="K161" s="2" t="s">
        <v>1214</v>
      </c>
      <c r="L161" s="3">
        <v>102.14</v>
      </c>
      <c r="M161" s="3">
        <v>107.25</v>
      </c>
      <c r="N161" s="3">
        <v>299.99</v>
      </c>
      <c r="O161" s="2" t="s">
        <v>212</v>
      </c>
      <c r="P161" s="2" t="s">
        <v>205</v>
      </c>
      <c r="Q161" s="2" t="s">
        <v>206</v>
      </c>
      <c r="R161" s="2" t="s">
        <v>200</v>
      </c>
      <c r="S161" s="2" t="s">
        <v>1327</v>
      </c>
      <c r="T161" s="2" t="s">
        <v>200</v>
      </c>
      <c r="U161" s="2" t="s">
        <v>454</v>
      </c>
      <c r="V161" s="2" t="s">
        <v>724</v>
      </c>
      <c r="W161" s="2" t="s">
        <v>379</v>
      </c>
      <c r="X161" s="2" t="s">
        <v>241</v>
      </c>
      <c r="Y161" s="2" t="s">
        <v>1328</v>
      </c>
      <c r="Z161" s="4">
        <v>254</v>
      </c>
      <c r="AA161" s="4">
        <f>=ROUNDDOWN(254,0)</f>
      </c>
      <c r="AB161" s="5">
        <v>1</v>
      </c>
      <c r="AC161" s="2" t="s">
        <v>200</v>
      </c>
      <c r="AD161" s="4"/>
      <c r="AE161" s="4"/>
      <c r="AF161" s="6">
        <v>69</v>
      </c>
      <c r="AG161" s="6"/>
      <c r="AH161" s="7">
        <v>1</v>
      </c>
      <c r="AI161" s="4"/>
      <c r="AJ161" s="4">
        <f>=ROUNDDOWN({0},0)</f>
      </c>
      <c r="AK161" s="5"/>
      <c r="AL161" s="2" t="s">
        <v>200</v>
      </c>
      <c r="AM161" s="4"/>
      <c r="AN161" s="4"/>
      <c r="AO161" s="7"/>
      <c r="AP161" s="4"/>
      <c r="AQ161" s="8"/>
      <c r="AR161" s="4"/>
      <c r="AS161" s="8"/>
      <c r="AT161" s="7"/>
      <c r="AU161" s="7"/>
      <c r="AV161" s="4" t="s">
        <v>200</v>
      </c>
      <c r="AW161" s="8" t="s">
        <v>200</v>
      </c>
      <c r="AX161" s="4" t="s">
        <v>200</v>
      </c>
      <c r="AY161" s="8" t="s">
        <v>200</v>
      </c>
      <c r="AZ161" s="7" t="s">
        <v>200</v>
      </c>
      <c r="BA161" s="7" t="s">
        <v>200</v>
      </c>
      <c r="BB161" s="7"/>
      <c r="BC161" s="4" t="s">
        <v>200</v>
      </c>
      <c r="BD161" s="8" t="s">
        <v>200</v>
      </c>
      <c r="BE161" s="4" t="s">
        <v>200</v>
      </c>
      <c r="BF161" s="8" t="s">
        <v>200</v>
      </c>
      <c r="BG161" s="7" t="s">
        <v>200</v>
      </c>
      <c r="BH161" s="7" t="s">
        <v>200</v>
      </c>
      <c r="BI161" s="7"/>
      <c r="BJ161" s="4"/>
      <c r="BK161" s="8"/>
      <c r="BL161" s="2" t="s">
        <v>200</v>
      </c>
      <c r="BM161" s="7"/>
      <c r="BN161" s="7"/>
      <c r="BO161" s="4"/>
      <c r="BP161" s="8"/>
      <c r="BQ161" s="4"/>
      <c r="BR161" s="8"/>
      <c r="BS161" s="7"/>
      <c r="BT161" s="7"/>
      <c r="BU161" s="2" t="s">
        <v>210</v>
      </c>
      <c r="BV161" s="2" t="s">
        <v>200</v>
      </c>
      <c r="BW161" s="2" t="s">
        <v>200</v>
      </c>
      <c r="BX161" s="2" t="s">
        <v>210</v>
      </c>
      <c r="BY161" s="2" t="s">
        <v>1329</v>
      </c>
      <c r="BZ161" s="2" t="s">
        <v>212</v>
      </c>
      <c r="CA161" s="2" t="s">
        <v>200</v>
      </c>
      <c r="CB161" s="2" t="s">
        <v>200</v>
      </c>
      <c r="CC161" s="2" t="s">
        <v>213</v>
      </c>
      <c r="CD161" s="2" t="s">
        <v>200</v>
      </c>
      <c r="CE161" s="4">
        <v>254</v>
      </c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</row>
    <row r="162">
      <c r="A162" s="2" t="s">
        <v>1330</v>
      </c>
      <c r="B162" s="2" t="s">
        <v>903</v>
      </c>
      <c r="C162" s="2" t="s">
        <v>1323</v>
      </c>
      <c r="D162" s="2" t="s">
        <v>608</v>
      </c>
      <c r="E162" s="2" t="s">
        <v>1324</v>
      </c>
      <c r="F162" s="2" t="s">
        <v>1325</v>
      </c>
      <c r="G162" s="2" t="s">
        <v>1325</v>
      </c>
      <c r="H162" s="2" t="s">
        <v>1325</v>
      </c>
      <c r="I162" s="2" t="s">
        <v>1326</v>
      </c>
      <c r="J162" s="2" t="s">
        <v>924</v>
      </c>
      <c r="K162" s="2" t="s">
        <v>1214</v>
      </c>
      <c r="L162" s="3">
        <v>119.16</v>
      </c>
      <c r="M162" s="3">
        <v>125.12</v>
      </c>
      <c r="N162" s="3">
        <v>349.99</v>
      </c>
      <c r="O162" s="2" t="s">
        <v>212</v>
      </c>
      <c r="P162" s="2" t="s">
        <v>205</v>
      </c>
      <c r="Q162" s="2" t="s">
        <v>206</v>
      </c>
      <c r="R162" s="2" t="s">
        <v>200</v>
      </c>
      <c r="S162" s="2" t="s">
        <v>1327</v>
      </c>
      <c r="T162" s="2" t="s">
        <v>200</v>
      </c>
      <c r="U162" s="2" t="s">
        <v>454</v>
      </c>
      <c r="V162" s="2" t="s">
        <v>724</v>
      </c>
      <c r="W162" s="2" t="s">
        <v>379</v>
      </c>
      <c r="X162" s="2" t="s">
        <v>241</v>
      </c>
      <c r="Y162" s="2" t="s">
        <v>1328</v>
      </c>
      <c r="Z162" s="4">
        <v>241</v>
      </c>
      <c r="AA162" s="4">
        <f>=ROUNDDOWN(241,0)</f>
      </c>
      <c r="AB162" s="5">
        <v>1</v>
      </c>
      <c r="AC162" s="2" t="s">
        <v>200</v>
      </c>
      <c r="AD162" s="4"/>
      <c r="AE162" s="4"/>
      <c r="AF162" s="6">
        <v>69</v>
      </c>
      <c r="AG162" s="6"/>
      <c r="AH162" s="7">
        <v>1</v>
      </c>
      <c r="AI162" s="4"/>
      <c r="AJ162" s="4">
        <f>=ROUNDDOWN({0},0)</f>
      </c>
      <c r="AK162" s="5"/>
      <c r="AL162" s="2" t="s">
        <v>200</v>
      </c>
      <c r="AM162" s="4"/>
      <c r="AN162" s="4"/>
      <c r="AO162" s="7"/>
      <c r="AP162" s="4"/>
      <c r="AQ162" s="8"/>
      <c r="AR162" s="4"/>
      <c r="AS162" s="8"/>
      <c r="AT162" s="7"/>
      <c r="AU162" s="7"/>
      <c r="AV162" s="4" t="s">
        <v>200</v>
      </c>
      <c r="AW162" s="8" t="s">
        <v>200</v>
      </c>
      <c r="AX162" s="4" t="s">
        <v>200</v>
      </c>
      <c r="AY162" s="8" t="s">
        <v>200</v>
      </c>
      <c r="AZ162" s="7" t="s">
        <v>200</v>
      </c>
      <c r="BA162" s="7" t="s">
        <v>200</v>
      </c>
      <c r="BB162" s="7"/>
      <c r="BC162" s="4" t="s">
        <v>200</v>
      </c>
      <c r="BD162" s="8" t="s">
        <v>200</v>
      </c>
      <c r="BE162" s="4" t="s">
        <v>200</v>
      </c>
      <c r="BF162" s="8" t="s">
        <v>200</v>
      </c>
      <c r="BG162" s="7" t="s">
        <v>200</v>
      </c>
      <c r="BH162" s="7" t="s">
        <v>200</v>
      </c>
      <c r="BI162" s="7"/>
      <c r="BJ162" s="4"/>
      <c r="BK162" s="8"/>
      <c r="BL162" s="2" t="s">
        <v>200</v>
      </c>
      <c r="BM162" s="7"/>
      <c r="BN162" s="7"/>
      <c r="BO162" s="4"/>
      <c r="BP162" s="8"/>
      <c r="BQ162" s="4"/>
      <c r="BR162" s="8"/>
      <c r="BS162" s="7"/>
      <c r="BT162" s="7"/>
      <c r="BU162" s="2" t="s">
        <v>210</v>
      </c>
      <c r="BV162" s="2" t="s">
        <v>200</v>
      </c>
      <c r="BW162" s="2" t="s">
        <v>200</v>
      </c>
      <c r="BX162" s="2" t="s">
        <v>210</v>
      </c>
      <c r="BY162" s="2" t="s">
        <v>1329</v>
      </c>
      <c r="BZ162" s="2" t="s">
        <v>212</v>
      </c>
      <c r="CA162" s="2" t="s">
        <v>200</v>
      </c>
      <c r="CB162" s="2" t="s">
        <v>200</v>
      </c>
      <c r="CC162" s="2" t="s">
        <v>213</v>
      </c>
      <c r="CD162" s="2" t="s">
        <v>200</v>
      </c>
      <c r="CE162" s="4">
        <v>241</v>
      </c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</row>
    <row r="163">
      <c r="A163" s="2" t="s">
        <v>1331</v>
      </c>
      <c r="B163" s="2" t="s">
        <v>744</v>
      </c>
      <c r="C163" s="2" t="s">
        <v>231</v>
      </c>
      <c r="D163" s="2" t="s">
        <v>1332</v>
      </c>
      <c r="E163" s="2" t="s">
        <v>1333</v>
      </c>
      <c r="F163" s="2" t="s">
        <v>1325</v>
      </c>
      <c r="G163" s="2" t="s">
        <v>1334</v>
      </c>
      <c r="H163" s="2" t="s">
        <v>1335</v>
      </c>
      <c r="I163" s="2" t="s">
        <v>1336</v>
      </c>
      <c r="J163" s="2" t="s">
        <v>711</v>
      </c>
      <c r="K163" s="2" t="s">
        <v>221</v>
      </c>
      <c r="L163" s="3">
        <v>73.6</v>
      </c>
      <c r="M163" s="3">
        <v>77.28</v>
      </c>
      <c r="N163" s="3">
        <v>159</v>
      </c>
      <c r="O163" s="2" t="s">
        <v>460</v>
      </c>
      <c r="P163" s="2" t="s">
        <v>285</v>
      </c>
      <c r="Q163" s="2" t="s">
        <v>206</v>
      </c>
      <c r="R163" s="2" t="s">
        <v>200</v>
      </c>
      <c r="S163" s="2" t="s">
        <v>1337</v>
      </c>
      <c r="T163" s="2" t="s">
        <v>200</v>
      </c>
      <c r="U163" s="2" t="s">
        <v>200</v>
      </c>
      <c r="V163" s="2" t="s">
        <v>208</v>
      </c>
      <c r="W163" s="2" t="s">
        <v>419</v>
      </c>
      <c r="X163" s="2" t="s">
        <v>379</v>
      </c>
      <c r="Y163" s="2" t="s">
        <v>261</v>
      </c>
      <c r="Z163" s="4">
        <v>125</v>
      </c>
      <c r="AA163" s="4">
        <f>=ROUNDDOWN(25,0)</f>
      </c>
      <c r="AB163" s="5">
        <v>5</v>
      </c>
      <c r="AC163" s="2" t="s">
        <v>200</v>
      </c>
      <c r="AD163" s="4"/>
      <c r="AE163" s="4"/>
      <c r="AF163" s="6">
        <v>66</v>
      </c>
      <c r="AG163" s="6">
        <v>49</v>
      </c>
      <c r="AH163" s="7">
        <v>1</v>
      </c>
      <c r="AI163" s="4"/>
      <c r="AJ163" s="4">
        <f>=ROUNDDOWN({0},0)</f>
      </c>
      <c r="AK163" s="5"/>
      <c r="AL163" s="2" t="s">
        <v>200</v>
      </c>
      <c r="AM163" s="4"/>
      <c r="AN163" s="4"/>
      <c r="AO163" s="7"/>
      <c r="AP163" s="4"/>
      <c r="AQ163" s="8"/>
      <c r="AR163" s="4"/>
      <c r="AS163" s="8"/>
      <c r="AT163" s="7"/>
      <c r="AU163" s="7"/>
      <c r="AV163" s="4"/>
      <c r="AW163" s="8"/>
      <c r="AX163" s="4"/>
      <c r="AY163" s="8"/>
      <c r="AZ163" s="7"/>
      <c r="BA163" s="7"/>
      <c r="BB163" s="7"/>
      <c r="BC163" s="4" t="s">
        <v>200</v>
      </c>
      <c r="BD163" s="8" t="s">
        <v>200</v>
      </c>
      <c r="BE163" s="4" t="s">
        <v>200</v>
      </c>
      <c r="BF163" s="8" t="s">
        <v>200</v>
      </c>
      <c r="BG163" s="7" t="s">
        <v>200</v>
      </c>
      <c r="BH163" s="7" t="s">
        <v>200</v>
      </c>
      <c r="BI163" s="7"/>
      <c r="BJ163" s="4">
        <v>135</v>
      </c>
      <c r="BK163" s="8">
        <v>2041.73</v>
      </c>
      <c r="BL163" s="2" t="s">
        <v>1338</v>
      </c>
      <c r="BM163" s="7"/>
      <c r="BN163" s="7"/>
      <c r="BO163" s="4"/>
      <c r="BP163" s="8"/>
      <c r="BQ163" s="4"/>
      <c r="BR163" s="8"/>
      <c r="BS163" s="7"/>
      <c r="BT163" s="7"/>
      <c r="BU163" s="2" t="s">
        <v>1339</v>
      </c>
      <c r="BV163" s="2" t="s">
        <v>200</v>
      </c>
      <c r="BW163" s="2" t="s">
        <v>200</v>
      </c>
      <c r="BX163" s="2" t="s">
        <v>289</v>
      </c>
      <c r="BY163" s="2" t="s">
        <v>247</v>
      </c>
      <c r="BZ163" s="2" t="s">
        <v>212</v>
      </c>
      <c r="CA163" s="2" t="s">
        <v>265</v>
      </c>
      <c r="CB163" s="2" t="s">
        <v>1340</v>
      </c>
      <c r="CC163" s="2" t="s">
        <v>213</v>
      </c>
      <c r="CD163" s="2" t="s">
        <v>200</v>
      </c>
      <c r="CE163" s="4"/>
      <c r="CF163" s="4">
        <v>125</v>
      </c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</row>
    <row r="164">
      <c r="A164" s="2" t="s">
        <v>1341</v>
      </c>
      <c r="B164" s="2" t="s">
        <v>992</v>
      </c>
      <c r="C164" s="2" t="s">
        <v>231</v>
      </c>
      <c r="D164" s="2" t="s">
        <v>992</v>
      </c>
      <c r="E164" s="2" t="s">
        <v>992</v>
      </c>
      <c r="F164" s="2" t="s">
        <v>1342</v>
      </c>
      <c r="G164" s="2" t="s">
        <v>1343</v>
      </c>
      <c r="H164" s="2" t="s">
        <v>1344</v>
      </c>
      <c r="I164" s="2" t="s">
        <v>1345</v>
      </c>
      <c r="J164" s="2" t="s">
        <v>997</v>
      </c>
      <c r="K164" s="2" t="s">
        <v>1346</v>
      </c>
      <c r="L164" s="3">
        <v>45</v>
      </c>
      <c r="M164" s="3">
        <v>47.25</v>
      </c>
      <c r="N164" s="3">
        <v>99.99</v>
      </c>
      <c r="O164" s="2" t="s">
        <v>460</v>
      </c>
      <c r="P164" s="2" t="s">
        <v>285</v>
      </c>
      <c r="Q164" s="2" t="s">
        <v>206</v>
      </c>
      <c r="R164" s="2" t="s">
        <v>200</v>
      </c>
      <c r="S164" s="2" t="s">
        <v>1347</v>
      </c>
      <c r="T164" s="2" t="s">
        <v>200</v>
      </c>
      <c r="U164" s="2" t="s">
        <v>270</v>
      </c>
      <c r="V164" s="2" t="s">
        <v>1348</v>
      </c>
      <c r="W164" s="2" t="s">
        <v>736</v>
      </c>
      <c r="X164" s="2" t="s">
        <v>200</v>
      </c>
      <c r="Y164" s="2" t="s">
        <v>1349</v>
      </c>
      <c r="Z164" s="4">
        <v>52</v>
      </c>
      <c r="AA164" s="4">
        <f>=ROUNDDOWN(13.3333333333333,0)</f>
      </c>
      <c r="AB164" s="5">
        <v>3.9</v>
      </c>
      <c r="AC164" s="2" t="s">
        <v>200</v>
      </c>
      <c r="AD164" s="4"/>
      <c r="AE164" s="4"/>
      <c r="AF164" s="6">
        <v>63</v>
      </c>
      <c r="AG164" s="6"/>
      <c r="AH164" s="7">
        <v>1</v>
      </c>
      <c r="AI164" s="4"/>
      <c r="AJ164" s="4">
        <f>=ROUNDDOWN({0},0)</f>
      </c>
      <c r="AK164" s="5"/>
      <c r="AL164" s="2" t="s">
        <v>200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/>
      <c r="AW164" s="8"/>
      <c r="AX164" s="4"/>
      <c r="AY164" s="8"/>
      <c r="AZ164" s="7"/>
      <c r="BA164" s="7"/>
      <c r="BB164" s="7"/>
      <c r="BC164" s="4"/>
      <c r="BD164" s="8"/>
      <c r="BE164" s="4"/>
      <c r="BF164" s="8"/>
      <c r="BG164" s="7"/>
      <c r="BH164" s="7"/>
      <c r="BI164" s="7"/>
      <c r="BJ164" s="4">
        <v>6</v>
      </c>
      <c r="BK164" s="8">
        <v>193.7</v>
      </c>
      <c r="BL164" s="2" t="s">
        <v>1350</v>
      </c>
      <c r="BM164" s="7"/>
      <c r="BN164" s="7"/>
      <c r="BO164" s="4"/>
      <c r="BP164" s="8"/>
      <c r="BQ164" s="4"/>
      <c r="BR164" s="8"/>
      <c r="BS164" s="7"/>
      <c r="BT164" s="7"/>
      <c r="BU164" s="2" t="s">
        <v>1351</v>
      </c>
      <c r="BV164" s="2" t="s">
        <v>200</v>
      </c>
      <c r="BW164" s="2" t="s">
        <v>200</v>
      </c>
      <c r="BX164" s="2" t="s">
        <v>289</v>
      </c>
      <c r="BY164" s="2" t="s">
        <v>247</v>
      </c>
      <c r="BZ164" s="2" t="s">
        <v>212</v>
      </c>
      <c r="CA164" s="2" t="s">
        <v>1352</v>
      </c>
      <c r="CB164" s="2" t="s">
        <v>1353</v>
      </c>
      <c r="CC164" s="2" t="s">
        <v>213</v>
      </c>
      <c r="CD164" s="2" t="s">
        <v>200</v>
      </c>
      <c r="CE164" s="4"/>
      <c r="CF164" s="4">
        <v>52</v>
      </c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</row>
    <row r="165">
      <c r="A165" s="2" t="s">
        <v>1354</v>
      </c>
      <c r="B165" s="2" t="s">
        <v>992</v>
      </c>
      <c r="C165" s="2" t="s">
        <v>231</v>
      </c>
      <c r="D165" s="2" t="s">
        <v>992</v>
      </c>
      <c r="E165" s="2" t="s">
        <v>992</v>
      </c>
      <c r="F165" s="2" t="s">
        <v>1355</v>
      </c>
      <c r="G165" s="2" t="s">
        <v>1356</v>
      </c>
      <c r="H165" s="2" t="s">
        <v>1357</v>
      </c>
      <c r="I165" s="2" t="s">
        <v>1358</v>
      </c>
      <c r="J165" s="2" t="s">
        <v>997</v>
      </c>
      <c r="K165" s="2" t="s">
        <v>1359</v>
      </c>
      <c r="L165" s="3">
        <v>95.11</v>
      </c>
      <c r="M165" s="3">
        <v>99.87</v>
      </c>
      <c r="N165" s="3">
        <v>214.99</v>
      </c>
      <c r="O165" s="2" t="s">
        <v>417</v>
      </c>
      <c r="P165" s="2" t="s">
        <v>285</v>
      </c>
      <c r="Q165" s="2" t="s">
        <v>206</v>
      </c>
      <c r="R165" s="2" t="s">
        <v>200</v>
      </c>
      <c r="S165" s="2" t="s">
        <v>200</v>
      </c>
      <c r="T165" s="2" t="s">
        <v>200</v>
      </c>
      <c r="U165" s="2" t="s">
        <v>270</v>
      </c>
      <c r="V165" s="2" t="s">
        <v>885</v>
      </c>
      <c r="W165" s="2" t="s">
        <v>379</v>
      </c>
      <c r="X165" s="2" t="s">
        <v>200</v>
      </c>
      <c r="Y165" s="2" t="s">
        <v>1360</v>
      </c>
      <c r="Z165" s="4">
        <v>96</v>
      </c>
      <c r="AA165" s="4">
        <f>=ROUNDDOWN(64,0)</f>
      </c>
      <c r="AB165" s="5">
        <v>1.5</v>
      </c>
      <c r="AC165" s="2" t="s">
        <v>200</v>
      </c>
      <c r="AD165" s="4"/>
      <c r="AE165" s="4"/>
      <c r="AF165" s="6">
        <v>63</v>
      </c>
      <c r="AG165" s="6"/>
      <c r="AH165" s="7">
        <v>1</v>
      </c>
      <c r="AI165" s="4"/>
      <c r="AJ165" s="4">
        <f>=ROUNDDOWN({0},0)</f>
      </c>
      <c r="AK165" s="5"/>
      <c r="AL165" s="2" t="s">
        <v>200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/>
      <c r="AW165" s="8"/>
      <c r="AX165" s="4"/>
      <c r="AY165" s="8"/>
      <c r="AZ165" s="7"/>
      <c r="BA165" s="7"/>
      <c r="BB165" s="7"/>
      <c r="BC165" s="4"/>
      <c r="BD165" s="8"/>
      <c r="BE165" s="4"/>
      <c r="BF165" s="8"/>
      <c r="BG165" s="7"/>
      <c r="BH165" s="7"/>
      <c r="BI165" s="7"/>
      <c r="BJ165" s="4">
        <v>1</v>
      </c>
      <c r="BK165" s="8">
        <v>52.31</v>
      </c>
      <c r="BL165" s="2" t="s">
        <v>1361</v>
      </c>
      <c r="BM165" s="7"/>
      <c r="BN165" s="7"/>
      <c r="BO165" s="4"/>
      <c r="BP165" s="8"/>
      <c r="BQ165" s="4"/>
      <c r="BR165" s="8"/>
      <c r="BS165" s="7"/>
      <c r="BT165" s="7"/>
      <c r="BU165" s="2" t="s">
        <v>1362</v>
      </c>
      <c r="BV165" s="2" t="s">
        <v>200</v>
      </c>
      <c r="BW165" s="2" t="s">
        <v>200</v>
      </c>
      <c r="BX165" s="2" t="s">
        <v>289</v>
      </c>
      <c r="BY165" s="2" t="s">
        <v>247</v>
      </c>
      <c r="BZ165" s="2" t="s">
        <v>212</v>
      </c>
      <c r="CA165" s="2" t="s">
        <v>1363</v>
      </c>
      <c r="CB165" s="2" t="s">
        <v>1364</v>
      </c>
      <c r="CC165" s="2" t="s">
        <v>213</v>
      </c>
      <c r="CD165" s="2" t="s">
        <v>200</v>
      </c>
      <c r="CE165" s="4"/>
      <c r="CF165" s="4">
        <v>96</v>
      </c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</row>
    <row r="166">
      <c r="A166" s="2" t="s">
        <v>1365</v>
      </c>
      <c r="B166" s="2" t="s">
        <v>744</v>
      </c>
      <c r="C166" s="2" t="s">
        <v>231</v>
      </c>
      <c r="D166" s="2" t="s">
        <v>795</v>
      </c>
      <c r="E166" s="2" t="s">
        <v>796</v>
      </c>
      <c r="F166" s="2" t="s">
        <v>1366</v>
      </c>
      <c r="G166" s="2" t="s">
        <v>1366</v>
      </c>
      <c r="H166" s="2" t="s">
        <v>1366</v>
      </c>
      <c r="I166" s="2" t="s">
        <v>1367</v>
      </c>
      <c r="J166" s="2" t="s">
        <v>711</v>
      </c>
      <c r="K166" s="2" t="s">
        <v>857</v>
      </c>
      <c r="L166" s="3">
        <v>210</v>
      </c>
      <c r="M166" s="3">
        <v>220.5</v>
      </c>
      <c r="N166" s="3">
        <v>449</v>
      </c>
      <c r="O166" s="2" t="s">
        <v>212</v>
      </c>
      <c r="P166" s="2" t="s">
        <v>205</v>
      </c>
      <c r="Q166" s="2" t="s">
        <v>206</v>
      </c>
      <c r="R166" s="2" t="s">
        <v>200</v>
      </c>
      <c r="S166" s="2" t="s">
        <v>200</v>
      </c>
      <c r="T166" s="2" t="s">
        <v>200</v>
      </c>
      <c r="U166" s="2" t="s">
        <v>270</v>
      </c>
      <c r="V166" s="2" t="s">
        <v>616</v>
      </c>
      <c r="W166" s="2" t="s">
        <v>419</v>
      </c>
      <c r="X166" s="2" t="s">
        <v>241</v>
      </c>
      <c r="Y166" s="2" t="s">
        <v>1368</v>
      </c>
      <c r="Z166" s="4">
        <v>71</v>
      </c>
      <c r="AA166" s="4">
        <f>=ROUNDDOWN(35.5,0)</f>
      </c>
      <c r="AB166" s="5">
        <v>2</v>
      </c>
      <c r="AC166" s="2" t="s">
        <v>200</v>
      </c>
      <c r="AD166" s="4"/>
      <c r="AE166" s="4"/>
      <c r="AF166" s="6">
        <v>74</v>
      </c>
      <c r="AG166" s="6"/>
      <c r="AH166" s="7">
        <v>1</v>
      </c>
      <c r="AI166" s="4"/>
      <c r="AJ166" s="4">
        <f>=ROUNDDOWN({0},0)</f>
      </c>
      <c r="AK166" s="5"/>
      <c r="AL166" s="2" t="s">
        <v>200</v>
      </c>
      <c r="AM166" s="4"/>
      <c r="AN166" s="4"/>
      <c r="AO166" s="7"/>
      <c r="AP166" s="4"/>
      <c r="AQ166" s="8"/>
      <c r="AR166" s="4"/>
      <c r="AS166" s="8"/>
      <c r="AT166" s="7"/>
      <c r="AU166" s="7"/>
      <c r="AV166" s="4"/>
      <c r="AW166" s="8"/>
      <c r="AX166" s="4"/>
      <c r="AY166" s="8"/>
      <c r="AZ166" s="7"/>
      <c r="BA166" s="7"/>
      <c r="BB166" s="7"/>
      <c r="BC166" s="4" t="s">
        <v>200</v>
      </c>
      <c r="BD166" s="8" t="s">
        <v>200</v>
      </c>
      <c r="BE166" s="4" t="s">
        <v>200</v>
      </c>
      <c r="BF166" s="8" t="s">
        <v>200</v>
      </c>
      <c r="BG166" s="7" t="s">
        <v>200</v>
      </c>
      <c r="BH166" s="7" t="s">
        <v>200</v>
      </c>
      <c r="BI166" s="7"/>
      <c r="BJ166" s="4">
        <v>2</v>
      </c>
      <c r="BK166" s="8">
        <v>498.32</v>
      </c>
      <c r="BL166" s="2" t="s">
        <v>813</v>
      </c>
      <c r="BM166" s="7"/>
      <c r="BN166" s="7"/>
      <c r="BO166" s="4"/>
      <c r="BP166" s="8"/>
      <c r="BQ166" s="4"/>
      <c r="BR166" s="8"/>
      <c r="BS166" s="7"/>
      <c r="BT166" s="7"/>
      <c r="BU166" s="2" t="s">
        <v>1369</v>
      </c>
      <c r="BV166" s="2" t="s">
        <v>200</v>
      </c>
      <c r="BW166" s="2" t="s">
        <v>200</v>
      </c>
      <c r="BX166" s="2" t="s">
        <v>264</v>
      </c>
      <c r="BY166" s="2" t="s">
        <v>247</v>
      </c>
      <c r="BZ166" s="2" t="s">
        <v>212</v>
      </c>
      <c r="CA166" s="2" t="s">
        <v>915</v>
      </c>
      <c r="CB166" s="2" t="s">
        <v>200</v>
      </c>
      <c r="CC166" s="2" t="s">
        <v>213</v>
      </c>
      <c r="CD166" s="2" t="s">
        <v>200</v>
      </c>
      <c r="CE166" s="4"/>
      <c r="CF166" s="4">
        <v>71</v>
      </c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</row>
    <row r="167">
      <c r="A167" s="2" t="s">
        <v>1370</v>
      </c>
      <c r="B167" s="2" t="s">
        <v>744</v>
      </c>
      <c r="C167" s="2" t="s">
        <v>231</v>
      </c>
      <c r="D167" s="2" t="s">
        <v>795</v>
      </c>
      <c r="E167" s="2" t="s">
        <v>796</v>
      </c>
      <c r="F167" s="2" t="s">
        <v>1366</v>
      </c>
      <c r="G167" s="2" t="s">
        <v>1366</v>
      </c>
      <c r="H167" s="2" t="s">
        <v>1366</v>
      </c>
      <c r="I167" s="2" t="s">
        <v>1367</v>
      </c>
      <c r="J167" s="2" t="s">
        <v>711</v>
      </c>
      <c r="K167" s="2" t="s">
        <v>1135</v>
      </c>
      <c r="L167" s="3">
        <v>210</v>
      </c>
      <c r="M167" s="3">
        <v>220.5</v>
      </c>
      <c r="N167" s="3">
        <v>449</v>
      </c>
      <c r="O167" s="2" t="s">
        <v>212</v>
      </c>
      <c r="P167" s="2" t="s">
        <v>205</v>
      </c>
      <c r="Q167" s="2" t="s">
        <v>206</v>
      </c>
      <c r="R167" s="2" t="s">
        <v>200</v>
      </c>
      <c r="S167" s="2" t="s">
        <v>200</v>
      </c>
      <c r="T167" s="2" t="s">
        <v>200</v>
      </c>
      <c r="U167" s="2" t="s">
        <v>270</v>
      </c>
      <c r="V167" s="2" t="s">
        <v>616</v>
      </c>
      <c r="W167" s="2" t="s">
        <v>419</v>
      </c>
      <c r="X167" s="2" t="s">
        <v>241</v>
      </c>
      <c r="Y167" s="2" t="s">
        <v>1368</v>
      </c>
      <c r="Z167" s="4">
        <v>28</v>
      </c>
      <c r="AA167" s="4">
        <f>=ROUNDDOWN(21.5384615384615,0)</f>
      </c>
      <c r="AB167" s="5">
        <v>1.3</v>
      </c>
      <c r="AC167" s="2" t="s">
        <v>200</v>
      </c>
      <c r="AD167" s="4"/>
      <c r="AE167" s="4"/>
      <c r="AF167" s="6">
        <v>74</v>
      </c>
      <c r="AG167" s="6"/>
      <c r="AH167" s="7">
        <v>1</v>
      </c>
      <c r="AI167" s="4"/>
      <c r="AJ167" s="4">
        <f>=ROUNDDOWN({0},0)</f>
      </c>
      <c r="AK167" s="5"/>
      <c r="AL167" s="2" t="s">
        <v>200</v>
      </c>
      <c r="AM167" s="4"/>
      <c r="AN167" s="4"/>
      <c r="AO167" s="7"/>
      <c r="AP167" s="4"/>
      <c r="AQ167" s="8"/>
      <c r="AR167" s="4"/>
      <c r="AS167" s="8"/>
      <c r="AT167" s="7"/>
      <c r="AU167" s="7"/>
      <c r="AV167" s="4"/>
      <c r="AW167" s="8"/>
      <c r="AX167" s="4"/>
      <c r="AY167" s="8"/>
      <c r="AZ167" s="7"/>
      <c r="BA167" s="7"/>
      <c r="BB167" s="7"/>
      <c r="BC167" s="4" t="s">
        <v>200</v>
      </c>
      <c r="BD167" s="8" t="s">
        <v>200</v>
      </c>
      <c r="BE167" s="4" t="s">
        <v>200</v>
      </c>
      <c r="BF167" s="8" t="s">
        <v>200</v>
      </c>
      <c r="BG167" s="7" t="s">
        <v>200</v>
      </c>
      <c r="BH167" s="7" t="s">
        <v>200</v>
      </c>
      <c r="BI167" s="7"/>
      <c r="BJ167" s="4">
        <v>11</v>
      </c>
      <c r="BK167" s="8">
        <v>2328.48</v>
      </c>
      <c r="BL167" s="2" t="s">
        <v>1371</v>
      </c>
      <c r="BM167" s="7"/>
      <c r="BN167" s="7"/>
      <c r="BO167" s="4"/>
      <c r="BP167" s="8"/>
      <c r="BQ167" s="4"/>
      <c r="BR167" s="8"/>
      <c r="BS167" s="7"/>
      <c r="BT167" s="7"/>
      <c r="BU167" s="2" t="s">
        <v>1372</v>
      </c>
      <c r="BV167" s="2" t="s">
        <v>200</v>
      </c>
      <c r="BW167" s="2" t="s">
        <v>200</v>
      </c>
      <c r="BX167" s="2" t="s">
        <v>264</v>
      </c>
      <c r="BY167" s="2" t="s">
        <v>247</v>
      </c>
      <c r="BZ167" s="2" t="s">
        <v>212</v>
      </c>
      <c r="CA167" s="2" t="s">
        <v>915</v>
      </c>
      <c r="CB167" s="2" t="s">
        <v>1373</v>
      </c>
      <c r="CC167" s="2" t="s">
        <v>213</v>
      </c>
      <c r="CD167" s="2" t="s">
        <v>200</v>
      </c>
      <c r="CE167" s="4"/>
      <c r="CF167" s="4">
        <v>28</v>
      </c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</row>
    <row r="168">
      <c r="A168" s="2" t="s">
        <v>1374</v>
      </c>
      <c r="B168" s="2" t="s">
        <v>705</v>
      </c>
      <c r="C168" s="2" t="s">
        <v>1375</v>
      </c>
      <c r="D168" s="2" t="s">
        <v>1376</v>
      </c>
      <c r="E168" s="2" t="s">
        <v>1377</v>
      </c>
      <c r="F168" s="2" t="s">
        <v>1378</v>
      </c>
      <c r="G168" s="2" t="s">
        <v>1378</v>
      </c>
      <c r="H168" s="2" t="s">
        <v>1378</v>
      </c>
      <c r="I168" s="2" t="s">
        <v>1379</v>
      </c>
      <c r="J168" s="2" t="s">
        <v>711</v>
      </c>
      <c r="K168" s="2" t="s">
        <v>1380</v>
      </c>
      <c r="L168" s="3">
        <v>31.5</v>
      </c>
      <c r="M168" s="3">
        <v>33.08</v>
      </c>
      <c r="N168" s="3">
        <v>67.99</v>
      </c>
      <c r="O168" s="2" t="s">
        <v>460</v>
      </c>
      <c r="P168" s="2" t="s">
        <v>285</v>
      </c>
      <c r="Q168" s="2" t="s">
        <v>206</v>
      </c>
      <c r="R168" s="2" t="s">
        <v>200</v>
      </c>
      <c r="S168" s="2" t="s">
        <v>200</v>
      </c>
      <c r="T168" s="2" t="s">
        <v>200</v>
      </c>
      <c r="U168" s="2" t="s">
        <v>200</v>
      </c>
      <c r="V168" s="2" t="s">
        <v>616</v>
      </c>
      <c r="W168" s="2" t="s">
        <v>419</v>
      </c>
      <c r="X168" s="2" t="s">
        <v>200</v>
      </c>
      <c r="Y168" s="2" t="s">
        <v>1381</v>
      </c>
      <c r="Z168" s="4"/>
      <c r="AA168" s="4">
        <f>=ROUNDDOWN({0},0)</f>
      </c>
      <c r="AB168" s="5">
        <v>1</v>
      </c>
      <c r="AC168" s="2" t="s">
        <v>200</v>
      </c>
      <c r="AD168" s="4"/>
      <c r="AE168" s="4"/>
      <c r="AF168" s="6">
        <v>63</v>
      </c>
      <c r="AG168" s="6"/>
      <c r="AH168" s="7">
        <v>1</v>
      </c>
      <c r="AI168" s="4"/>
      <c r="AJ168" s="4">
        <f>=ROUNDDOWN({0},0)</f>
      </c>
      <c r="AK168" s="5"/>
      <c r="AL168" s="2" t="s">
        <v>200</v>
      </c>
      <c r="AM168" s="4"/>
      <c r="AN168" s="4"/>
      <c r="AO168" s="7"/>
      <c r="AP168" s="4"/>
      <c r="AQ168" s="8"/>
      <c r="AR168" s="4"/>
      <c r="AS168" s="8"/>
      <c r="AT168" s="7"/>
      <c r="AU168" s="7"/>
      <c r="AV168" s="4"/>
      <c r="AW168" s="8"/>
      <c r="AX168" s="4"/>
      <c r="AY168" s="8"/>
      <c r="AZ168" s="7"/>
      <c r="BA168" s="7"/>
      <c r="BB168" s="7"/>
      <c r="BC168" s="4"/>
      <c r="BD168" s="8"/>
      <c r="BE168" s="4"/>
      <c r="BF168" s="8"/>
      <c r="BG168" s="7"/>
      <c r="BH168" s="7"/>
      <c r="BI168" s="7"/>
      <c r="BJ168" s="4">
        <v>13</v>
      </c>
      <c r="BK168" s="8">
        <v>545.09</v>
      </c>
      <c r="BL168" s="2" t="s">
        <v>1382</v>
      </c>
      <c r="BM168" s="7"/>
      <c r="BN168" s="7"/>
      <c r="BO168" s="4"/>
      <c r="BP168" s="8"/>
      <c r="BQ168" s="4"/>
      <c r="BR168" s="8"/>
      <c r="BS168" s="7"/>
      <c r="BT168" s="7"/>
      <c r="BU168" s="2" t="s">
        <v>1383</v>
      </c>
      <c r="BV168" s="2" t="s">
        <v>200</v>
      </c>
      <c r="BW168" s="2" t="s">
        <v>200</v>
      </c>
      <c r="BX168" s="2" t="s">
        <v>289</v>
      </c>
      <c r="BY168" s="2" t="s">
        <v>247</v>
      </c>
      <c r="BZ168" s="2" t="s">
        <v>212</v>
      </c>
      <c r="CA168" s="2" t="s">
        <v>1384</v>
      </c>
      <c r="CB168" s="2" t="s">
        <v>778</v>
      </c>
      <c r="CC168" s="2" t="s">
        <v>213</v>
      </c>
      <c r="CD168" s="2" t="s">
        <v>200</v>
      </c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</row>
    <row r="169">
      <c r="A169" s="2" t="s">
        <v>1385</v>
      </c>
      <c r="B169" s="2" t="s">
        <v>932</v>
      </c>
      <c r="C169" s="2" t="s">
        <v>877</v>
      </c>
      <c r="D169" s="2" t="s">
        <v>918</v>
      </c>
      <c r="E169" s="2" t="s">
        <v>919</v>
      </c>
      <c r="F169" s="2" t="s">
        <v>1386</v>
      </c>
      <c r="G169" s="2" t="s">
        <v>1387</v>
      </c>
      <c r="H169" s="2" t="s">
        <v>1388</v>
      </c>
      <c r="I169" s="2" t="s">
        <v>1389</v>
      </c>
      <c r="J169" s="2" t="s">
        <v>1390</v>
      </c>
      <c r="K169" s="2" t="s">
        <v>221</v>
      </c>
      <c r="L169" s="3">
        <v>26.19</v>
      </c>
      <c r="M169" s="3">
        <v>27.5</v>
      </c>
      <c r="N169" s="3">
        <v>54.99</v>
      </c>
      <c r="O169" s="2" t="s">
        <v>417</v>
      </c>
      <c r="P169" s="2" t="s">
        <v>285</v>
      </c>
      <c r="Q169" s="2" t="s">
        <v>206</v>
      </c>
      <c r="R169" s="2" t="s">
        <v>200</v>
      </c>
      <c r="S169" s="2" t="s">
        <v>1391</v>
      </c>
      <c r="T169" s="2" t="s">
        <v>200</v>
      </c>
      <c r="U169" s="2" t="s">
        <v>677</v>
      </c>
      <c r="V169" s="2" t="s">
        <v>885</v>
      </c>
      <c r="W169" s="2" t="s">
        <v>379</v>
      </c>
      <c r="X169" s="2" t="s">
        <v>241</v>
      </c>
      <c r="Y169" s="2" t="s">
        <v>1392</v>
      </c>
      <c r="Z169" s="4">
        <v>36</v>
      </c>
      <c r="AA169" s="4">
        <f>=ROUNDDOWN(18,0)</f>
      </c>
      <c r="AB169" s="5">
        <v>2</v>
      </c>
      <c r="AC169" s="2" t="s">
        <v>200</v>
      </c>
      <c r="AD169" s="4"/>
      <c r="AE169" s="4"/>
      <c r="AF169" s="6">
        <v>64</v>
      </c>
      <c r="AG169" s="6"/>
      <c r="AH169" s="7">
        <v>0.8667</v>
      </c>
      <c r="AI169" s="4"/>
      <c r="AJ169" s="4">
        <f>=ROUNDDOWN({0},0)</f>
      </c>
      <c r="AK169" s="5"/>
      <c r="AL169" s="2" t="s">
        <v>200</v>
      </c>
      <c r="AM169" s="4"/>
      <c r="AN169" s="4"/>
      <c r="AO169" s="7"/>
      <c r="AP169" s="4"/>
      <c r="AQ169" s="8"/>
      <c r="AR169" s="4"/>
      <c r="AS169" s="8"/>
      <c r="AT169" s="7"/>
      <c r="AU169" s="7"/>
      <c r="AV169" s="4"/>
      <c r="AW169" s="8"/>
      <c r="AX169" s="4"/>
      <c r="AY169" s="8"/>
      <c r="AZ169" s="7"/>
      <c r="BA169" s="7"/>
      <c r="BB169" s="7"/>
      <c r="BC169" s="4"/>
      <c r="BD169" s="8"/>
      <c r="BE169" s="4"/>
      <c r="BF169" s="8"/>
      <c r="BG169" s="7"/>
      <c r="BH169" s="7"/>
      <c r="BI169" s="7"/>
      <c r="BJ169" s="4"/>
      <c r="BK169" s="8"/>
      <c r="BL169" s="2" t="s">
        <v>466</v>
      </c>
      <c r="BM169" s="7"/>
      <c r="BN169" s="7"/>
      <c r="BO169" s="4"/>
      <c r="BP169" s="8"/>
      <c r="BQ169" s="4"/>
      <c r="BR169" s="8"/>
      <c r="BS169" s="7"/>
      <c r="BT169" s="7"/>
      <c r="BU169" s="2" t="s">
        <v>1393</v>
      </c>
      <c r="BV169" s="2" t="s">
        <v>200</v>
      </c>
      <c r="BW169" s="2" t="s">
        <v>200</v>
      </c>
      <c r="BX169" s="2" t="s">
        <v>289</v>
      </c>
      <c r="BY169" s="2" t="s">
        <v>247</v>
      </c>
      <c r="BZ169" s="2" t="s">
        <v>212</v>
      </c>
      <c r="CA169" s="2" t="s">
        <v>1394</v>
      </c>
      <c r="CB169" s="2" t="s">
        <v>1395</v>
      </c>
      <c r="CC169" s="2" t="s">
        <v>213</v>
      </c>
      <c r="CD169" s="2" t="s">
        <v>200</v>
      </c>
      <c r="CE169" s="4">
        <v>36</v>
      </c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</row>
    <row r="170">
      <c r="A170" s="2" t="s">
        <v>1396</v>
      </c>
      <c r="B170" s="2" t="s">
        <v>705</v>
      </c>
      <c r="C170" s="2" t="s">
        <v>745</v>
      </c>
      <c r="D170" s="2" t="s">
        <v>808</v>
      </c>
      <c r="E170" s="2" t="s">
        <v>809</v>
      </c>
      <c r="F170" s="2" t="s">
        <v>1397</v>
      </c>
      <c r="G170" s="2" t="s">
        <v>1397</v>
      </c>
      <c r="H170" s="2" t="s">
        <v>1397</v>
      </c>
      <c r="I170" s="2" t="s">
        <v>1398</v>
      </c>
      <c r="J170" s="2" t="s">
        <v>711</v>
      </c>
      <c r="K170" s="2" t="s">
        <v>1135</v>
      </c>
      <c r="L170" s="3">
        <v>35.5</v>
      </c>
      <c r="M170" s="3">
        <v>37.28</v>
      </c>
      <c r="N170" s="3">
        <v>74.99</v>
      </c>
      <c r="O170" s="2" t="s">
        <v>460</v>
      </c>
      <c r="P170" s="2" t="s">
        <v>285</v>
      </c>
      <c r="Q170" s="2" t="s">
        <v>206</v>
      </c>
      <c r="R170" s="2" t="s">
        <v>200</v>
      </c>
      <c r="S170" s="2" t="s">
        <v>200</v>
      </c>
      <c r="T170" s="2" t="s">
        <v>200</v>
      </c>
      <c r="U170" s="2" t="s">
        <v>270</v>
      </c>
      <c r="V170" s="2" t="s">
        <v>616</v>
      </c>
      <c r="W170" s="2" t="s">
        <v>1399</v>
      </c>
      <c r="X170" s="2" t="s">
        <v>1308</v>
      </c>
      <c r="Y170" s="2" t="s">
        <v>1215</v>
      </c>
      <c r="Z170" s="4">
        <v>49</v>
      </c>
      <c r="AA170" s="4">
        <f>=ROUNDDOWN(24.5,0)</f>
      </c>
      <c r="AB170" s="5">
        <v>2</v>
      </c>
      <c r="AC170" s="2" t="s">
        <v>200</v>
      </c>
      <c r="AD170" s="4"/>
      <c r="AE170" s="4"/>
      <c r="AF170" s="6">
        <v>63</v>
      </c>
      <c r="AG170" s="6"/>
      <c r="AH170" s="7">
        <v>1</v>
      </c>
      <c r="AI170" s="4"/>
      <c r="AJ170" s="4">
        <f>=ROUNDDOWN({0},0)</f>
      </c>
      <c r="AK170" s="5"/>
      <c r="AL170" s="2" t="s">
        <v>200</v>
      </c>
      <c r="AM170" s="4"/>
      <c r="AN170" s="4"/>
      <c r="AO170" s="7"/>
      <c r="AP170" s="4"/>
      <c r="AQ170" s="8"/>
      <c r="AR170" s="4"/>
      <c r="AS170" s="8"/>
      <c r="AT170" s="7"/>
      <c r="AU170" s="7"/>
      <c r="AV170" s="4"/>
      <c r="AW170" s="8"/>
      <c r="AX170" s="4"/>
      <c r="AY170" s="8"/>
      <c r="AZ170" s="7"/>
      <c r="BA170" s="7"/>
      <c r="BB170" s="7"/>
      <c r="BC170" s="4"/>
      <c r="BD170" s="8"/>
      <c r="BE170" s="4"/>
      <c r="BF170" s="8"/>
      <c r="BG170" s="7"/>
      <c r="BH170" s="7"/>
      <c r="BI170" s="7"/>
      <c r="BJ170" s="4">
        <v>2</v>
      </c>
      <c r="BK170" s="8">
        <v>90.18</v>
      </c>
      <c r="BL170" s="2" t="s">
        <v>953</v>
      </c>
      <c r="BM170" s="7"/>
      <c r="BN170" s="7"/>
      <c r="BO170" s="4"/>
      <c r="BP170" s="8"/>
      <c r="BQ170" s="4"/>
      <c r="BR170" s="8"/>
      <c r="BS170" s="7"/>
      <c r="BT170" s="7"/>
      <c r="BU170" s="2" t="s">
        <v>1400</v>
      </c>
      <c r="BV170" s="2" t="s">
        <v>200</v>
      </c>
      <c r="BW170" s="2" t="s">
        <v>200</v>
      </c>
      <c r="BX170" s="2" t="s">
        <v>289</v>
      </c>
      <c r="BY170" s="2" t="s">
        <v>247</v>
      </c>
      <c r="BZ170" s="2" t="s">
        <v>212</v>
      </c>
      <c r="CA170" s="2" t="s">
        <v>1310</v>
      </c>
      <c r="CB170" s="2" t="s">
        <v>1401</v>
      </c>
      <c r="CC170" s="2" t="s">
        <v>213</v>
      </c>
      <c r="CD170" s="2" t="s">
        <v>200</v>
      </c>
      <c r="CE170" s="4"/>
      <c r="CF170" s="4">
        <v>49</v>
      </c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</row>
    <row r="171">
      <c r="A171" s="2" t="s">
        <v>1402</v>
      </c>
      <c r="B171" s="2" t="s">
        <v>744</v>
      </c>
      <c r="C171" s="2" t="s">
        <v>231</v>
      </c>
      <c r="D171" s="2" t="s">
        <v>795</v>
      </c>
      <c r="E171" s="2" t="s">
        <v>1403</v>
      </c>
      <c r="F171" s="2" t="s">
        <v>1404</v>
      </c>
      <c r="G171" s="2" t="s">
        <v>1405</v>
      </c>
      <c r="H171" s="2" t="s">
        <v>1406</v>
      </c>
      <c r="I171" s="2" t="s">
        <v>1407</v>
      </c>
      <c r="J171" s="2" t="s">
        <v>711</v>
      </c>
      <c r="K171" s="2" t="s">
        <v>436</v>
      </c>
      <c r="L171" s="3">
        <v>270.75</v>
      </c>
      <c r="M171" s="3">
        <v>284.29</v>
      </c>
      <c r="N171" s="3">
        <v>569</v>
      </c>
      <c r="O171" s="2" t="s">
        <v>212</v>
      </c>
      <c r="P171" s="2" t="s">
        <v>750</v>
      </c>
      <c r="Q171" s="2" t="s">
        <v>206</v>
      </c>
      <c r="R171" s="2" t="s">
        <v>200</v>
      </c>
      <c r="S171" s="2" t="s">
        <v>200</v>
      </c>
      <c r="T171" s="2" t="s">
        <v>200</v>
      </c>
      <c r="U171" s="2" t="s">
        <v>270</v>
      </c>
      <c r="V171" s="2" t="s">
        <v>208</v>
      </c>
      <c r="W171" s="2" t="s">
        <v>419</v>
      </c>
      <c r="X171" s="2" t="s">
        <v>200</v>
      </c>
      <c r="Y171" s="2" t="s">
        <v>1408</v>
      </c>
      <c r="Z171" s="4">
        <v>60</v>
      </c>
      <c r="AA171" s="4">
        <f>=ROUNDDOWN(30,0)</f>
      </c>
      <c r="AB171" s="5">
        <v>2</v>
      </c>
      <c r="AC171" s="2" t="s">
        <v>691</v>
      </c>
      <c r="AD171" s="4">
        <v>45</v>
      </c>
      <c r="AE171" s="4">
        <v>45</v>
      </c>
      <c r="AF171" s="6">
        <v>69</v>
      </c>
      <c r="AG171" s="6">
        <v>52</v>
      </c>
      <c r="AH171" s="7">
        <v>1</v>
      </c>
      <c r="AI171" s="4"/>
      <c r="AJ171" s="4">
        <f>=ROUNDDOWN({0},0)</f>
      </c>
      <c r="AK171" s="5"/>
      <c r="AL171" s="2" t="s">
        <v>200</v>
      </c>
      <c r="AM171" s="4"/>
      <c r="AN171" s="4"/>
      <c r="AO171" s="7"/>
      <c r="AP171" s="4"/>
      <c r="AQ171" s="8"/>
      <c r="AR171" s="4"/>
      <c r="AS171" s="8"/>
      <c r="AT171" s="7"/>
      <c r="AU171" s="7"/>
      <c r="AV171" s="4"/>
      <c r="AW171" s="8"/>
      <c r="AX171" s="4"/>
      <c r="AY171" s="8"/>
      <c r="AZ171" s="7"/>
      <c r="BA171" s="7"/>
      <c r="BB171" s="7"/>
      <c r="BC171" s="4"/>
      <c r="BD171" s="8"/>
      <c r="BE171" s="4"/>
      <c r="BF171" s="8"/>
      <c r="BG171" s="7"/>
      <c r="BH171" s="7"/>
      <c r="BI171" s="7"/>
      <c r="BJ171" s="4">
        <v>6</v>
      </c>
      <c r="BK171" s="8">
        <v>1667.12</v>
      </c>
      <c r="BL171" s="2" t="s">
        <v>1409</v>
      </c>
      <c r="BM171" s="7"/>
      <c r="BN171" s="7"/>
      <c r="BO171" s="4"/>
      <c r="BP171" s="8"/>
      <c r="BQ171" s="4"/>
      <c r="BR171" s="8"/>
      <c r="BS171" s="7"/>
      <c r="BT171" s="7"/>
      <c r="BU171" s="2" t="s">
        <v>1410</v>
      </c>
      <c r="BV171" s="2" t="s">
        <v>200</v>
      </c>
      <c r="BW171" s="2" t="s">
        <v>200</v>
      </c>
      <c r="BX171" s="2" t="s">
        <v>264</v>
      </c>
      <c r="BY171" s="2" t="s">
        <v>247</v>
      </c>
      <c r="BZ171" s="2" t="s">
        <v>212</v>
      </c>
      <c r="CA171" s="2" t="s">
        <v>1408</v>
      </c>
      <c r="CB171" s="2" t="s">
        <v>1411</v>
      </c>
      <c r="CC171" s="2" t="s">
        <v>213</v>
      </c>
      <c r="CD171" s="2" t="s">
        <v>200</v>
      </c>
      <c r="CE171" s="4"/>
      <c r="CF171" s="4">
        <v>60</v>
      </c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>
        <v>45</v>
      </c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</row>
    <row r="172">
      <c r="A172" s="2" t="s">
        <v>1412</v>
      </c>
      <c r="B172" s="2" t="s">
        <v>744</v>
      </c>
      <c r="C172" s="2" t="s">
        <v>1375</v>
      </c>
      <c r="D172" s="2" t="s">
        <v>1413</v>
      </c>
      <c r="E172" s="2" t="s">
        <v>1414</v>
      </c>
      <c r="F172" s="2" t="s">
        <v>1415</v>
      </c>
      <c r="G172" s="2" t="s">
        <v>1415</v>
      </c>
      <c r="H172" s="2" t="s">
        <v>1415</v>
      </c>
      <c r="I172" s="2" t="s">
        <v>1416</v>
      </c>
      <c r="J172" s="2" t="s">
        <v>711</v>
      </c>
      <c r="K172" s="2" t="s">
        <v>387</v>
      </c>
      <c r="L172" s="3">
        <v>85</v>
      </c>
      <c r="M172" s="3">
        <v>89.25</v>
      </c>
      <c r="N172" s="3">
        <v>179</v>
      </c>
      <c r="O172" s="2" t="s">
        <v>212</v>
      </c>
      <c r="P172" s="2" t="s">
        <v>205</v>
      </c>
      <c r="Q172" s="2" t="s">
        <v>206</v>
      </c>
      <c r="R172" s="2" t="s">
        <v>200</v>
      </c>
      <c r="S172" s="2" t="s">
        <v>200</v>
      </c>
      <c r="T172" s="2" t="s">
        <v>200</v>
      </c>
      <c r="U172" s="2" t="s">
        <v>270</v>
      </c>
      <c r="V172" s="2" t="s">
        <v>616</v>
      </c>
      <c r="W172" s="2" t="s">
        <v>419</v>
      </c>
      <c r="X172" s="2" t="s">
        <v>736</v>
      </c>
      <c r="Y172" s="2" t="s">
        <v>1417</v>
      </c>
      <c r="Z172" s="4">
        <v>84</v>
      </c>
      <c r="AA172" s="4">
        <f>=ROUNDDOWN(84,0)</f>
      </c>
      <c r="AB172" s="5">
        <v>1</v>
      </c>
      <c r="AC172" s="2" t="s">
        <v>200</v>
      </c>
      <c r="AD172" s="4"/>
      <c r="AE172" s="4"/>
      <c r="AF172" s="6">
        <v>76</v>
      </c>
      <c r="AG172" s="6"/>
      <c r="AH172" s="7">
        <v>1</v>
      </c>
      <c r="AI172" s="4"/>
      <c r="AJ172" s="4">
        <f>=ROUNDDOWN({0},0)</f>
      </c>
      <c r="AK172" s="5"/>
      <c r="AL172" s="2" t="s">
        <v>200</v>
      </c>
      <c r="AM172" s="4"/>
      <c r="AN172" s="4"/>
      <c r="AO172" s="7"/>
      <c r="AP172" s="4"/>
      <c r="AQ172" s="8"/>
      <c r="AR172" s="4"/>
      <c r="AS172" s="8"/>
      <c r="AT172" s="7"/>
      <c r="AU172" s="7"/>
      <c r="AV172" s="4" t="s">
        <v>200</v>
      </c>
      <c r="AW172" s="8" t="s">
        <v>200</v>
      </c>
      <c r="AX172" s="4" t="s">
        <v>200</v>
      </c>
      <c r="AY172" s="8" t="s">
        <v>200</v>
      </c>
      <c r="AZ172" s="7" t="s">
        <v>200</v>
      </c>
      <c r="BA172" s="7" t="s">
        <v>200</v>
      </c>
      <c r="BB172" s="7" t="s">
        <v>200</v>
      </c>
      <c r="BC172" s="4" t="s">
        <v>200</v>
      </c>
      <c r="BD172" s="8" t="s">
        <v>200</v>
      </c>
      <c r="BE172" s="4" t="s">
        <v>200</v>
      </c>
      <c r="BF172" s="8" t="s">
        <v>200</v>
      </c>
      <c r="BG172" s="7" t="s">
        <v>200</v>
      </c>
      <c r="BH172" s="7" t="s">
        <v>200</v>
      </c>
      <c r="BI172" s="7"/>
      <c r="BJ172" s="4">
        <v>4</v>
      </c>
      <c r="BK172" s="8">
        <v>378.42</v>
      </c>
      <c r="BL172" s="2" t="s">
        <v>1418</v>
      </c>
      <c r="BM172" s="7"/>
      <c r="BN172" s="7"/>
      <c r="BO172" s="4"/>
      <c r="BP172" s="8"/>
      <c r="BQ172" s="4"/>
      <c r="BR172" s="8"/>
      <c r="BS172" s="7"/>
      <c r="BT172" s="7"/>
      <c r="BU172" s="2" t="s">
        <v>1419</v>
      </c>
      <c r="BV172" s="2" t="s">
        <v>200</v>
      </c>
      <c r="BW172" s="2" t="s">
        <v>200</v>
      </c>
      <c r="BX172" s="2" t="s">
        <v>264</v>
      </c>
      <c r="BY172" s="2" t="s">
        <v>247</v>
      </c>
      <c r="BZ172" s="2" t="s">
        <v>212</v>
      </c>
      <c r="CA172" s="2" t="s">
        <v>1420</v>
      </c>
      <c r="CB172" s="2" t="s">
        <v>200</v>
      </c>
      <c r="CC172" s="2" t="s">
        <v>213</v>
      </c>
      <c r="CD172" s="2" t="s">
        <v>200</v>
      </c>
      <c r="CE172" s="4"/>
      <c r="CF172" s="4">
        <v>84</v>
      </c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</row>
    <row r="173">
      <c r="A173" s="2" t="s">
        <v>1421</v>
      </c>
      <c r="B173" s="2" t="s">
        <v>744</v>
      </c>
      <c r="C173" s="2" t="s">
        <v>1375</v>
      </c>
      <c r="D173" s="2" t="s">
        <v>746</v>
      </c>
      <c r="E173" s="2" t="s">
        <v>1422</v>
      </c>
      <c r="F173" s="2" t="s">
        <v>1415</v>
      </c>
      <c r="G173" s="2" t="s">
        <v>1415</v>
      </c>
      <c r="H173" s="2" t="s">
        <v>1415</v>
      </c>
      <c r="I173" s="2" t="s">
        <v>1423</v>
      </c>
      <c r="J173" s="2" t="s">
        <v>711</v>
      </c>
      <c r="K173" s="2" t="s">
        <v>387</v>
      </c>
      <c r="L173" s="3">
        <v>142</v>
      </c>
      <c r="M173" s="3">
        <v>149.1</v>
      </c>
      <c r="N173" s="3">
        <v>299</v>
      </c>
      <c r="O173" s="2" t="s">
        <v>212</v>
      </c>
      <c r="P173" s="2" t="s">
        <v>205</v>
      </c>
      <c r="Q173" s="2" t="s">
        <v>206</v>
      </c>
      <c r="R173" s="2" t="s">
        <v>200</v>
      </c>
      <c r="S173" s="2" t="s">
        <v>200</v>
      </c>
      <c r="T173" s="2" t="s">
        <v>200</v>
      </c>
      <c r="U173" s="2" t="s">
        <v>677</v>
      </c>
      <c r="V173" s="2" t="s">
        <v>616</v>
      </c>
      <c r="W173" s="2" t="s">
        <v>419</v>
      </c>
      <c r="X173" s="2" t="s">
        <v>736</v>
      </c>
      <c r="Y173" s="2" t="s">
        <v>1424</v>
      </c>
      <c r="Z173" s="4">
        <v>87</v>
      </c>
      <c r="AA173" s="4">
        <f>=ROUNDDOWN(43.5,0)</f>
      </c>
      <c r="AB173" s="5">
        <v>2</v>
      </c>
      <c r="AC173" s="2" t="s">
        <v>200</v>
      </c>
      <c r="AD173" s="4"/>
      <c r="AE173" s="4"/>
      <c r="AF173" s="6">
        <v>76</v>
      </c>
      <c r="AG173" s="6"/>
      <c r="AH173" s="7">
        <v>1</v>
      </c>
      <c r="AI173" s="4"/>
      <c r="AJ173" s="4">
        <f>=ROUNDDOWN({0},0)</f>
      </c>
      <c r="AK173" s="5"/>
      <c r="AL173" s="2" t="s">
        <v>200</v>
      </c>
      <c r="AM173" s="4"/>
      <c r="AN173" s="4"/>
      <c r="AO173" s="7"/>
      <c r="AP173" s="4"/>
      <c r="AQ173" s="8"/>
      <c r="AR173" s="4"/>
      <c r="AS173" s="8"/>
      <c r="AT173" s="7"/>
      <c r="AU173" s="7"/>
      <c r="AV173" s="4" t="s">
        <v>200</v>
      </c>
      <c r="AW173" s="8" t="s">
        <v>200</v>
      </c>
      <c r="AX173" s="4" t="s">
        <v>200</v>
      </c>
      <c r="AY173" s="8" t="s">
        <v>200</v>
      </c>
      <c r="AZ173" s="7" t="s">
        <v>200</v>
      </c>
      <c r="BA173" s="7" t="s">
        <v>200</v>
      </c>
      <c r="BB173" s="7" t="s">
        <v>200</v>
      </c>
      <c r="BC173" s="4" t="s">
        <v>200</v>
      </c>
      <c r="BD173" s="8" t="s">
        <v>200</v>
      </c>
      <c r="BE173" s="4" t="s">
        <v>200</v>
      </c>
      <c r="BF173" s="8" t="s">
        <v>200</v>
      </c>
      <c r="BG173" s="7" t="s">
        <v>200</v>
      </c>
      <c r="BH173" s="7" t="s">
        <v>200</v>
      </c>
      <c r="BI173" s="7"/>
      <c r="BJ173" s="4">
        <v>3</v>
      </c>
      <c r="BK173" s="8">
        <v>447.3</v>
      </c>
      <c r="BL173" s="2" t="s">
        <v>1425</v>
      </c>
      <c r="BM173" s="7"/>
      <c r="BN173" s="7"/>
      <c r="BO173" s="4"/>
      <c r="BP173" s="8"/>
      <c r="BQ173" s="4"/>
      <c r="BR173" s="8"/>
      <c r="BS173" s="7"/>
      <c r="BT173" s="7"/>
      <c r="BU173" s="2" t="s">
        <v>1426</v>
      </c>
      <c r="BV173" s="2" t="s">
        <v>200</v>
      </c>
      <c r="BW173" s="2" t="s">
        <v>200</v>
      </c>
      <c r="BX173" s="2" t="s">
        <v>264</v>
      </c>
      <c r="BY173" s="2" t="s">
        <v>247</v>
      </c>
      <c r="BZ173" s="2" t="s">
        <v>212</v>
      </c>
      <c r="CA173" s="2" t="s">
        <v>1427</v>
      </c>
      <c r="CB173" s="2" t="s">
        <v>200</v>
      </c>
      <c r="CC173" s="2" t="s">
        <v>213</v>
      </c>
      <c r="CD173" s="2" t="s">
        <v>200</v>
      </c>
      <c r="CE173" s="4"/>
      <c r="CF173" s="4">
        <v>87</v>
      </c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</row>
    <row r="174">
      <c r="A174" s="2" t="s">
        <v>1428</v>
      </c>
      <c r="B174" s="2" t="s">
        <v>827</v>
      </c>
      <c r="C174" s="2" t="s">
        <v>231</v>
      </c>
      <c r="D174" s="2" t="s">
        <v>1084</v>
      </c>
      <c r="E174" s="2" t="s">
        <v>1085</v>
      </c>
      <c r="F174" s="2" t="s">
        <v>1415</v>
      </c>
      <c r="G174" s="2" t="s">
        <v>1429</v>
      </c>
      <c r="H174" s="2" t="s">
        <v>1430</v>
      </c>
      <c r="I174" s="2" t="s">
        <v>1431</v>
      </c>
      <c r="J174" s="2" t="s">
        <v>1087</v>
      </c>
      <c r="K174" s="2" t="s">
        <v>1432</v>
      </c>
      <c r="L174" s="3">
        <v>12.6</v>
      </c>
      <c r="M174" s="3">
        <v>13.23</v>
      </c>
      <c r="N174" s="3">
        <v>29.99</v>
      </c>
      <c r="O174" s="2" t="s">
        <v>212</v>
      </c>
      <c r="P174" s="2" t="s">
        <v>1247</v>
      </c>
      <c r="Q174" s="2" t="s">
        <v>206</v>
      </c>
      <c r="R174" s="2" t="s">
        <v>200</v>
      </c>
      <c r="S174" s="2" t="s">
        <v>200</v>
      </c>
      <c r="T174" s="2" t="s">
        <v>200</v>
      </c>
      <c r="U174" s="2" t="s">
        <v>270</v>
      </c>
      <c r="V174" s="2" t="s">
        <v>1433</v>
      </c>
      <c r="W174" s="2" t="s">
        <v>736</v>
      </c>
      <c r="X174" s="2" t="s">
        <v>200</v>
      </c>
      <c r="Y174" s="2" t="s">
        <v>1434</v>
      </c>
      <c r="Z174" s="4">
        <v>707</v>
      </c>
      <c r="AA174" s="4">
        <f>=ROUNDDOWN(32.1363636363636,0)</f>
      </c>
      <c r="AB174" s="5">
        <v>22</v>
      </c>
      <c r="AC174" s="2" t="s">
        <v>1435</v>
      </c>
      <c r="AD174" s="4">
        <v>80</v>
      </c>
      <c r="AE174" s="4">
        <v>80</v>
      </c>
      <c r="AF174" s="6">
        <v>66</v>
      </c>
      <c r="AG174" s="6"/>
      <c r="AH174" s="7">
        <v>1</v>
      </c>
      <c r="AI174" s="4"/>
      <c r="AJ174" s="4">
        <f>=ROUNDDOWN({0},0)</f>
      </c>
      <c r="AK174" s="5"/>
      <c r="AL174" s="2" t="s">
        <v>200</v>
      </c>
      <c r="AM174" s="4"/>
      <c r="AN174" s="4"/>
      <c r="AO174" s="7"/>
      <c r="AP174" s="4"/>
      <c r="AQ174" s="8"/>
      <c r="AR174" s="4"/>
      <c r="AS174" s="8"/>
      <c r="AT174" s="7"/>
      <c r="AU174" s="7"/>
      <c r="AV174" s="4"/>
      <c r="AW174" s="8"/>
      <c r="AX174" s="4"/>
      <c r="AY174" s="8"/>
      <c r="AZ174" s="7"/>
      <c r="BA174" s="7"/>
      <c r="BB174" s="7"/>
      <c r="BC174" s="4" t="s">
        <v>200</v>
      </c>
      <c r="BD174" s="8" t="s">
        <v>200</v>
      </c>
      <c r="BE174" s="4" t="s">
        <v>200</v>
      </c>
      <c r="BF174" s="8" t="s">
        <v>200</v>
      </c>
      <c r="BG174" s="7" t="s">
        <v>200</v>
      </c>
      <c r="BH174" s="7" t="s">
        <v>200</v>
      </c>
      <c r="BI174" s="7"/>
      <c r="BJ174" s="4">
        <v>50</v>
      </c>
      <c r="BK174" s="8">
        <v>679.11</v>
      </c>
      <c r="BL174" s="2" t="s">
        <v>1436</v>
      </c>
      <c r="BM174" s="7"/>
      <c r="BN174" s="7"/>
      <c r="BO174" s="4"/>
      <c r="BP174" s="8"/>
      <c r="BQ174" s="4"/>
      <c r="BR174" s="8"/>
      <c r="BS174" s="7"/>
      <c r="BT174" s="7"/>
      <c r="BU174" s="2" t="s">
        <v>1437</v>
      </c>
      <c r="BV174" s="2" t="s">
        <v>200</v>
      </c>
      <c r="BW174" s="2" t="s">
        <v>200</v>
      </c>
      <c r="BX174" s="2" t="s">
        <v>264</v>
      </c>
      <c r="BY174" s="2" t="s">
        <v>247</v>
      </c>
      <c r="BZ174" s="2" t="s">
        <v>212</v>
      </c>
      <c r="CA174" s="2" t="s">
        <v>1438</v>
      </c>
      <c r="CB174" s="2" t="s">
        <v>1439</v>
      </c>
      <c r="CC174" s="2" t="s">
        <v>213</v>
      </c>
      <c r="CD174" s="2" t="s">
        <v>200</v>
      </c>
      <c r="CE174" s="4">
        <v>707</v>
      </c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>
        <v>80</v>
      </c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</row>
    <row r="175">
      <c r="A175" s="2" t="s">
        <v>1440</v>
      </c>
      <c r="B175" s="2" t="s">
        <v>827</v>
      </c>
      <c r="C175" s="2" t="s">
        <v>231</v>
      </c>
      <c r="D175" s="2" t="s">
        <v>828</v>
      </c>
      <c r="E175" s="2" t="s">
        <v>878</v>
      </c>
      <c r="F175" s="2" t="s">
        <v>1415</v>
      </c>
      <c r="G175" s="2" t="s">
        <v>1429</v>
      </c>
      <c r="H175" s="2" t="s">
        <v>1430</v>
      </c>
      <c r="I175" s="2" t="s">
        <v>1441</v>
      </c>
      <c r="J175" s="2" t="s">
        <v>1057</v>
      </c>
      <c r="K175" s="2" t="s">
        <v>1442</v>
      </c>
      <c r="L175" s="3">
        <v>31.5</v>
      </c>
      <c r="M175" s="3">
        <v>33.08</v>
      </c>
      <c r="N175" s="3">
        <v>69.99</v>
      </c>
      <c r="O175" s="2" t="s">
        <v>212</v>
      </c>
      <c r="P175" s="2" t="s">
        <v>258</v>
      </c>
      <c r="Q175" s="2" t="s">
        <v>206</v>
      </c>
      <c r="R175" s="2" t="s">
        <v>200</v>
      </c>
      <c r="S175" s="2" t="s">
        <v>1443</v>
      </c>
      <c r="T175" s="2" t="s">
        <v>200</v>
      </c>
      <c r="U175" s="2" t="s">
        <v>200</v>
      </c>
      <c r="V175" s="2" t="s">
        <v>1433</v>
      </c>
      <c r="W175" s="2" t="s">
        <v>736</v>
      </c>
      <c r="X175" s="2" t="s">
        <v>1078</v>
      </c>
      <c r="Y175" s="2" t="s">
        <v>261</v>
      </c>
      <c r="Z175" s="4">
        <v>302</v>
      </c>
      <c r="AA175" s="4">
        <f>=ROUNDDOWN(60.4,0)</f>
      </c>
      <c r="AB175" s="5">
        <v>5</v>
      </c>
      <c r="AC175" s="2" t="s">
        <v>200</v>
      </c>
      <c r="AD175" s="4"/>
      <c r="AE175" s="4"/>
      <c r="AF175" s="6">
        <v>66</v>
      </c>
      <c r="AG175" s="6"/>
      <c r="AH175" s="7">
        <v>1</v>
      </c>
      <c r="AI175" s="4"/>
      <c r="AJ175" s="4">
        <f>=ROUNDDOWN({0},0)</f>
      </c>
      <c r="AK175" s="5"/>
      <c r="AL175" s="2" t="s">
        <v>200</v>
      </c>
      <c r="AM175" s="4"/>
      <c r="AN175" s="4"/>
      <c r="AO175" s="7"/>
      <c r="AP175" s="4"/>
      <c r="AQ175" s="8"/>
      <c r="AR175" s="4"/>
      <c r="AS175" s="8"/>
      <c r="AT175" s="7"/>
      <c r="AU175" s="7"/>
      <c r="AV175" s="4" t="s">
        <v>200</v>
      </c>
      <c r="AW175" s="8" t="s">
        <v>200</v>
      </c>
      <c r="AX175" s="4" t="s">
        <v>200</v>
      </c>
      <c r="AY175" s="8" t="s">
        <v>200</v>
      </c>
      <c r="AZ175" s="7" t="s">
        <v>200</v>
      </c>
      <c r="BA175" s="7" t="s">
        <v>200</v>
      </c>
      <c r="BB175" s="7"/>
      <c r="BC175" s="4" t="s">
        <v>200</v>
      </c>
      <c r="BD175" s="8" t="s">
        <v>200</v>
      </c>
      <c r="BE175" s="4" t="s">
        <v>200</v>
      </c>
      <c r="BF175" s="8" t="s">
        <v>200</v>
      </c>
      <c r="BG175" s="7" t="s">
        <v>200</v>
      </c>
      <c r="BH175" s="7" t="s">
        <v>200</v>
      </c>
      <c r="BI175" s="7"/>
      <c r="BJ175" s="4">
        <v>41</v>
      </c>
      <c r="BK175" s="8">
        <v>1364.14</v>
      </c>
      <c r="BL175" s="2" t="s">
        <v>1444</v>
      </c>
      <c r="BM175" s="7"/>
      <c r="BN175" s="7"/>
      <c r="BO175" s="4"/>
      <c r="BP175" s="8"/>
      <c r="BQ175" s="4"/>
      <c r="BR175" s="8"/>
      <c r="BS175" s="7"/>
      <c r="BT175" s="7"/>
      <c r="BU175" s="2" t="s">
        <v>1445</v>
      </c>
      <c r="BV175" s="2" t="s">
        <v>200</v>
      </c>
      <c r="BW175" s="2" t="s">
        <v>200</v>
      </c>
      <c r="BX175" s="2" t="s">
        <v>629</v>
      </c>
      <c r="BY175" s="2" t="s">
        <v>247</v>
      </c>
      <c r="BZ175" s="2" t="s">
        <v>212</v>
      </c>
      <c r="CA175" s="2" t="s">
        <v>265</v>
      </c>
      <c r="CB175" s="2" t="s">
        <v>1446</v>
      </c>
      <c r="CC175" s="2" t="s">
        <v>213</v>
      </c>
      <c r="CD175" s="2" t="s">
        <v>200</v>
      </c>
      <c r="CE175" s="4">
        <v>302</v>
      </c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</row>
    <row r="176">
      <c r="A176" s="2" t="s">
        <v>1447</v>
      </c>
      <c r="B176" s="2" t="s">
        <v>827</v>
      </c>
      <c r="C176" s="2" t="s">
        <v>231</v>
      </c>
      <c r="D176" s="2" t="s">
        <v>1084</v>
      </c>
      <c r="E176" s="2" t="s">
        <v>1085</v>
      </c>
      <c r="F176" s="2" t="s">
        <v>1415</v>
      </c>
      <c r="G176" s="2" t="s">
        <v>1429</v>
      </c>
      <c r="H176" s="2" t="s">
        <v>1430</v>
      </c>
      <c r="I176" s="2" t="s">
        <v>1448</v>
      </c>
      <c r="J176" s="2" t="s">
        <v>1087</v>
      </c>
      <c r="K176" s="2" t="s">
        <v>1442</v>
      </c>
      <c r="L176" s="3">
        <v>11.07</v>
      </c>
      <c r="M176" s="3">
        <v>11.62</v>
      </c>
      <c r="N176" s="3">
        <v>26.99</v>
      </c>
      <c r="O176" s="2" t="s">
        <v>212</v>
      </c>
      <c r="P176" s="2" t="s">
        <v>258</v>
      </c>
      <c r="Q176" s="2" t="s">
        <v>206</v>
      </c>
      <c r="R176" s="2" t="s">
        <v>200</v>
      </c>
      <c r="S176" s="2" t="s">
        <v>1443</v>
      </c>
      <c r="T176" s="2" t="s">
        <v>200</v>
      </c>
      <c r="U176" s="2" t="s">
        <v>200</v>
      </c>
      <c r="V176" s="2" t="s">
        <v>1433</v>
      </c>
      <c r="W176" s="2" t="s">
        <v>736</v>
      </c>
      <c r="X176" s="2" t="s">
        <v>200</v>
      </c>
      <c r="Y176" s="2" t="s">
        <v>261</v>
      </c>
      <c r="Z176" s="4">
        <v>15</v>
      </c>
      <c r="AA176" s="4">
        <f>=ROUNDDOWN(0.652173913043478,0)</f>
      </c>
      <c r="AB176" s="5">
        <v>23</v>
      </c>
      <c r="AC176" s="2" t="s">
        <v>112</v>
      </c>
      <c r="AD176" s="4">
        <v>256</v>
      </c>
      <c r="AE176" s="4">
        <v>712</v>
      </c>
      <c r="AF176" s="6">
        <v>66</v>
      </c>
      <c r="AG176" s="6"/>
      <c r="AH176" s="7">
        <v>1</v>
      </c>
      <c r="AI176" s="4"/>
      <c r="AJ176" s="4">
        <f>=ROUNDDOWN({0},0)</f>
      </c>
      <c r="AK176" s="5"/>
      <c r="AL176" s="2" t="s">
        <v>200</v>
      </c>
      <c r="AM176" s="4"/>
      <c r="AN176" s="4"/>
      <c r="AO176" s="7"/>
      <c r="AP176" s="4"/>
      <c r="AQ176" s="8"/>
      <c r="AR176" s="4"/>
      <c r="AS176" s="8"/>
      <c r="AT176" s="7"/>
      <c r="AU176" s="7"/>
      <c r="AV176" s="4" t="s">
        <v>200</v>
      </c>
      <c r="AW176" s="8" t="s">
        <v>200</v>
      </c>
      <c r="AX176" s="4" t="s">
        <v>200</v>
      </c>
      <c r="AY176" s="8" t="s">
        <v>200</v>
      </c>
      <c r="AZ176" s="7" t="s">
        <v>200</v>
      </c>
      <c r="BA176" s="7" t="s">
        <v>200</v>
      </c>
      <c r="BB176" s="7" t="s">
        <v>200</v>
      </c>
      <c r="BC176" s="4" t="s">
        <v>200</v>
      </c>
      <c r="BD176" s="8" t="s">
        <v>200</v>
      </c>
      <c r="BE176" s="4" t="s">
        <v>200</v>
      </c>
      <c r="BF176" s="8" t="s">
        <v>200</v>
      </c>
      <c r="BG176" s="7" t="s">
        <v>200</v>
      </c>
      <c r="BH176" s="7" t="s">
        <v>200</v>
      </c>
      <c r="BI176" s="7"/>
      <c r="BJ176" s="4">
        <v>104</v>
      </c>
      <c r="BK176" s="8">
        <v>1201.45</v>
      </c>
      <c r="BL176" s="2" t="s">
        <v>1118</v>
      </c>
      <c r="BM176" s="7"/>
      <c r="BN176" s="7"/>
      <c r="BO176" s="4"/>
      <c r="BP176" s="8"/>
      <c r="BQ176" s="4"/>
      <c r="BR176" s="8"/>
      <c r="BS176" s="7"/>
      <c r="BT176" s="7"/>
      <c r="BU176" s="2" t="s">
        <v>1449</v>
      </c>
      <c r="BV176" s="2" t="s">
        <v>200</v>
      </c>
      <c r="BW176" s="2" t="s">
        <v>200</v>
      </c>
      <c r="BX176" s="2" t="s">
        <v>264</v>
      </c>
      <c r="BY176" s="2" t="s">
        <v>247</v>
      </c>
      <c r="BZ176" s="2" t="s">
        <v>212</v>
      </c>
      <c r="CA176" s="2" t="s">
        <v>265</v>
      </c>
      <c r="CB176" s="2" t="s">
        <v>1245</v>
      </c>
      <c r="CC176" s="2" t="s">
        <v>213</v>
      </c>
      <c r="CD176" s="2" t="s">
        <v>200</v>
      </c>
      <c r="CE176" s="4">
        <v>15</v>
      </c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>
        <v>256</v>
      </c>
      <c r="CZ176" s="4"/>
      <c r="DA176" s="4"/>
      <c r="DB176" s="4"/>
      <c r="DC176" s="4"/>
      <c r="DD176" s="4"/>
      <c r="DE176" s="4"/>
      <c r="DF176" s="4">
        <v>160</v>
      </c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>
        <v>96</v>
      </c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>
        <v>200</v>
      </c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</row>
    <row r="177">
      <c r="A177" s="2" t="s">
        <v>1450</v>
      </c>
      <c r="B177" s="2" t="s">
        <v>827</v>
      </c>
      <c r="C177" s="2" t="s">
        <v>231</v>
      </c>
      <c r="D177" s="2" t="s">
        <v>1084</v>
      </c>
      <c r="E177" s="2" t="s">
        <v>1085</v>
      </c>
      <c r="F177" s="2" t="s">
        <v>1415</v>
      </c>
      <c r="G177" s="2" t="s">
        <v>1429</v>
      </c>
      <c r="H177" s="2" t="s">
        <v>1430</v>
      </c>
      <c r="I177" s="2" t="s">
        <v>1431</v>
      </c>
      <c r="J177" s="2" t="s">
        <v>1087</v>
      </c>
      <c r="K177" s="2" t="s">
        <v>1442</v>
      </c>
      <c r="L177" s="3">
        <v>12.6</v>
      </c>
      <c r="M177" s="3">
        <v>13.23</v>
      </c>
      <c r="N177" s="3">
        <v>29.99</v>
      </c>
      <c r="O177" s="2" t="s">
        <v>212</v>
      </c>
      <c r="P177" s="2" t="s">
        <v>258</v>
      </c>
      <c r="Q177" s="2" t="s">
        <v>206</v>
      </c>
      <c r="R177" s="2" t="s">
        <v>200</v>
      </c>
      <c r="S177" s="2" t="s">
        <v>200</v>
      </c>
      <c r="T177" s="2" t="s">
        <v>200</v>
      </c>
      <c r="U177" s="2" t="s">
        <v>270</v>
      </c>
      <c r="V177" s="2" t="s">
        <v>1433</v>
      </c>
      <c r="W177" s="2" t="s">
        <v>736</v>
      </c>
      <c r="X177" s="2" t="s">
        <v>200</v>
      </c>
      <c r="Y177" s="2" t="s">
        <v>1451</v>
      </c>
      <c r="Z177" s="4">
        <v>629</v>
      </c>
      <c r="AA177" s="4">
        <f>=ROUNDDOWN(29.952380952381,0)</f>
      </c>
      <c r="AB177" s="5">
        <v>21</v>
      </c>
      <c r="AC177" s="2" t="s">
        <v>1435</v>
      </c>
      <c r="AD177" s="4">
        <v>160</v>
      </c>
      <c r="AE177" s="4">
        <v>160</v>
      </c>
      <c r="AF177" s="6">
        <v>66</v>
      </c>
      <c r="AG177" s="6"/>
      <c r="AH177" s="7">
        <v>1</v>
      </c>
      <c r="AI177" s="4"/>
      <c r="AJ177" s="4">
        <f>=ROUNDDOWN({0},0)</f>
      </c>
      <c r="AK177" s="5"/>
      <c r="AL177" s="2" t="s">
        <v>200</v>
      </c>
      <c r="AM177" s="4"/>
      <c r="AN177" s="4"/>
      <c r="AO177" s="7"/>
      <c r="AP177" s="4"/>
      <c r="AQ177" s="8"/>
      <c r="AR177" s="4"/>
      <c r="AS177" s="8"/>
      <c r="AT177" s="7"/>
      <c r="AU177" s="7"/>
      <c r="AV177" s="4" t="s">
        <v>200</v>
      </c>
      <c r="AW177" s="8" t="s">
        <v>200</v>
      </c>
      <c r="AX177" s="4" t="s">
        <v>200</v>
      </c>
      <c r="AY177" s="8" t="s">
        <v>200</v>
      </c>
      <c r="AZ177" s="7" t="s">
        <v>200</v>
      </c>
      <c r="BA177" s="7" t="s">
        <v>200</v>
      </c>
      <c r="BB177" s="7" t="s">
        <v>200</v>
      </c>
      <c r="BC177" s="4" t="s">
        <v>200</v>
      </c>
      <c r="BD177" s="8" t="s">
        <v>200</v>
      </c>
      <c r="BE177" s="4" t="s">
        <v>200</v>
      </c>
      <c r="BF177" s="8" t="s">
        <v>200</v>
      </c>
      <c r="BG177" s="7" t="s">
        <v>200</v>
      </c>
      <c r="BH177" s="7" t="s">
        <v>200</v>
      </c>
      <c r="BI177" s="7"/>
      <c r="BJ177" s="4">
        <v>80</v>
      </c>
      <c r="BK177" s="8">
        <v>1055.12</v>
      </c>
      <c r="BL177" s="2" t="s">
        <v>1452</v>
      </c>
      <c r="BM177" s="7"/>
      <c r="BN177" s="7"/>
      <c r="BO177" s="4"/>
      <c r="BP177" s="8"/>
      <c r="BQ177" s="4"/>
      <c r="BR177" s="8"/>
      <c r="BS177" s="7"/>
      <c r="BT177" s="7"/>
      <c r="BU177" s="2" t="s">
        <v>1453</v>
      </c>
      <c r="BV177" s="2" t="s">
        <v>200</v>
      </c>
      <c r="BW177" s="2" t="s">
        <v>200</v>
      </c>
      <c r="BX177" s="2" t="s">
        <v>264</v>
      </c>
      <c r="BY177" s="2" t="s">
        <v>247</v>
      </c>
      <c r="BZ177" s="2" t="s">
        <v>212</v>
      </c>
      <c r="CA177" s="2" t="s">
        <v>1438</v>
      </c>
      <c r="CB177" s="2" t="s">
        <v>1454</v>
      </c>
      <c r="CC177" s="2" t="s">
        <v>213</v>
      </c>
      <c r="CD177" s="2" t="s">
        <v>200</v>
      </c>
      <c r="CE177" s="4">
        <v>629</v>
      </c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>
        <v>160</v>
      </c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</row>
    <row r="178">
      <c r="A178" s="2" t="s">
        <v>1455</v>
      </c>
      <c r="B178" s="2" t="s">
        <v>744</v>
      </c>
      <c r="C178" s="2" t="s">
        <v>1375</v>
      </c>
      <c r="D178" s="2" t="s">
        <v>1413</v>
      </c>
      <c r="E178" s="2" t="s">
        <v>1414</v>
      </c>
      <c r="F178" s="2" t="s">
        <v>1415</v>
      </c>
      <c r="G178" s="2" t="s">
        <v>1415</v>
      </c>
      <c r="H178" s="2" t="s">
        <v>1415</v>
      </c>
      <c r="I178" s="2" t="s">
        <v>1416</v>
      </c>
      <c r="J178" s="2" t="s">
        <v>711</v>
      </c>
      <c r="K178" s="2" t="s">
        <v>1135</v>
      </c>
      <c r="L178" s="3">
        <v>85</v>
      </c>
      <c r="M178" s="3">
        <v>89.25</v>
      </c>
      <c r="N178" s="3">
        <v>179</v>
      </c>
      <c r="O178" s="2" t="s">
        <v>212</v>
      </c>
      <c r="P178" s="2" t="s">
        <v>205</v>
      </c>
      <c r="Q178" s="2" t="s">
        <v>206</v>
      </c>
      <c r="R178" s="2" t="s">
        <v>200</v>
      </c>
      <c r="S178" s="2" t="s">
        <v>200</v>
      </c>
      <c r="T178" s="2" t="s">
        <v>200</v>
      </c>
      <c r="U178" s="2" t="s">
        <v>270</v>
      </c>
      <c r="V178" s="2" t="s">
        <v>616</v>
      </c>
      <c r="W178" s="2" t="s">
        <v>419</v>
      </c>
      <c r="X178" s="2" t="s">
        <v>736</v>
      </c>
      <c r="Y178" s="2" t="s">
        <v>1417</v>
      </c>
      <c r="Z178" s="4">
        <v>103</v>
      </c>
      <c r="AA178" s="4">
        <f>=ROUNDDOWN(51.5,0)</f>
      </c>
      <c r="AB178" s="5">
        <v>2</v>
      </c>
      <c r="AC178" s="2" t="s">
        <v>200</v>
      </c>
      <c r="AD178" s="4"/>
      <c r="AE178" s="4"/>
      <c r="AF178" s="6">
        <v>76</v>
      </c>
      <c r="AG178" s="6"/>
      <c r="AH178" s="7">
        <v>1</v>
      </c>
      <c r="AI178" s="4"/>
      <c r="AJ178" s="4">
        <f>=ROUNDDOWN({0},0)</f>
      </c>
      <c r="AK178" s="5"/>
      <c r="AL178" s="2" t="s">
        <v>200</v>
      </c>
      <c r="AM178" s="4"/>
      <c r="AN178" s="4"/>
      <c r="AO178" s="7"/>
      <c r="AP178" s="4"/>
      <c r="AQ178" s="8"/>
      <c r="AR178" s="4"/>
      <c r="AS178" s="8"/>
      <c r="AT178" s="7"/>
      <c r="AU178" s="7"/>
      <c r="AV178" s="4" t="s">
        <v>200</v>
      </c>
      <c r="AW178" s="8" t="s">
        <v>200</v>
      </c>
      <c r="AX178" s="4" t="s">
        <v>200</v>
      </c>
      <c r="AY178" s="8" t="s">
        <v>200</v>
      </c>
      <c r="AZ178" s="7" t="s">
        <v>200</v>
      </c>
      <c r="BA178" s="7" t="s">
        <v>200</v>
      </c>
      <c r="BB178" s="7" t="s">
        <v>200</v>
      </c>
      <c r="BC178" s="4" t="s">
        <v>200</v>
      </c>
      <c r="BD178" s="8" t="s">
        <v>200</v>
      </c>
      <c r="BE178" s="4" t="s">
        <v>200</v>
      </c>
      <c r="BF178" s="8" t="s">
        <v>200</v>
      </c>
      <c r="BG178" s="7" t="s">
        <v>200</v>
      </c>
      <c r="BH178" s="7" t="s">
        <v>200</v>
      </c>
      <c r="BI178" s="7"/>
      <c r="BJ178" s="4">
        <v>12</v>
      </c>
      <c r="BK178" s="8">
        <v>1128.75</v>
      </c>
      <c r="BL178" s="2" t="s">
        <v>1456</v>
      </c>
      <c r="BM178" s="7"/>
      <c r="BN178" s="7"/>
      <c r="BO178" s="4"/>
      <c r="BP178" s="8"/>
      <c r="BQ178" s="4"/>
      <c r="BR178" s="8"/>
      <c r="BS178" s="7"/>
      <c r="BT178" s="7"/>
      <c r="BU178" s="2" t="s">
        <v>1457</v>
      </c>
      <c r="BV178" s="2" t="s">
        <v>200</v>
      </c>
      <c r="BW178" s="2" t="s">
        <v>200</v>
      </c>
      <c r="BX178" s="2" t="s">
        <v>264</v>
      </c>
      <c r="BY178" s="2" t="s">
        <v>247</v>
      </c>
      <c r="BZ178" s="2" t="s">
        <v>212</v>
      </c>
      <c r="CA178" s="2" t="s">
        <v>1420</v>
      </c>
      <c r="CB178" s="2" t="s">
        <v>1458</v>
      </c>
      <c r="CC178" s="2" t="s">
        <v>213</v>
      </c>
      <c r="CD178" s="2" t="s">
        <v>200</v>
      </c>
      <c r="CE178" s="4"/>
      <c r="CF178" s="4">
        <v>103</v>
      </c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</row>
    <row r="179">
      <c r="A179" s="2" t="s">
        <v>1459</v>
      </c>
      <c r="B179" s="2" t="s">
        <v>744</v>
      </c>
      <c r="C179" s="2" t="s">
        <v>1375</v>
      </c>
      <c r="D179" s="2" t="s">
        <v>746</v>
      </c>
      <c r="E179" s="2" t="s">
        <v>1422</v>
      </c>
      <c r="F179" s="2" t="s">
        <v>1415</v>
      </c>
      <c r="G179" s="2" t="s">
        <v>1415</v>
      </c>
      <c r="H179" s="2" t="s">
        <v>1415</v>
      </c>
      <c r="I179" s="2" t="s">
        <v>1423</v>
      </c>
      <c r="J179" s="2" t="s">
        <v>711</v>
      </c>
      <c r="K179" s="2" t="s">
        <v>1135</v>
      </c>
      <c r="L179" s="3">
        <v>142</v>
      </c>
      <c r="M179" s="3">
        <v>149.1</v>
      </c>
      <c r="N179" s="3">
        <v>299</v>
      </c>
      <c r="O179" s="2" t="s">
        <v>212</v>
      </c>
      <c r="P179" s="2" t="s">
        <v>205</v>
      </c>
      <c r="Q179" s="2" t="s">
        <v>206</v>
      </c>
      <c r="R179" s="2" t="s">
        <v>200</v>
      </c>
      <c r="S179" s="2" t="s">
        <v>200</v>
      </c>
      <c r="T179" s="2" t="s">
        <v>200</v>
      </c>
      <c r="U179" s="2" t="s">
        <v>677</v>
      </c>
      <c r="V179" s="2" t="s">
        <v>616</v>
      </c>
      <c r="W179" s="2" t="s">
        <v>419</v>
      </c>
      <c r="X179" s="2" t="s">
        <v>736</v>
      </c>
      <c r="Y179" s="2" t="s">
        <v>1424</v>
      </c>
      <c r="Z179" s="4">
        <v>151</v>
      </c>
      <c r="AA179" s="4">
        <f>=ROUNDDOWN(75.5,0)</f>
      </c>
      <c r="AB179" s="5">
        <v>2</v>
      </c>
      <c r="AC179" s="2" t="s">
        <v>200</v>
      </c>
      <c r="AD179" s="4"/>
      <c r="AE179" s="4"/>
      <c r="AF179" s="6">
        <v>76</v>
      </c>
      <c r="AG179" s="6"/>
      <c r="AH179" s="7">
        <v>1</v>
      </c>
      <c r="AI179" s="4"/>
      <c r="AJ179" s="4">
        <f>=ROUNDDOWN({0},0)</f>
      </c>
      <c r="AK179" s="5"/>
      <c r="AL179" s="2" t="s">
        <v>200</v>
      </c>
      <c r="AM179" s="4"/>
      <c r="AN179" s="4"/>
      <c r="AO179" s="7"/>
      <c r="AP179" s="4"/>
      <c r="AQ179" s="8"/>
      <c r="AR179" s="4"/>
      <c r="AS179" s="8"/>
      <c r="AT179" s="7"/>
      <c r="AU179" s="7"/>
      <c r="AV179" s="4" t="s">
        <v>200</v>
      </c>
      <c r="AW179" s="8" t="s">
        <v>200</v>
      </c>
      <c r="AX179" s="4" t="s">
        <v>200</v>
      </c>
      <c r="AY179" s="8" t="s">
        <v>200</v>
      </c>
      <c r="AZ179" s="7" t="s">
        <v>200</v>
      </c>
      <c r="BA179" s="7" t="s">
        <v>200</v>
      </c>
      <c r="BB179" s="7" t="s">
        <v>200</v>
      </c>
      <c r="BC179" s="4" t="s">
        <v>200</v>
      </c>
      <c r="BD179" s="8" t="s">
        <v>200</v>
      </c>
      <c r="BE179" s="4" t="s">
        <v>200</v>
      </c>
      <c r="BF179" s="8" t="s">
        <v>200</v>
      </c>
      <c r="BG179" s="7" t="s">
        <v>200</v>
      </c>
      <c r="BH179" s="7" t="s">
        <v>200</v>
      </c>
      <c r="BI179" s="7"/>
      <c r="BJ179" s="4">
        <v>9</v>
      </c>
      <c r="BK179" s="8">
        <v>1341.9</v>
      </c>
      <c r="BL179" s="2" t="s">
        <v>1425</v>
      </c>
      <c r="BM179" s="7"/>
      <c r="BN179" s="7"/>
      <c r="BO179" s="4"/>
      <c r="BP179" s="8"/>
      <c r="BQ179" s="4"/>
      <c r="BR179" s="8"/>
      <c r="BS179" s="7"/>
      <c r="BT179" s="7"/>
      <c r="BU179" s="2" t="s">
        <v>1460</v>
      </c>
      <c r="BV179" s="2" t="s">
        <v>200</v>
      </c>
      <c r="BW179" s="2" t="s">
        <v>200</v>
      </c>
      <c r="BX179" s="2" t="s">
        <v>264</v>
      </c>
      <c r="BY179" s="2" t="s">
        <v>247</v>
      </c>
      <c r="BZ179" s="2" t="s">
        <v>212</v>
      </c>
      <c r="CA179" s="2" t="s">
        <v>1427</v>
      </c>
      <c r="CB179" s="2" t="s">
        <v>200</v>
      </c>
      <c r="CC179" s="2" t="s">
        <v>213</v>
      </c>
      <c r="CD179" s="2" t="s">
        <v>200</v>
      </c>
      <c r="CE179" s="4"/>
      <c r="CF179" s="4">
        <v>151</v>
      </c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</row>
    <row r="180">
      <c r="A180" s="2" t="s">
        <v>1461</v>
      </c>
      <c r="B180" s="2" t="s">
        <v>744</v>
      </c>
      <c r="C180" s="2" t="s">
        <v>1375</v>
      </c>
      <c r="D180" s="2" t="s">
        <v>1462</v>
      </c>
      <c r="E180" s="2" t="s">
        <v>1463</v>
      </c>
      <c r="F180" s="2" t="s">
        <v>1415</v>
      </c>
      <c r="G180" s="2" t="s">
        <v>1415</v>
      </c>
      <c r="H180" s="2" t="s">
        <v>1415</v>
      </c>
      <c r="I180" s="2" t="s">
        <v>1464</v>
      </c>
      <c r="J180" s="2" t="s">
        <v>711</v>
      </c>
      <c r="K180" s="2" t="s">
        <v>1135</v>
      </c>
      <c r="L180" s="3">
        <v>105</v>
      </c>
      <c r="M180" s="3">
        <v>110.25</v>
      </c>
      <c r="N180" s="3">
        <v>219</v>
      </c>
      <c r="O180" s="2" t="s">
        <v>212</v>
      </c>
      <c r="P180" s="2" t="s">
        <v>205</v>
      </c>
      <c r="Q180" s="2" t="s">
        <v>206</v>
      </c>
      <c r="R180" s="2" t="s">
        <v>200</v>
      </c>
      <c r="S180" s="2" t="s">
        <v>200</v>
      </c>
      <c r="T180" s="2" t="s">
        <v>200</v>
      </c>
      <c r="U180" s="2" t="s">
        <v>677</v>
      </c>
      <c r="V180" s="2" t="s">
        <v>616</v>
      </c>
      <c r="W180" s="2" t="s">
        <v>419</v>
      </c>
      <c r="X180" s="2" t="s">
        <v>736</v>
      </c>
      <c r="Y180" s="2" t="s">
        <v>1417</v>
      </c>
      <c r="Z180" s="4">
        <v>157</v>
      </c>
      <c r="AA180" s="4">
        <f>=ROUNDDOWN({0},0)</f>
      </c>
      <c r="AB180" s="5"/>
      <c r="AC180" s="2" t="s">
        <v>200</v>
      </c>
      <c r="AD180" s="4"/>
      <c r="AE180" s="4"/>
      <c r="AF180" s="6">
        <v>76</v>
      </c>
      <c r="AG180" s="6"/>
      <c r="AH180" s="7">
        <v>1</v>
      </c>
      <c r="AI180" s="4"/>
      <c r="AJ180" s="4">
        <f>=ROUNDDOWN({0},0)</f>
      </c>
      <c r="AK180" s="5"/>
      <c r="AL180" s="2" t="s">
        <v>200</v>
      </c>
      <c r="AM180" s="4"/>
      <c r="AN180" s="4"/>
      <c r="AO180" s="7"/>
      <c r="AP180" s="4"/>
      <c r="AQ180" s="8"/>
      <c r="AR180" s="4"/>
      <c r="AS180" s="8"/>
      <c r="AT180" s="7"/>
      <c r="AU180" s="7"/>
      <c r="AV180" s="4" t="s">
        <v>200</v>
      </c>
      <c r="AW180" s="8" t="s">
        <v>200</v>
      </c>
      <c r="AX180" s="4" t="s">
        <v>200</v>
      </c>
      <c r="AY180" s="8" t="s">
        <v>200</v>
      </c>
      <c r="AZ180" s="7" t="s">
        <v>200</v>
      </c>
      <c r="BA180" s="7" t="s">
        <v>200</v>
      </c>
      <c r="BB180" s="7" t="s">
        <v>200</v>
      </c>
      <c r="BC180" s="4" t="s">
        <v>200</v>
      </c>
      <c r="BD180" s="8" t="s">
        <v>200</v>
      </c>
      <c r="BE180" s="4" t="s">
        <v>200</v>
      </c>
      <c r="BF180" s="8" t="s">
        <v>200</v>
      </c>
      <c r="BG180" s="7" t="s">
        <v>200</v>
      </c>
      <c r="BH180" s="7" t="s">
        <v>200</v>
      </c>
      <c r="BI180" s="7"/>
      <c r="BJ180" s="4"/>
      <c r="BK180" s="8"/>
      <c r="BL180" s="2" t="s">
        <v>200</v>
      </c>
      <c r="BM180" s="7"/>
      <c r="BN180" s="7"/>
      <c r="BO180" s="4"/>
      <c r="BP180" s="8"/>
      <c r="BQ180" s="4"/>
      <c r="BR180" s="8"/>
      <c r="BS180" s="7"/>
      <c r="BT180" s="7"/>
      <c r="BU180" s="2" t="s">
        <v>1465</v>
      </c>
      <c r="BV180" s="2" t="s">
        <v>200</v>
      </c>
      <c r="BW180" s="2" t="s">
        <v>200</v>
      </c>
      <c r="BX180" s="2" t="s">
        <v>264</v>
      </c>
      <c r="BY180" s="2" t="s">
        <v>247</v>
      </c>
      <c r="BZ180" s="2" t="s">
        <v>212</v>
      </c>
      <c r="CA180" s="2" t="s">
        <v>1427</v>
      </c>
      <c r="CB180" s="2" t="s">
        <v>200</v>
      </c>
      <c r="CC180" s="2" t="s">
        <v>213</v>
      </c>
      <c r="CD180" s="2" t="s">
        <v>200</v>
      </c>
      <c r="CE180" s="4"/>
      <c r="CF180" s="4">
        <v>157</v>
      </c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</row>
    <row r="181">
      <c r="A181" s="2" t="s">
        <v>1466</v>
      </c>
      <c r="B181" s="2" t="s">
        <v>827</v>
      </c>
      <c r="C181" s="2" t="s">
        <v>231</v>
      </c>
      <c r="D181" s="2" t="s">
        <v>828</v>
      </c>
      <c r="E181" s="2" t="s">
        <v>878</v>
      </c>
      <c r="F181" s="2" t="s">
        <v>1415</v>
      </c>
      <c r="G181" s="2" t="s">
        <v>1429</v>
      </c>
      <c r="H181" s="2" t="s">
        <v>1430</v>
      </c>
      <c r="I181" s="2" t="s">
        <v>1441</v>
      </c>
      <c r="J181" s="2" t="s">
        <v>1057</v>
      </c>
      <c r="K181" s="2" t="s">
        <v>223</v>
      </c>
      <c r="L181" s="3">
        <v>31.5</v>
      </c>
      <c r="M181" s="3">
        <v>33.08</v>
      </c>
      <c r="N181" s="3">
        <v>69.99</v>
      </c>
      <c r="O181" s="2" t="s">
        <v>212</v>
      </c>
      <c r="P181" s="2" t="s">
        <v>258</v>
      </c>
      <c r="Q181" s="2" t="s">
        <v>206</v>
      </c>
      <c r="R181" s="2" t="s">
        <v>200</v>
      </c>
      <c r="S181" s="2" t="s">
        <v>1467</v>
      </c>
      <c r="T181" s="2" t="s">
        <v>200</v>
      </c>
      <c r="U181" s="2" t="s">
        <v>200</v>
      </c>
      <c r="V181" s="2" t="s">
        <v>1433</v>
      </c>
      <c r="W181" s="2" t="s">
        <v>736</v>
      </c>
      <c r="X181" s="2" t="s">
        <v>1078</v>
      </c>
      <c r="Y181" s="2" t="s">
        <v>1468</v>
      </c>
      <c r="Z181" s="4">
        <v>196</v>
      </c>
      <c r="AA181" s="4">
        <f>=ROUNDDOWN(39.2,0)</f>
      </c>
      <c r="AB181" s="5">
        <v>5</v>
      </c>
      <c r="AC181" s="2" t="s">
        <v>118</v>
      </c>
      <c r="AD181" s="4">
        <v>52</v>
      </c>
      <c r="AE181" s="4">
        <v>52</v>
      </c>
      <c r="AF181" s="6">
        <v>66</v>
      </c>
      <c r="AG181" s="6"/>
      <c r="AH181" s="7">
        <v>1</v>
      </c>
      <c r="AI181" s="4"/>
      <c r="AJ181" s="4">
        <f>=ROUNDDOWN({0},0)</f>
      </c>
      <c r="AK181" s="5"/>
      <c r="AL181" s="2" t="s">
        <v>200</v>
      </c>
      <c r="AM181" s="4"/>
      <c r="AN181" s="4"/>
      <c r="AO181" s="7"/>
      <c r="AP181" s="4"/>
      <c r="AQ181" s="8"/>
      <c r="AR181" s="4"/>
      <c r="AS181" s="8"/>
      <c r="AT181" s="7"/>
      <c r="AU181" s="7"/>
      <c r="AV181" s="4"/>
      <c r="AW181" s="8"/>
      <c r="AX181" s="4"/>
      <c r="AY181" s="8"/>
      <c r="AZ181" s="7"/>
      <c r="BA181" s="7"/>
      <c r="BB181" s="7"/>
      <c r="BC181" s="4" t="s">
        <v>200</v>
      </c>
      <c r="BD181" s="8" t="s">
        <v>200</v>
      </c>
      <c r="BE181" s="4" t="s">
        <v>200</v>
      </c>
      <c r="BF181" s="8" t="s">
        <v>200</v>
      </c>
      <c r="BG181" s="7" t="s">
        <v>200</v>
      </c>
      <c r="BH181" s="7" t="s">
        <v>200</v>
      </c>
      <c r="BI181" s="7"/>
      <c r="BJ181" s="4">
        <v>16</v>
      </c>
      <c r="BK181" s="8">
        <v>542.85</v>
      </c>
      <c r="BL181" s="2" t="s">
        <v>1469</v>
      </c>
      <c r="BM181" s="7"/>
      <c r="BN181" s="7"/>
      <c r="BO181" s="4"/>
      <c r="BP181" s="8"/>
      <c r="BQ181" s="4"/>
      <c r="BR181" s="8"/>
      <c r="BS181" s="7"/>
      <c r="BT181" s="7"/>
      <c r="BU181" s="2" t="s">
        <v>1470</v>
      </c>
      <c r="BV181" s="2" t="s">
        <v>200</v>
      </c>
      <c r="BW181" s="2" t="s">
        <v>200</v>
      </c>
      <c r="BX181" s="2" t="s">
        <v>629</v>
      </c>
      <c r="BY181" s="2" t="s">
        <v>247</v>
      </c>
      <c r="BZ181" s="2" t="s">
        <v>212</v>
      </c>
      <c r="CA181" s="2" t="s">
        <v>1471</v>
      </c>
      <c r="CB181" s="2" t="s">
        <v>1472</v>
      </c>
      <c r="CC181" s="2" t="s">
        <v>213</v>
      </c>
      <c r="CD181" s="2" t="s">
        <v>200</v>
      </c>
      <c r="CE181" s="4">
        <v>196</v>
      </c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>
        <v>52</v>
      </c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</row>
    <row r="182">
      <c r="A182" s="2" t="s">
        <v>1473</v>
      </c>
      <c r="B182" s="2" t="s">
        <v>1099</v>
      </c>
      <c r="C182" s="2" t="s">
        <v>231</v>
      </c>
      <c r="D182" s="2" t="s">
        <v>1159</v>
      </c>
      <c r="E182" s="2" t="s">
        <v>1160</v>
      </c>
      <c r="F182" s="2" t="s">
        <v>1415</v>
      </c>
      <c r="G182" s="2" t="s">
        <v>1429</v>
      </c>
      <c r="H182" s="2" t="s">
        <v>1430</v>
      </c>
      <c r="I182" s="2" t="s">
        <v>1474</v>
      </c>
      <c r="J182" s="2" t="s">
        <v>1162</v>
      </c>
      <c r="K182" s="2" t="s">
        <v>565</v>
      </c>
      <c r="L182" s="3">
        <v>13.2</v>
      </c>
      <c r="M182" s="3">
        <v>13.86</v>
      </c>
      <c r="N182" s="3">
        <v>29.99</v>
      </c>
      <c r="O182" s="2" t="s">
        <v>212</v>
      </c>
      <c r="P182" s="2" t="s">
        <v>205</v>
      </c>
      <c r="Q182" s="2" t="s">
        <v>206</v>
      </c>
      <c r="R182" s="2" t="s">
        <v>200</v>
      </c>
      <c r="S182" s="2" t="s">
        <v>1475</v>
      </c>
      <c r="T182" s="2" t="s">
        <v>200</v>
      </c>
      <c r="U182" s="2" t="s">
        <v>270</v>
      </c>
      <c r="V182" s="2" t="s">
        <v>1433</v>
      </c>
      <c r="W182" s="2" t="s">
        <v>736</v>
      </c>
      <c r="X182" s="2" t="s">
        <v>200</v>
      </c>
      <c r="Y182" s="2" t="s">
        <v>1476</v>
      </c>
      <c r="Z182" s="4"/>
      <c r="AA182" s="4">
        <f>=ROUNDDOWN({0},0)</f>
      </c>
      <c r="AB182" s="5">
        <v>15</v>
      </c>
      <c r="AC182" s="2" t="s">
        <v>112</v>
      </c>
      <c r="AD182" s="4">
        <v>260</v>
      </c>
      <c r="AE182" s="4">
        <v>440</v>
      </c>
      <c r="AF182" s="6">
        <v>65</v>
      </c>
      <c r="AG182" s="6"/>
      <c r="AH182" s="7">
        <v>0.9667</v>
      </c>
      <c r="AI182" s="4"/>
      <c r="AJ182" s="4">
        <f>=ROUNDDOWN({0},0)</f>
      </c>
      <c r="AK182" s="5"/>
      <c r="AL182" s="2" t="s">
        <v>200</v>
      </c>
      <c r="AM182" s="4"/>
      <c r="AN182" s="4"/>
      <c r="AO182" s="7"/>
      <c r="AP182" s="4"/>
      <c r="AQ182" s="8"/>
      <c r="AR182" s="4"/>
      <c r="AS182" s="8"/>
      <c r="AT182" s="7"/>
      <c r="AU182" s="7"/>
      <c r="AV182" s="4"/>
      <c r="AW182" s="8"/>
      <c r="AX182" s="4"/>
      <c r="AY182" s="8"/>
      <c r="AZ182" s="7"/>
      <c r="BA182" s="7"/>
      <c r="BB182" s="7"/>
      <c r="BC182" s="4" t="s">
        <v>200</v>
      </c>
      <c r="BD182" s="8" t="s">
        <v>200</v>
      </c>
      <c r="BE182" s="4" t="s">
        <v>200</v>
      </c>
      <c r="BF182" s="8" t="s">
        <v>200</v>
      </c>
      <c r="BG182" s="7" t="s">
        <v>200</v>
      </c>
      <c r="BH182" s="7" t="s">
        <v>200</v>
      </c>
      <c r="BI182" s="7"/>
      <c r="BJ182" s="4">
        <v>76</v>
      </c>
      <c r="BK182" s="8">
        <v>1153.68</v>
      </c>
      <c r="BL182" s="2" t="s">
        <v>961</v>
      </c>
      <c r="BM182" s="7"/>
      <c r="BN182" s="7"/>
      <c r="BO182" s="4"/>
      <c r="BP182" s="8"/>
      <c r="BQ182" s="4"/>
      <c r="BR182" s="8"/>
      <c r="BS182" s="7"/>
      <c r="BT182" s="7"/>
      <c r="BU182" s="2" t="s">
        <v>1477</v>
      </c>
      <c r="BV182" s="2" t="s">
        <v>200</v>
      </c>
      <c r="BW182" s="2" t="s">
        <v>200</v>
      </c>
      <c r="BX182" s="2" t="s">
        <v>264</v>
      </c>
      <c r="BY182" s="2" t="s">
        <v>247</v>
      </c>
      <c r="BZ182" s="2" t="s">
        <v>212</v>
      </c>
      <c r="CA182" s="2" t="s">
        <v>1478</v>
      </c>
      <c r="CB182" s="2" t="s">
        <v>1479</v>
      </c>
      <c r="CC182" s="2" t="s">
        <v>213</v>
      </c>
      <c r="CD182" s="2" t="s">
        <v>200</v>
      </c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>
        <v>260</v>
      </c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>
        <v>180</v>
      </c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</row>
    <row r="183">
      <c r="A183" s="2" t="s">
        <v>1480</v>
      </c>
      <c r="B183" s="2" t="s">
        <v>705</v>
      </c>
      <c r="C183" s="2" t="s">
        <v>706</v>
      </c>
      <c r="D183" s="2" t="s">
        <v>817</v>
      </c>
      <c r="E183" s="2" t="s">
        <v>818</v>
      </c>
      <c r="F183" s="2" t="s">
        <v>1481</v>
      </c>
      <c r="G183" s="2" t="s">
        <v>1481</v>
      </c>
      <c r="H183" s="2" t="s">
        <v>1481</v>
      </c>
      <c r="I183" s="2" t="s">
        <v>1482</v>
      </c>
      <c r="J183" s="2" t="s">
        <v>711</v>
      </c>
      <c r="K183" s="2" t="s">
        <v>637</v>
      </c>
      <c r="L183" s="3">
        <v>26.22</v>
      </c>
      <c r="M183" s="3">
        <v>27.53</v>
      </c>
      <c r="N183" s="3">
        <v>59.99</v>
      </c>
      <c r="O183" s="2" t="s">
        <v>460</v>
      </c>
      <c r="P183" s="2" t="s">
        <v>285</v>
      </c>
      <c r="Q183" s="2" t="s">
        <v>206</v>
      </c>
      <c r="R183" s="2" t="s">
        <v>200</v>
      </c>
      <c r="S183" s="2" t="s">
        <v>200</v>
      </c>
      <c r="T183" s="2" t="s">
        <v>200</v>
      </c>
      <c r="U183" s="2" t="s">
        <v>270</v>
      </c>
      <c r="V183" s="2" t="s">
        <v>616</v>
      </c>
      <c r="W183" s="2" t="s">
        <v>379</v>
      </c>
      <c r="X183" s="2" t="s">
        <v>419</v>
      </c>
      <c r="Y183" s="2" t="s">
        <v>717</v>
      </c>
      <c r="Z183" s="4">
        <v>11</v>
      </c>
      <c r="AA183" s="4">
        <f>=ROUNDDOWN(13.75,0)</f>
      </c>
      <c r="AB183" s="5">
        <v>0.8</v>
      </c>
      <c r="AC183" s="2" t="s">
        <v>200</v>
      </c>
      <c r="AD183" s="4"/>
      <c r="AE183" s="4"/>
      <c r="AF183" s="6">
        <v>63</v>
      </c>
      <c r="AG183" s="6"/>
      <c r="AH183" s="7">
        <v>1</v>
      </c>
      <c r="AI183" s="4"/>
      <c r="AJ183" s="4">
        <f>=ROUNDDOWN({0},0)</f>
      </c>
      <c r="AK183" s="5"/>
      <c r="AL183" s="2" t="s">
        <v>200</v>
      </c>
      <c r="AM183" s="4"/>
      <c r="AN183" s="4"/>
      <c r="AO183" s="7"/>
      <c r="AP183" s="4"/>
      <c r="AQ183" s="8"/>
      <c r="AR183" s="4"/>
      <c r="AS183" s="8"/>
      <c r="AT183" s="7"/>
      <c r="AU183" s="7"/>
      <c r="AV183" s="4"/>
      <c r="AW183" s="8"/>
      <c r="AX183" s="4"/>
      <c r="AY183" s="8"/>
      <c r="AZ183" s="7"/>
      <c r="BA183" s="7"/>
      <c r="BB183" s="7"/>
      <c r="BC183" s="4" t="s">
        <v>200</v>
      </c>
      <c r="BD183" s="8" t="s">
        <v>200</v>
      </c>
      <c r="BE183" s="4" t="s">
        <v>200</v>
      </c>
      <c r="BF183" s="8" t="s">
        <v>200</v>
      </c>
      <c r="BG183" s="7" t="s">
        <v>200</v>
      </c>
      <c r="BH183" s="7" t="s">
        <v>200</v>
      </c>
      <c r="BI183" s="7"/>
      <c r="BJ183" s="4">
        <v>7</v>
      </c>
      <c r="BK183" s="8">
        <v>393.7</v>
      </c>
      <c r="BL183" s="2" t="s">
        <v>1483</v>
      </c>
      <c r="BM183" s="7"/>
      <c r="BN183" s="7"/>
      <c r="BO183" s="4"/>
      <c r="BP183" s="8"/>
      <c r="BQ183" s="4"/>
      <c r="BR183" s="8"/>
      <c r="BS183" s="7"/>
      <c r="BT183" s="7"/>
      <c r="BU183" s="2" t="s">
        <v>1484</v>
      </c>
      <c r="BV183" s="2" t="s">
        <v>200</v>
      </c>
      <c r="BW183" s="2" t="s">
        <v>200</v>
      </c>
      <c r="BX183" s="2" t="s">
        <v>289</v>
      </c>
      <c r="BY183" s="2" t="s">
        <v>247</v>
      </c>
      <c r="BZ183" s="2" t="s">
        <v>212</v>
      </c>
      <c r="CA183" s="2" t="s">
        <v>1485</v>
      </c>
      <c r="CB183" s="2" t="s">
        <v>1486</v>
      </c>
      <c r="CC183" s="2" t="s">
        <v>213</v>
      </c>
      <c r="CD183" s="2" t="s">
        <v>200</v>
      </c>
      <c r="CE183" s="4"/>
      <c r="CF183" s="4">
        <v>11</v>
      </c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</row>
    <row r="184">
      <c r="A184" s="2" t="s">
        <v>1487</v>
      </c>
      <c r="B184" s="2" t="s">
        <v>705</v>
      </c>
      <c r="C184" s="2" t="s">
        <v>745</v>
      </c>
      <c r="D184" s="2" t="s">
        <v>808</v>
      </c>
      <c r="E184" s="2" t="s">
        <v>809</v>
      </c>
      <c r="F184" s="2" t="s">
        <v>1481</v>
      </c>
      <c r="G184" s="2" t="s">
        <v>1481</v>
      </c>
      <c r="H184" s="2" t="s">
        <v>1481</v>
      </c>
      <c r="I184" s="2" t="s">
        <v>1488</v>
      </c>
      <c r="J184" s="2" t="s">
        <v>1489</v>
      </c>
      <c r="K184" s="2" t="s">
        <v>1490</v>
      </c>
      <c r="L184" s="3">
        <v>47.52</v>
      </c>
      <c r="M184" s="3">
        <v>49.9</v>
      </c>
      <c r="N184" s="3">
        <v>109.99</v>
      </c>
      <c r="O184" s="2" t="s">
        <v>212</v>
      </c>
      <c r="P184" s="2" t="s">
        <v>258</v>
      </c>
      <c r="Q184" s="2" t="s">
        <v>206</v>
      </c>
      <c r="R184" s="2" t="s">
        <v>200</v>
      </c>
      <c r="S184" s="2" t="s">
        <v>200</v>
      </c>
      <c r="T184" s="2" t="s">
        <v>200</v>
      </c>
      <c r="U184" s="2" t="s">
        <v>270</v>
      </c>
      <c r="V184" s="2" t="s">
        <v>616</v>
      </c>
      <c r="W184" s="2" t="s">
        <v>419</v>
      </c>
      <c r="X184" s="2" t="s">
        <v>1399</v>
      </c>
      <c r="Y184" s="2" t="s">
        <v>473</v>
      </c>
      <c r="Z184" s="4">
        <v>62</v>
      </c>
      <c r="AA184" s="4">
        <f>=ROUNDDOWN(38.75,0)</f>
      </c>
      <c r="AB184" s="5">
        <v>1.6</v>
      </c>
      <c r="AC184" s="2" t="s">
        <v>200</v>
      </c>
      <c r="AD184" s="4"/>
      <c r="AE184" s="4"/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200</v>
      </c>
      <c r="AM184" s="4"/>
      <c r="AN184" s="4"/>
      <c r="AO184" s="7"/>
      <c r="AP184" s="4"/>
      <c r="AQ184" s="8"/>
      <c r="AR184" s="4"/>
      <c r="AS184" s="8"/>
      <c r="AT184" s="7"/>
      <c r="AU184" s="7"/>
      <c r="AV184" s="4"/>
      <c r="AW184" s="8"/>
      <c r="AX184" s="4"/>
      <c r="AY184" s="8"/>
      <c r="AZ184" s="7"/>
      <c r="BA184" s="7"/>
      <c r="BB184" s="7"/>
      <c r="BC184" s="4" t="s">
        <v>200</v>
      </c>
      <c r="BD184" s="8" t="s">
        <v>200</v>
      </c>
      <c r="BE184" s="4" t="s">
        <v>200</v>
      </c>
      <c r="BF184" s="8" t="s">
        <v>200</v>
      </c>
      <c r="BG184" s="7" t="s">
        <v>200</v>
      </c>
      <c r="BH184" s="7" t="s">
        <v>200</v>
      </c>
      <c r="BI184" s="7"/>
      <c r="BJ184" s="4">
        <v>11</v>
      </c>
      <c r="BK184" s="8">
        <v>525.74</v>
      </c>
      <c r="BL184" s="2" t="s">
        <v>1491</v>
      </c>
      <c r="BM184" s="7"/>
      <c r="BN184" s="7"/>
      <c r="BO184" s="4"/>
      <c r="BP184" s="8"/>
      <c r="BQ184" s="4"/>
      <c r="BR184" s="8"/>
      <c r="BS184" s="7"/>
      <c r="BT184" s="7"/>
      <c r="BU184" s="2" t="s">
        <v>1492</v>
      </c>
      <c r="BV184" s="2" t="s">
        <v>200</v>
      </c>
      <c r="BW184" s="2" t="s">
        <v>200</v>
      </c>
      <c r="BX184" s="2" t="s">
        <v>629</v>
      </c>
      <c r="BY184" s="2" t="s">
        <v>247</v>
      </c>
      <c r="BZ184" s="2" t="s">
        <v>212</v>
      </c>
      <c r="CA184" s="2" t="s">
        <v>1493</v>
      </c>
      <c r="CB184" s="2" t="s">
        <v>1494</v>
      </c>
      <c r="CC184" s="2" t="s">
        <v>213</v>
      </c>
      <c r="CD184" s="2" t="s">
        <v>200</v>
      </c>
      <c r="CE184" s="4"/>
      <c r="CF184" s="4">
        <v>62</v>
      </c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</row>
    <row r="185">
      <c r="A185" s="2" t="s">
        <v>1495</v>
      </c>
      <c r="B185" s="2" t="s">
        <v>705</v>
      </c>
      <c r="C185" s="2" t="s">
        <v>745</v>
      </c>
      <c r="D185" s="2" t="s">
        <v>808</v>
      </c>
      <c r="E185" s="2" t="s">
        <v>809</v>
      </c>
      <c r="F185" s="2" t="s">
        <v>1481</v>
      </c>
      <c r="G185" s="2" t="s">
        <v>1481</v>
      </c>
      <c r="H185" s="2" t="s">
        <v>1481</v>
      </c>
      <c r="I185" s="2" t="s">
        <v>1496</v>
      </c>
      <c r="J185" s="2" t="s">
        <v>1497</v>
      </c>
      <c r="K185" s="2" t="s">
        <v>1498</v>
      </c>
      <c r="L185" s="3">
        <v>72</v>
      </c>
      <c r="M185" s="3">
        <v>75.6</v>
      </c>
      <c r="N185" s="3">
        <v>149.99</v>
      </c>
      <c r="O185" s="2" t="s">
        <v>212</v>
      </c>
      <c r="P185" s="2" t="s">
        <v>1075</v>
      </c>
      <c r="Q185" s="2" t="s">
        <v>206</v>
      </c>
      <c r="R185" s="2" t="s">
        <v>200</v>
      </c>
      <c r="S185" s="2" t="s">
        <v>200</v>
      </c>
      <c r="T185" s="2" t="s">
        <v>200</v>
      </c>
      <c r="U185" s="2" t="s">
        <v>270</v>
      </c>
      <c r="V185" s="2" t="s">
        <v>616</v>
      </c>
      <c r="W185" s="2" t="s">
        <v>419</v>
      </c>
      <c r="X185" s="2" t="s">
        <v>1399</v>
      </c>
      <c r="Y185" s="2" t="s">
        <v>1499</v>
      </c>
      <c r="Z185" s="4"/>
      <c r="AA185" s="4">
        <f>=ROUNDDOWN({0},0)</f>
      </c>
      <c r="AB185" s="5">
        <v>11</v>
      </c>
      <c r="AC185" s="2" t="s">
        <v>128</v>
      </c>
      <c r="AD185" s="4">
        <v>120</v>
      </c>
      <c r="AE185" s="4">
        <v>320</v>
      </c>
      <c r="AF185" s="6">
        <v>63</v>
      </c>
      <c r="AG185" s="6"/>
      <c r="AH185" s="7">
        <v>0</v>
      </c>
      <c r="AI185" s="4"/>
      <c r="AJ185" s="4">
        <f>=ROUNDDOWN({0},0)</f>
      </c>
      <c r="AK185" s="5"/>
      <c r="AL185" s="2" t="s">
        <v>200</v>
      </c>
      <c r="AM185" s="4"/>
      <c r="AN185" s="4"/>
      <c r="AO185" s="7"/>
      <c r="AP185" s="4"/>
      <c r="AQ185" s="8"/>
      <c r="AR185" s="4"/>
      <c r="AS185" s="8"/>
      <c r="AT185" s="7"/>
      <c r="AU185" s="7"/>
      <c r="AV185" s="4"/>
      <c r="AW185" s="8"/>
      <c r="AX185" s="4"/>
      <c r="AY185" s="8"/>
      <c r="AZ185" s="7"/>
      <c r="BA185" s="7"/>
      <c r="BB185" s="7"/>
      <c r="BC185" s="4" t="s">
        <v>200</v>
      </c>
      <c r="BD185" s="8" t="s">
        <v>200</v>
      </c>
      <c r="BE185" s="4" t="s">
        <v>200</v>
      </c>
      <c r="BF185" s="8" t="s">
        <v>200</v>
      </c>
      <c r="BG185" s="7" t="s">
        <v>200</v>
      </c>
      <c r="BH185" s="7" t="s">
        <v>200</v>
      </c>
      <c r="BI185" s="7"/>
      <c r="BJ185" s="4"/>
      <c r="BK185" s="8"/>
      <c r="BL185" s="2" t="s">
        <v>200</v>
      </c>
      <c r="BM185" s="7"/>
      <c r="BN185" s="7"/>
      <c r="BO185" s="4"/>
      <c r="BP185" s="8"/>
      <c r="BQ185" s="4"/>
      <c r="BR185" s="8"/>
      <c r="BS185" s="7"/>
      <c r="BT185" s="7"/>
      <c r="BU185" s="2" t="s">
        <v>1500</v>
      </c>
      <c r="BV185" s="2" t="s">
        <v>200</v>
      </c>
      <c r="BW185" s="2" t="s">
        <v>200</v>
      </c>
      <c r="BX185" s="2" t="s">
        <v>629</v>
      </c>
      <c r="BY185" s="2" t="s">
        <v>247</v>
      </c>
      <c r="BZ185" s="2" t="s">
        <v>212</v>
      </c>
      <c r="CA185" s="2" t="s">
        <v>1501</v>
      </c>
      <c r="CB185" s="2" t="s">
        <v>1502</v>
      </c>
      <c r="CC185" s="2" t="s">
        <v>213</v>
      </c>
      <c r="CD185" s="2" t="s">
        <v>200</v>
      </c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>
        <v>120</v>
      </c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>
        <v>200</v>
      </c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</row>
    <row r="186">
      <c r="A186" s="2" t="s">
        <v>1503</v>
      </c>
      <c r="B186" s="2" t="s">
        <v>744</v>
      </c>
      <c r="C186" s="2" t="s">
        <v>231</v>
      </c>
      <c r="D186" s="2" t="s">
        <v>1462</v>
      </c>
      <c r="E186" s="2" t="s">
        <v>1463</v>
      </c>
      <c r="F186" s="2" t="s">
        <v>1504</v>
      </c>
      <c r="G186" s="2" t="s">
        <v>1505</v>
      </c>
      <c r="H186" s="2" t="s">
        <v>1506</v>
      </c>
      <c r="I186" s="2" t="s">
        <v>1507</v>
      </c>
      <c r="J186" s="2" t="s">
        <v>711</v>
      </c>
      <c r="K186" s="2" t="s">
        <v>857</v>
      </c>
      <c r="L186" s="3">
        <v>220</v>
      </c>
      <c r="M186" s="3">
        <v>231</v>
      </c>
      <c r="N186" s="3">
        <v>459</v>
      </c>
      <c r="O186" s="2" t="s">
        <v>460</v>
      </c>
      <c r="P186" s="2" t="s">
        <v>285</v>
      </c>
      <c r="Q186" s="2" t="s">
        <v>206</v>
      </c>
      <c r="R186" s="2" t="s">
        <v>200</v>
      </c>
      <c r="S186" s="2" t="s">
        <v>200</v>
      </c>
      <c r="T186" s="2" t="s">
        <v>200</v>
      </c>
      <c r="U186" s="2" t="s">
        <v>677</v>
      </c>
      <c r="V186" s="2" t="s">
        <v>616</v>
      </c>
      <c r="W186" s="2" t="s">
        <v>419</v>
      </c>
      <c r="X186" s="2" t="s">
        <v>379</v>
      </c>
      <c r="Y186" s="2" t="s">
        <v>812</v>
      </c>
      <c r="Z186" s="4">
        <v>47</v>
      </c>
      <c r="AA186" s="4">
        <f>=ROUNDDOWN(94,0)</f>
      </c>
      <c r="AB186" s="5">
        <v>0.5</v>
      </c>
      <c r="AC186" s="2" t="s">
        <v>200</v>
      </c>
      <c r="AD186" s="4"/>
      <c r="AE186" s="4"/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200</v>
      </c>
      <c r="AM186" s="4"/>
      <c r="AN186" s="4"/>
      <c r="AO186" s="7"/>
      <c r="AP186" s="4"/>
      <c r="AQ186" s="8"/>
      <c r="AR186" s="4"/>
      <c r="AS186" s="8"/>
      <c r="AT186" s="7"/>
      <c r="AU186" s="7"/>
      <c r="AV186" s="4"/>
      <c r="AW186" s="8"/>
      <c r="AX186" s="4"/>
      <c r="AY186" s="8"/>
      <c r="AZ186" s="7"/>
      <c r="BA186" s="7"/>
      <c r="BB186" s="7"/>
      <c r="BC186" s="4"/>
      <c r="BD186" s="8"/>
      <c r="BE186" s="4"/>
      <c r="BF186" s="8"/>
      <c r="BG186" s="7"/>
      <c r="BH186" s="7"/>
      <c r="BI186" s="7"/>
      <c r="BJ186" s="4"/>
      <c r="BK186" s="8"/>
      <c r="BL186" s="2" t="s">
        <v>200</v>
      </c>
      <c r="BM186" s="7"/>
      <c r="BN186" s="7"/>
      <c r="BO186" s="4"/>
      <c r="BP186" s="8"/>
      <c r="BQ186" s="4"/>
      <c r="BR186" s="8"/>
      <c r="BS186" s="7"/>
      <c r="BT186" s="7"/>
      <c r="BU186" s="2" t="s">
        <v>1508</v>
      </c>
      <c r="BV186" s="2" t="s">
        <v>200</v>
      </c>
      <c r="BW186" s="2" t="s">
        <v>200</v>
      </c>
      <c r="BX186" s="2" t="s">
        <v>289</v>
      </c>
      <c r="BY186" s="2" t="s">
        <v>247</v>
      </c>
      <c r="BZ186" s="2" t="s">
        <v>212</v>
      </c>
      <c r="CA186" s="2" t="s">
        <v>1043</v>
      </c>
      <c r="CB186" s="2" t="s">
        <v>1509</v>
      </c>
      <c r="CC186" s="2" t="s">
        <v>213</v>
      </c>
      <c r="CD186" s="2" t="s">
        <v>200</v>
      </c>
      <c r="CE186" s="4"/>
      <c r="CF186" s="4">
        <v>47</v>
      </c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</row>
    <row r="187">
      <c r="A187" s="2" t="s">
        <v>1510</v>
      </c>
      <c r="B187" s="2" t="s">
        <v>744</v>
      </c>
      <c r="C187" s="2" t="s">
        <v>231</v>
      </c>
      <c r="D187" s="2" t="s">
        <v>795</v>
      </c>
      <c r="E187" s="2" t="s">
        <v>1511</v>
      </c>
      <c r="F187" s="2" t="s">
        <v>1512</v>
      </c>
      <c r="G187" s="2" t="s">
        <v>1513</v>
      </c>
      <c r="H187" s="2" t="s">
        <v>1514</v>
      </c>
      <c r="I187" s="2" t="s">
        <v>1515</v>
      </c>
      <c r="J187" s="2" t="s">
        <v>711</v>
      </c>
      <c r="K187" s="2" t="s">
        <v>1516</v>
      </c>
      <c r="L187" s="3">
        <v>237.5</v>
      </c>
      <c r="M187" s="3">
        <v>249.38</v>
      </c>
      <c r="N187" s="3">
        <v>499</v>
      </c>
      <c r="O187" s="2" t="s">
        <v>212</v>
      </c>
      <c r="P187" s="2" t="s">
        <v>750</v>
      </c>
      <c r="Q187" s="2" t="s">
        <v>206</v>
      </c>
      <c r="R187" s="2" t="s">
        <v>200</v>
      </c>
      <c r="S187" s="2" t="s">
        <v>200</v>
      </c>
      <c r="T187" s="2" t="s">
        <v>200</v>
      </c>
      <c r="U187" s="2" t="s">
        <v>270</v>
      </c>
      <c r="V187" s="2" t="s">
        <v>208</v>
      </c>
      <c r="W187" s="2" t="s">
        <v>419</v>
      </c>
      <c r="X187" s="2" t="s">
        <v>200</v>
      </c>
      <c r="Y187" s="2" t="s">
        <v>1517</v>
      </c>
      <c r="Z187" s="4">
        <v>164</v>
      </c>
      <c r="AA187" s="4">
        <f>=ROUNDDOWN(54.6666666666667,0)</f>
      </c>
      <c r="AB187" s="5">
        <v>3</v>
      </c>
      <c r="AC187" s="2" t="s">
        <v>200</v>
      </c>
      <c r="AD187" s="4"/>
      <c r="AE187" s="4"/>
      <c r="AF187" s="6">
        <v>68</v>
      </c>
      <c r="AG187" s="6"/>
      <c r="AH187" s="7">
        <v>1</v>
      </c>
      <c r="AI187" s="4"/>
      <c r="AJ187" s="4">
        <f>=ROUNDDOWN({0},0)</f>
      </c>
      <c r="AK187" s="5"/>
      <c r="AL187" s="2" t="s">
        <v>200</v>
      </c>
      <c r="AM187" s="4"/>
      <c r="AN187" s="4"/>
      <c r="AO187" s="7"/>
      <c r="AP187" s="4"/>
      <c r="AQ187" s="8"/>
      <c r="AR187" s="4"/>
      <c r="AS187" s="8"/>
      <c r="AT187" s="7"/>
      <c r="AU187" s="7"/>
      <c r="AV187" s="4"/>
      <c r="AW187" s="8"/>
      <c r="AX187" s="4"/>
      <c r="AY187" s="8"/>
      <c r="AZ187" s="7"/>
      <c r="BA187" s="7"/>
      <c r="BB187" s="7"/>
      <c r="BC187" s="4"/>
      <c r="BD187" s="8"/>
      <c r="BE187" s="4"/>
      <c r="BF187" s="8"/>
      <c r="BG187" s="7"/>
      <c r="BH187" s="7"/>
      <c r="BI187" s="7"/>
      <c r="BJ187" s="4">
        <v>27</v>
      </c>
      <c r="BK187" s="8">
        <v>6378.7</v>
      </c>
      <c r="BL187" s="2" t="s">
        <v>1518</v>
      </c>
      <c r="BM187" s="7"/>
      <c r="BN187" s="7"/>
      <c r="BO187" s="4"/>
      <c r="BP187" s="8"/>
      <c r="BQ187" s="4"/>
      <c r="BR187" s="8"/>
      <c r="BS187" s="7"/>
      <c r="BT187" s="7"/>
      <c r="BU187" s="2" t="s">
        <v>1519</v>
      </c>
      <c r="BV187" s="2" t="s">
        <v>200</v>
      </c>
      <c r="BW187" s="2" t="s">
        <v>200</v>
      </c>
      <c r="BX187" s="2" t="s">
        <v>264</v>
      </c>
      <c r="BY187" s="2" t="s">
        <v>247</v>
      </c>
      <c r="BZ187" s="2" t="s">
        <v>212</v>
      </c>
      <c r="CA187" s="2" t="s">
        <v>1520</v>
      </c>
      <c r="CB187" s="2" t="s">
        <v>1521</v>
      </c>
      <c r="CC187" s="2" t="s">
        <v>213</v>
      </c>
      <c r="CD187" s="2" t="s">
        <v>200</v>
      </c>
      <c r="CE187" s="4"/>
      <c r="CF187" s="4">
        <v>164</v>
      </c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</row>
    <row r="188">
      <c r="A188" s="2" t="s">
        <v>1522</v>
      </c>
      <c r="B188" s="2" t="s">
        <v>903</v>
      </c>
      <c r="C188" s="2" t="s">
        <v>1523</v>
      </c>
      <c r="D188" s="2" t="s">
        <v>1524</v>
      </c>
      <c r="E188" s="2" t="s">
        <v>1525</v>
      </c>
      <c r="F188" s="2" t="s">
        <v>1526</v>
      </c>
      <c r="G188" s="2" t="s">
        <v>1526</v>
      </c>
      <c r="H188" s="2" t="s">
        <v>1526</v>
      </c>
      <c r="I188" s="2" t="s">
        <v>1527</v>
      </c>
      <c r="J188" s="2" t="s">
        <v>1528</v>
      </c>
      <c r="K188" s="2" t="s">
        <v>637</v>
      </c>
      <c r="L188" s="3">
        <v>30.95</v>
      </c>
      <c r="M188" s="3">
        <v>32.5</v>
      </c>
      <c r="N188" s="3">
        <v>99.99</v>
      </c>
      <c r="O188" s="2" t="s">
        <v>212</v>
      </c>
      <c r="P188" s="2" t="s">
        <v>750</v>
      </c>
      <c r="Q188" s="2" t="s">
        <v>206</v>
      </c>
      <c r="R188" s="2" t="s">
        <v>200</v>
      </c>
      <c r="S188" s="2" t="s">
        <v>200</v>
      </c>
      <c r="T188" s="2" t="s">
        <v>200</v>
      </c>
      <c r="U188" s="2" t="s">
        <v>270</v>
      </c>
      <c r="V188" s="2" t="s">
        <v>1529</v>
      </c>
      <c r="W188" s="2" t="s">
        <v>736</v>
      </c>
      <c r="X188" s="2" t="s">
        <v>200</v>
      </c>
      <c r="Y188" s="2" t="s">
        <v>1530</v>
      </c>
      <c r="Z188" s="4">
        <v>139</v>
      </c>
      <c r="AA188" s="4">
        <f>=ROUNDDOWN(77.2222222222222,0)</f>
      </c>
      <c r="AB188" s="5">
        <v>1.8</v>
      </c>
      <c r="AC188" s="2" t="s">
        <v>200</v>
      </c>
      <c r="AD188" s="4"/>
      <c r="AE188" s="4"/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200</v>
      </c>
      <c r="AM188" s="4"/>
      <c r="AN188" s="4"/>
      <c r="AO188" s="7"/>
      <c r="AP188" s="4"/>
      <c r="AQ188" s="8"/>
      <c r="AR188" s="4"/>
      <c r="AS188" s="8"/>
      <c r="AT188" s="7"/>
      <c r="AU188" s="7"/>
      <c r="AV188" s="4"/>
      <c r="AW188" s="8"/>
      <c r="AX188" s="4"/>
      <c r="AY188" s="8"/>
      <c r="AZ188" s="7"/>
      <c r="BA188" s="7"/>
      <c r="BB188" s="7"/>
      <c r="BC188" s="4"/>
      <c r="BD188" s="8"/>
      <c r="BE188" s="4"/>
      <c r="BF188" s="8"/>
      <c r="BG188" s="7"/>
      <c r="BH188" s="7"/>
      <c r="BI188" s="7"/>
      <c r="BJ188" s="4">
        <v>7</v>
      </c>
      <c r="BK188" s="8">
        <v>279.02</v>
      </c>
      <c r="BL188" s="2" t="s">
        <v>1531</v>
      </c>
      <c r="BM188" s="7"/>
      <c r="BN188" s="7"/>
      <c r="BO188" s="4"/>
      <c r="BP188" s="8"/>
      <c r="BQ188" s="4"/>
      <c r="BR188" s="8"/>
      <c r="BS188" s="7"/>
      <c r="BT188" s="7"/>
      <c r="BU188" s="2" t="s">
        <v>1532</v>
      </c>
      <c r="BV188" s="2" t="s">
        <v>200</v>
      </c>
      <c r="BW188" s="2" t="s">
        <v>200</v>
      </c>
      <c r="BX188" s="2" t="s">
        <v>264</v>
      </c>
      <c r="BY188" s="2" t="s">
        <v>247</v>
      </c>
      <c r="BZ188" s="2" t="s">
        <v>212</v>
      </c>
      <c r="CA188" s="2" t="s">
        <v>1218</v>
      </c>
      <c r="CB188" s="2" t="s">
        <v>1533</v>
      </c>
      <c r="CC188" s="2" t="s">
        <v>213</v>
      </c>
      <c r="CD188" s="2" t="s">
        <v>200</v>
      </c>
      <c r="CE188" s="4">
        <v>139</v>
      </c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</row>
    <row r="189">
      <c r="A189" s="2" t="s">
        <v>1534</v>
      </c>
      <c r="B189" s="2" t="s">
        <v>719</v>
      </c>
      <c r="C189" s="2" t="s">
        <v>231</v>
      </c>
      <c r="D189" s="2" t="s">
        <v>1535</v>
      </c>
      <c r="E189" s="2" t="s">
        <v>1536</v>
      </c>
      <c r="F189" s="2" t="s">
        <v>1537</v>
      </c>
      <c r="G189" s="2" t="s">
        <v>1537</v>
      </c>
      <c r="H189" s="2" t="s">
        <v>1537</v>
      </c>
      <c r="I189" s="2" t="s">
        <v>1538</v>
      </c>
      <c r="J189" s="2" t="s">
        <v>711</v>
      </c>
      <c r="K189" s="2" t="s">
        <v>637</v>
      </c>
      <c r="L189" s="3">
        <v>57.14</v>
      </c>
      <c r="M189" s="3">
        <v>60</v>
      </c>
      <c r="N189" s="3">
        <v>119.99</v>
      </c>
      <c r="O189" s="2" t="s">
        <v>212</v>
      </c>
      <c r="P189" s="2" t="s">
        <v>205</v>
      </c>
      <c r="Q189" s="2" t="s">
        <v>206</v>
      </c>
      <c r="R189" s="2" t="s">
        <v>200</v>
      </c>
      <c r="S189" s="2" t="s">
        <v>200</v>
      </c>
      <c r="T189" s="2" t="s">
        <v>200</v>
      </c>
      <c r="U189" s="2" t="s">
        <v>270</v>
      </c>
      <c r="V189" s="2" t="s">
        <v>616</v>
      </c>
      <c r="W189" s="2" t="s">
        <v>242</v>
      </c>
      <c r="X189" s="2" t="s">
        <v>736</v>
      </c>
      <c r="Y189" s="2" t="s">
        <v>806</v>
      </c>
      <c r="Z189" s="4">
        <v>67</v>
      </c>
      <c r="AA189" s="4">
        <f>=ROUNDDOWN(22.3333333333333,0)</f>
      </c>
      <c r="AB189" s="5">
        <v>3</v>
      </c>
      <c r="AC189" s="2" t="s">
        <v>691</v>
      </c>
      <c r="AD189" s="4">
        <v>100</v>
      </c>
      <c r="AE189" s="4">
        <v>100</v>
      </c>
      <c r="AF189" s="6">
        <v>63</v>
      </c>
      <c r="AG189" s="6"/>
      <c r="AH189" s="7">
        <v>1</v>
      </c>
      <c r="AI189" s="4"/>
      <c r="AJ189" s="4">
        <f>=ROUNDDOWN({0},0)</f>
      </c>
      <c r="AK189" s="5"/>
      <c r="AL189" s="2" t="s">
        <v>200</v>
      </c>
      <c r="AM189" s="4"/>
      <c r="AN189" s="4"/>
      <c r="AO189" s="7"/>
      <c r="AP189" s="4"/>
      <c r="AQ189" s="8"/>
      <c r="AR189" s="4"/>
      <c r="AS189" s="8"/>
      <c r="AT189" s="7"/>
      <c r="AU189" s="7"/>
      <c r="AV189" s="4"/>
      <c r="AW189" s="8"/>
      <c r="AX189" s="4"/>
      <c r="AY189" s="8"/>
      <c r="AZ189" s="7"/>
      <c r="BA189" s="7"/>
      <c r="BB189" s="7"/>
      <c r="BC189" s="4"/>
      <c r="BD189" s="8"/>
      <c r="BE189" s="4"/>
      <c r="BF189" s="8"/>
      <c r="BG189" s="7"/>
      <c r="BH189" s="7"/>
      <c r="BI189" s="7"/>
      <c r="BJ189" s="4">
        <v>11</v>
      </c>
      <c r="BK189" s="8">
        <v>715.2</v>
      </c>
      <c r="BL189" s="2" t="s">
        <v>1539</v>
      </c>
      <c r="BM189" s="7"/>
      <c r="BN189" s="7"/>
      <c r="BO189" s="4"/>
      <c r="BP189" s="8"/>
      <c r="BQ189" s="4"/>
      <c r="BR189" s="8"/>
      <c r="BS189" s="7"/>
      <c r="BT189" s="7"/>
      <c r="BU189" s="2" t="s">
        <v>1540</v>
      </c>
      <c r="BV189" s="2" t="s">
        <v>200</v>
      </c>
      <c r="BW189" s="2" t="s">
        <v>200</v>
      </c>
      <c r="BX189" s="2" t="s">
        <v>264</v>
      </c>
      <c r="BY189" s="2" t="s">
        <v>247</v>
      </c>
      <c r="BZ189" s="2" t="s">
        <v>212</v>
      </c>
      <c r="CA189" s="2" t="s">
        <v>963</v>
      </c>
      <c r="CB189" s="2" t="s">
        <v>683</v>
      </c>
      <c r="CC189" s="2" t="s">
        <v>213</v>
      </c>
      <c r="CD189" s="2" t="s">
        <v>200</v>
      </c>
      <c r="CE189" s="4"/>
      <c r="CF189" s="4">
        <v>67</v>
      </c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>
        <v>100</v>
      </c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</row>
    <row r="190">
      <c r="A190" s="2" t="s">
        <v>1541</v>
      </c>
      <c r="B190" s="2" t="s">
        <v>719</v>
      </c>
      <c r="C190" s="2" t="s">
        <v>231</v>
      </c>
      <c r="D190" s="2" t="s">
        <v>1542</v>
      </c>
      <c r="E190" s="2" t="s">
        <v>721</v>
      </c>
      <c r="F190" s="2" t="s">
        <v>1543</v>
      </c>
      <c r="G190" s="2" t="s">
        <v>1543</v>
      </c>
      <c r="H190" s="2" t="s">
        <v>1543</v>
      </c>
      <c r="I190" s="2" t="s">
        <v>1544</v>
      </c>
      <c r="J190" s="2" t="s">
        <v>711</v>
      </c>
      <c r="K190" s="2" t="s">
        <v>1545</v>
      </c>
      <c r="L190" s="3">
        <v>54.4</v>
      </c>
      <c r="M190" s="3">
        <v>57.12</v>
      </c>
      <c r="N190" s="3">
        <v>114.74</v>
      </c>
      <c r="O190" s="2" t="s">
        <v>212</v>
      </c>
      <c r="P190" s="2" t="s">
        <v>258</v>
      </c>
      <c r="Q190" s="2" t="s">
        <v>206</v>
      </c>
      <c r="R190" s="2" t="s">
        <v>200</v>
      </c>
      <c r="S190" s="2" t="s">
        <v>1546</v>
      </c>
      <c r="T190" s="2" t="s">
        <v>200</v>
      </c>
      <c r="U190" s="2" t="s">
        <v>677</v>
      </c>
      <c r="V190" s="2" t="s">
        <v>724</v>
      </c>
      <c r="W190" s="2" t="s">
        <v>379</v>
      </c>
      <c r="X190" s="2" t="s">
        <v>313</v>
      </c>
      <c r="Y190" s="2" t="s">
        <v>1547</v>
      </c>
      <c r="Z190" s="4">
        <v>27</v>
      </c>
      <c r="AA190" s="4">
        <f>=ROUNDDOWN(9,0)</f>
      </c>
      <c r="AB190" s="5">
        <v>3</v>
      </c>
      <c r="AC190" s="2" t="s">
        <v>1548</v>
      </c>
      <c r="AD190" s="4">
        <v>70</v>
      </c>
      <c r="AE190" s="4">
        <v>70</v>
      </c>
      <c r="AF190" s="6">
        <v>63</v>
      </c>
      <c r="AG190" s="6"/>
      <c r="AH190" s="7">
        <v>1</v>
      </c>
      <c r="AI190" s="4"/>
      <c r="AJ190" s="4">
        <f>=ROUNDDOWN({0},0)</f>
      </c>
      <c r="AK190" s="5"/>
      <c r="AL190" s="2" t="s">
        <v>200</v>
      </c>
      <c r="AM190" s="4"/>
      <c r="AN190" s="4"/>
      <c r="AO190" s="7"/>
      <c r="AP190" s="4"/>
      <c r="AQ190" s="8"/>
      <c r="AR190" s="4"/>
      <c r="AS190" s="8"/>
      <c r="AT190" s="7"/>
      <c r="AU190" s="7"/>
      <c r="AV190" s="4"/>
      <c r="AW190" s="8"/>
      <c r="AX190" s="4"/>
      <c r="AY190" s="8"/>
      <c r="AZ190" s="7"/>
      <c r="BA190" s="7"/>
      <c r="BB190" s="7"/>
      <c r="BC190" s="4"/>
      <c r="BD190" s="8"/>
      <c r="BE190" s="4"/>
      <c r="BF190" s="8"/>
      <c r="BG190" s="7"/>
      <c r="BH190" s="7"/>
      <c r="BI190" s="7"/>
      <c r="BJ190" s="4">
        <v>3</v>
      </c>
      <c r="BK190" s="8">
        <v>170.21</v>
      </c>
      <c r="BL190" s="2" t="s">
        <v>1549</v>
      </c>
      <c r="BM190" s="7"/>
      <c r="BN190" s="7"/>
      <c r="BO190" s="4"/>
      <c r="BP190" s="8"/>
      <c r="BQ190" s="4"/>
      <c r="BR190" s="8"/>
      <c r="BS190" s="7"/>
      <c r="BT190" s="7"/>
      <c r="BU190" s="2" t="s">
        <v>1550</v>
      </c>
      <c r="BV190" s="2" t="s">
        <v>200</v>
      </c>
      <c r="BW190" s="2" t="s">
        <v>200</v>
      </c>
      <c r="BX190" s="2" t="s">
        <v>264</v>
      </c>
      <c r="BY190" s="2" t="s">
        <v>247</v>
      </c>
      <c r="BZ190" s="2" t="s">
        <v>212</v>
      </c>
      <c r="CA190" s="2" t="s">
        <v>1551</v>
      </c>
      <c r="CB190" s="2" t="s">
        <v>1552</v>
      </c>
      <c r="CC190" s="2" t="s">
        <v>213</v>
      </c>
      <c r="CD190" s="2" t="s">
        <v>200</v>
      </c>
      <c r="CE190" s="4"/>
      <c r="CF190" s="4">
        <v>27</v>
      </c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>
        <v>70</v>
      </c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</row>
    <row r="191">
      <c r="A191" s="2" t="s">
        <v>1553</v>
      </c>
      <c r="B191" s="2" t="s">
        <v>719</v>
      </c>
      <c r="C191" s="2" t="s">
        <v>231</v>
      </c>
      <c r="D191" s="2" t="s">
        <v>1554</v>
      </c>
      <c r="E191" s="2" t="s">
        <v>1555</v>
      </c>
      <c r="F191" s="2" t="s">
        <v>1556</v>
      </c>
      <c r="G191" s="2" t="s">
        <v>1556</v>
      </c>
      <c r="H191" s="2" t="s">
        <v>1556</v>
      </c>
      <c r="I191" s="2" t="s">
        <v>1557</v>
      </c>
      <c r="J191" s="2" t="s">
        <v>711</v>
      </c>
      <c r="K191" s="2" t="s">
        <v>237</v>
      </c>
      <c r="L191" s="3">
        <v>40.07</v>
      </c>
      <c r="M191" s="3">
        <v>42.07</v>
      </c>
      <c r="N191" s="3">
        <v>84.99</v>
      </c>
      <c r="O191" s="2" t="s">
        <v>212</v>
      </c>
      <c r="P191" s="2" t="s">
        <v>750</v>
      </c>
      <c r="Q191" s="2" t="s">
        <v>206</v>
      </c>
      <c r="R191" s="2" t="s">
        <v>200</v>
      </c>
      <c r="S191" s="2" t="s">
        <v>1558</v>
      </c>
      <c r="T191" s="2" t="s">
        <v>200</v>
      </c>
      <c r="U191" s="2" t="s">
        <v>270</v>
      </c>
      <c r="V191" s="2" t="s">
        <v>724</v>
      </c>
      <c r="W191" s="2" t="s">
        <v>379</v>
      </c>
      <c r="X191" s="2" t="s">
        <v>242</v>
      </c>
      <c r="Y191" s="2" t="s">
        <v>1559</v>
      </c>
      <c r="Z191" s="4">
        <v>84</v>
      </c>
      <c r="AA191" s="4">
        <f>=ROUNDDOWN(14,0)</f>
      </c>
      <c r="AB191" s="5">
        <v>6</v>
      </c>
      <c r="AC191" s="2" t="s">
        <v>691</v>
      </c>
      <c r="AD191" s="4">
        <v>100</v>
      </c>
      <c r="AE191" s="4">
        <v>100</v>
      </c>
      <c r="AF191" s="6">
        <v>61</v>
      </c>
      <c r="AG191" s="6"/>
      <c r="AH191" s="7">
        <v>1</v>
      </c>
      <c r="AI191" s="4"/>
      <c r="AJ191" s="4">
        <f>=ROUNDDOWN({0},0)</f>
      </c>
      <c r="AK191" s="5"/>
      <c r="AL191" s="2" t="s">
        <v>200</v>
      </c>
      <c r="AM191" s="4"/>
      <c r="AN191" s="4"/>
      <c r="AO191" s="7"/>
      <c r="AP191" s="4"/>
      <c r="AQ191" s="8"/>
      <c r="AR191" s="4"/>
      <c r="AS191" s="8"/>
      <c r="AT191" s="7"/>
      <c r="AU191" s="7"/>
      <c r="AV191" s="4"/>
      <c r="AW191" s="8"/>
      <c r="AX191" s="4"/>
      <c r="AY191" s="8"/>
      <c r="AZ191" s="7"/>
      <c r="BA191" s="7"/>
      <c r="BB191" s="7"/>
      <c r="BC191" s="4"/>
      <c r="BD191" s="8"/>
      <c r="BE191" s="4"/>
      <c r="BF191" s="8"/>
      <c r="BG191" s="7"/>
      <c r="BH191" s="7"/>
      <c r="BI191" s="7"/>
      <c r="BJ191" s="4">
        <v>28</v>
      </c>
      <c r="BK191" s="8">
        <v>1294.59</v>
      </c>
      <c r="BL191" s="2" t="s">
        <v>1560</v>
      </c>
      <c r="BM191" s="7"/>
      <c r="BN191" s="7"/>
      <c r="BO191" s="4"/>
      <c r="BP191" s="8"/>
      <c r="BQ191" s="4"/>
      <c r="BR191" s="8"/>
      <c r="BS191" s="7"/>
      <c r="BT191" s="7"/>
      <c r="BU191" s="2" t="s">
        <v>1561</v>
      </c>
      <c r="BV191" s="2" t="s">
        <v>200</v>
      </c>
      <c r="BW191" s="2" t="s">
        <v>200</v>
      </c>
      <c r="BX191" s="2" t="s">
        <v>264</v>
      </c>
      <c r="BY191" s="2" t="s">
        <v>247</v>
      </c>
      <c r="BZ191" s="2" t="s">
        <v>212</v>
      </c>
      <c r="CA191" s="2" t="s">
        <v>1562</v>
      </c>
      <c r="CB191" s="2" t="s">
        <v>1563</v>
      </c>
      <c r="CC191" s="2" t="s">
        <v>213</v>
      </c>
      <c r="CD191" s="2" t="s">
        <v>200</v>
      </c>
      <c r="CE191" s="4"/>
      <c r="CF191" s="4">
        <v>84</v>
      </c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>
        <v>100</v>
      </c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</row>
    <row r="192">
      <c r="A192" s="2" t="s">
        <v>1564</v>
      </c>
      <c r="B192" s="2" t="s">
        <v>719</v>
      </c>
      <c r="C192" s="2" t="s">
        <v>231</v>
      </c>
      <c r="D192" s="2" t="s">
        <v>1554</v>
      </c>
      <c r="E192" s="2" t="s">
        <v>1555</v>
      </c>
      <c r="F192" s="2" t="s">
        <v>1565</v>
      </c>
      <c r="G192" s="2" t="s">
        <v>1565</v>
      </c>
      <c r="H192" s="2" t="s">
        <v>1565</v>
      </c>
      <c r="I192" s="2" t="s">
        <v>1566</v>
      </c>
      <c r="J192" s="2" t="s">
        <v>711</v>
      </c>
      <c r="K192" s="2" t="s">
        <v>1153</v>
      </c>
      <c r="L192" s="3">
        <v>41.69</v>
      </c>
      <c r="M192" s="3">
        <v>43.77</v>
      </c>
      <c r="N192" s="3">
        <v>89.24</v>
      </c>
      <c r="O192" s="2" t="s">
        <v>212</v>
      </c>
      <c r="P192" s="2" t="s">
        <v>258</v>
      </c>
      <c r="Q192" s="2" t="s">
        <v>206</v>
      </c>
      <c r="R192" s="2" t="s">
        <v>200</v>
      </c>
      <c r="S192" s="2" t="s">
        <v>200</v>
      </c>
      <c r="T192" s="2" t="s">
        <v>200</v>
      </c>
      <c r="U192" s="2" t="s">
        <v>454</v>
      </c>
      <c r="V192" s="2" t="s">
        <v>735</v>
      </c>
      <c r="W192" s="2" t="s">
        <v>419</v>
      </c>
      <c r="X192" s="2" t="s">
        <v>200</v>
      </c>
      <c r="Y192" s="2" t="s">
        <v>1567</v>
      </c>
      <c r="Z192" s="4">
        <v>28</v>
      </c>
      <c r="AA192" s="4">
        <f>=ROUNDDOWN(4.74576271186441,0)</f>
      </c>
      <c r="AB192" s="5">
        <v>5.9</v>
      </c>
      <c r="AC192" s="2" t="s">
        <v>1568</v>
      </c>
      <c r="AD192" s="4">
        <v>150</v>
      </c>
      <c r="AE192" s="4">
        <v>150</v>
      </c>
      <c r="AF192" s="6">
        <v>61</v>
      </c>
      <c r="AG192" s="6"/>
      <c r="AH192" s="7">
        <v>1</v>
      </c>
      <c r="AI192" s="4"/>
      <c r="AJ192" s="4">
        <f>=ROUNDDOWN({0},0)</f>
      </c>
      <c r="AK192" s="5"/>
      <c r="AL192" s="2" t="s">
        <v>200</v>
      </c>
      <c r="AM192" s="4"/>
      <c r="AN192" s="4"/>
      <c r="AO192" s="7"/>
      <c r="AP192" s="4"/>
      <c r="AQ192" s="8"/>
      <c r="AR192" s="4"/>
      <c r="AS192" s="8"/>
      <c r="AT192" s="7"/>
      <c r="AU192" s="7"/>
      <c r="AV192" s="4"/>
      <c r="AW192" s="8"/>
      <c r="AX192" s="4"/>
      <c r="AY192" s="8"/>
      <c r="AZ192" s="7"/>
      <c r="BA192" s="7"/>
      <c r="BB192" s="7"/>
      <c r="BC192" s="4"/>
      <c r="BD192" s="8"/>
      <c r="BE192" s="4"/>
      <c r="BF192" s="8"/>
      <c r="BG192" s="7"/>
      <c r="BH192" s="7"/>
      <c r="BI192" s="7"/>
      <c r="BJ192" s="4">
        <v>17</v>
      </c>
      <c r="BK192" s="8">
        <v>830.6</v>
      </c>
      <c r="BL192" s="2" t="s">
        <v>1569</v>
      </c>
      <c r="BM192" s="7"/>
      <c r="BN192" s="7"/>
      <c r="BO192" s="4"/>
      <c r="BP192" s="8"/>
      <c r="BQ192" s="4"/>
      <c r="BR192" s="8"/>
      <c r="BS192" s="7"/>
      <c r="BT192" s="7"/>
      <c r="BU192" s="2" t="s">
        <v>1570</v>
      </c>
      <c r="BV192" s="2" t="s">
        <v>200</v>
      </c>
      <c r="BW192" s="2" t="s">
        <v>200</v>
      </c>
      <c r="BX192" s="2" t="s">
        <v>264</v>
      </c>
      <c r="BY192" s="2" t="s">
        <v>247</v>
      </c>
      <c r="BZ192" s="2" t="s">
        <v>212</v>
      </c>
      <c r="CA192" s="2" t="s">
        <v>1571</v>
      </c>
      <c r="CB192" s="2" t="s">
        <v>1572</v>
      </c>
      <c r="CC192" s="2" t="s">
        <v>213</v>
      </c>
      <c r="CD192" s="2" t="s">
        <v>200</v>
      </c>
      <c r="CE192" s="4"/>
      <c r="CF192" s="4">
        <v>28</v>
      </c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>
        <v>150</v>
      </c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</row>
    <row r="193">
      <c r="A193" s="2" t="s">
        <v>1573</v>
      </c>
      <c r="B193" s="2" t="s">
        <v>992</v>
      </c>
      <c r="C193" s="2" t="s">
        <v>231</v>
      </c>
      <c r="D193" s="2" t="s">
        <v>992</v>
      </c>
      <c r="E193" s="2" t="s">
        <v>992</v>
      </c>
      <c r="F193" s="2" t="s">
        <v>1574</v>
      </c>
      <c r="G193" s="2" t="s">
        <v>1575</v>
      </c>
      <c r="H193" s="2" t="s">
        <v>1576</v>
      </c>
      <c r="I193" s="2" t="s">
        <v>1577</v>
      </c>
      <c r="J193" s="2" t="s">
        <v>1005</v>
      </c>
      <c r="K193" s="2" t="s">
        <v>1578</v>
      </c>
      <c r="L193" s="3">
        <v>94</v>
      </c>
      <c r="M193" s="3">
        <v>98.7</v>
      </c>
      <c r="N193" s="3">
        <v>209.98</v>
      </c>
      <c r="O193" s="2" t="s">
        <v>460</v>
      </c>
      <c r="P193" s="2" t="s">
        <v>285</v>
      </c>
      <c r="Q193" s="2" t="s">
        <v>206</v>
      </c>
      <c r="R193" s="2" t="s">
        <v>200</v>
      </c>
      <c r="S193" s="2" t="s">
        <v>1579</v>
      </c>
      <c r="T193" s="2" t="s">
        <v>200</v>
      </c>
      <c r="U193" s="2" t="s">
        <v>270</v>
      </c>
      <c r="V193" s="2" t="s">
        <v>885</v>
      </c>
      <c r="W193" s="2" t="s">
        <v>379</v>
      </c>
      <c r="X193" s="2" t="s">
        <v>200</v>
      </c>
      <c r="Y193" s="2" t="s">
        <v>1580</v>
      </c>
      <c r="Z193" s="4">
        <v>41</v>
      </c>
      <c r="AA193" s="4">
        <f>=ROUNDDOWN(58.5714285714286,0)</f>
      </c>
      <c r="AB193" s="5">
        <v>0.7</v>
      </c>
      <c r="AC193" s="2" t="s">
        <v>200</v>
      </c>
      <c r="AD193" s="4"/>
      <c r="AE193" s="4"/>
      <c r="AF193" s="6">
        <v>63</v>
      </c>
      <c r="AG193" s="6"/>
      <c r="AH193" s="7">
        <v>1</v>
      </c>
      <c r="AI193" s="4"/>
      <c r="AJ193" s="4">
        <f>=ROUNDDOWN({0},0)</f>
      </c>
      <c r="AK193" s="5"/>
      <c r="AL193" s="2" t="s">
        <v>200</v>
      </c>
      <c r="AM193" s="4"/>
      <c r="AN193" s="4"/>
      <c r="AO193" s="7"/>
      <c r="AP193" s="4"/>
      <c r="AQ193" s="8"/>
      <c r="AR193" s="4"/>
      <c r="AS193" s="8"/>
      <c r="AT193" s="7"/>
      <c r="AU193" s="7"/>
      <c r="AV193" s="4" t="s">
        <v>200</v>
      </c>
      <c r="AW193" s="8" t="s">
        <v>200</v>
      </c>
      <c r="AX193" s="4" t="s">
        <v>200</v>
      </c>
      <c r="AY193" s="8" t="s">
        <v>200</v>
      </c>
      <c r="AZ193" s="7" t="s">
        <v>200</v>
      </c>
      <c r="BA193" s="7" t="s">
        <v>200</v>
      </c>
      <c r="BB193" s="7"/>
      <c r="BC193" s="4" t="s">
        <v>200</v>
      </c>
      <c r="BD193" s="8" t="s">
        <v>200</v>
      </c>
      <c r="BE193" s="4" t="s">
        <v>200</v>
      </c>
      <c r="BF193" s="8" t="s">
        <v>200</v>
      </c>
      <c r="BG193" s="7" t="s">
        <v>200</v>
      </c>
      <c r="BH193" s="7" t="s">
        <v>200</v>
      </c>
      <c r="BI193" s="7"/>
      <c r="BJ193" s="4"/>
      <c r="BK193" s="8"/>
      <c r="BL193" s="2" t="s">
        <v>1581</v>
      </c>
      <c r="BM193" s="7"/>
      <c r="BN193" s="7"/>
      <c r="BO193" s="4"/>
      <c r="BP193" s="8"/>
      <c r="BQ193" s="4"/>
      <c r="BR193" s="8"/>
      <c r="BS193" s="7"/>
      <c r="BT193" s="7"/>
      <c r="BU193" s="2" t="s">
        <v>1582</v>
      </c>
      <c r="BV193" s="2" t="s">
        <v>200</v>
      </c>
      <c r="BW193" s="2" t="s">
        <v>200</v>
      </c>
      <c r="BX193" s="2" t="s">
        <v>289</v>
      </c>
      <c r="BY193" s="2" t="s">
        <v>247</v>
      </c>
      <c r="BZ193" s="2" t="s">
        <v>212</v>
      </c>
      <c r="CA193" s="2" t="s">
        <v>1583</v>
      </c>
      <c r="CB193" s="2" t="s">
        <v>200</v>
      </c>
      <c r="CC193" s="2" t="s">
        <v>213</v>
      </c>
      <c r="CD193" s="2" t="s">
        <v>200</v>
      </c>
      <c r="CE193" s="4"/>
      <c r="CF193" s="4">
        <v>41</v>
      </c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</row>
    <row r="194">
      <c r="A194" s="2" t="s">
        <v>1584</v>
      </c>
      <c r="B194" s="2" t="s">
        <v>992</v>
      </c>
      <c r="C194" s="2" t="s">
        <v>231</v>
      </c>
      <c r="D194" s="2" t="s">
        <v>992</v>
      </c>
      <c r="E194" s="2" t="s">
        <v>992</v>
      </c>
      <c r="F194" s="2" t="s">
        <v>1574</v>
      </c>
      <c r="G194" s="2" t="s">
        <v>1575</v>
      </c>
      <c r="H194" s="2" t="s">
        <v>1576</v>
      </c>
      <c r="I194" s="2" t="s">
        <v>1577</v>
      </c>
      <c r="J194" s="2" t="s">
        <v>1585</v>
      </c>
      <c r="K194" s="2" t="s">
        <v>1578</v>
      </c>
      <c r="L194" s="3">
        <v>125</v>
      </c>
      <c r="M194" s="3">
        <v>131.25</v>
      </c>
      <c r="N194" s="3">
        <v>279.98</v>
      </c>
      <c r="O194" s="2" t="s">
        <v>460</v>
      </c>
      <c r="P194" s="2" t="s">
        <v>285</v>
      </c>
      <c r="Q194" s="2" t="s">
        <v>206</v>
      </c>
      <c r="R194" s="2" t="s">
        <v>200</v>
      </c>
      <c r="S194" s="2" t="s">
        <v>1579</v>
      </c>
      <c r="T194" s="2" t="s">
        <v>200</v>
      </c>
      <c r="U194" s="2" t="s">
        <v>270</v>
      </c>
      <c r="V194" s="2" t="s">
        <v>885</v>
      </c>
      <c r="W194" s="2" t="s">
        <v>379</v>
      </c>
      <c r="X194" s="2" t="s">
        <v>200</v>
      </c>
      <c r="Y194" s="2" t="s">
        <v>1580</v>
      </c>
      <c r="Z194" s="4">
        <v>91</v>
      </c>
      <c r="AA194" s="4">
        <f>=ROUNDDOWN(227.5,0)</f>
      </c>
      <c r="AB194" s="5">
        <v>0.4</v>
      </c>
      <c r="AC194" s="2" t="s">
        <v>200</v>
      </c>
      <c r="AD194" s="4"/>
      <c r="AE194" s="4"/>
      <c r="AF194" s="6">
        <v>63</v>
      </c>
      <c r="AG194" s="6"/>
      <c r="AH194" s="7">
        <v>1</v>
      </c>
      <c r="AI194" s="4"/>
      <c r="AJ194" s="4">
        <f>=ROUNDDOWN({0},0)</f>
      </c>
      <c r="AK194" s="5"/>
      <c r="AL194" s="2" t="s">
        <v>200</v>
      </c>
      <c r="AM194" s="4"/>
      <c r="AN194" s="4"/>
      <c r="AO194" s="7"/>
      <c r="AP194" s="4"/>
      <c r="AQ194" s="8"/>
      <c r="AR194" s="4"/>
      <c r="AS194" s="8"/>
      <c r="AT194" s="7"/>
      <c r="AU194" s="7"/>
      <c r="AV194" s="4" t="s">
        <v>200</v>
      </c>
      <c r="AW194" s="8" t="s">
        <v>200</v>
      </c>
      <c r="AX194" s="4" t="s">
        <v>200</v>
      </c>
      <c r="AY194" s="8" t="s">
        <v>200</v>
      </c>
      <c r="AZ194" s="7" t="s">
        <v>200</v>
      </c>
      <c r="BA194" s="7" t="s">
        <v>200</v>
      </c>
      <c r="BB194" s="7"/>
      <c r="BC194" s="4" t="s">
        <v>200</v>
      </c>
      <c r="BD194" s="8" t="s">
        <v>200</v>
      </c>
      <c r="BE194" s="4" t="s">
        <v>200</v>
      </c>
      <c r="BF194" s="8" t="s">
        <v>200</v>
      </c>
      <c r="BG194" s="7" t="s">
        <v>200</v>
      </c>
      <c r="BH194" s="7" t="s">
        <v>200</v>
      </c>
      <c r="BI194" s="7"/>
      <c r="BJ194" s="4">
        <v>2</v>
      </c>
      <c r="BK194" s="8">
        <v>249.38</v>
      </c>
      <c r="BL194" s="2" t="s">
        <v>813</v>
      </c>
      <c r="BM194" s="7"/>
      <c r="BN194" s="7"/>
      <c r="BO194" s="4"/>
      <c r="BP194" s="8"/>
      <c r="BQ194" s="4"/>
      <c r="BR194" s="8"/>
      <c r="BS194" s="7"/>
      <c r="BT194" s="7"/>
      <c r="BU194" s="2" t="s">
        <v>1586</v>
      </c>
      <c r="BV194" s="2" t="s">
        <v>200</v>
      </c>
      <c r="BW194" s="2" t="s">
        <v>200</v>
      </c>
      <c r="BX194" s="2" t="s">
        <v>289</v>
      </c>
      <c r="BY194" s="2" t="s">
        <v>247</v>
      </c>
      <c r="BZ194" s="2" t="s">
        <v>212</v>
      </c>
      <c r="CA194" s="2" t="s">
        <v>1583</v>
      </c>
      <c r="CB194" s="2" t="s">
        <v>200</v>
      </c>
      <c r="CC194" s="2" t="s">
        <v>213</v>
      </c>
      <c r="CD194" s="2" t="s">
        <v>200</v>
      </c>
      <c r="CE194" s="4"/>
      <c r="CF194" s="4">
        <v>91</v>
      </c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</row>
    <row r="195">
      <c r="A195" s="2" t="s">
        <v>1587</v>
      </c>
      <c r="B195" s="2" t="s">
        <v>827</v>
      </c>
      <c r="C195" s="2" t="s">
        <v>231</v>
      </c>
      <c r="D195" s="2" t="s">
        <v>828</v>
      </c>
      <c r="E195" s="2" t="s">
        <v>1588</v>
      </c>
      <c r="F195" s="2" t="s">
        <v>1589</v>
      </c>
      <c r="G195" s="2" t="s">
        <v>1590</v>
      </c>
      <c r="H195" s="2" t="s">
        <v>1591</v>
      </c>
      <c r="I195" s="2" t="s">
        <v>1592</v>
      </c>
      <c r="J195" s="2" t="s">
        <v>1016</v>
      </c>
      <c r="K195" s="2" t="s">
        <v>221</v>
      </c>
      <c r="L195" s="3">
        <v>18.24</v>
      </c>
      <c r="M195" s="3">
        <v>19.15</v>
      </c>
      <c r="N195" s="3">
        <v>37.99</v>
      </c>
      <c r="O195" s="2" t="s">
        <v>212</v>
      </c>
      <c r="P195" s="2" t="s">
        <v>258</v>
      </c>
      <c r="Q195" s="2" t="s">
        <v>206</v>
      </c>
      <c r="R195" s="2" t="s">
        <v>200</v>
      </c>
      <c r="S195" s="2" t="s">
        <v>1593</v>
      </c>
      <c r="T195" s="2" t="s">
        <v>200</v>
      </c>
      <c r="U195" s="2" t="s">
        <v>270</v>
      </c>
      <c r="V195" s="2" t="s">
        <v>1594</v>
      </c>
      <c r="W195" s="2" t="s">
        <v>379</v>
      </c>
      <c r="X195" s="2" t="s">
        <v>1078</v>
      </c>
      <c r="Y195" s="2" t="s">
        <v>261</v>
      </c>
      <c r="Z195" s="4">
        <v>352</v>
      </c>
      <c r="AA195" s="4">
        <f>=ROUNDDOWN(35.2,0)</f>
      </c>
      <c r="AB195" s="5">
        <v>10</v>
      </c>
      <c r="AC195" s="2" t="s">
        <v>200</v>
      </c>
      <c r="AD195" s="4"/>
      <c r="AE195" s="4"/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200</v>
      </c>
      <c r="AM195" s="4"/>
      <c r="AN195" s="4"/>
      <c r="AO195" s="7"/>
      <c r="AP195" s="4"/>
      <c r="AQ195" s="8"/>
      <c r="AR195" s="4"/>
      <c r="AS195" s="8"/>
      <c r="AT195" s="7"/>
      <c r="AU195" s="7"/>
      <c r="AV195" s="4" t="s">
        <v>200</v>
      </c>
      <c r="AW195" s="8" t="s">
        <v>200</v>
      </c>
      <c r="AX195" s="4" t="s">
        <v>200</v>
      </c>
      <c r="AY195" s="8" t="s">
        <v>200</v>
      </c>
      <c r="AZ195" s="7" t="s">
        <v>200</v>
      </c>
      <c r="BA195" s="7" t="s">
        <v>200</v>
      </c>
      <c r="BB195" s="7"/>
      <c r="BC195" s="4" t="s">
        <v>200</v>
      </c>
      <c r="BD195" s="8" t="s">
        <v>200</v>
      </c>
      <c r="BE195" s="4" t="s">
        <v>200</v>
      </c>
      <c r="BF195" s="8" t="s">
        <v>200</v>
      </c>
      <c r="BG195" s="7" t="s">
        <v>200</v>
      </c>
      <c r="BH195" s="7" t="s">
        <v>200</v>
      </c>
      <c r="BI195" s="7"/>
      <c r="BJ195" s="4">
        <v>27</v>
      </c>
      <c r="BK195" s="8">
        <v>480.68</v>
      </c>
      <c r="BL195" s="2" t="s">
        <v>1595</v>
      </c>
      <c r="BM195" s="7"/>
      <c r="BN195" s="7"/>
      <c r="BO195" s="4"/>
      <c r="BP195" s="8"/>
      <c r="BQ195" s="4"/>
      <c r="BR195" s="8"/>
      <c r="BS195" s="7"/>
      <c r="BT195" s="7"/>
      <c r="BU195" s="2" t="s">
        <v>1596</v>
      </c>
      <c r="BV195" s="2" t="s">
        <v>200</v>
      </c>
      <c r="BW195" s="2" t="s">
        <v>200</v>
      </c>
      <c r="BX195" s="2" t="s">
        <v>620</v>
      </c>
      <c r="BY195" s="2" t="s">
        <v>247</v>
      </c>
      <c r="BZ195" s="2" t="s">
        <v>212</v>
      </c>
      <c r="CA195" s="2" t="s">
        <v>1597</v>
      </c>
      <c r="CB195" s="2" t="s">
        <v>1598</v>
      </c>
      <c r="CC195" s="2" t="s">
        <v>213</v>
      </c>
      <c r="CD195" s="2" t="s">
        <v>200</v>
      </c>
      <c r="CE195" s="4">
        <v>352</v>
      </c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</row>
    <row r="196">
      <c r="A196" s="2" t="s">
        <v>1599</v>
      </c>
      <c r="B196" s="2" t="s">
        <v>827</v>
      </c>
      <c r="C196" s="2" t="s">
        <v>231</v>
      </c>
      <c r="D196" s="2" t="s">
        <v>828</v>
      </c>
      <c r="E196" s="2" t="s">
        <v>1588</v>
      </c>
      <c r="F196" s="2" t="s">
        <v>1589</v>
      </c>
      <c r="G196" s="2" t="s">
        <v>1590</v>
      </c>
      <c r="H196" s="2" t="s">
        <v>1591</v>
      </c>
      <c r="I196" s="2" t="s">
        <v>1592</v>
      </c>
      <c r="J196" s="2" t="s">
        <v>1242</v>
      </c>
      <c r="K196" s="2" t="s">
        <v>221</v>
      </c>
      <c r="L196" s="3">
        <v>19.35</v>
      </c>
      <c r="M196" s="3">
        <v>20.32</v>
      </c>
      <c r="N196" s="3">
        <v>42.99</v>
      </c>
      <c r="O196" s="2" t="s">
        <v>212</v>
      </c>
      <c r="P196" s="2" t="s">
        <v>258</v>
      </c>
      <c r="Q196" s="2" t="s">
        <v>206</v>
      </c>
      <c r="R196" s="2" t="s">
        <v>200</v>
      </c>
      <c r="S196" s="2" t="s">
        <v>1593</v>
      </c>
      <c r="T196" s="2" t="s">
        <v>200</v>
      </c>
      <c r="U196" s="2" t="s">
        <v>270</v>
      </c>
      <c r="V196" s="2" t="s">
        <v>1594</v>
      </c>
      <c r="W196" s="2" t="s">
        <v>379</v>
      </c>
      <c r="X196" s="2" t="s">
        <v>1078</v>
      </c>
      <c r="Y196" s="2" t="s">
        <v>261</v>
      </c>
      <c r="Z196" s="4">
        <v>145</v>
      </c>
      <c r="AA196" s="4">
        <f>=ROUNDDOWN(29,0)</f>
      </c>
      <c r="AB196" s="5">
        <v>5</v>
      </c>
      <c r="AC196" s="2" t="s">
        <v>200</v>
      </c>
      <c r="AD196" s="4"/>
      <c r="AE196" s="4"/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200</v>
      </c>
      <c r="AM196" s="4"/>
      <c r="AN196" s="4"/>
      <c r="AO196" s="7"/>
      <c r="AP196" s="4"/>
      <c r="AQ196" s="8"/>
      <c r="AR196" s="4"/>
      <c r="AS196" s="8"/>
      <c r="AT196" s="7"/>
      <c r="AU196" s="7"/>
      <c r="AV196" s="4" t="s">
        <v>200</v>
      </c>
      <c r="AW196" s="8" t="s">
        <v>200</v>
      </c>
      <c r="AX196" s="4" t="s">
        <v>200</v>
      </c>
      <c r="AY196" s="8" t="s">
        <v>200</v>
      </c>
      <c r="AZ196" s="7" t="s">
        <v>200</v>
      </c>
      <c r="BA196" s="7" t="s">
        <v>200</v>
      </c>
      <c r="BB196" s="7"/>
      <c r="BC196" s="4" t="s">
        <v>200</v>
      </c>
      <c r="BD196" s="8" t="s">
        <v>200</v>
      </c>
      <c r="BE196" s="4" t="s">
        <v>200</v>
      </c>
      <c r="BF196" s="8" t="s">
        <v>200</v>
      </c>
      <c r="BG196" s="7" t="s">
        <v>200</v>
      </c>
      <c r="BH196" s="7" t="s">
        <v>200</v>
      </c>
      <c r="BI196" s="7"/>
      <c r="BJ196" s="4">
        <v>11</v>
      </c>
      <c r="BK196" s="8">
        <v>432.97</v>
      </c>
      <c r="BL196" s="2" t="s">
        <v>1600</v>
      </c>
      <c r="BM196" s="7"/>
      <c r="BN196" s="7"/>
      <c r="BO196" s="4"/>
      <c r="BP196" s="8"/>
      <c r="BQ196" s="4"/>
      <c r="BR196" s="8"/>
      <c r="BS196" s="7"/>
      <c r="BT196" s="7"/>
      <c r="BU196" s="2" t="s">
        <v>1601</v>
      </c>
      <c r="BV196" s="2" t="s">
        <v>200</v>
      </c>
      <c r="BW196" s="2" t="s">
        <v>200</v>
      </c>
      <c r="BX196" s="2" t="s">
        <v>620</v>
      </c>
      <c r="BY196" s="2" t="s">
        <v>247</v>
      </c>
      <c r="BZ196" s="2" t="s">
        <v>212</v>
      </c>
      <c r="CA196" s="2" t="s">
        <v>1597</v>
      </c>
      <c r="CB196" s="2" t="s">
        <v>1602</v>
      </c>
      <c r="CC196" s="2" t="s">
        <v>213</v>
      </c>
      <c r="CD196" s="2" t="s">
        <v>200</v>
      </c>
      <c r="CE196" s="4">
        <v>145</v>
      </c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</row>
    <row r="197">
      <c r="A197" s="2" t="s">
        <v>1603</v>
      </c>
      <c r="B197" s="2" t="s">
        <v>827</v>
      </c>
      <c r="C197" s="2" t="s">
        <v>1523</v>
      </c>
      <c r="D197" s="2" t="s">
        <v>828</v>
      </c>
      <c r="E197" s="2" t="s">
        <v>1011</v>
      </c>
      <c r="F197" s="2" t="s">
        <v>1604</v>
      </c>
      <c r="G197" s="2" t="s">
        <v>1604</v>
      </c>
      <c r="H197" s="2" t="s">
        <v>1604</v>
      </c>
      <c r="I197" s="2" t="s">
        <v>1605</v>
      </c>
      <c r="J197" s="2" t="s">
        <v>1606</v>
      </c>
      <c r="K197" s="2" t="s">
        <v>1442</v>
      </c>
      <c r="L197" s="3">
        <v>27.23</v>
      </c>
      <c r="M197" s="3">
        <v>28.59</v>
      </c>
      <c r="N197" s="3">
        <v>79.99</v>
      </c>
      <c r="O197" s="2" t="s">
        <v>212</v>
      </c>
      <c r="P197" s="2" t="s">
        <v>285</v>
      </c>
      <c r="Q197" s="2" t="s">
        <v>206</v>
      </c>
      <c r="R197" s="2" t="s">
        <v>200</v>
      </c>
      <c r="S197" s="2" t="s">
        <v>200</v>
      </c>
      <c r="T197" s="2" t="s">
        <v>200</v>
      </c>
      <c r="U197" s="2" t="s">
        <v>270</v>
      </c>
      <c r="V197" s="2" t="s">
        <v>208</v>
      </c>
      <c r="W197" s="2" t="s">
        <v>242</v>
      </c>
      <c r="X197" s="2" t="s">
        <v>200</v>
      </c>
      <c r="Y197" s="2" t="s">
        <v>1607</v>
      </c>
      <c r="Z197" s="4">
        <v>116</v>
      </c>
      <c r="AA197" s="4">
        <f>=ROUNDDOWN(58,0)</f>
      </c>
      <c r="AB197" s="5">
        <v>2</v>
      </c>
      <c r="AC197" s="2" t="s">
        <v>200</v>
      </c>
      <c r="AD197" s="4"/>
      <c r="AE197" s="4"/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200</v>
      </c>
      <c r="AM197" s="4"/>
      <c r="AN197" s="4"/>
      <c r="AO197" s="7"/>
      <c r="AP197" s="4"/>
      <c r="AQ197" s="8"/>
      <c r="AR197" s="4"/>
      <c r="AS197" s="8"/>
      <c r="AT197" s="7"/>
      <c r="AU197" s="7"/>
      <c r="AV197" s="4"/>
      <c r="AW197" s="8"/>
      <c r="AX197" s="4"/>
      <c r="AY197" s="8"/>
      <c r="AZ197" s="7"/>
      <c r="BA197" s="7"/>
      <c r="BB197" s="7"/>
      <c r="BC197" s="4" t="s">
        <v>200</v>
      </c>
      <c r="BD197" s="8" t="s">
        <v>200</v>
      </c>
      <c r="BE197" s="4" t="s">
        <v>200</v>
      </c>
      <c r="BF197" s="8" t="s">
        <v>200</v>
      </c>
      <c r="BG197" s="7" t="s">
        <v>200</v>
      </c>
      <c r="BH197" s="7" t="s">
        <v>200</v>
      </c>
      <c r="BI197" s="7"/>
      <c r="BJ197" s="4">
        <v>2</v>
      </c>
      <c r="BK197" s="8">
        <v>135.98</v>
      </c>
      <c r="BL197" s="2" t="s">
        <v>1608</v>
      </c>
      <c r="BM197" s="7"/>
      <c r="BN197" s="7"/>
      <c r="BO197" s="4"/>
      <c r="BP197" s="8"/>
      <c r="BQ197" s="4"/>
      <c r="BR197" s="8"/>
      <c r="BS197" s="7"/>
      <c r="BT197" s="7"/>
      <c r="BU197" s="2" t="s">
        <v>1609</v>
      </c>
      <c r="BV197" s="2" t="s">
        <v>200</v>
      </c>
      <c r="BW197" s="2" t="s">
        <v>200</v>
      </c>
      <c r="BX197" s="2" t="s">
        <v>289</v>
      </c>
      <c r="BY197" s="2" t="s">
        <v>247</v>
      </c>
      <c r="BZ197" s="2" t="s">
        <v>212</v>
      </c>
      <c r="CA197" s="2" t="s">
        <v>1610</v>
      </c>
      <c r="CB197" s="2" t="s">
        <v>1611</v>
      </c>
      <c r="CC197" s="2" t="s">
        <v>213</v>
      </c>
      <c r="CD197" s="2" t="s">
        <v>200</v>
      </c>
      <c r="CE197" s="4">
        <v>116</v>
      </c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</row>
    <row r="198">
      <c r="A198" s="2" t="s">
        <v>1612</v>
      </c>
      <c r="B198" s="2" t="s">
        <v>827</v>
      </c>
      <c r="C198" s="2" t="s">
        <v>1523</v>
      </c>
      <c r="D198" s="2" t="s">
        <v>828</v>
      </c>
      <c r="E198" s="2" t="s">
        <v>1011</v>
      </c>
      <c r="F198" s="2" t="s">
        <v>1604</v>
      </c>
      <c r="G198" s="2" t="s">
        <v>1604</v>
      </c>
      <c r="H198" s="2" t="s">
        <v>1604</v>
      </c>
      <c r="I198" s="2" t="s">
        <v>1605</v>
      </c>
      <c r="J198" s="2" t="s">
        <v>1613</v>
      </c>
      <c r="K198" s="2" t="s">
        <v>1380</v>
      </c>
      <c r="L198" s="3">
        <v>23.83</v>
      </c>
      <c r="M198" s="3">
        <v>25.02</v>
      </c>
      <c r="N198" s="3">
        <v>69.99</v>
      </c>
      <c r="O198" s="2" t="s">
        <v>212</v>
      </c>
      <c r="P198" s="2" t="s">
        <v>285</v>
      </c>
      <c r="Q198" s="2" t="s">
        <v>206</v>
      </c>
      <c r="R198" s="2" t="s">
        <v>200</v>
      </c>
      <c r="S198" s="2" t="s">
        <v>200</v>
      </c>
      <c r="T198" s="2" t="s">
        <v>200</v>
      </c>
      <c r="U198" s="2" t="s">
        <v>270</v>
      </c>
      <c r="V198" s="2" t="s">
        <v>208</v>
      </c>
      <c r="W198" s="2" t="s">
        <v>242</v>
      </c>
      <c r="X198" s="2" t="s">
        <v>200</v>
      </c>
      <c r="Y198" s="2" t="s">
        <v>1607</v>
      </c>
      <c r="Z198" s="4">
        <v>145</v>
      </c>
      <c r="AA198" s="4">
        <f>=ROUNDDOWN(48.3333333333333,0)</f>
      </c>
      <c r="AB198" s="5">
        <v>3</v>
      </c>
      <c r="AC198" s="2" t="s">
        <v>200</v>
      </c>
      <c r="AD198" s="4"/>
      <c r="AE198" s="4"/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200</v>
      </c>
      <c r="AM198" s="4"/>
      <c r="AN198" s="4"/>
      <c r="AO198" s="7"/>
      <c r="AP198" s="4"/>
      <c r="AQ198" s="8"/>
      <c r="AR198" s="4"/>
      <c r="AS198" s="8"/>
      <c r="AT198" s="7"/>
      <c r="AU198" s="7"/>
      <c r="AV198" s="4"/>
      <c r="AW198" s="8"/>
      <c r="AX198" s="4"/>
      <c r="AY198" s="8"/>
      <c r="AZ198" s="7"/>
      <c r="BA198" s="7"/>
      <c r="BB198" s="7"/>
      <c r="BC198" s="4" t="s">
        <v>200</v>
      </c>
      <c r="BD198" s="8" t="s">
        <v>200</v>
      </c>
      <c r="BE198" s="4" t="s">
        <v>200</v>
      </c>
      <c r="BF198" s="8" t="s">
        <v>200</v>
      </c>
      <c r="BG198" s="7" t="s">
        <v>200</v>
      </c>
      <c r="BH198" s="7" t="s">
        <v>200</v>
      </c>
      <c r="BI198" s="7"/>
      <c r="BJ198" s="4">
        <v>2</v>
      </c>
      <c r="BK198" s="8">
        <v>50.04</v>
      </c>
      <c r="BL198" s="2" t="s">
        <v>1614</v>
      </c>
      <c r="BM198" s="7"/>
      <c r="BN198" s="7"/>
      <c r="BO198" s="4"/>
      <c r="BP198" s="8"/>
      <c r="BQ198" s="4"/>
      <c r="BR198" s="8"/>
      <c r="BS198" s="7"/>
      <c r="BT198" s="7"/>
      <c r="BU198" s="2" t="s">
        <v>1615</v>
      </c>
      <c r="BV198" s="2" t="s">
        <v>200</v>
      </c>
      <c r="BW198" s="2" t="s">
        <v>200</v>
      </c>
      <c r="BX198" s="2" t="s">
        <v>289</v>
      </c>
      <c r="BY198" s="2" t="s">
        <v>247</v>
      </c>
      <c r="BZ198" s="2" t="s">
        <v>212</v>
      </c>
      <c r="CA198" s="2" t="s">
        <v>1610</v>
      </c>
      <c r="CB198" s="2" t="s">
        <v>1616</v>
      </c>
      <c r="CC198" s="2" t="s">
        <v>213</v>
      </c>
      <c r="CD198" s="2" t="s">
        <v>200</v>
      </c>
      <c r="CE198" s="4">
        <v>145</v>
      </c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</row>
    <row r="199">
      <c r="A199" s="2" t="s">
        <v>1617</v>
      </c>
      <c r="B199" s="2" t="s">
        <v>827</v>
      </c>
      <c r="C199" s="2" t="s">
        <v>1523</v>
      </c>
      <c r="D199" s="2" t="s">
        <v>828</v>
      </c>
      <c r="E199" s="2" t="s">
        <v>1011</v>
      </c>
      <c r="F199" s="2" t="s">
        <v>1604</v>
      </c>
      <c r="G199" s="2" t="s">
        <v>1604</v>
      </c>
      <c r="H199" s="2" t="s">
        <v>1604</v>
      </c>
      <c r="I199" s="2" t="s">
        <v>1605</v>
      </c>
      <c r="J199" s="2" t="s">
        <v>1606</v>
      </c>
      <c r="K199" s="2" t="s">
        <v>257</v>
      </c>
      <c r="L199" s="3">
        <v>27.23</v>
      </c>
      <c r="M199" s="3">
        <v>28.59</v>
      </c>
      <c r="N199" s="3">
        <v>79.99</v>
      </c>
      <c r="O199" s="2" t="s">
        <v>212</v>
      </c>
      <c r="P199" s="2" t="s">
        <v>285</v>
      </c>
      <c r="Q199" s="2" t="s">
        <v>206</v>
      </c>
      <c r="R199" s="2" t="s">
        <v>200</v>
      </c>
      <c r="S199" s="2" t="s">
        <v>200</v>
      </c>
      <c r="T199" s="2" t="s">
        <v>200</v>
      </c>
      <c r="U199" s="2" t="s">
        <v>270</v>
      </c>
      <c r="V199" s="2" t="s">
        <v>208</v>
      </c>
      <c r="W199" s="2" t="s">
        <v>242</v>
      </c>
      <c r="X199" s="2" t="s">
        <v>200</v>
      </c>
      <c r="Y199" s="2" t="s">
        <v>1607</v>
      </c>
      <c r="Z199" s="4">
        <v>92</v>
      </c>
      <c r="AA199" s="4">
        <f>=ROUNDDOWN(30.6666666666667,0)</f>
      </c>
      <c r="AB199" s="5">
        <v>3</v>
      </c>
      <c r="AC199" s="2" t="s">
        <v>200</v>
      </c>
      <c r="AD199" s="4"/>
      <c r="AE199" s="4"/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200</v>
      </c>
      <c r="AM199" s="4"/>
      <c r="AN199" s="4"/>
      <c r="AO199" s="7"/>
      <c r="AP199" s="4"/>
      <c r="AQ199" s="8"/>
      <c r="AR199" s="4"/>
      <c r="AS199" s="8"/>
      <c r="AT199" s="7"/>
      <c r="AU199" s="7"/>
      <c r="AV199" s="4"/>
      <c r="AW199" s="8"/>
      <c r="AX199" s="4"/>
      <c r="AY199" s="8"/>
      <c r="AZ199" s="7"/>
      <c r="BA199" s="7"/>
      <c r="BB199" s="7"/>
      <c r="BC199" s="4" t="s">
        <v>200</v>
      </c>
      <c r="BD199" s="8" t="s">
        <v>200</v>
      </c>
      <c r="BE199" s="4" t="s">
        <v>200</v>
      </c>
      <c r="BF199" s="8" t="s">
        <v>200</v>
      </c>
      <c r="BG199" s="7" t="s">
        <v>200</v>
      </c>
      <c r="BH199" s="7" t="s">
        <v>200</v>
      </c>
      <c r="BI199" s="7"/>
      <c r="BJ199" s="4"/>
      <c r="BK199" s="8"/>
      <c r="BL199" s="2" t="s">
        <v>1618</v>
      </c>
      <c r="BM199" s="7"/>
      <c r="BN199" s="7"/>
      <c r="BO199" s="4"/>
      <c r="BP199" s="8"/>
      <c r="BQ199" s="4"/>
      <c r="BR199" s="8"/>
      <c r="BS199" s="7"/>
      <c r="BT199" s="7"/>
      <c r="BU199" s="2" t="s">
        <v>1619</v>
      </c>
      <c r="BV199" s="2" t="s">
        <v>200</v>
      </c>
      <c r="BW199" s="2" t="s">
        <v>200</v>
      </c>
      <c r="BX199" s="2" t="s">
        <v>289</v>
      </c>
      <c r="BY199" s="2" t="s">
        <v>247</v>
      </c>
      <c r="BZ199" s="2" t="s">
        <v>212</v>
      </c>
      <c r="CA199" s="2" t="s">
        <v>1610</v>
      </c>
      <c r="CB199" s="2" t="s">
        <v>1620</v>
      </c>
      <c r="CC199" s="2" t="s">
        <v>213</v>
      </c>
      <c r="CD199" s="2" t="s">
        <v>200</v>
      </c>
      <c r="CE199" s="4">
        <v>92</v>
      </c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</row>
    <row r="200">
      <c r="A200" s="2" t="s">
        <v>1621</v>
      </c>
      <c r="B200" s="2" t="s">
        <v>744</v>
      </c>
      <c r="C200" s="2" t="s">
        <v>231</v>
      </c>
      <c r="D200" s="2" t="s">
        <v>746</v>
      </c>
      <c r="E200" s="2" t="s">
        <v>1422</v>
      </c>
      <c r="F200" s="2" t="s">
        <v>1622</v>
      </c>
      <c r="G200" s="2" t="s">
        <v>1623</v>
      </c>
      <c r="H200" s="2" t="s">
        <v>1624</v>
      </c>
      <c r="I200" s="2" t="s">
        <v>1625</v>
      </c>
      <c r="J200" s="2" t="s">
        <v>711</v>
      </c>
      <c r="K200" s="2" t="s">
        <v>1626</v>
      </c>
      <c r="L200" s="3">
        <v>80.87</v>
      </c>
      <c r="M200" s="3">
        <v>84.91</v>
      </c>
      <c r="N200" s="3">
        <v>169</v>
      </c>
      <c r="O200" s="2" t="s">
        <v>212</v>
      </c>
      <c r="P200" s="2" t="s">
        <v>285</v>
      </c>
      <c r="Q200" s="2" t="s">
        <v>206</v>
      </c>
      <c r="R200" s="2" t="s">
        <v>200</v>
      </c>
      <c r="S200" s="2" t="s">
        <v>200</v>
      </c>
      <c r="T200" s="2" t="s">
        <v>200</v>
      </c>
      <c r="U200" s="2" t="s">
        <v>200</v>
      </c>
      <c r="V200" s="2" t="s">
        <v>940</v>
      </c>
      <c r="W200" s="2" t="s">
        <v>419</v>
      </c>
      <c r="X200" s="2" t="s">
        <v>200</v>
      </c>
      <c r="Y200" s="2" t="s">
        <v>1627</v>
      </c>
      <c r="Z200" s="4">
        <v>12</v>
      </c>
      <c r="AA200" s="4">
        <f>=ROUNDDOWN(2,0)</f>
      </c>
      <c r="AB200" s="5">
        <v>6</v>
      </c>
      <c r="AC200" s="2" t="s">
        <v>200</v>
      </c>
      <c r="AD200" s="4"/>
      <c r="AE200" s="4"/>
      <c r="AF200" s="6">
        <v>76</v>
      </c>
      <c r="AG200" s="6">
        <v>67</v>
      </c>
      <c r="AH200" s="7">
        <v>1</v>
      </c>
      <c r="AI200" s="4"/>
      <c r="AJ200" s="4">
        <f>=ROUNDDOWN({0},0)</f>
      </c>
      <c r="AK200" s="5"/>
      <c r="AL200" s="2" t="s">
        <v>200</v>
      </c>
      <c r="AM200" s="4"/>
      <c r="AN200" s="4"/>
      <c r="AO200" s="7"/>
      <c r="AP200" s="4"/>
      <c r="AQ200" s="8"/>
      <c r="AR200" s="4"/>
      <c r="AS200" s="8"/>
      <c r="AT200" s="7"/>
      <c r="AU200" s="7"/>
      <c r="AV200" s="4"/>
      <c r="AW200" s="8"/>
      <c r="AX200" s="4"/>
      <c r="AY200" s="8"/>
      <c r="AZ200" s="7"/>
      <c r="BA200" s="7"/>
      <c r="BB200" s="7"/>
      <c r="BC200" s="4"/>
      <c r="BD200" s="8"/>
      <c r="BE200" s="4"/>
      <c r="BF200" s="8"/>
      <c r="BG200" s="7"/>
      <c r="BH200" s="7"/>
      <c r="BI200" s="7"/>
      <c r="BJ200" s="4">
        <v>57</v>
      </c>
      <c r="BK200" s="8">
        <v>3409.14</v>
      </c>
      <c r="BL200" s="2" t="s">
        <v>1628</v>
      </c>
      <c r="BM200" s="7"/>
      <c r="BN200" s="7"/>
      <c r="BO200" s="4"/>
      <c r="BP200" s="8"/>
      <c r="BQ200" s="4"/>
      <c r="BR200" s="8"/>
      <c r="BS200" s="7"/>
      <c r="BT200" s="7"/>
      <c r="BU200" s="2" t="s">
        <v>1629</v>
      </c>
      <c r="BV200" s="2" t="s">
        <v>200</v>
      </c>
      <c r="BW200" s="2" t="s">
        <v>200</v>
      </c>
      <c r="BX200" s="2" t="s">
        <v>289</v>
      </c>
      <c r="BY200" s="2" t="s">
        <v>247</v>
      </c>
      <c r="BZ200" s="2" t="s">
        <v>212</v>
      </c>
      <c r="CA200" s="2" t="s">
        <v>1627</v>
      </c>
      <c r="CB200" s="2" t="s">
        <v>1630</v>
      </c>
      <c r="CC200" s="2" t="s">
        <v>213</v>
      </c>
      <c r="CD200" s="2" t="s">
        <v>200</v>
      </c>
      <c r="CE200" s="4"/>
      <c r="CF200" s="4">
        <v>12</v>
      </c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</row>
    <row r="201">
      <c r="A201" s="2" t="s">
        <v>1631</v>
      </c>
      <c r="B201" s="2" t="s">
        <v>744</v>
      </c>
      <c r="C201" s="2" t="s">
        <v>730</v>
      </c>
      <c r="D201" s="2" t="s">
        <v>1632</v>
      </c>
      <c r="E201" s="2" t="s">
        <v>1633</v>
      </c>
      <c r="F201" s="2" t="s">
        <v>1634</v>
      </c>
      <c r="G201" s="2" t="s">
        <v>1634</v>
      </c>
      <c r="H201" s="2" t="s">
        <v>1634</v>
      </c>
      <c r="I201" s="2" t="s">
        <v>1635</v>
      </c>
      <c r="J201" s="2" t="s">
        <v>711</v>
      </c>
      <c r="K201" s="2" t="s">
        <v>1636</v>
      </c>
      <c r="L201" s="3">
        <v>285</v>
      </c>
      <c r="M201" s="3">
        <v>299.25</v>
      </c>
      <c r="N201" s="3">
        <v>599</v>
      </c>
      <c r="O201" s="2" t="s">
        <v>212</v>
      </c>
      <c r="P201" s="2" t="s">
        <v>205</v>
      </c>
      <c r="Q201" s="2" t="s">
        <v>206</v>
      </c>
      <c r="R201" s="2" t="s">
        <v>200</v>
      </c>
      <c r="S201" s="2" t="s">
        <v>200</v>
      </c>
      <c r="T201" s="2" t="s">
        <v>200</v>
      </c>
      <c r="U201" s="2" t="s">
        <v>270</v>
      </c>
      <c r="V201" s="2" t="s">
        <v>616</v>
      </c>
      <c r="W201" s="2" t="s">
        <v>1399</v>
      </c>
      <c r="X201" s="2" t="s">
        <v>737</v>
      </c>
      <c r="Y201" s="2" t="s">
        <v>1368</v>
      </c>
      <c r="Z201" s="4">
        <v>52</v>
      </c>
      <c r="AA201" s="4">
        <f>=ROUNDDOWN(23.6363636363636,0)</f>
      </c>
      <c r="AB201" s="5">
        <v>2.2</v>
      </c>
      <c r="AC201" s="2" t="s">
        <v>644</v>
      </c>
      <c r="AD201" s="4">
        <v>100</v>
      </c>
      <c r="AE201" s="4">
        <v>100</v>
      </c>
      <c r="AF201" s="6">
        <v>74</v>
      </c>
      <c r="AG201" s="6"/>
      <c r="AH201" s="7">
        <v>1</v>
      </c>
      <c r="AI201" s="4"/>
      <c r="AJ201" s="4">
        <f>=ROUNDDOWN({0},0)</f>
      </c>
      <c r="AK201" s="5"/>
      <c r="AL201" s="2" t="s">
        <v>200</v>
      </c>
      <c r="AM201" s="4"/>
      <c r="AN201" s="4"/>
      <c r="AO201" s="7"/>
      <c r="AP201" s="4"/>
      <c r="AQ201" s="8"/>
      <c r="AR201" s="4"/>
      <c r="AS201" s="8"/>
      <c r="AT201" s="7"/>
      <c r="AU201" s="7"/>
      <c r="AV201" s="4"/>
      <c r="AW201" s="8"/>
      <c r="AX201" s="4"/>
      <c r="AY201" s="8"/>
      <c r="AZ201" s="7"/>
      <c r="BA201" s="7"/>
      <c r="BB201" s="7"/>
      <c r="BC201" s="4"/>
      <c r="BD201" s="8"/>
      <c r="BE201" s="4"/>
      <c r="BF201" s="8"/>
      <c r="BG201" s="7"/>
      <c r="BH201" s="7"/>
      <c r="BI201" s="7"/>
      <c r="BJ201" s="4">
        <v>12</v>
      </c>
      <c r="BK201" s="8">
        <v>3701.86</v>
      </c>
      <c r="BL201" s="2" t="s">
        <v>1637</v>
      </c>
      <c r="BM201" s="7"/>
      <c r="BN201" s="7"/>
      <c r="BO201" s="4"/>
      <c r="BP201" s="8"/>
      <c r="BQ201" s="4"/>
      <c r="BR201" s="8"/>
      <c r="BS201" s="7"/>
      <c r="BT201" s="7"/>
      <c r="BU201" s="2" t="s">
        <v>1638</v>
      </c>
      <c r="BV201" s="2" t="s">
        <v>200</v>
      </c>
      <c r="BW201" s="2" t="s">
        <v>200</v>
      </c>
      <c r="BX201" s="2" t="s">
        <v>264</v>
      </c>
      <c r="BY201" s="2" t="s">
        <v>247</v>
      </c>
      <c r="BZ201" s="2" t="s">
        <v>212</v>
      </c>
      <c r="CA201" s="2" t="s">
        <v>1639</v>
      </c>
      <c r="CB201" s="2" t="s">
        <v>1640</v>
      </c>
      <c r="CC201" s="2" t="s">
        <v>213</v>
      </c>
      <c r="CD201" s="2" t="s">
        <v>200</v>
      </c>
      <c r="CE201" s="4"/>
      <c r="CF201" s="4">
        <v>52</v>
      </c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>
        <v>100</v>
      </c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</row>
    <row r="202">
      <c r="A202" s="2" t="s">
        <v>1641</v>
      </c>
      <c r="B202" s="2" t="s">
        <v>827</v>
      </c>
      <c r="C202" s="2" t="s">
        <v>877</v>
      </c>
      <c r="D202" s="2" t="s">
        <v>1642</v>
      </c>
      <c r="E202" s="2" t="s">
        <v>1643</v>
      </c>
      <c r="F202" s="2" t="s">
        <v>1644</v>
      </c>
      <c r="G202" s="2" t="s">
        <v>1645</v>
      </c>
      <c r="H202" s="2" t="s">
        <v>1646</v>
      </c>
      <c r="I202" s="2" t="s">
        <v>1647</v>
      </c>
      <c r="J202" s="2" t="s">
        <v>1648</v>
      </c>
      <c r="K202" s="2" t="s">
        <v>660</v>
      </c>
      <c r="L202" s="3">
        <v>23.5</v>
      </c>
      <c r="M202" s="3">
        <v>24.68</v>
      </c>
      <c r="N202" s="3">
        <v>49.99</v>
      </c>
      <c r="O202" s="2" t="s">
        <v>212</v>
      </c>
      <c r="P202" s="2" t="s">
        <v>205</v>
      </c>
      <c r="Q202" s="2" t="s">
        <v>206</v>
      </c>
      <c r="R202" s="2" t="s">
        <v>200</v>
      </c>
      <c r="S202" s="2" t="s">
        <v>1649</v>
      </c>
      <c r="T202" s="2" t="s">
        <v>200</v>
      </c>
      <c r="U202" s="2" t="s">
        <v>270</v>
      </c>
      <c r="V202" s="2" t="s">
        <v>208</v>
      </c>
      <c r="W202" s="2" t="s">
        <v>241</v>
      </c>
      <c r="X202" s="2" t="s">
        <v>200</v>
      </c>
      <c r="Y202" s="2" t="s">
        <v>1650</v>
      </c>
      <c r="Z202" s="4">
        <v>952</v>
      </c>
      <c r="AA202" s="4">
        <f>=ROUNDDOWN(31.7333333333333,0)</f>
      </c>
      <c r="AB202" s="5">
        <v>30</v>
      </c>
      <c r="AC202" s="2" t="s">
        <v>1435</v>
      </c>
      <c r="AD202" s="4">
        <v>1140</v>
      </c>
      <c r="AE202" s="4">
        <v>1140</v>
      </c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200</v>
      </c>
      <c r="AM202" s="4"/>
      <c r="AN202" s="4"/>
      <c r="AO202" s="7"/>
      <c r="AP202" s="4"/>
      <c r="AQ202" s="8"/>
      <c r="AR202" s="4"/>
      <c r="AS202" s="8"/>
      <c r="AT202" s="7"/>
      <c r="AU202" s="7"/>
      <c r="AV202" s="4"/>
      <c r="AW202" s="8"/>
      <c r="AX202" s="4"/>
      <c r="AY202" s="8"/>
      <c r="AZ202" s="7"/>
      <c r="BA202" s="7"/>
      <c r="BB202" s="7"/>
      <c r="BC202" s="4" t="s">
        <v>200</v>
      </c>
      <c r="BD202" s="8" t="s">
        <v>200</v>
      </c>
      <c r="BE202" s="4" t="s">
        <v>200</v>
      </c>
      <c r="BF202" s="8" t="s">
        <v>200</v>
      </c>
      <c r="BG202" s="7" t="s">
        <v>200</v>
      </c>
      <c r="BH202" s="7" t="s">
        <v>200</v>
      </c>
      <c r="BI202" s="7"/>
      <c r="BJ202" s="4">
        <v>7</v>
      </c>
      <c r="BK202" s="8">
        <v>171.01</v>
      </c>
      <c r="BL202" s="2" t="s">
        <v>1651</v>
      </c>
      <c r="BM202" s="7"/>
      <c r="BN202" s="7"/>
      <c r="BO202" s="4"/>
      <c r="BP202" s="8"/>
      <c r="BQ202" s="4"/>
      <c r="BR202" s="8"/>
      <c r="BS202" s="7"/>
      <c r="BT202" s="7"/>
      <c r="BU202" s="2" t="s">
        <v>1652</v>
      </c>
      <c r="BV202" s="2" t="s">
        <v>200</v>
      </c>
      <c r="BW202" s="2" t="s">
        <v>200</v>
      </c>
      <c r="BX202" s="2" t="s">
        <v>210</v>
      </c>
      <c r="BY202" s="2" t="s">
        <v>247</v>
      </c>
      <c r="BZ202" s="2" t="s">
        <v>212</v>
      </c>
      <c r="CA202" s="2" t="s">
        <v>1653</v>
      </c>
      <c r="CB202" s="2" t="s">
        <v>200</v>
      </c>
      <c r="CC202" s="2" t="s">
        <v>213</v>
      </c>
      <c r="CD202" s="2" t="s">
        <v>200</v>
      </c>
      <c r="CE202" s="4">
        <v>952</v>
      </c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>
        <v>1140</v>
      </c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</row>
    <row r="203">
      <c r="A203" s="2" t="s">
        <v>1654</v>
      </c>
      <c r="B203" s="2" t="s">
        <v>827</v>
      </c>
      <c r="C203" s="2" t="s">
        <v>877</v>
      </c>
      <c r="D203" s="2" t="s">
        <v>1642</v>
      </c>
      <c r="E203" s="2" t="s">
        <v>1643</v>
      </c>
      <c r="F203" s="2" t="s">
        <v>1644</v>
      </c>
      <c r="G203" s="2" t="s">
        <v>1645</v>
      </c>
      <c r="H203" s="2" t="s">
        <v>1646</v>
      </c>
      <c r="I203" s="2" t="s">
        <v>1647</v>
      </c>
      <c r="J203" s="2" t="s">
        <v>1648</v>
      </c>
      <c r="K203" s="2" t="s">
        <v>499</v>
      </c>
      <c r="L203" s="3">
        <v>23.5</v>
      </c>
      <c r="M203" s="3">
        <v>24.68</v>
      </c>
      <c r="N203" s="3">
        <v>49.99</v>
      </c>
      <c r="O203" s="2" t="s">
        <v>212</v>
      </c>
      <c r="P203" s="2" t="s">
        <v>205</v>
      </c>
      <c r="Q203" s="2" t="s">
        <v>206</v>
      </c>
      <c r="R203" s="2" t="s">
        <v>200</v>
      </c>
      <c r="S203" s="2" t="s">
        <v>1655</v>
      </c>
      <c r="T203" s="2" t="s">
        <v>200</v>
      </c>
      <c r="U203" s="2" t="s">
        <v>270</v>
      </c>
      <c r="V203" s="2" t="s">
        <v>208</v>
      </c>
      <c r="W203" s="2" t="s">
        <v>241</v>
      </c>
      <c r="X203" s="2" t="s">
        <v>200</v>
      </c>
      <c r="Y203" s="2" t="s">
        <v>1650</v>
      </c>
      <c r="Z203" s="4">
        <v>1221</v>
      </c>
      <c r="AA203" s="4">
        <f>=ROUNDDOWN(40.7,0)</f>
      </c>
      <c r="AB203" s="5">
        <v>30</v>
      </c>
      <c r="AC203" s="2" t="s">
        <v>1435</v>
      </c>
      <c r="AD203" s="4">
        <v>1540</v>
      </c>
      <c r="AE203" s="4">
        <v>1540</v>
      </c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200</v>
      </c>
      <c r="AM203" s="4"/>
      <c r="AN203" s="4"/>
      <c r="AO203" s="7"/>
      <c r="AP203" s="4"/>
      <c r="AQ203" s="8"/>
      <c r="AR203" s="4"/>
      <c r="AS203" s="8"/>
      <c r="AT203" s="7"/>
      <c r="AU203" s="7"/>
      <c r="AV203" s="4"/>
      <c r="AW203" s="8"/>
      <c r="AX203" s="4"/>
      <c r="AY203" s="8"/>
      <c r="AZ203" s="7"/>
      <c r="BA203" s="7"/>
      <c r="BB203" s="7"/>
      <c r="BC203" s="4" t="s">
        <v>200</v>
      </c>
      <c r="BD203" s="8" t="s">
        <v>200</v>
      </c>
      <c r="BE203" s="4" t="s">
        <v>200</v>
      </c>
      <c r="BF203" s="8" t="s">
        <v>200</v>
      </c>
      <c r="BG203" s="7" t="s">
        <v>200</v>
      </c>
      <c r="BH203" s="7" t="s">
        <v>200</v>
      </c>
      <c r="BI203" s="7"/>
      <c r="BJ203" s="4">
        <v>7</v>
      </c>
      <c r="BK203" s="8">
        <v>171.01</v>
      </c>
      <c r="BL203" s="2" t="s">
        <v>1656</v>
      </c>
      <c r="BM203" s="7"/>
      <c r="BN203" s="7"/>
      <c r="BO203" s="4"/>
      <c r="BP203" s="8"/>
      <c r="BQ203" s="4"/>
      <c r="BR203" s="8"/>
      <c r="BS203" s="7"/>
      <c r="BT203" s="7"/>
      <c r="BU203" s="2" t="s">
        <v>1657</v>
      </c>
      <c r="BV203" s="2" t="s">
        <v>200</v>
      </c>
      <c r="BW203" s="2" t="s">
        <v>200</v>
      </c>
      <c r="BX203" s="2" t="s">
        <v>210</v>
      </c>
      <c r="BY203" s="2" t="s">
        <v>247</v>
      </c>
      <c r="BZ203" s="2" t="s">
        <v>212</v>
      </c>
      <c r="CA203" s="2" t="s">
        <v>1653</v>
      </c>
      <c r="CB203" s="2" t="s">
        <v>200</v>
      </c>
      <c r="CC203" s="2" t="s">
        <v>213</v>
      </c>
      <c r="CD203" s="2" t="s">
        <v>200</v>
      </c>
      <c r="CE203" s="4">
        <v>1221</v>
      </c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>
        <v>1540</v>
      </c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</row>
    <row r="204">
      <c r="A204" s="2" t="s">
        <v>1658</v>
      </c>
      <c r="B204" s="2" t="s">
        <v>827</v>
      </c>
      <c r="C204" s="2" t="s">
        <v>877</v>
      </c>
      <c r="D204" s="2" t="s">
        <v>1642</v>
      </c>
      <c r="E204" s="2" t="s">
        <v>1659</v>
      </c>
      <c r="F204" s="2" t="s">
        <v>1644</v>
      </c>
      <c r="G204" s="2" t="s">
        <v>1645</v>
      </c>
      <c r="H204" s="2" t="s">
        <v>1646</v>
      </c>
      <c r="I204" s="2" t="s">
        <v>1647</v>
      </c>
      <c r="J204" s="2" t="s">
        <v>1660</v>
      </c>
      <c r="K204" s="2" t="s">
        <v>1661</v>
      </c>
      <c r="L204" s="3">
        <v>20.7</v>
      </c>
      <c r="M204" s="3">
        <v>21.74</v>
      </c>
      <c r="N204" s="3">
        <v>44.99</v>
      </c>
      <c r="O204" s="2" t="s">
        <v>212</v>
      </c>
      <c r="P204" s="2" t="s">
        <v>205</v>
      </c>
      <c r="Q204" s="2" t="s">
        <v>206</v>
      </c>
      <c r="R204" s="2" t="s">
        <v>200</v>
      </c>
      <c r="S204" s="2" t="s">
        <v>1662</v>
      </c>
      <c r="T204" s="2" t="s">
        <v>200</v>
      </c>
      <c r="U204" s="2" t="s">
        <v>270</v>
      </c>
      <c r="V204" s="2" t="s">
        <v>208</v>
      </c>
      <c r="W204" s="2" t="s">
        <v>241</v>
      </c>
      <c r="X204" s="2" t="s">
        <v>200</v>
      </c>
      <c r="Y204" s="2" t="s">
        <v>1663</v>
      </c>
      <c r="Z204" s="4">
        <v>533</v>
      </c>
      <c r="AA204" s="4">
        <f>=ROUNDDOWN(11.3404255319149,0)</f>
      </c>
      <c r="AB204" s="5">
        <v>47</v>
      </c>
      <c r="AC204" s="2" t="s">
        <v>369</v>
      </c>
      <c r="AD204" s="4">
        <v>580</v>
      </c>
      <c r="AE204" s="4">
        <v>580</v>
      </c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200</v>
      </c>
      <c r="AM204" s="4"/>
      <c r="AN204" s="4"/>
      <c r="AO204" s="7"/>
      <c r="AP204" s="4"/>
      <c r="AQ204" s="8"/>
      <c r="AR204" s="4"/>
      <c r="AS204" s="8"/>
      <c r="AT204" s="7"/>
      <c r="AU204" s="7"/>
      <c r="AV204" s="4"/>
      <c r="AW204" s="8"/>
      <c r="AX204" s="4"/>
      <c r="AY204" s="8"/>
      <c r="AZ204" s="7"/>
      <c r="BA204" s="7"/>
      <c r="BB204" s="7"/>
      <c r="BC204" s="4" t="s">
        <v>200</v>
      </c>
      <c r="BD204" s="8" t="s">
        <v>200</v>
      </c>
      <c r="BE204" s="4" t="s">
        <v>200</v>
      </c>
      <c r="BF204" s="8" t="s">
        <v>200</v>
      </c>
      <c r="BG204" s="7" t="s">
        <v>200</v>
      </c>
      <c r="BH204" s="7" t="s">
        <v>200</v>
      </c>
      <c r="BI204" s="7"/>
      <c r="BJ204" s="4">
        <v>354</v>
      </c>
      <c r="BK204" s="8">
        <v>7697.24</v>
      </c>
      <c r="BL204" s="2" t="s">
        <v>1664</v>
      </c>
      <c r="BM204" s="7"/>
      <c r="BN204" s="7"/>
      <c r="BO204" s="4"/>
      <c r="BP204" s="8"/>
      <c r="BQ204" s="4"/>
      <c r="BR204" s="8"/>
      <c r="BS204" s="7"/>
      <c r="BT204" s="7"/>
      <c r="BU204" s="2" t="s">
        <v>1665</v>
      </c>
      <c r="BV204" s="2" t="s">
        <v>200</v>
      </c>
      <c r="BW204" s="2" t="s">
        <v>200</v>
      </c>
      <c r="BX204" s="2" t="s">
        <v>264</v>
      </c>
      <c r="BY204" s="2" t="s">
        <v>247</v>
      </c>
      <c r="BZ204" s="2" t="s">
        <v>212</v>
      </c>
      <c r="CA204" s="2" t="s">
        <v>1373</v>
      </c>
      <c r="CB204" s="2" t="s">
        <v>200</v>
      </c>
      <c r="CC204" s="2" t="s">
        <v>213</v>
      </c>
      <c r="CD204" s="2" t="s">
        <v>200</v>
      </c>
      <c r="CE204" s="4">
        <v>533</v>
      </c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>
        <v>580</v>
      </c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</row>
    <row r="205">
      <c r="A205" s="2" t="s">
        <v>1666</v>
      </c>
      <c r="B205" s="2" t="s">
        <v>827</v>
      </c>
      <c r="C205" s="2" t="s">
        <v>877</v>
      </c>
      <c r="D205" s="2" t="s">
        <v>1642</v>
      </c>
      <c r="E205" s="2" t="s">
        <v>1643</v>
      </c>
      <c r="F205" s="2" t="s">
        <v>1644</v>
      </c>
      <c r="G205" s="2" t="s">
        <v>1645</v>
      </c>
      <c r="H205" s="2" t="s">
        <v>1646</v>
      </c>
      <c r="I205" s="2" t="s">
        <v>1647</v>
      </c>
      <c r="J205" s="2" t="s">
        <v>1648</v>
      </c>
      <c r="K205" s="2" t="s">
        <v>436</v>
      </c>
      <c r="L205" s="3">
        <v>23.5</v>
      </c>
      <c r="M205" s="3">
        <v>24.68</v>
      </c>
      <c r="N205" s="3">
        <v>49.99</v>
      </c>
      <c r="O205" s="2" t="s">
        <v>212</v>
      </c>
      <c r="P205" s="2" t="s">
        <v>205</v>
      </c>
      <c r="Q205" s="2" t="s">
        <v>206</v>
      </c>
      <c r="R205" s="2" t="s">
        <v>200</v>
      </c>
      <c r="S205" s="2" t="s">
        <v>1667</v>
      </c>
      <c r="T205" s="2" t="s">
        <v>200</v>
      </c>
      <c r="U205" s="2" t="s">
        <v>270</v>
      </c>
      <c r="V205" s="2" t="s">
        <v>208</v>
      </c>
      <c r="W205" s="2" t="s">
        <v>241</v>
      </c>
      <c r="X205" s="2" t="s">
        <v>200</v>
      </c>
      <c r="Y205" s="2" t="s">
        <v>1650</v>
      </c>
      <c r="Z205" s="4">
        <v>1324</v>
      </c>
      <c r="AA205" s="4">
        <f>=ROUNDDOWN(22.0666666666667,0)</f>
      </c>
      <c r="AB205" s="5">
        <v>60</v>
      </c>
      <c r="AC205" s="2" t="s">
        <v>1435</v>
      </c>
      <c r="AD205" s="4">
        <v>1830</v>
      </c>
      <c r="AE205" s="4">
        <v>1830</v>
      </c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200</v>
      </c>
      <c r="AM205" s="4"/>
      <c r="AN205" s="4"/>
      <c r="AO205" s="7"/>
      <c r="AP205" s="4"/>
      <c r="AQ205" s="8"/>
      <c r="AR205" s="4"/>
      <c r="AS205" s="8"/>
      <c r="AT205" s="7"/>
      <c r="AU205" s="7"/>
      <c r="AV205" s="4"/>
      <c r="AW205" s="8"/>
      <c r="AX205" s="4"/>
      <c r="AY205" s="8"/>
      <c r="AZ205" s="7"/>
      <c r="BA205" s="7"/>
      <c r="BB205" s="7"/>
      <c r="BC205" s="4" t="s">
        <v>200</v>
      </c>
      <c r="BD205" s="8" t="s">
        <v>200</v>
      </c>
      <c r="BE205" s="4" t="s">
        <v>200</v>
      </c>
      <c r="BF205" s="8" t="s">
        <v>200</v>
      </c>
      <c r="BG205" s="7" t="s">
        <v>200</v>
      </c>
      <c r="BH205" s="7" t="s">
        <v>200</v>
      </c>
      <c r="BI205" s="7"/>
      <c r="BJ205" s="4">
        <v>18</v>
      </c>
      <c r="BK205" s="8">
        <v>423</v>
      </c>
      <c r="BL205" s="2" t="s">
        <v>1029</v>
      </c>
      <c r="BM205" s="7"/>
      <c r="BN205" s="7"/>
      <c r="BO205" s="4"/>
      <c r="BP205" s="8"/>
      <c r="BQ205" s="4"/>
      <c r="BR205" s="8"/>
      <c r="BS205" s="7"/>
      <c r="BT205" s="7"/>
      <c r="BU205" s="2" t="s">
        <v>1668</v>
      </c>
      <c r="BV205" s="2" t="s">
        <v>200</v>
      </c>
      <c r="BW205" s="2" t="s">
        <v>200</v>
      </c>
      <c r="BX205" s="2" t="s">
        <v>210</v>
      </c>
      <c r="BY205" s="2" t="s">
        <v>247</v>
      </c>
      <c r="BZ205" s="2" t="s">
        <v>212</v>
      </c>
      <c r="CA205" s="2" t="s">
        <v>1653</v>
      </c>
      <c r="CB205" s="2" t="s">
        <v>200</v>
      </c>
      <c r="CC205" s="2" t="s">
        <v>213</v>
      </c>
      <c r="CD205" s="2" t="s">
        <v>200</v>
      </c>
      <c r="CE205" s="4">
        <v>1324</v>
      </c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>
        <v>1830</v>
      </c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</row>
    <row r="206">
      <c r="A206" s="2" t="s">
        <v>1669</v>
      </c>
      <c r="B206" s="2" t="s">
        <v>827</v>
      </c>
      <c r="C206" s="2" t="s">
        <v>877</v>
      </c>
      <c r="D206" s="2" t="s">
        <v>1642</v>
      </c>
      <c r="E206" s="2" t="s">
        <v>1643</v>
      </c>
      <c r="F206" s="2" t="s">
        <v>1644</v>
      </c>
      <c r="G206" s="2" t="s">
        <v>1645</v>
      </c>
      <c r="H206" s="2" t="s">
        <v>1646</v>
      </c>
      <c r="I206" s="2" t="s">
        <v>1647</v>
      </c>
      <c r="J206" s="2" t="s">
        <v>1648</v>
      </c>
      <c r="K206" s="2" t="s">
        <v>223</v>
      </c>
      <c r="L206" s="3">
        <v>23.5</v>
      </c>
      <c r="M206" s="3">
        <v>24.68</v>
      </c>
      <c r="N206" s="3">
        <v>49.99</v>
      </c>
      <c r="O206" s="2" t="s">
        <v>212</v>
      </c>
      <c r="P206" s="2" t="s">
        <v>205</v>
      </c>
      <c r="Q206" s="2" t="s">
        <v>206</v>
      </c>
      <c r="R206" s="2" t="s">
        <v>200</v>
      </c>
      <c r="S206" s="2" t="s">
        <v>1655</v>
      </c>
      <c r="T206" s="2" t="s">
        <v>200</v>
      </c>
      <c r="U206" s="2" t="s">
        <v>270</v>
      </c>
      <c r="V206" s="2" t="s">
        <v>208</v>
      </c>
      <c r="W206" s="2" t="s">
        <v>241</v>
      </c>
      <c r="X206" s="2" t="s">
        <v>200</v>
      </c>
      <c r="Y206" s="2" t="s">
        <v>1650</v>
      </c>
      <c r="Z206" s="4">
        <v>1082</v>
      </c>
      <c r="AA206" s="4">
        <f>=ROUNDDOWN(36.0666666666667,0)</f>
      </c>
      <c r="AB206" s="5">
        <v>30</v>
      </c>
      <c r="AC206" s="2" t="s">
        <v>1435</v>
      </c>
      <c r="AD206" s="4">
        <v>1270</v>
      </c>
      <c r="AE206" s="4">
        <v>1270</v>
      </c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200</v>
      </c>
      <c r="AM206" s="4"/>
      <c r="AN206" s="4"/>
      <c r="AO206" s="7"/>
      <c r="AP206" s="4"/>
      <c r="AQ206" s="8"/>
      <c r="AR206" s="4"/>
      <c r="AS206" s="8"/>
      <c r="AT206" s="7"/>
      <c r="AU206" s="7"/>
      <c r="AV206" s="4"/>
      <c r="AW206" s="8"/>
      <c r="AX206" s="4"/>
      <c r="AY206" s="8"/>
      <c r="AZ206" s="7"/>
      <c r="BA206" s="7"/>
      <c r="BB206" s="7"/>
      <c r="BC206" s="4" t="s">
        <v>200</v>
      </c>
      <c r="BD206" s="8" t="s">
        <v>200</v>
      </c>
      <c r="BE206" s="4" t="s">
        <v>200</v>
      </c>
      <c r="BF206" s="8" t="s">
        <v>200</v>
      </c>
      <c r="BG206" s="7" t="s">
        <v>200</v>
      </c>
      <c r="BH206" s="7" t="s">
        <v>200</v>
      </c>
      <c r="BI206" s="7"/>
      <c r="BJ206" s="4">
        <v>9</v>
      </c>
      <c r="BK206" s="8">
        <v>211.5</v>
      </c>
      <c r="BL206" s="2" t="s">
        <v>1029</v>
      </c>
      <c r="BM206" s="7"/>
      <c r="BN206" s="7"/>
      <c r="BO206" s="4"/>
      <c r="BP206" s="8"/>
      <c r="BQ206" s="4"/>
      <c r="BR206" s="8"/>
      <c r="BS206" s="7"/>
      <c r="BT206" s="7"/>
      <c r="BU206" s="2" t="s">
        <v>1670</v>
      </c>
      <c r="BV206" s="2" t="s">
        <v>200</v>
      </c>
      <c r="BW206" s="2" t="s">
        <v>200</v>
      </c>
      <c r="BX206" s="2" t="s">
        <v>210</v>
      </c>
      <c r="BY206" s="2" t="s">
        <v>247</v>
      </c>
      <c r="BZ206" s="2" t="s">
        <v>212</v>
      </c>
      <c r="CA206" s="2" t="s">
        <v>1653</v>
      </c>
      <c r="CB206" s="2" t="s">
        <v>200</v>
      </c>
      <c r="CC206" s="2" t="s">
        <v>213</v>
      </c>
      <c r="CD206" s="2" t="s">
        <v>200</v>
      </c>
      <c r="CE206" s="4">
        <v>1082</v>
      </c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>
        <v>1270</v>
      </c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</row>
    <row r="207">
      <c r="A207" s="2" t="s">
        <v>1671</v>
      </c>
      <c r="B207" s="2" t="s">
        <v>744</v>
      </c>
      <c r="C207" s="2" t="s">
        <v>745</v>
      </c>
      <c r="D207" s="2" t="s">
        <v>1413</v>
      </c>
      <c r="E207" s="2" t="s">
        <v>1414</v>
      </c>
      <c r="F207" s="2" t="s">
        <v>1672</v>
      </c>
      <c r="G207" s="2" t="s">
        <v>1672</v>
      </c>
      <c r="H207" s="2" t="s">
        <v>1672</v>
      </c>
      <c r="I207" s="2" t="s">
        <v>1673</v>
      </c>
      <c r="J207" s="2" t="s">
        <v>711</v>
      </c>
      <c r="K207" s="2" t="s">
        <v>857</v>
      </c>
      <c r="L207" s="3">
        <v>117</v>
      </c>
      <c r="M207" s="3">
        <v>122.85</v>
      </c>
      <c r="N207" s="3">
        <v>249</v>
      </c>
      <c r="O207" s="2" t="s">
        <v>212</v>
      </c>
      <c r="P207" s="2" t="s">
        <v>205</v>
      </c>
      <c r="Q207" s="2" t="s">
        <v>206</v>
      </c>
      <c r="R207" s="2" t="s">
        <v>200</v>
      </c>
      <c r="S207" s="2" t="s">
        <v>200</v>
      </c>
      <c r="T207" s="2" t="s">
        <v>200</v>
      </c>
      <c r="U207" s="2" t="s">
        <v>270</v>
      </c>
      <c r="V207" s="2" t="s">
        <v>616</v>
      </c>
      <c r="W207" s="2" t="s">
        <v>241</v>
      </c>
      <c r="X207" s="2" t="s">
        <v>200</v>
      </c>
      <c r="Y207" s="2" t="s">
        <v>1183</v>
      </c>
      <c r="Z207" s="4"/>
      <c r="AA207" s="4">
        <f>=ROUNDDOWN({0},0)</f>
      </c>
      <c r="AB207" s="5">
        <v>8</v>
      </c>
      <c r="AC207" s="2" t="s">
        <v>1674</v>
      </c>
      <c r="AD207" s="4">
        <v>100</v>
      </c>
      <c r="AE207" s="4">
        <v>250</v>
      </c>
      <c r="AF207" s="6">
        <v>66</v>
      </c>
      <c r="AG207" s="6"/>
      <c r="AH207" s="7">
        <v>0</v>
      </c>
      <c r="AI207" s="4"/>
      <c r="AJ207" s="4">
        <f>=ROUNDDOWN({0},0)</f>
      </c>
      <c r="AK207" s="5"/>
      <c r="AL207" s="2" t="s">
        <v>200</v>
      </c>
      <c r="AM207" s="4"/>
      <c r="AN207" s="4"/>
      <c r="AO207" s="7"/>
      <c r="AP207" s="4"/>
      <c r="AQ207" s="8"/>
      <c r="AR207" s="4"/>
      <c r="AS207" s="8"/>
      <c r="AT207" s="7"/>
      <c r="AU207" s="7"/>
      <c r="AV207" s="4"/>
      <c r="AW207" s="8"/>
      <c r="AX207" s="4"/>
      <c r="AY207" s="8"/>
      <c r="AZ207" s="7"/>
      <c r="BA207" s="7"/>
      <c r="BB207" s="7"/>
      <c r="BC207" s="4"/>
      <c r="BD207" s="8"/>
      <c r="BE207" s="4"/>
      <c r="BF207" s="8"/>
      <c r="BG207" s="7"/>
      <c r="BH207" s="7"/>
      <c r="BI207" s="7"/>
      <c r="BJ207" s="4">
        <v>3</v>
      </c>
      <c r="BK207" s="8">
        <v>359.59</v>
      </c>
      <c r="BL207" s="2" t="s">
        <v>1675</v>
      </c>
      <c r="BM207" s="7"/>
      <c r="BN207" s="7"/>
      <c r="BO207" s="4"/>
      <c r="BP207" s="8"/>
      <c r="BQ207" s="4"/>
      <c r="BR207" s="8"/>
      <c r="BS207" s="7"/>
      <c r="BT207" s="7"/>
      <c r="BU207" s="2" t="s">
        <v>1676</v>
      </c>
      <c r="BV207" s="2" t="s">
        <v>200</v>
      </c>
      <c r="BW207" s="2" t="s">
        <v>200</v>
      </c>
      <c r="BX207" s="2" t="s">
        <v>620</v>
      </c>
      <c r="BY207" s="2" t="s">
        <v>247</v>
      </c>
      <c r="BZ207" s="2" t="s">
        <v>212</v>
      </c>
      <c r="CA207" s="2" t="s">
        <v>1427</v>
      </c>
      <c r="CB207" s="2" t="s">
        <v>1677</v>
      </c>
      <c r="CC207" s="2" t="s">
        <v>213</v>
      </c>
      <c r="CD207" s="2" t="s">
        <v>200</v>
      </c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>
        <v>100</v>
      </c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>
        <v>150</v>
      </c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</row>
    <row r="208">
      <c r="A208" s="2" t="s">
        <v>1678</v>
      </c>
      <c r="B208" s="2" t="s">
        <v>744</v>
      </c>
      <c r="C208" s="2" t="s">
        <v>231</v>
      </c>
      <c r="D208" s="2" t="s">
        <v>1275</v>
      </c>
      <c r="E208" s="2" t="s">
        <v>1276</v>
      </c>
      <c r="F208" s="2" t="s">
        <v>1679</v>
      </c>
      <c r="G208" s="2" t="s">
        <v>1680</v>
      </c>
      <c r="H208" s="2" t="s">
        <v>1681</v>
      </c>
      <c r="I208" s="2" t="s">
        <v>1682</v>
      </c>
      <c r="J208" s="2" t="s">
        <v>711</v>
      </c>
      <c r="K208" s="2" t="s">
        <v>387</v>
      </c>
      <c r="L208" s="3">
        <v>204.25</v>
      </c>
      <c r="M208" s="3">
        <v>214.46</v>
      </c>
      <c r="N208" s="3">
        <v>429</v>
      </c>
      <c r="O208" s="2" t="s">
        <v>212</v>
      </c>
      <c r="P208" s="2" t="s">
        <v>285</v>
      </c>
      <c r="Q208" s="2" t="s">
        <v>206</v>
      </c>
      <c r="R208" s="2" t="s">
        <v>200</v>
      </c>
      <c r="S208" s="2" t="s">
        <v>1683</v>
      </c>
      <c r="T208" s="2" t="s">
        <v>200</v>
      </c>
      <c r="U208" s="2" t="s">
        <v>200</v>
      </c>
      <c r="V208" s="2" t="s">
        <v>208</v>
      </c>
      <c r="W208" s="2" t="s">
        <v>379</v>
      </c>
      <c r="X208" s="2" t="s">
        <v>200</v>
      </c>
      <c r="Y208" s="2" t="s">
        <v>261</v>
      </c>
      <c r="Z208" s="4">
        <v>92</v>
      </c>
      <c r="AA208" s="4">
        <f>=ROUNDDOWN(30.6666666666667,0)</f>
      </c>
      <c r="AB208" s="5">
        <v>3</v>
      </c>
      <c r="AC208" s="2" t="s">
        <v>200</v>
      </c>
      <c r="AD208" s="4"/>
      <c r="AE208" s="4"/>
      <c r="AF208" s="6">
        <v>66</v>
      </c>
      <c r="AG208" s="6">
        <v>49</v>
      </c>
      <c r="AH208" s="7">
        <v>1</v>
      </c>
      <c r="AI208" s="4"/>
      <c r="AJ208" s="4">
        <f>=ROUNDDOWN({0},0)</f>
      </c>
      <c r="AK208" s="5"/>
      <c r="AL208" s="2" t="s">
        <v>200</v>
      </c>
      <c r="AM208" s="4"/>
      <c r="AN208" s="4"/>
      <c r="AO208" s="7"/>
      <c r="AP208" s="4"/>
      <c r="AQ208" s="8"/>
      <c r="AR208" s="4"/>
      <c r="AS208" s="8"/>
      <c r="AT208" s="7"/>
      <c r="AU208" s="7"/>
      <c r="AV208" s="4"/>
      <c r="AW208" s="8"/>
      <c r="AX208" s="4"/>
      <c r="AY208" s="8"/>
      <c r="AZ208" s="7"/>
      <c r="BA208" s="7"/>
      <c r="BB208" s="7"/>
      <c r="BC208" s="4" t="s">
        <v>200</v>
      </c>
      <c r="BD208" s="8" t="s">
        <v>200</v>
      </c>
      <c r="BE208" s="4" t="s">
        <v>200</v>
      </c>
      <c r="BF208" s="8" t="s">
        <v>200</v>
      </c>
      <c r="BG208" s="7" t="s">
        <v>200</v>
      </c>
      <c r="BH208" s="7" t="s">
        <v>200</v>
      </c>
      <c r="BI208" s="7"/>
      <c r="BJ208" s="4">
        <v>23</v>
      </c>
      <c r="BK208" s="8">
        <v>4176.69</v>
      </c>
      <c r="BL208" s="2" t="s">
        <v>1684</v>
      </c>
      <c r="BM208" s="7"/>
      <c r="BN208" s="7"/>
      <c r="BO208" s="4"/>
      <c r="BP208" s="8"/>
      <c r="BQ208" s="4"/>
      <c r="BR208" s="8"/>
      <c r="BS208" s="7"/>
      <c r="BT208" s="7"/>
      <c r="BU208" s="2" t="s">
        <v>1685</v>
      </c>
      <c r="BV208" s="2" t="s">
        <v>200</v>
      </c>
      <c r="BW208" s="2" t="s">
        <v>200</v>
      </c>
      <c r="BX208" s="2" t="s">
        <v>289</v>
      </c>
      <c r="BY208" s="2" t="s">
        <v>247</v>
      </c>
      <c r="BZ208" s="2" t="s">
        <v>212</v>
      </c>
      <c r="CA208" s="2" t="s">
        <v>265</v>
      </c>
      <c r="CB208" s="2" t="s">
        <v>1686</v>
      </c>
      <c r="CC208" s="2" t="s">
        <v>213</v>
      </c>
      <c r="CD208" s="2" t="s">
        <v>200</v>
      </c>
      <c r="CE208" s="4"/>
      <c r="CF208" s="4">
        <v>92</v>
      </c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</row>
    <row r="209">
      <c r="A209" s="2" t="s">
        <v>1687</v>
      </c>
      <c r="B209" s="2" t="s">
        <v>744</v>
      </c>
      <c r="C209" s="2" t="s">
        <v>231</v>
      </c>
      <c r="D209" s="2" t="s">
        <v>1275</v>
      </c>
      <c r="E209" s="2" t="s">
        <v>1276</v>
      </c>
      <c r="F209" s="2" t="s">
        <v>1679</v>
      </c>
      <c r="G209" s="2" t="s">
        <v>1680</v>
      </c>
      <c r="H209" s="2" t="s">
        <v>1681</v>
      </c>
      <c r="I209" s="2" t="s">
        <v>1682</v>
      </c>
      <c r="J209" s="2" t="s">
        <v>711</v>
      </c>
      <c r="K209" s="2" t="s">
        <v>1688</v>
      </c>
      <c r="L209" s="3">
        <v>204.25</v>
      </c>
      <c r="M209" s="3">
        <v>214.46</v>
      </c>
      <c r="N209" s="3">
        <v>429</v>
      </c>
      <c r="O209" s="2" t="s">
        <v>212</v>
      </c>
      <c r="P209" s="2" t="s">
        <v>258</v>
      </c>
      <c r="Q209" s="2" t="s">
        <v>206</v>
      </c>
      <c r="R209" s="2" t="s">
        <v>200</v>
      </c>
      <c r="S209" s="2" t="s">
        <v>1689</v>
      </c>
      <c r="T209" s="2" t="s">
        <v>200</v>
      </c>
      <c r="U209" s="2" t="s">
        <v>200</v>
      </c>
      <c r="V209" s="2" t="s">
        <v>208</v>
      </c>
      <c r="W209" s="2" t="s">
        <v>379</v>
      </c>
      <c r="X209" s="2" t="s">
        <v>200</v>
      </c>
      <c r="Y209" s="2" t="s">
        <v>261</v>
      </c>
      <c r="Z209" s="4">
        <v>119</v>
      </c>
      <c r="AA209" s="4">
        <f>=ROUNDDOWN(59.5,0)</f>
      </c>
      <c r="AB209" s="5">
        <v>2</v>
      </c>
      <c r="AC209" s="2" t="s">
        <v>200</v>
      </c>
      <c r="AD209" s="4"/>
      <c r="AE209" s="4"/>
      <c r="AF209" s="6">
        <v>66</v>
      </c>
      <c r="AG209" s="6"/>
      <c r="AH209" s="7">
        <v>1</v>
      </c>
      <c r="AI209" s="4"/>
      <c r="AJ209" s="4">
        <f>=ROUNDDOWN({0},0)</f>
      </c>
      <c r="AK209" s="5"/>
      <c r="AL209" s="2" t="s">
        <v>200</v>
      </c>
      <c r="AM209" s="4"/>
      <c r="AN209" s="4"/>
      <c r="AO209" s="7"/>
      <c r="AP209" s="4"/>
      <c r="AQ209" s="8"/>
      <c r="AR209" s="4"/>
      <c r="AS209" s="8"/>
      <c r="AT209" s="7"/>
      <c r="AU209" s="7"/>
      <c r="AV209" s="4"/>
      <c r="AW209" s="8"/>
      <c r="AX209" s="4"/>
      <c r="AY209" s="8"/>
      <c r="AZ209" s="7"/>
      <c r="BA209" s="7"/>
      <c r="BB209" s="7"/>
      <c r="BC209" s="4" t="s">
        <v>200</v>
      </c>
      <c r="BD209" s="8" t="s">
        <v>200</v>
      </c>
      <c r="BE209" s="4" t="s">
        <v>200</v>
      </c>
      <c r="BF209" s="8" t="s">
        <v>200</v>
      </c>
      <c r="BG209" s="7" t="s">
        <v>200</v>
      </c>
      <c r="BH209" s="7" t="s">
        <v>200</v>
      </c>
      <c r="BI209" s="7"/>
      <c r="BJ209" s="4">
        <v>13</v>
      </c>
      <c r="BK209" s="8">
        <v>2575.29</v>
      </c>
      <c r="BL209" s="2" t="s">
        <v>1690</v>
      </c>
      <c r="BM209" s="7"/>
      <c r="BN209" s="7"/>
      <c r="BO209" s="4"/>
      <c r="BP209" s="8"/>
      <c r="BQ209" s="4"/>
      <c r="BR209" s="8"/>
      <c r="BS209" s="7"/>
      <c r="BT209" s="7"/>
      <c r="BU209" s="2" t="s">
        <v>1691</v>
      </c>
      <c r="BV209" s="2" t="s">
        <v>200</v>
      </c>
      <c r="BW209" s="2" t="s">
        <v>200</v>
      </c>
      <c r="BX209" s="2" t="s">
        <v>264</v>
      </c>
      <c r="BY209" s="2" t="s">
        <v>247</v>
      </c>
      <c r="BZ209" s="2" t="s">
        <v>212</v>
      </c>
      <c r="CA209" s="2" t="s">
        <v>265</v>
      </c>
      <c r="CB209" s="2" t="s">
        <v>1692</v>
      </c>
      <c r="CC209" s="2" t="s">
        <v>213</v>
      </c>
      <c r="CD209" s="2" t="s">
        <v>200</v>
      </c>
      <c r="CE209" s="4"/>
      <c r="CF209" s="4">
        <v>119</v>
      </c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</row>
    <row r="210">
      <c r="A210" s="2" t="s">
        <v>1693</v>
      </c>
      <c r="B210" s="2" t="s">
        <v>744</v>
      </c>
      <c r="C210" s="2" t="s">
        <v>231</v>
      </c>
      <c r="D210" s="2" t="s">
        <v>1275</v>
      </c>
      <c r="E210" s="2" t="s">
        <v>1276</v>
      </c>
      <c r="F210" s="2" t="s">
        <v>1679</v>
      </c>
      <c r="G210" s="2" t="s">
        <v>1680</v>
      </c>
      <c r="H210" s="2" t="s">
        <v>1681</v>
      </c>
      <c r="I210" s="2" t="s">
        <v>1682</v>
      </c>
      <c r="J210" s="2" t="s">
        <v>711</v>
      </c>
      <c r="K210" s="2" t="s">
        <v>223</v>
      </c>
      <c r="L210" s="3">
        <v>204.25</v>
      </c>
      <c r="M210" s="3">
        <v>214.46</v>
      </c>
      <c r="N210" s="3">
        <v>429</v>
      </c>
      <c r="O210" s="2" t="s">
        <v>212</v>
      </c>
      <c r="P210" s="2" t="s">
        <v>285</v>
      </c>
      <c r="Q210" s="2" t="s">
        <v>206</v>
      </c>
      <c r="R210" s="2" t="s">
        <v>200</v>
      </c>
      <c r="S210" s="2" t="s">
        <v>1694</v>
      </c>
      <c r="T210" s="2" t="s">
        <v>200</v>
      </c>
      <c r="U210" s="2" t="s">
        <v>200</v>
      </c>
      <c r="V210" s="2" t="s">
        <v>1695</v>
      </c>
      <c r="W210" s="2" t="s">
        <v>379</v>
      </c>
      <c r="X210" s="2" t="s">
        <v>200</v>
      </c>
      <c r="Y210" s="2" t="s">
        <v>261</v>
      </c>
      <c r="Z210" s="4">
        <v>4</v>
      </c>
      <c r="AA210" s="4">
        <f>=ROUNDDOWN(1.9047619047619,0)</f>
      </c>
      <c r="AB210" s="5">
        <v>2.1</v>
      </c>
      <c r="AC210" s="2" t="s">
        <v>200</v>
      </c>
      <c r="AD210" s="4"/>
      <c r="AE210" s="4"/>
      <c r="AF210" s="6">
        <v>67</v>
      </c>
      <c r="AG210" s="6">
        <v>50</v>
      </c>
      <c r="AH210" s="7">
        <v>1</v>
      </c>
      <c r="AI210" s="4"/>
      <c r="AJ210" s="4">
        <f>=ROUNDDOWN({0},0)</f>
      </c>
      <c r="AK210" s="5"/>
      <c r="AL210" s="2" t="s">
        <v>200</v>
      </c>
      <c r="AM210" s="4"/>
      <c r="AN210" s="4"/>
      <c r="AO210" s="7"/>
      <c r="AP210" s="4"/>
      <c r="AQ210" s="8"/>
      <c r="AR210" s="4"/>
      <c r="AS210" s="8"/>
      <c r="AT210" s="7"/>
      <c r="AU210" s="7"/>
      <c r="AV210" s="4"/>
      <c r="AW210" s="8"/>
      <c r="AX210" s="4"/>
      <c r="AY210" s="8"/>
      <c r="AZ210" s="7"/>
      <c r="BA210" s="7"/>
      <c r="BB210" s="7"/>
      <c r="BC210" s="4" t="s">
        <v>200</v>
      </c>
      <c r="BD210" s="8" t="s">
        <v>200</v>
      </c>
      <c r="BE210" s="4" t="s">
        <v>200</v>
      </c>
      <c r="BF210" s="8" t="s">
        <v>200</v>
      </c>
      <c r="BG210" s="7" t="s">
        <v>200</v>
      </c>
      <c r="BH210" s="7" t="s">
        <v>200</v>
      </c>
      <c r="BI210" s="7"/>
      <c r="BJ210" s="4">
        <v>5</v>
      </c>
      <c r="BK210" s="8">
        <v>961.74</v>
      </c>
      <c r="BL210" s="2" t="s">
        <v>1696</v>
      </c>
      <c r="BM210" s="7"/>
      <c r="BN210" s="7"/>
      <c r="BO210" s="4"/>
      <c r="BP210" s="8"/>
      <c r="BQ210" s="4"/>
      <c r="BR210" s="8"/>
      <c r="BS210" s="7"/>
      <c r="BT210" s="7"/>
      <c r="BU210" s="2" t="s">
        <v>1697</v>
      </c>
      <c r="BV210" s="2" t="s">
        <v>200</v>
      </c>
      <c r="BW210" s="2" t="s">
        <v>200</v>
      </c>
      <c r="BX210" s="2" t="s">
        <v>289</v>
      </c>
      <c r="BY210" s="2" t="s">
        <v>247</v>
      </c>
      <c r="BZ210" s="2" t="s">
        <v>212</v>
      </c>
      <c r="CA210" s="2" t="s">
        <v>265</v>
      </c>
      <c r="CB210" s="2" t="s">
        <v>1698</v>
      </c>
      <c r="CC210" s="2" t="s">
        <v>213</v>
      </c>
      <c r="CD210" s="2" t="s">
        <v>200</v>
      </c>
      <c r="CE210" s="4"/>
      <c r="CF210" s="4"/>
      <c r="CG210" s="4"/>
      <c r="CH210" s="4">
        <v>4</v>
      </c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</row>
    <row r="211">
      <c r="A211" s="2" t="s">
        <v>1699</v>
      </c>
      <c r="B211" s="2" t="s">
        <v>744</v>
      </c>
      <c r="C211" s="2" t="s">
        <v>231</v>
      </c>
      <c r="D211" s="2" t="s">
        <v>1275</v>
      </c>
      <c r="E211" s="2" t="s">
        <v>1276</v>
      </c>
      <c r="F211" s="2" t="s">
        <v>1679</v>
      </c>
      <c r="G211" s="2" t="s">
        <v>1680</v>
      </c>
      <c r="H211" s="2" t="s">
        <v>1681</v>
      </c>
      <c r="I211" s="2" t="s">
        <v>1682</v>
      </c>
      <c r="J211" s="2" t="s">
        <v>711</v>
      </c>
      <c r="K211" s="2" t="s">
        <v>1700</v>
      </c>
      <c r="L211" s="3">
        <v>204.25</v>
      </c>
      <c r="M211" s="3">
        <v>214.46</v>
      </c>
      <c r="N211" s="3">
        <v>429</v>
      </c>
      <c r="O211" s="2" t="s">
        <v>212</v>
      </c>
      <c r="P211" s="2" t="s">
        <v>285</v>
      </c>
      <c r="Q211" s="2" t="s">
        <v>206</v>
      </c>
      <c r="R211" s="2" t="s">
        <v>200</v>
      </c>
      <c r="S211" s="2" t="s">
        <v>1701</v>
      </c>
      <c r="T211" s="2" t="s">
        <v>200</v>
      </c>
      <c r="U211" s="2" t="s">
        <v>200</v>
      </c>
      <c r="V211" s="2" t="s">
        <v>208</v>
      </c>
      <c r="W211" s="2" t="s">
        <v>379</v>
      </c>
      <c r="X211" s="2" t="s">
        <v>200</v>
      </c>
      <c r="Y211" s="2" t="s">
        <v>261</v>
      </c>
      <c r="Z211" s="4">
        <v>54</v>
      </c>
      <c r="AA211" s="4">
        <f>=ROUNDDOWN(18,0)</f>
      </c>
      <c r="AB211" s="5">
        <v>3</v>
      </c>
      <c r="AC211" s="2" t="s">
        <v>200</v>
      </c>
      <c r="AD211" s="4"/>
      <c r="AE211" s="4"/>
      <c r="AF211" s="6">
        <v>66</v>
      </c>
      <c r="AG211" s="6">
        <v>49</v>
      </c>
      <c r="AH211" s="7">
        <v>1</v>
      </c>
      <c r="AI211" s="4"/>
      <c r="AJ211" s="4">
        <f>=ROUNDDOWN({0},0)</f>
      </c>
      <c r="AK211" s="5"/>
      <c r="AL211" s="2" t="s">
        <v>200</v>
      </c>
      <c r="AM211" s="4"/>
      <c r="AN211" s="4"/>
      <c r="AO211" s="7"/>
      <c r="AP211" s="4"/>
      <c r="AQ211" s="8"/>
      <c r="AR211" s="4"/>
      <c r="AS211" s="8"/>
      <c r="AT211" s="7"/>
      <c r="AU211" s="7"/>
      <c r="AV211" s="4"/>
      <c r="AW211" s="8"/>
      <c r="AX211" s="4"/>
      <c r="AY211" s="8"/>
      <c r="AZ211" s="7"/>
      <c r="BA211" s="7"/>
      <c r="BB211" s="7"/>
      <c r="BC211" s="4" t="s">
        <v>200</v>
      </c>
      <c r="BD211" s="8" t="s">
        <v>200</v>
      </c>
      <c r="BE211" s="4" t="s">
        <v>200</v>
      </c>
      <c r="BF211" s="8" t="s">
        <v>200</v>
      </c>
      <c r="BG211" s="7" t="s">
        <v>200</v>
      </c>
      <c r="BH211" s="7" t="s">
        <v>200</v>
      </c>
      <c r="BI211" s="7"/>
      <c r="BJ211" s="4">
        <v>14</v>
      </c>
      <c r="BK211" s="8">
        <v>2772.18</v>
      </c>
      <c r="BL211" s="2" t="s">
        <v>1702</v>
      </c>
      <c r="BM211" s="7"/>
      <c r="BN211" s="7"/>
      <c r="BO211" s="4"/>
      <c r="BP211" s="8"/>
      <c r="BQ211" s="4"/>
      <c r="BR211" s="8"/>
      <c r="BS211" s="7"/>
      <c r="BT211" s="7"/>
      <c r="BU211" s="2" t="s">
        <v>1703</v>
      </c>
      <c r="BV211" s="2" t="s">
        <v>200</v>
      </c>
      <c r="BW211" s="2" t="s">
        <v>200</v>
      </c>
      <c r="BX211" s="2" t="s">
        <v>289</v>
      </c>
      <c r="BY211" s="2" t="s">
        <v>247</v>
      </c>
      <c r="BZ211" s="2" t="s">
        <v>212</v>
      </c>
      <c r="CA211" s="2" t="s">
        <v>265</v>
      </c>
      <c r="CB211" s="2" t="s">
        <v>1704</v>
      </c>
      <c r="CC211" s="2" t="s">
        <v>213</v>
      </c>
      <c r="CD211" s="2" t="s">
        <v>200</v>
      </c>
      <c r="CE211" s="4"/>
      <c r="CF211" s="4">
        <v>54</v>
      </c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</row>
    <row r="212">
      <c r="A212" s="2" t="s">
        <v>1705</v>
      </c>
      <c r="B212" s="2" t="s">
        <v>705</v>
      </c>
      <c r="C212" s="2" t="s">
        <v>1375</v>
      </c>
      <c r="D212" s="2" t="s">
        <v>817</v>
      </c>
      <c r="E212" s="2" t="s">
        <v>818</v>
      </c>
      <c r="F212" s="2" t="s">
        <v>1706</v>
      </c>
      <c r="G212" s="2" t="s">
        <v>1706</v>
      </c>
      <c r="H212" s="2" t="s">
        <v>1706</v>
      </c>
      <c r="I212" s="2" t="s">
        <v>1707</v>
      </c>
      <c r="J212" s="2" t="s">
        <v>711</v>
      </c>
      <c r="K212" s="2" t="s">
        <v>221</v>
      </c>
      <c r="L212" s="3">
        <v>19.24</v>
      </c>
      <c r="M212" s="3">
        <v>20.2</v>
      </c>
      <c r="N212" s="3">
        <v>42.99</v>
      </c>
      <c r="O212" s="2" t="s">
        <v>212</v>
      </c>
      <c r="P212" s="2" t="s">
        <v>285</v>
      </c>
      <c r="Q212" s="2" t="s">
        <v>206</v>
      </c>
      <c r="R212" s="2" t="s">
        <v>200</v>
      </c>
      <c r="S212" s="2" t="s">
        <v>200</v>
      </c>
      <c r="T212" s="2" t="s">
        <v>200</v>
      </c>
      <c r="U212" s="2" t="s">
        <v>270</v>
      </c>
      <c r="V212" s="2" t="s">
        <v>616</v>
      </c>
      <c r="W212" s="2" t="s">
        <v>379</v>
      </c>
      <c r="X212" s="2" t="s">
        <v>200</v>
      </c>
      <c r="Y212" s="2" t="s">
        <v>1708</v>
      </c>
      <c r="Z212" s="4">
        <v>33</v>
      </c>
      <c r="AA212" s="4">
        <f>=ROUNDDOWN(13.2,0)</f>
      </c>
      <c r="AB212" s="5">
        <v>2.5</v>
      </c>
      <c r="AC212" s="2" t="s">
        <v>200</v>
      </c>
      <c r="AD212" s="4"/>
      <c r="AE212" s="4"/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200</v>
      </c>
      <c r="AM212" s="4"/>
      <c r="AN212" s="4"/>
      <c r="AO212" s="7"/>
      <c r="AP212" s="4"/>
      <c r="AQ212" s="8"/>
      <c r="AR212" s="4"/>
      <c r="AS212" s="8"/>
      <c r="AT212" s="7"/>
      <c r="AU212" s="7"/>
      <c r="AV212" s="4"/>
      <c r="AW212" s="8"/>
      <c r="AX212" s="4"/>
      <c r="AY212" s="8"/>
      <c r="AZ212" s="7"/>
      <c r="BA212" s="7"/>
      <c r="BB212" s="7"/>
      <c r="BC212" s="4"/>
      <c r="BD212" s="8"/>
      <c r="BE212" s="4"/>
      <c r="BF212" s="8"/>
      <c r="BG212" s="7"/>
      <c r="BH212" s="7"/>
      <c r="BI212" s="7"/>
      <c r="BJ212" s="4">
        <v>13</v>
      </c>
      <c r="BK212" s="8">
        <v>332.16</v>
      </c>
      <c r="BL212" s="2" t="s">
        <v>752</v>
      </c>
      <c r="BM212" s="7"/>
      <c r="BN212" s="7"/>
      <c r="BO212" s="4"/>
      <c r="BP212" s="8"/>
      <c r="BQ212" s="4"/>
      <c r="BR212" s="8"/>
      <c r="BS212" s="7"/>
      <c r="BT212" s="7"/>
      <c r="BU212" s="2" t="s">
        <v>1709</v>
      </c>
      <c r="BV212" s="2" t="s">
        <v>200</v>
      </c>
      <c r="BW212" s="2" t="s">
        <v>200</v>
      </c>
      <c r="BX212" s="2" t="s">
        <v>289</v>
      </c>
      <c r="BY212" s="2" t="s">
        <v>247</v>
      </c>
      <c r="BZ212" s="2" t="s">
        <v>212</v>
      </c>
      <c r="CA212" s="2" t="s">
        <v>1710</v>
      </c>
      <c r="CB212" s="2" t="s">
        <v>754</v>
      </c>
      <c r="CC212" s="2" t="s">
        <v>213</v>
      </c>
      <c r="CD212" s="2" t="s">
        <v>200</v>
      </c>
      <c r="CE212" s="4"/>
      <c r="CF212" s="4">
        <v>33</v>
      </c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</row>
    <row r="213">
      <c r="A213" s="2" t="s">
        <v>1711</v>
      </c>
      <c r="B213" s="2" t="s">
        <v>1099</v>
      </c>
      <c r="C213" s="2" t="s">
        <v>231</v>
      </c>
      <c r="D213" s="2" t="s">
        <v>1100</v>
      </c>
      <c r="E213" s="2" t="s">
        <v>1101</v>
      </c>
      <c r="F213" s="2" t="s">
        <v>1712</v>
      </c>
      <c r="G213" s="2" t="s">
        <v>1713</v>
      </c>
      <c r="H213" s="2" t="s">
        <v>1714</v>
      </c>
      <c r="I213" s="2" t="s">
        <v>1715</v>
      </c>
      <c r="J213" s="2" t="s">
        <v>1110</v>
      </c>
      <c r="K213" s="2" t="s">
        <v>387</v>
      </c>
      <c r="L213" s="3">
        <v>26.91</v>
      </c>
      <c r="M213" s="3">
        <v>28.26</v>
      </c>
      <c r="N213" s="3">
        <v>59.99</v>
      </c>
      <c r="O213" s="2" t="s">
        <v>212</v>
      </c>
      <c r="P213" s="2" t="s">
        <v>1247</v>
      </c>
      <c r="Q213" s="2" t="s">
        <v>206</v>
      </c>
      <c r="R213" s="2" t="s">
        <v>200</v>
      </c>
      <c r="S213" s="2" t="s">
        <v>1716</v>
      </c>
      <c r="T213" s="2" t="s">
        <v>200</v>
      </c>
      <c r="U213" s="2" t="s">
        <v>200</v>
      </c>
      <c r="V213" s="2" t="s">
        <v>313</v>
      </c>
      <c r="W213" s="2" t="s">
        <v>313</v>
      </c>
      <c r="X213" s="2" t="s">
        <v>200</v>
      </c>
      <c r="Y213" s="2" t="s">
        <v>1717</v>
      </c>
      <c r="Z213" s="4">
        <v>611</v>
      </c>
      <c r="AA213" s="4">
        <f>=ROUNDDOWN(35.9411764705882,0)</f>
      </c>
      <c r="AB213" s="5">
        <v>17</v>
      </c>
      <c r="AC213" s="2" t="s">
        <v>1105</v>
      </c>
      <c r="AD213" s="4">
        <v>300</v>
      </c>
      <c r="AE213" s="4">
        <v>300</v>
      </c>
      <c r="AF213" s="6">
        <v>67</v>
      </c>
      <c r="AG213" s="6"/>
      <c r="AH213" s="7">
        <v>1</v>
      </c>
      <c r="AI213" s="4"/>
      <c r="AJ213" s="4">
        <f>=ROUNDDOWN({0},0)</f>
      </c>
      <c r="AK213" s="5"/>
      <c r="AL213" s="2" t="s">
        <v>200</v>
      </c>
      <c r="AM213" s="4"/>
      <c r="AN213" s="4"/>
      <c r="AO213" s="7"/>
      <c r="AP213" s="4"/>
      <c r="AQ213" s="8"/>
      <c r="AR213" s="4"/>
      <c r="AS213" s="8"/>
      <c r="AT213" s="7"/>
      <c r="AU213" s="7"/>
      <c r="AV213" s="4"/>
      <c r="AW213" s="8"/>
      <c r="AX213" s="4"/>
      <c r="AY213" s="8"/>
      <c r="AZ213" s="7"/>
      <c r="BA213" s="7"/>
      <c r="BB213" s="7"/>
      <c r="BC213" s="4"/>
      <c r="BD213" s="8"/>
      <c r="BE213" s="4"/>
      <c r="BF213" s="8"/>
      <c r="BG213" s="7"/>
      <c r="BH213" s="7"/>
      <c r="BI213" s="7"/>
      <c r="BJ213" s="4">
        <v>59</v>
      </c>
      <c r="BK213" s="8">
        <v>1819.94</v>
      </c>
      <c r="BL213" s="2" t="s">
        <v>1718</v>
      </c>
      <c r="BM213" s="7"/>
      <c r="BN213" s="7"/>
      <c r="BO213" s="4"/>
      <c r="BP213" s="8"/>
      <c r="BQ213" s="4"/>
      <c r="BR213" s="8"/>
      <c r="BS213" s="7"/>
      <c r="BT213" s="7"/>
      <c r="BU213" s="2" t="s">
        <v>1719</v>
      </c>
      <c r="BV213" s="2" t="s">
        <v>200</v>
      </c>
      <c r="BW213" s="2" t="s">
        <v>200</v>
      </c>
      <c r="BX213" s="2" t="s">
        <v>264</v>
      </c>
      <c r="BY213" s="2" t="s">
        <v>247</v>
      </c>
      <c r="BZ213" s="2" t="s">
        <v>212</v>
      </c>
      <c r="CA213" s="2" t="s">
        <v>1720</v>
      </c>
      <c r="CB213" s="2" t="s">
        <v>1721</v>
      </c>
      <c r="CC213" s="2" t="s">
        <v>213</v>
      </c>
      <c r="CD213" s="2" t="s">
        <v>200</v>
      </c>
      <c r="CE213" s="4">
        <v>470</v>
      </c>
      <c r="CF213" s="4">
        <v>141</v>
      </c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>
        <v>300</v>
      </c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</row>
    <row r="214">
      <c r="A214" s="2" t="s">
        <v>1722</v>
      </c>
      <c r="B214" s="2" t="s">
        <v>719</v>
      </c>
      <c r="C214" s="2" t="s">
        <v>231</v>
      </c>
      <c r="D214" s="2" t="s">
        <v>1554</v>
      </c>
      <c r="E214" s="2" t="s">
        <v>1555</v>
      </c>
      <c r="F214" s="2" t="s">
        <v>1723</v>
      </c>
      <c r="G214" s="2" t="s">
        <v>1723</v>
      </c>
      <c r="H214" s="2" t="s">
        <v>1723</v>
      </c>
      <c r="I214" s="2" t="s">
        <v>1724</v>
      </c>
      <c r="J214" s="2" t="s">
        <v>711</v>
      </c>
      <c r="K214" s="2" t="s">
        <v>1725</v>
      </c>
      <c r="L214" s="3">
        <v>6.66</v>
      </c>
      <c r="M214" s="3">
        <v>6.99</v>
      </c>
      <c r="N214" s="3">
        <v>19.99</v>
      </c>
      <c r="O214" s="2" t="s">
        <v>212</v>
      </c>
      <c r="P214" s="2" t="s">
        <v>285</v>
      </c>
      <c r="Q214" s="2" t="s">
        <v>206</v>
      </c>
      <c r="R214" s="2" t="s">
        <v>200</v>
      </c>
      <c r="S214" s="2" t="s">
        <v>200</v>
      </c>
      <c r="T214" s="2" t="s">
        <v>200</v>
      </c>
      <c r="U214" s="2" t="s">
        <v>270</v>
      </c>
      <c r="V214" s="2" t="s">
        <v>1726</v>
      </c>
      <c r="W214" s="2" t="s">
        <v>241</v>
      </c>
      <c r="X214" s="2" t="s">
        <v>1271</v>
      </c>
      <c r="Y214" s="2" t="s">
        <v>1727</v>
      </c>
      <c r="Z214" s="4">
        <v>139</v>
      </c>
      <c r="AA214" s="4">
        <f>=ROUNDDOWN(63.1818181818182,0)</f>
      </c>
      <c r="AB214" s="5">
        <v>2.2</v>
      </c>
      <c r="AC214" s="2" t="s">
        <v>200</v>
      </c>
      <c r="AD214" s="4"/>
      <c r="AE214" s="4"/>
      <c r="AF214" s="6">
        <v>63</v>
      </c>
      <c r="AG214" s="6"/>
      <c r="AH214" s="7">
        <v>1</v>
      </c>
      <c r="AI214" s="4"/>
      <c r="AJ214" s="4">
        <f>=ROUNDDOWN({0},0)</f>
      </c>
      <c r="AK214" s="5"/>
      <c r="AL214" s="2" t="s">
        <v>200</v>
      </c>
      <c r="AM214" s="4"/>
      <c r="AN214" s="4"/>
      <c r="AO214" s="7"/>
      <c r="AP214" s="4"/>
      <c r="AQ214" s="8"/>
      <c r="AR214" s="4"/>
      <c r="AS214" s="8"/>
      <c r="AT214" s="7"/>
      <c r="AU214" s="7"/>
      <c r="AV214" s="4"/>
      <c r="AW214" s="8"/>
      <c r="AX214" s="4"/>
      <c r="AY214" s="8"/>
      <c r="AZ214" s="7"/>
      <c r="BA214" s="7"/>
      <c r="BB214" s="7"/>
      <c r="BC214" s="4" t="s">
        <v>200</v>
      </c>
      <c r="BD214" s="8" t="s">
        <v>200</v>
      </c>
      <c r="BE214" s="4" t="s">
        <v>200</v>
      </c>
      <c r="BF214" s="8" t="s">
        <v>200</v>
      </c>
      <c r="BG214" s="7" t="s">
        <v>200</v>
      </c>
      <c r="BH214" s="7" t="s">
        <v>200</v>
      </c>
      <c r="BI214" s="7"/>
      <c r="BJ214" s="4">
        <v>4</v>
      </c>
      <c r="BK214" s="8">
        <v>28.38</v>
      </c>
      <c r="BL214" s="2" t="s">
        <v>1728</v>
      </c>
      <c r="BM214" s="7"/>
      <c r="BN214" s="7"/>
      <c r="BO214" s="4"/>
      <c r="BP214" s="8"/>
      <c r="BQ214" s="4"/>
      <c r="BR214" s="8"/>
      <c r="BS214" s="7"/>
      <c r="BT214" s="7"/>
      <c r="BU214" s="2" t="s">
        <v>1729</v>
      </c>
      <c r="BV214" s="2" t="s">
        <v>200</v>
      </c>
      <c r="BW214" s="2" t="s">
        <v>200</v>
      </c>
      <c r="BX214" s="2" t="s">
        <v>289</v>
      </c>
      <c r="BY214" s="2" t="s">
        <v>247</v>
      </c>
      <c r="BZ214" s="2" t="s">
        <v>212</v>
      </c>
      <c r="CA214" s="2" t="s">
        <v>1730</v>
      </c>
      <c r="CB214" s="2" t="s">
        <v>200</v>
      </c>
      <c r="CC214" s="2" t="s">
        <v>213</v>
      </c>
      <c r="CD214" s="2" t="s">
        <v>200</v>
      </c>
      <c r="CE214" s="4"/>
      <c r="CF214" s="4">
        <v>139</v>
      </c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</row>
    <row r="215">
      <c r="A215" s="2" t="s">
        <v>1731</v>
      </c>
      <c r="B215" s="2" t="s">
        <v>719</v>
      </c>
      <c r="C215" s="2" t="s">
        <v>231</v>
      </c>
      <c r="D215" s="2" t="s">
        <v>1554</v>
      </c>
      <c r="E215" s="2" t="s">
        <v>1555</v>
      </c>
      <c r="F215" s="2" t="s">
        <v>1723</v>
      </c>
      <c r="G215" s="2" t="s">
        <v>1723</v>
      </c>
      <c r="H215" s="2" t="s">
        <v>1723</v>
      </c>
      <c r="I215" s="2" t="s">
        <v>1732</v>
      </c>
      <c r="J215" s="2" t="s">
        <v>711</v>
      </c>
      <c r="K215" s="2" t="s">
        <v>1733</v>
      </c>
      <c r="L215" s="3">
        <v>6.66</v>
      </c>
      <c r="M215" s="3">
        <v>6.99</v>
      </c>
      <c r="N215" s="3">
        <v>19.99</v>
      </c>
      <c r="O215" s="2" t="s">
        <v>212</v>
      </c>
      <c r="P215" s="2" t="s">
        <v>750</v>
      </c>
      <c r="Q215" s="2" t="s">
        <v>206</v>
      </c>
      <c r="R215" s="2" t="s">
        <v>200</v>
      </c>
      <c r="S215" s="2" t="s">
        <v>200</v>
      </c>
      <c r="T215" s="2" t="s">
        <v>200</v>
      </c>
      <c r="U215" s="2" t="s">
        <v>270</v>
      </c>
      <c r="V215" s="2" t="s">
        <v>1726</v>
      </c>
      <c r="W215" s="2" t="s">
        <v>241</v>
      </c>
      <c r="X215" s="2" t="s">
        <v>1271</v>
      </c>
      <c r="Y215" s="2" t="s">
        <v>1734</v>
      </c>
      <c r="Z215" s="4"/>
      <c r="AA215" s="4">
        <f>=ROUNDDOWN({0},0)</f>
      </c>
      <c r="AB215" s="5">
        <v>8</v>
      </c>
      <c r="AC215" s="2" t="s">
        <v>120</v>
      </c>
      <c r="AD215" s="4">
        <v>100</v>
      </c>
      <c r="AE215" s="4">
        <v>200</v>
      </c>
      <c r="AF215" s="6">
        <v>61</v>
      </c>
      <c r="AG215" s="6">
        <v>44</v>
      </c>
      <c r="AH215" s="7">
        <v>0.4333</v>
      </c>
      <c r="AI215" s="4"/>
      <c r="AJ215" s="4">
        <f>=ROUNDDOWN({0},0)</f>
      </c>
      <c r="AK215" s="5"/>
      <c r="AL215" s="2" t="s">
        <v>200</v>
      </c>
      <c r="AM215" s="4"/>
      <c r="AN215" s="4"/>
      <c r="AO215" s="7"/>
      <c r="AP215" s="4"/>
      <c r="AQ215" s="8"/>
      <c r="AR215" s="4"/>
      <c r="AS215" s="8"/>
      <c r="AT215" s="7"/>
      <c r="AU215" s="7"/>
      <c r="AV215" s="4"/>
      <c r="AW215" s="8"/>
      <c r="AX215" s="4"/>
      <c r="AY215" s="8"/>
      <c r="AZ215" s="7"/>
      <c r="BA215" s="7"/>
      <c r="BB215" s="7"/>
      <c r="BC215" s="4" t="s">
        <v>200</v>
      </c>
      <c r="BD215" s="8" t="s">
        <v>200</v>
      </c>
      <c r="BE215" s="4" t="s">
        <v>200</v>
      </c>
      <c r="BF215" s="8" t="s">
        <v>200</v>
      </c>
      <c r="BG215" s="7" t="s">
        <v>200</v>
      </c>
      <c r="BH215" s="7" t="s">
        <v>200</v>
      </c>
      <c r="BI215" s="7"/>
      <c r="BJ215" s="4">
        <v>28</v>
      </c>
      <c r="BK215" s="8">
        <v>249.66</v>
      </c>
      <c r="BL215" s="2" t="s">
        <v>1735</v>
      </c>
      <c r="BM215" s="7"/>
      <c r="BN215" s="7"/>
      <c r="BO215" s="4"/>
      <c r="BP215" s="8"/>
      <c r="BQ215" s="4"/>
      <c r="BR215" s="8"/>
      <c r="BS215" s="7"/>
      <c r="BT215" s="7"/>
      <c r="BU215" s="2" t="s">
        <v>1736</v>
      </c>
      <c r="BV215" s="2" t="s">
        <v>200</v>
      </c>
      <c r="BW215" s="2" t="s">
        <v>200</v>
      </c>
      <c r="BX215" s="2" t="s">
        <v>264</v>
      </c>
      <c r="BY215" s="2" t="s">
        <v>247</v>
      </c>
      <c r="BZ215" s="2" t="s">
        <v>212</v>
      </c>
      <c r="CA215" s="2" t="s">
        <v>1730</v>
      </c>
      <c r="CB215" s="2" t="s">
        <v>1737</v>
      </c>
      <c r="CC215" s="2" t="s">
        <v>213</v>
      </c>
      <c r="CD215" s="2" t="s">
        <v>200</v>
      </c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>
        <v>100</v>
      </c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>
        <v>100</v>
      </c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</row>
    <row r="216">
      <c r="A216" s="2" t="s">
        <v>1738</v>
      </c>
      <c r="B216" s="2" t="s">
        <v>719</v>
      </c>
      <c r="C216" s="2" t="s">
        <v>231</v>
      </c>
      <c r="D216" s="2" t="s">
        <v>1554</v>
      </c>
      <c r="E216" s="2" t="s">
        <v>1555</v>
      </c>
      <c r="F216" s="2" t="s">
        <v>1723</v>
      </c>
      <c r="G216" s="2" t="s">
        <v>1723</v>
      </c>
      <c r="H216" s="2" t="s">
        <v>1723</v>
      </c>
      <c r="I216" s="2" t="s">
        <v>1739</v>
      </c>
      <c r="J216" s="2" t="s">
        <v>711</v>
      </c>
      <c r="K216" s="2" t="s">
        <v>1740</v>
      </c>
      <c r="L216" s="3">
        <v>6.66</v>
      </c>
      <c r="M216" s="3">
        <v>6.99</v>
      </c>
      <c r="N216" s="3">
        <v>19.99</v>
      </c>
      <c r="O216" s="2" t="s">
        <v>212</v>
      </c>
      <c r="P216" s="2" t="s">
        <v>285</v>
      </c>
      <c r="Q216" s="2" t="s">
        <v>206</v>
      </c>
      <c r="R216" s="2" t="s">
        <v>200</v>
      </c>
      <c r="S216" s="2" t="s">
        <v>200</v>
      </c>
      <c r="T216" s="2" t="s">
        <v>200</v>
      </c>
      <c r="U216" s="2" t="s">
        <v>270</v>
      </c>
      <c r="V216" s="2" t="s">
        <v>1726</v>
      </c>
      <c r="W216" s="2" t="s">
        <v>241</v>
      </c>
      <c r="X216" s="2" t="s">
        <v>1271</v>
      </c>
      <c r="Y216" s="2" t="s">
        <v>1734</v>
      </c>
      <c r="Z216" s="4">
        <v>63</v>
      </c>
      <c r="AA216" s="4">
        <f>=ROUNDDOWN(21,0)</f>
      </c>
      <c r="AB216" s="5">
        <v>3</v>
      </c>
      <c r="AC216" s="2" t="s">
        <v>200</v>
      </c>
      <c r="AD216" s="4"/>
      <c r="AE216" s="4"/>
      <c r="AF216" s="6">
        <v>63</v>
      </c>
      <c r="AG216" s="6"/>
      <c r="AH216" s="7">
        <v>1</v>
      </c>
      <c r="AI216" s="4"/>
      <c r="AJ216" s="4">
        <f>=ROUNDDOWN({0},0)</f>
      </c>
      <c r="AK216" s="5"/>
      <c r="AL216" s="2" t="s">
        <v>200</v>
      </c>
      <c r="AM216" s="4"/>
      <c r="AN216" s="4"/>
      <c r="AO216" s="7"/>
      <c r="AP216" s="4"/>
      <c r="AQ216" s="8"/>
      <c r="AR216" s="4"/>
      <c r="AS216" s="8"/>
      <c r="AT216" s="7"/>
      <c r="AU216" s="7"/>
      <c r="AV216" s="4"/>
      <c r="AW216" s="8"/>
      <c r="AX216" s="4"/>
      <c r="AY216" s="8"/>
      <c r="AZ216" s="7"/>
      <c r="BA216" s="7"/>
      <c r="BB216" s="7"/>
      <c r="BC216" s="4" t="s">
        <v>200</v>
      </c>
      <c r="BD216" s="8" t="s">
        <v>200</v>
      </c>
      <c r="BE216" s="4" t="s">
        <v>200</v>
      </c>
      <c r="BF216" s="8" t="s">
        <v>200</v>
      </c>
      <c r="BG216" s="7" t="s">
        <v>200</v>
      </c>
      <c r="BH216" s="7" t="s">
        <v>200</v>
      </c>
      <c r="BI216" s="7"/>
      <c r="BJ216" s="4">
        <v>17</v>
      </c>
      <c r="BK216" s="8">
        <v>151.45</v>
      </c>
      <c r="BL216" s="2" t="s">
        <v>1741</v>
      </c>
      <c r="BM216" s="7"/>
      <c r="BN216" s="7"/>
      <c r="BO216" s="4"/>
      <c r="BP216" s="8"/>
      <c r="BQ216" s="4"/>
      <c r="BR216" s="8"/>
      <c r="BS216" s="7"/>
      <c r="BT216" s="7"/>
      <c r="BU216" s="2" t="s">
        <v>1742</v>
      </c>
      <c r="BV216" s="2" t="s">
        <v>200</v>
      </c>
      <c r="BW216" s="2" t="s">
        <v>200</v>
      </c>
      <c r="BX216" s="2" t="s">
        <v>289</v>
      </c>
      <c r="BY216" s="2" t="s">
        <v>247</v>
      </c>
      <c r="BZ216" s="2" t="s">
        <v>212</v>
      </c>
      <c r="CA216" s="2" t="s">
        <v>1730</v>
      </c>
      <c r="CB216" s="2" t="s">
        <v>200</v>
      </c>
      <c r="CC216" s="2" t="s">
        <v>213</v>
      </c>
      <c r="CD216" s="2" t="s">
        <v>200</v>
      </c>
      <c r="CE216" s="4"/>
      <c r="CF216" s="4">
        <v>63</v>
      </c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</row>
    <row r="217">
      <c r="A217" s="2" t="s">
        <v>1743</v>
      </c>
      <c r="B217" s="2" t="s">
        <v>719</v>
      </c>
      <c r="C217" s="2" t="s">
        <v>231</v>
      </c>
      <c r="D217" s="2" t="s">
        <v>1554</v>
      </c>
      <c r="E217" s="2" t="s">
        <v>1555</v>
      </c>
      <c r="F217" s="2" t="s">
        <v>1723</v>
      </c>
      <c r="G217" s="2" t="s">
        <v>1723</v>
      </c>
      <c r="H217" s="2" t="s">
        <v>1723</v>
      </c>
      <c r="I217" s="2" t="s">
        <v>1744</v>
      </c>
      <c r="J217" s="2" t="s">
        <v>711</v>
      </c>
      <c r="K217" s="2" t="s">
        <v>1745</v>
      </c>
      <c r="L217" s="3">
        <v>6.66</v>
      </c>
      <c r="M217" s="3">
        <v>6.99</v>
      </c>
      <c r="N217" s="3">
        <v>19.99</v>
      </c>
      <c r="O217" s="2" t="s">
        <v>212</v>
      </c>
      <c r="P217" s="2" t="s">
        <v>750</v>
      </c>
      <c r="Q217" s="2" t="s">
        <v>206</v>
      </c>
      <c r="R217" s="2" t="s">
        <v>200</v>
      </c>
      <c r="S217" s="2" t="s">
        <v>200</v>
      </c>
      <c r="T217" s="2" t="s">
        <v>200</v>
      </c>
      <c r="U217" s="2" t="s">
        <v>270</v>
      </c>
      <c r="V217" s="2" t="s">
        <v>1726</v>
      </c>
      <c r="W217" s="2" t="s">
        <v>241</v>
      </c>
      <c r="X217" s="2" t="s">
        <v>1271</v>
      </c>
      <c r="Y217" s="2" t="s">
        <v>1727</v>
      </c>
      <c r="Z217" s="4">
        <v>294</v>
      </c>
      <c r="AA217" s="4">
        <f>=ROUNDDOWN(58.8,0)</f>
      </c>
      <c r="AB217" s="5">
        <v>5</v>
      </c>
      <c r="AC217" s="2" t="s">
        <v>200</v>
      </c>
      <c r="AD217" s="4"/>
      <c r="AE217" s="4"/>
      <c r="AF217" s="6">
        <v>61</v>
      </c>
      <c r="AG217" s="6"/>
      <c r="AH217" s="7">
        <v>1</v>
      </c>
      <c r="AI217" s="4"/>
      <c r="AJ217" s="4">
        <f>=ROUNDDOWN({0},0)</f>
      </c>
      <c r="AK217" s="5"/>
      <c r="AL217" s="2" t="s">
        <v>200</v>
      </c>
      <c r="AM217" s="4"/>
      <c r="AN217" s="4"/>
      <c r="AO217" s="7"/>
      <c r="AP217" s="4"/>
      <c r="AQ217" s="8"/>
      <c r="AR217" s="4"/>
      <c r="AS217" s="8"/>
      <c r="AT217" s="7"/>
      <c r="AU217" s="7"/>
      <c r="AV217" s="4"/>
      <c r="AW217" s="8"/>
      <c r="AX217" s="4"/>
      <c r="AY217" s="8"/>
      <c r="AZ217" s="7"/>
      <c r="BA217" s="7"/>
      <c r="BB217" s="7"/>
      <c r="BC217" s="4" t="s">
        <v>200</v>
      </c>
      <c r="BD217" s="8" t="s">
        <v>200</v>
      </c>
      <c r="BE217" s="4" t="s">
        <v>200</v>
      </c>
      <c r="BF217" s="8" t="s">
        <v>200</v>
      </c>
      <c r="BG217" s="7" t="s">
        <v>200</v>
      </c>
      <c r="BH217" s="7" t="s">
        <v>200</v>
      </c>
      <c r="BI217" s="7"/>
      <c r="BJ217" s="4">
        <v>11</v>
      </c>
      <c r="BK217" s="8">
        <v>85.78</v>
      </c>
      <c r="BL217" s="2" t="s">
        <v>1746</v>
      </c>
      <c r="BM217" s="7"/>
      <c r="BN217" s="7"/>
      <c r="BO217" s="4"/>
      <c r="BP217" s="8"/>
      <c r="BQ217" s="4"/>
      <c r="BR217" s="8"/>
      <c r="BS217" s="7"/>
      <c r="BT217" s="7"/>
      <c r="BU217" s="2" t="s">
        <v>1747</v>
      </c>
      <c r="BV217" s="2" t="s">
        <v>200</v>
      </c>
      <c r="BW217" s="2" t="s">
        <v>200</v>
      </c>
      <c r="BX217" s="2" t="s">
        <v>264</v>
      </c>
      <c r="BY217" s="2" t="s">
        <v>247</v>
      </c>
      <c r="BZ217" s="2" t="s">
        <v>212</v>
      </c>
      <c r="CA217" s="2" t="s">
        <v>1730</v>
      </c>
      <c r="CB217" s="2" t="s">
        <v>200</v>
      </c>
      <c r="CC217" s="2" t="s">
        <v>213</v>
      </c>
      <c r="CD217" s="2" t="s">
        <v>200</v>
      </c>
      <c r="CE217" s="4"/>
      <c r="CF217" s="4">
        <v>294</v>
      </c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</row>
    <row r="218">
      <c r="A218" s="2" t="s">
        <v>1748</v>
      </c>
      <c r="B218" s="2" t="s">
        <v>719</v>
      </c>
      <c r="C218" s="2" t="s">
        <v>231</v>
      </c>
      <c r="D218" s="2" t="s">
        <v>1554</v>
      </c>
      <c r="E218" s="2" t="s">
        <v>1555</v>
      </c>
      <c r="F218" s="2" t="s">
        <v>1723</v>
      </c>
      <c r="G218" s="2" t="s">
        <v>1723</v>
      </c>
      <c r="H218" s="2" t="s">
        <v>1723</v>
      </c>
      <c r="I218" s="2" t="s">
        <v>1749</v>
      </c>
      <c r="J218" s="2" t="s">
        <v>711</v>
      </c>
      <c r="K218" s="2" t="s">
        <v>1750</v>
      </c>
      <c r="L218" s="3">
        <v>6.66</v>
      </c>
      <c r="M218" s="3">
        <v>6.99</v>
      </c>
      <c r="N218" s="3">
        <v>19.99</v>
      </c>
      <c r="O218" s="2" t="s">
        <v>212</v>
      </c>
      <c r="P218" s="2" t="s">
        <v>285</v>
      </c>
      <c r="Q218" s="2" t="s">
        <v>206</v>
      </c>
      <c r="R218" s="2" t="s">
        <v>200</v>
      </c>
      <c r="S218" s="2" t="s">
        <v>200</v>
      </c>
      <c r="T218" s="2" t="s">
        <v>200</v>
      </c>
      <c r="U218" s="2" t="s">
        <v>270</v>
      </c>
      <c r="V218" s="2" t="s">
        <v>1726</v>
      </c>
      <c r="W218" s="2" t="s">
        <v>241</v>
      </c>
      <c r="X218" s="2" t="s">
        <v>1271</v>
      </c>
      <c r="Y218" s="2" t="s">
        <v>1727</v>
      </c>
      <c r="Z218" s="4">
        <v>110</v>
      </c>
      <c r="AA218" s="4">
        <f>=ROUNDDOWN(55,0)</f>
      </c>
      <c r="AB218" s="5">
        <v>2</v>
      </c>
      <c r="AC218" s="2" t="s">
        <v>200</v>
      </c>
      <c r="AD218" s="4"/>
      <c r="AE218" s="4"/>
      <c r="AF218" s="6">
        <v>63</v>
      </c>
      <c r="AG218" s="6"/>
      <c r="AH218" s="7">
        <v>1</v>
      </c>
      <c r="AI218" s="4"/>
      <c r="AJ218" s="4">
        <f>=ROUNDDOWN({0},0)</f>
      </c>
      <c r="AK218" s="5"/>
      <c r="AL218" s="2" t="s">
        <v>200</v>
      </c>
      <c r="AM218" s="4"/>
      <c r="AN218" s="4"/>
      <c r="AO218" s="7"/>
      <c r="AP218" s="4"/>
      <c r="AQ218" s="8"/>
      <c r="AR218" s="4"/>
      <c r="AS218" s="8"/>
      <c r="AT218" s="7"/>
      <c r="AU218" s="7"/>
      <c r="AV218" s="4"/>
      <c r="AW218" s="8"/>
      <c r="AX218" s="4"/>
      <c r="AY218" s="8"/>
      <c r="AZ218" s="7"/>
      <c r="BA218" s="7"/>
      <c r="BB218" s="7"/>
      <c r="BC218" s="4" t="s">
        <v>200</v>
      </c>
      <c r="BD218" s="8" t="s">
        <v>200</v>
      </c>
      <c r="BE218" s="4" t="s">
        <v>200</v>
      </c>
      <c r="BF218" s="8" t="s">
        <v>200</v>
      </c>
      <c r="BG218" s="7" t="s">
        <v>200</v>
      </c>
      <c r="BH218" s="7" t="s">
        <v>200</v>
      </c>
      <c r="BI218" s="7"/>
      <c r="BJ218" s="4">
        <v>9</v>
      </c>
      <c r="BK218" s="8">
        <v>70.91</v>
      </c>
      <c r="BL218" s="2" t="s">
        <v>1751</v>
      </c>
      <c r="BM218" s="7"/>
      <c r="BN218" s="7"/>
      <c r="BO218" s="4"/>
      <c r="BP218" s="8"/>
      <c r="BQ218" s="4"/>
      <c r="BR218" s="8"/>
      <c r="BS218" s="7"/>
      <c r="BT218" s="7"/>
      <c r="BU218" s="2" t="s">
        <v>1752</v>
      </c>
      <c r="BV218" s="2" t="s">
        <v>200</v>
      </c>
      <c r="BW218" s="2" t="s">
        <v>200</v>
      </c>
      <c r="BX218" s="2" t="s">
        <v>289</v>
      </c>
      <c r="BY218" s="2" t="s">
        <v>247</v>
      </c>
      <c r="BZ218" s="2" t="s">
        <v>212</v>
      </c>
      <c r="CA218" s="2" t="s">
        <v>1730</v>
      </c>
      <c r="CB218" s="2" t="s">
        <v>200</v>
      </c>
      <c r="CC218" s="2" t="s">
        <v>213</v>
      </c>
      <c r="CD218" s="2" t="s">
        <v>200</v>
      </c>
      <c r="CE218" s="4"/>
      <c r="CF218" s="4">
        <v>110</v>
      </c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</row>
    <row r="219">
      <c r="A219" s="2" t="s">
        <v>1753</v>
      </c>
      <c r="B219" s="2" t="s">
        <v>719</v>
      </c>
      <c r="C219" s="2" t="s">
        <v>231</v>
      </c>
      <c r="D219" s="2" t="s">
        <v>1554</v>
      </c>
      <c r="E219" s="2" t="s">
        <v>1555</v>
      </c>
      <c r="F219" s="2" t="s">
        <v>1723</v>
      </c>
      <c r="G219" s="2" t="s">
        <v>1723</v>
      </c>
      <c r="H219" s="2" t="s">
        <v>1723</v>
      </c>
      <c r="I219" s="2" t="s">
        <v>1754</v>
      </c>
      <c r="J219" s="2" t="s">
        <v>711</v>
      </c>
      <c r="K219" s="2" t="s">
        <v>1755</v>
      </c>
      <c r="L219" s="3">
        <v>6.66</v>
      </c>
      <c r="M219" s="3">
        <v>6.99</v>
      </c>
      <c r="N219" s="3">
        <v>19.99</v>
      </c>
      <c r="O219" s="2" t="s">
        <v>212</v>
      </c>
      <c r="P219" s="2" t="s">
        <v>285</v>
      </c>
      <c r="Q219" s="2" t="s">
        <v>206</v>
      </c>
      <c r="R219" s="2" t="s">
        <v>200</v>
      </c>
      <c r="S219" s="2" t="s">
        <v>200</v>
      </c>
      <c r="T219" s="2" t="s">
        <v>200</v>
      </c>
      <c r="U219" s="2" t="s">
        <v>270</v>
      </c>
      <c r="V219" s="2" t="s">
        <v>1726</v>
      </c>
      <c r="W219" s="2" t="s">
        <v>241</v>
      </c>
      <c r="X219" s="2" t="s">
        <v>1271</v>
      </c>
      <c r="Y219" s="2" t="s">
        <v>1727</v>
      </c>
      <c r="Z219" s="4">
        <v>66</v>
      </c>
      <c r="AA219" s="4">
        <f>=ROUNDDOWN(22,0)</f>
      </c>
      <c r="AB219" s="5">
        <v>3</v>
      </c>
      <c r="AC219" s="2" t="s">
        <v>200</v>
      </c>
      <c r="AD219" s="4"/>
      <c r="AE219" s="4"/>
      <c r="AF219" s="6">
        <v>63</v>
      </c>
      <c r="AG219" s="6"/>
      <c r="AH219" s="7">
        <v>1</v>
      </c>
      <c r="AI219" s="4"/>
      <c r="AJ219" s="4">
        <f>=ROUNDDOWN({0},0)</f>
      </c>
      <c r="AK219" s="5"/>
      <c r="AL219" s="2" t="s">
        <v>200</v>
      </c>
      <c r="AM219" s="4"/>
      <c r="AN219" s="4"/>
      <c r="AO219" s="7"/>
      <c r="AP219" s="4"/>
      <c r="AQ219" s="8"/>
      <c r="AR219" s="4"/>
      <c r="AS219" s="8"/>
      <c r="AT219" s="7"/>
      <c r="AU219" s="7"/>
      <c r="AV219" s="4"/>
      <c r="AW219" s="8"/>
      <c r="AX219" s="4"/>
      <c r="AY219" s="8"/>
      <c r="AZ219" s="7"/>
      <c r="BA219" s="7"/>
      <c r="BB219" s="7"/>
      <c r="BC219" s="4" t="s">
        <v>200</v>
      </c>
      <c r="BD219" s="8" t="s">
        <v>200</v>
      </c>
      <c r="BE219" s="4" t="s">
        <v>200</v>
      </c>
      <c r="BF219" s="8" t="s">
        <v>200</v>
      </c>
      <c r="BG219" s="7" t="s">
        <v>200</v>
      </c>
      <c r="BH219" s="7" t="s">
        <v>200</v>
      </c>
      <c r="BI219" s="7"/>
      <c r="BJ219" s="4">
        <v>11</v>
      </c>
      <c r="BK219" s="8">
        <v>88.55</v>
      </c>
      <c r="BL219" s="2" t="s">
        <v>1756</v>
      </c>
      <c r="BM219" s="7"/>
      <c r="BN219" s="7"/>
      <c r="BO219" s="4"/>
      <c r="BP219" s="8"/>
      <c r="BQ219" s="4"/>
      <c r="BR219" s="8"/>
      <c r="BS219" s="7"/>
      <c r="BT219" s="7"/>
      <c r="BU219" s="2" t="s">
        <v>1757</v>
      </c>
      <c r="BV219" s="2" t="s">
        <v>200</v>
      </c>
      <c r="BW219" s="2" t="s">
        <v>200</v>
      </c>
      <c r="BX219" s="2" t="s">
        <v>289</v>
      </c>
      <c r="BY219" s="2" t="s">
        <v>247</v>
      </c>
      <c r="BZ219" s="2" t="s">
        <v>212</v>
      </c>
      <c r="CA219" s="2" t="s">
        <v>1730</v>
      </c>
      <c r="CB219" s="2" t="s">
        <v>200</v>
      </c>
      <c r="CC219" s="2" t="s">
        <v>213</v>
      </c>
      <c r="CD219" s="2" t="s">
        <v>200</v>
      </c>
      <c r="CE219" s="4"/>
      <c r="CF219" s="4">
        <v>66</v>
      </c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</row>
    <row r="220">
      <c r="A220" s="2" t="s">
        <v>1758</v>
      </c>
      <c r="B220" s="2" t="s">
        <v>903</v>
      </c>
      <c r="C220" s="2" t="s">
        <v>1759</v>
      </c>
      <c r="D220" s="2" t="s">
        <v>608</v>
      </c>
      <c r="E220" s="2" t="s">
        <v>609</v>
      </c>
      <c r="F220" s="2" t="s">
        <v>1760</v>
      </c>
      <c r="G220" s="2" t="s">
        <v>200</v>
      </c>
      <c r="H220" s="2" t="s">
        <v>200</v>
      </c>
      <c r="I220" s="2" t="s">
        <v>1761</v>
      </c>
      <c r="J220" s="2" t="s">
        <v>277</v>
      </c>
      <c r="K220" s="2" t="s">
        <v>387</v>
      </c>
      <c r="L220" s="3">
        <v>77.76</v>
      </c>
      <c r="M220" s="3">
        <v>81.65</v>
      </c>
      <c r="N220" s="3">
        <v>169.99</v>
      </c>
      <c r="O220" s="2" t="s">
        <v>212</v>
      </c>
      <c r="P220" s="2" t="s">
        <v>285</v>
      </c>
      <c r="Q220" s="2" t="s">
        <v>206</v>
      </c>
      <c r="R220" s="2" t="s">
        <v>200</v>
      </c>
      <c r="S220" s="2" t="s">
        <v>1762</v>
      </c>
      <c r="T220" s="2" t="s">
        <v>200</v>
      </c>
      <c r="U220" s="2" t="s">
        <v>200</v>
      </c>
      <c r="V220" s="2" t="s">
        <v>313</v>
      </c>
      <c r="W220" s="2" t="s">
        <v>313</v>
      </c>
      <c r="X220" s="2" t="s">
        <v>1271</v>
      </c>
      <c r="Y220" s="2" t="s">
        <v>261</v>
      </c>
      <c r="Z220" s="4">
        <v>50</v>
      </c>
      <c r="AA220" s="4">
        <f>=ROUNDDOWN(25,0)</f>
      </c>
      <c r="AB220" s="5">
        <v>2</v>
      </c>
      <c r="AC220" s="2" t="s">
        <v>200</v>
      </c>
      <c r="AD220" s="4"/>
      <c r="AE220" s="4"/>
      <c r="AF220" s="6">
        <v>66</v>
      </c>
      <c r="AG220" s="6"/>
      <c r="AH220" s="7">
        <v>1</v>
      </c>
      <c r="AI220" s="4"/>
      <c r="AJ220" s="4">
        <f>=ROUNDDOWN({0},0)</f>
      </c>
      <c r="AK220" s="5"/>
      <c r="AL220" s="2" t="s">
        <v>200</v>
      </c>
      <c r="AM220" s="4"/>
      <c r="AN220" s="4"/>
      <c r="AO220" s="7"/>
      <c r="AP220" s="4"/>
      <c r="AQ220" s="8"/>
      <c r="AR220" s="4"/>
      <c r="AS220" s="8"/>
      <c r="AT220" s="7"/>
      <c r="AU220" s="7"/>
      <c r="AV220" s="4" t="s">
        <v>200</v>
      </c>
      <c r="AW220" s="8" t="s">
        <v>200</v>
      </c>
      <c r="AX220" s="4" t="s">
        <v>200</v>
      </c>
      <c r="AY220" s="8" t="s">
        <v>200</v>
      </c>
      <c r="AZ220" s="7" t="s">
        <v>200</v>
      </c>
      <c r="BA220" s="7" t="s">
        <v>200</v>
      </c>
      <c r="BB220" s="7"/>
      <c r="BC220" s="4" t="s">
        <v>200</v>
      </c>
      <c r="BD220" s="8" t="s">
        <v>200</v>
      </c>
      <c r="BE220" s="4" t="s">
        <v>200</v>
      </c>
      <c r="BF220" s="8" t="s">
        <v>200</v>
      </c>
      <c r="BG220" s="7" t="s">
        <v>200</v>
      </c>
      <c r="BH220" s="7" t="s">
        <v>200</v>
      </c>
      <c r="BI220" s="7"/>
      <c r="BJ220" s="4">
        <v>5</v>
      </c>
      <c r="BK220" s="8">
        <v>320.56</v>
      </c>
      <c r="BL220" s="2" t="s">
        <v>1763</v>
      </c>
      <c r="BM220" s="7"/>
      <c r="BN220" s="7"/>
      <c r="BO220" s="4"/>
      <c r="BP220" s="8"/>
      <c r="BQ220" s="4"/>
      <c r="BR220" s="8"/>
      <c r="BS220" s="7"/>
      <c r="BT220" s="7"/>
      <c r="BU220" s="2" t="s">
        <v>1764</v>
      </c>
      <c r="BV220" s="2" t="s">
        <v>200</v>
      </c>
      <c r="BW220" s="2" t="s">
        <v>200</v>
      </c>
      <c r="BX220" s="2" t="s">
        <v>289</v>
      </c>
      <c r="BY220" s="2" t="s">
        <v>247</v>
      </c>
      <c r="BZ220" s="2" t="s">
        <v>212</v>
      </c>
      <c r="CA220" s="2" t="s">
        <v>265</v>
      </c>
      <c r="CB220" s="2" t="s">
        <v>1765</v>
      </c>
      <c r="CC220" s="2" t="s">
        <v>213</v>
      </c>
      <c r="CD220" s="2" t="s">
        <v>200</v>
      </c>
      <c r="CE220" s="4">
        <v>50</v>
      </c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</row>
    <row r="221">
      <c r="A221" s="2" t="s">
        <v>1766</v>
      </c>
      <c r="B221" s="2" t="s">
        <v>903</v>
      </c>
      <c r="C221" s="2" t="s">
        <v>1759</v>
      </c>
      <c r="D221" s="2" t="s">
        <v>608</v>
      </c>
      <c r="E221" s="2" t="s">
        <v>609</v>
      </c>
      <c r="F221" s="2" t="s">
        <v>1760</v>
      </c>
      <c r="G221" s="2" t="s">
        <v>200</v>
      </c>
      <c r="H221" s="2" t="s">
        <v>200</v>
      </c>
      <c r="I221" s="2" t="s">
        <v>1761</v>
      </c>
      <c r="J221" s="2" t="s">
        <v>236</v>
      </c>
      <c r="K221" s="2" t="s">
        <v>387</v>
      </c>
      <c r="L221" s="3">
        <v>108.86</v>
      </c>
      <c r="M221" s="3">
        <v>114.3</v>
      </c>
      <c r="N221" s="3">
        <v>219.99</v>
      </c>
      <c r="O221" s="2" t="s">
        <v>212</v>
      </c>
      <c r="P221" s="2" t="s">
        <v>285</v>
      </c>
      <c r="Q221" s="2" t="s">
        <v>206</v>
      </c>
      <c r="R221" s="2" t="s">
        <v>200</v>
      </c>
      <c r="S221" s="2" t="s">
        <v>1762</v>
      </c>
      <c r="T221" s="2" t="s">
        <v>200</v>
      </c>
      <c r="U221" s="2" t="s">
        <v>200</v>
      </c>
      <c r="V221" s="2" t="s">
        <v>313</v>
      </c>
      <c r="W221" s="2" t="s">
        <v>313</v>
      </c>
      <c r="X221" s="2" t="s">
        <v>1271</v>
      </c>
      <c r="Y221" s="2" t="s">
        <v>261</v>
      </c>
      <c r="Z221" s="4">
        <v>30</v>
      </c>
      <c r="AA221" s="4">
        <f>=ROUNDDOWN(15,0)</f>
      </c>
      <c r="AB221" s="5">
        <v>2</v>
      </c>
      <c r="AC221" s="2" t="s">
        <v>200</v>
      </c>
      <c r="AD221" s="4"/>
      <c r="AE221" s="4"/>
      <c r="AF221" s="6">
        <v>66</v>
      </c>
      <c r="AG221" s="6"/>
      <c r="AH221" s="7">
        <v>1</v>
      </c>
      <c r="AI221" s="4"/>
      <c r="AJ221" s="4">
        <f>=ROUNDDOWN({0},0)</f>
      </c>
      <c r="AK221" s="5"/>
      <c r="AL221" s="2" t="s">
        <v>200</v>
      </c>
      <c r="AM221" s="4"/>
      <c r="AN221" s="4"/>
      <c r="AO221" s="7"/>
      <c r="AP221" s="4"/>
      <c r="AQ221" s="8"/>
      <c r="AR221" s="4"/>
      <c r="AS221" s="8"/>
      <c r="AT221" s="7"/>
      <c r="AU221" s="7"/>
      <c r="AV221" s="4" t="s">
        <v>200</v>
      </c>
      <c r="AW221" s="8" t="s">
        <v>200</v>
      </c>
      <c r="AX221" s="4" t="s">
        <v>200</v>
      </c>
      <c r="AY221" s="8" t="s">
        <v>200</v>
      </c>
      <c r="AZ221" s="7" t="s">
        <v>200</v>
      </c>
      <c r="BA221" s="7" t="s">
        <v>200</v>
      </c>
      <c r="BB221" s="7"/>
      <c r="BC221" s="4" t="s">
        <v>200</v>
      </c>
      <c r="BD221" s="8" t="s">
        <v>200</v>
      </c>
      <c r="BE221" s="4" t="s">
        <v>200</v>
      </c>
      <c r="BF221" s="8" t="s">
        <v>200</v>
      </c>
      <c r="BG221" s="7" t="s">
        <v>200</v>
      </c>
      <c r="BH221" s="7" t="s">
        <v>200</v>
      </c>
      <c r="BI221" s="7"/>
      <c r="BJ221" s="4">
        <v>5</v>
      </c>
      <c r="BK221" s="8">
        <v>429.46</v>
      </c>
      <c r="BL221" s="2" t="s">
        <v>1767</v>
      </c>
      <c r="BM221" s="7"/>
      <c r="BN221" s="7"/>
      <c r="BO221" s="4"/>
      <c r="BP221" s="8"/>
      <c r="BQ221" s="4"/>
      <c r="BR221" s="8"/>
      <c r="BS221" s="7"/>
      <c r="BT221" s="7"/>
      <c r="BU221" s="2" t="s">
        <v>1768</v>
      </c>
      <c r="BV221" s="2" t="s">
        <v>200</v>
      </c>
      <c r="BW221" s="2" t="s">
        <v>200</v>
      </c>
      <c r="BX221" s="2" t="s">
        <v>289</v>
      </c>
      <c r="BY221" s="2" t="s">
        <v>247</v>
      </c>
      <c r="BZ221" s="2" t="s">
        <v>212</v>
      </c>
      <c r="CA221" s="2" t="s">
        <v>265</v>
      </c>
      <c r="CB221" s="2" t="s">
        <v>1769</v>
      </c>
      <c r="CC221" s="2" t="s">
        <v>213</v>
      </c>
      <c r="CD221" s="2" t="s">
        <v>200</v>
      </c>
      <c r="CE221" s="4">
        <v>30</v>
      </c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</row>
    <row r="222">
      <c r="A222" s="2" t="s">
        <v>1770</v>
      </c>
      <c r="B222" s="2" t="s">
        <v>705</v>
      </c>
      <c r="C222" s="2" t="s">
        <v>745</v>
      </c>
      <c r="D222" s="2" t="s">
        <v>1376</v>
      </c>
      <c r="E222" s="2" t="s">
        <v>1377</v>
      </c>
      <c r="F222" s="2" t="s">
        <v>1771</v>
      </c>
      <c r="G222" s="2" t="s">
        <v>1771</v>
      </c>
      <c r="H222" s="2" t="s">
        <v>1771</v>
      </c>
      <c r="I222" s="2" t="s">
        <v>1772</v>
      </c>
      <c r="J222" s="2" t="s">
        <v>711</v>
      </c>
      <c r="K222" s="2" t="s">
        <v>1773</v>
      </c>
      <c r="L222" s="3">
        <v>27.95</v>
      </c>
      <c r="M222" s="3">
        <v>29.35</v>
      </c>
      <c r="N222" s="3">
        <v>59.99</v>
      </c>
      <c r="O222" s="2" t="s">
        <v>460</v>
      </c>
      <c r="P222" s="2" t="s">
        <v>285</v>
      </c>
      <c r="Q222" s="2" t="s">
        <v>206</v>
      </c>
      <c r="R222" s="2" t="s">
        <v>200</v>
      </c>
      <c r="S222" s="2" t="s">
        <v>200</v>
      </c>
      <c r="T222" s="2" t="s">
        <v>200</v>
      </c>
      <c r="U222" s="2" t="s">
        <v>270</v>
      </c>
      <c r="V222" s="2" t="s">
        <v>616</v>
      </c>
      <c r="W222" s="2" t="s">
        <v>712</v>
      </c>
      <c r="X222" s="2" t="s">
        <v>200</v>
      </c>
      <c r="Y222" s="2" t="s">
        <v>1774</v>
      </c>
      <c r="Z222" s="4">
        <v>24</v>
      </c>
      <c r="AA222" s="4">
        <f>=ROUNDDOWN(8,0)</f>
      </c>
      <c r="AB222" s="5">
        <v>3</v>
      </c>
      <c r="AC222" s="2" t="s">
        <v>200</v>
      </c>
      <c r="AD222" s="4"/>
      <c r="AE222" s="4"/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200</v>
      </c>
      <c r="AM222" s="4"/>
      <c r="AN222" s="4"/>
      <c r="AO222" s="7"/>
      <c r="AP222" s="4"/>
      <c r="AQ222" s="8"/>
      <c r="AR222" s="4"/>
      <c r="AS222" s="8"/>
      <c r="AT222" s="7"/>
      <c r="AU222" s="7"/>
      <c r="AV222" s="4"/>
      <c r="AW222" s="8"/>
      <c r="AX222" s="4"/>
      <c r="AY222" s="8"/>
      <c r="AZ222" s="7"/>
      <c r="BA222" s="7"/>
      <c r="BB222" s="7"/>
      <c r="BC222" s="4"/>
      <c r="BD222" s="8"/>
      <c r="BE222" s="4"/>
      <c r="BF222" s="8"/>
      <c r="BG222" s="7"/>
      <c r="BH222" s="7"/>
      <c r="BI222" s="7"/>
      <c r="BJ222" s="4">
        <v>2</v>
      </c>
      <c r="BK222" s="8">
        <v>68.67</v>
      </c>
      <c r="BL222" s="2" t="s">
        <v>1775</v>
      </c>
      <c r="BM222" s="7"/>
      <c r="BN222" s="7"/>
      <c r="BO222" s="4"/>
      <c r="BP222" s="8"/>
      <c r="BQ222" s="4"/>
      <c r="BR222" s="8"/>
      <c r="BS222" s="7"/>
      <c r="BT222" s="7"/>
      <c r="BU222" s="2" t="s">
        <v>1776</v>
      </c>
      <c r="BV222" s="2" t="s">
        <v>200</v>
      </c>
      <c r="BW222" s="2" t="s">
        <v>200</v>
      </c>
      <c r="BX222" s="2" t="s">
        <v>289</v>
      </c>
      <c r="BY222" s="2" t="s">
        <v>247</v>
      </c>
      <c r="BZ222" s="2" t="s">
        <v>212</v>
      </c>
      <c r="CA222" s="2" t="s">
        <v>1777</v>
      </c>
      <c r="CB222" s="2" t="s">
        <v>1778</v>
      </c>
      <c r="CC222" s="2" t="s">
        <v>213</v>
      </c>
      <c r="CD222" s="2" t="s">
        <v>200</v>
      </c>
      <c r="CE222" s="4"/>
      <c r="CF222" s="4">
        <v>24</v>
      </c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</row>
    <row r="223">
      <c r="A223" s="2" t="s">
        <v>1779</v>
      </c>
      <c r="B223" s="2" t="s">
        <v>827</v>
      </c>
      <c r="C223" s="2" t="s">
        <v>231</v>
      </c>
      <c r="D223" s="2" t="s">
        <v>828</v>
      </c>
      <c r="E223" s="2" t="s">
        <v>1011</v>
      </c>
      <c r="F223" s="2" t="s">
        <v>1780</v>
      </c>
      <c r="G223" s="2" t="s">
        <v>1781</v>
      </c>
      <c r="H223" s="2" t="s">
        <v>1782</v>
      </c>
      <c r="I223" s="2" t="s">
        <v>1783</v>
      </c>
      <c r="J223" s="2" t="s">
        <v>1016</v>
      </c>
      <c r="K223" s="2" t="s">
        <v>1135</v>
      </c>
      <c r="L223" s="3">
        <v>15.5</v>
      </c>
      <c r="M223" s="3">
        <v>16.28</v>
      </c>
      <c r="N223" s="3">
        <v>34.99</v>
      </c>
      <c r="O223" s="2" t="s">
        <v>212</v>
      </c>
      <c r="P223" s="2" t="s">
        <v>258</v>
      </c>
      <c r="Q223" s="2" t="s">
        <v>206</v>
      </c>
      <c r="R223" s="2" t="s">
        <v>200</v>
      </c>
      <c r="S223" s="2" t="s">
        <v>1784</v>
      </c>
      <c r="T223" s="2" t="s">
        <v>200</v>
      </c>
      <c r="U223" s="2" t="s">
        <v>270</v>
      </c>
      <c r="V223" s="2" t="s">
        <v>208</v>
      </c>
      <c r="W223" s="2" t="s">
        <v>241</v>
      </c>
      <c r="X223" s="2" t="s">
        <v>1078</v>
      </c>
      <c r="Y223" s="2" t="s">
        <v>999</v>
      </c>
      <c r="Z223" s="4"/>
      <c r="AA223" s="4">
        <f>=ROUNDDOWN({0},0)</f>
      </c>
      <c r="AB223" s="5">
        <v>7</v>
      </c>
      <c r="AC223" s="2" t="s">
        <v>112</v>
      </c>
      <c r="AD223" s="4">
        <v>252</v>
      </c>
      <c r="AE223" s="4">
        <v>252</v>
      </c>
      <c r="AF223" s="6">
        <v>65</v>
      </c>
      <c r="AG223" s="6"/>
      <c r="AH223" s="7">
        <v>0</v>
      </c>
      <c r="AI223" s="4"/>
      <c r="AJ223" s="4">
        <f>=ROUNDDOWN({0},0)</f>
      </c>
      <c r="AK223" s="5"/>
      <c r="AL223" s="2" t="s">
        <v>200</v>
      </c>
      <c r="AM223" s="4"/>
      <c r="AN223" s="4"/>
      <c r="AO223" s="7"/>
      <c r="AP223" s="4"/>
      <c r="AQ223" s="8"/>
      <c r="AR223" s="4"/>
      <c r="AS223" s="8"/>
      <c r="AT223" s="7"/>
      <c r="AU223" s="7"/>
      <c r="AV223" s="4"/>
      <c r="AW223" s="8"/>
      <c r="AX223" s="4"/>
      <c r="AY223" s="8"/>
      <c r="AZ223" s="7"/>
      <c r="BA223" s="7"/>
      <c r="BB223" s="7"/>
      <c r="BC223" s="4"/>
      <c r="BD223" s="8"/>
      <c r="BE223" s="4"/>
      <c r="BF223" s="8"/>
      <c r="BG223" s="7"/>
      <c r="BH223" s="7"/>
      <c r="BI223" s="7"/>
      <c r="BJ223" s="4"/>
      <c r="BK223" s="8"/>
      <c r="BL223" s="2" t="s">
        <v>200</v>
      </c>
      <c r="BM223" s="7"/>
      <c r="BN223" s="7"/>
      <c r="BO223" s="4"/>
      <c r="BP223" s="8"/>
      <c r="BQ223" s="4"/>
      <c r="BR223" s="8"/>
      <c r="BS223" s="7"/>
      <c r="BT223" s="7"/>
      <c r="BU223" s="2" t="s">
        <v>1785</v>
      </c>
      <c r="BV223" s="2" t="s">
        <v>200</v>
      </c>
      <c r="BW223" s="2" t="s">
        <v>200</v>
      </c>
      <c r="BX223" s="2" t="s">
        <v>264</v>
      </c>
      <c r="BY223" s="2" t="s">
        <v>247</v>
      </c>
      <c r="BZ223" s="2" t="s">
        <v>212</v>
      </c>
      <c r="CA223" s="2" t="s">
        <v>1786</v>
      </c>
      <c r="CB223" s="2" t="s">
        <v>1787</v>
      </c>
      <c r="CC223" s="2" t="s">
        <v>213</v>
      </c>
      <c r="CD223" s="2" t="s">
        <v>200</v>
      </c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>
        <v>252</v>
      </c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</row>
    <row r="224">
      <c r="A224" s="2" t="s">
        <v>1788</v>
      </c>
      <c r="B224" s="2" t="s">
        <v>744</v>
      </c>
      <c r="C224" s="2" t="s">
        <v>607</v>
      </c>
      <c r="D224" s="2" t="s">
        <v>1413</v>
      </c>
      <c r="E224" s="2" t="s">
        <v>1414</v>
      </c>
      <c r="F224" s="2" t="s">
        <v>1789</v>
      </c>
      <c r="G224" s="2" t="s">
        <v>1789</v>
      </c>
      <c r="H224" s="2" t="s">
        <v>1789</v>
      </c>
      <c r="I224" s="2" t="s">
        <v>1790</v>
      </c>
      <c r="J224" s="2" t="s">
        <v>711</v>
      </c>
      <c r="K224" s="2" t="s">
        <v>1791</v>
      </c>
      <c r="L224" s="3">
        <v>134.18</v>
      </c>
      <c r="M224" s="3">
        <v>140.89</v>
      </c>
      <c r="N224" s="3">
        <v>279</v>
      </c>
      <c r="O224" s="2" t="s">
        <v>212</v>
      </c>
      <c r="P224" s="2" t="s">
        <v>205</v>
      </c>
      <c r="Q224" s="2" t="s">
        <v>206</v>
      </c>
      <c r="R224" s="2" t="s">
        <v>200</v>
      </c>
      <c r="S224" s="2" t="s">
        <v>200</v>
      </c>
      <c r="T224" s="2" t="s">
        <v>200</v>
      </c>
      <c r="U224" s="2" t="s">
        <v>270</v>
      </c>
      <c r="V224" s="2" t="s">
        <v>616</v>
      </c>
      <c r="W224" s="2" t="s">
        <v>736</v>
      </c>
      <c r="X224" s="2" t="s">
        <v>1399</v>
      </c>
      <c r="Y224" s="2" t="s">
        <v>1368</v>
      </c>
      <c r="Z224" s="4">
        <v>92</v>
      </c>
      <c r="AA224" s="4">
        <f>=ROUNDDOWN(230,0)</f>
      </c>
      <c r="AB224" s="5">
        <v>0.4</v>
      </c>
      <c r="AC224" s="2" t="s">
        <v>200</v>
      </c>
      <c r="AD224" s="4"/>
      <c r="AE224" s="4"/>
      <c r="AF224" s="6">
        <v>74</v>
      </c>
      <c r="AG224" s="6"/>
      <c r="AH224" s="7">
        <v>1</v>
      </c>
      <c r="AI224" s="4"/>
      <c r="AJ224" s="4">
        <f>=ROUNDDOWN({0},0)</f>
      </c>
      <c r="AK224" s="5"/>
      <c r="AL224" s="2" t="s">
        <v>200</v>
      </c>
      <c r="AM224" s="4"/>
      <c r="AN224" s="4"/>
      <c r="AO224" s="7"/>
      <c r="AP224" s="4"/>
      <c r="AQ224" s="8"/>
      <c r="AR224" s="4"/>
      <c r="AS224" s="8"/>
      <c r="AT224" s="7"/>
      <c r="AU224" s="7"/>
      <c r="AV224" s="4"/>
      <c r="AW224" s="8"/>
      <c r="AX224" s="4"/>
      <c r="AY224" s="8"/>
      <c r="AZ224" s="7"/>
      <c r="BA224" s="7"/>
      <c r="BB224" s="7"/>
      <c r="BC224" s="4"/>
      <c r="BD224" s="8"/>
      <c r="BE224" s="4"/>
      <c r="BF224" s="8"/>
      <c r="BG224" s="7"/>
      <c r="BH224" s="7"/>
      <c r="BI224" s="7"/>
      <c r="BJ224" s="4">
        <v>6</v>
      </c>
      <c r="BK224" s="8">
        <v>779.43</v>
      </c>
      <c r="BL224" s="2" t="s">
        <v>1792</v>
      </c>
      <c r="BM224" s="7"/>
      <c r="BN224" s="7"/>
      <c r="BO224" s="4"/>
      <c r="BP224" s="8"/>
      <c r="BQ224" s="4"/>
      <c r="BR224" s="8"/>
      <c r="BS224" s="7"/>
      <c r="BT224" s="7"/>
      <c r="BU224" s="2" t="s">
        <v>1793</v>
      </c>
      <c r="BV224" s="2" t="s">
        <v>200</v>
      </c>
      <c r="BW224" s="2" t="s">
        <v>200</v>
      </c>
      <c r="BX224" s="2" t="s">
        <v>264</v>
      </c>
      <c r="BY224" s="2" t="s">
        <v>247</v>
      </c>
      <c r="BZ224" s="2" t="s">
        <v>212</v>
      </c>
      <c r="CA224" s="2" t="s">
        <v>1794</v>
      </c>
      <c r="CB224" s="2" t="s">
        <v>200</v>
      </c>
      <c r="CC224" s="2" t="s">
        <v>213</v>
      </c>
      <c r="CD224" s="2" t="s">
        <v>200</v>
      </c>
      <c r="CE224" s="4"/>
      <c r="CF224" s="4">
        <v>92</v>
      </c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</row>
    <row r="225">
      <c r="A225" s="2" t="s">
        <v>1795</v>
      </c>
      <c r="B225" s="2" t="s">
        <v>250</v>
      </c>
      <c r="C225" s="2" t="s">
        <v>251</v>
      </c>
      <c r="D225" s="2" t="s">
        <v>252</v>
      </c>
      <c r="E225" s="2" t="s">
        <v>374</v>
      </c>
      <c r="F225" s="2" t="s">
        <v>1796</v>
      </c>
      <c r="G225" s="2" t="s">
        <v>1796</v>
      </c>
      <c r="H225" s="2" t="s">
        <v>1796</v>
      </c>
      <c r="I225" s="2" t="s">
        <v>1797</v>
      </c>
      <c r="J225" s="2" t="s">
        <v>256</v>
      </c>
      <c r="K225" s="2" t="s">
        <v>257</v>
      </c>
      <c r="L225" s="3">
        <v>13.34</v>
      </c>
      <c r="M225" s="3">
        <v>14.01</v>
      </c>
      <c r="N225" s="3">
        <v>28.99</v>
      </c>
      <c r="O225" s="2" t="s">
        <v>212</v>
      </c>
      <c r="P225" s="2" t="s">
        <v>285</v>
      </c>
      <c r="Q225" s="2" t="s">
        <v>206</v>
      </c>
      <c r="R225" s="2" t="s">
        <v>200</v>
      </c>
      <c r="S225" s="2" t="s">
        <v>1798</v>
      </c>
      <c r="T225" s="2" t="s">
        <v>378</v>
      </c>
      <c r="U225" s="2" t="s">
        <v>200</v>
      </c>
      <c r="V225" s="2" t="s">
        <v>208</v>
      </c>
      <c r="W225" s="2" t="s">
        <v>241</v>
      </c>
      <c r="X225" s="2" t="s">
        <v>200</v>
      </c>
      <c r="Y225" s="2" t="s">
        <v>261</v>
      </c>
      <c r="Z225" s="4">
        <v>12</v>
      </c>
      <c r="AA225" s="4">
        <f>=ROUNDDOWN(4,0)</f>
      </c>
      <c r="AB225" s="5">
        <v>3</v>
      </c>
      <c r="AC225" s="2" t="s">
        <v>200</v>
      </c>
      <c r="AD225" s="4"/>
      <c r="AE225" s="4"/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200</v>
      </c>
      <c r="AM225" s="4"/>
      <c r="AN225" s="4"/>
      <c r="AO225" s="7"/>
      <c r="AP225" s="4"/>
      <c r="AQ225" s="8"/>
      <c r="AR225" s="4"/>
      <c r="AS225" s="8"/>
      <c r="AT225" s="7"/>
      <c r="AU225" s="7"/>
      <c r="AV225" s="4" t="s">
        <v>200</v>
      </c>
      <c r="AW225" s="8" t="s">
        <v>200</v>
      </c>
      <c r="AX225" s="4" t="s">
        <v>200</v>
      </c>
      <c r="AY225" s="8" t="s">
        <v>200</v>
      </c>
      <c r="AZ225" s="7" t="s">
        <v>200</v>
      </c>
      <c r="BA225" s="7" t="s">
        <v>200</v>
      </c>
      <c r="BB225" s="7"/>
      <c r="BC225" s="4" t="s">
        <v>200</v>
      </c>
      <c r="BD225" s="8" t="s">
        <v>200</v>
      </c>
      <c r="BE225" s="4" t="s">
        <v>200</v>
      </c>
      <c r="BF225" s="8" t="s">
        <v>200</v>
      </c>
      <c r="BG225" s="7" t="s">
        <v>200</v>
      </c>
      <c r="BH225" s="7" t="s">
        <v>200</v>
      </c>
      <c r="BI225" s="7"/>
      <c r="BJ225" s="4">
        <v>13</v>
      </c>
      <c r="BK225" s="8">
        <v>126.61</v>
      </c>
      <c r="BL225" s="2" t="s">
        <v>776</v>
      </c>
      <c r="BM225" s="7"/>
      <c r="BN225" s="7"/>
      <c r="BO225" s="4"/>
      <c r="BP225" s="8"/>
      <c r="BQ225" s="4"/>
      <c r="BR225" s="8"/>
      <c r="BS225" s="7"/>
      <c r="BT225" s="7"/>
      <c r="BU225" s="2" t="s">
        <v>1799</v>
      </c>
      <c r="BV225" s="2" t="s">
        <v>200</v>
      </c>
      <c r="BW225" s="2" t="s">
        <v>200</v>
      </c>
      <c r="BX225" s="2" t="s">
        <v>289</v>
      </c>
      <c r="BY225" s="2" t="s">
        <v>247</v>
      </c>
      <c r="BZ225" s="2" t="s">
        <v>212</v>
      </c>
      <c r="CA225" s="2" t="s">
        <v>265</v>
      </c>
      <c r="CB225" s="2" t="s">
        <v>1800</v>
      </c>
      <c r="CC225" s="2" t="s">
        <v>213</v>
      </c>
      <c r="CD225" s="2" t="s">
        <v>200</v>
      </c>
      <c r="CE225" s="4">
        <v>12</v>
      </c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</row>
    <row r="226">
      <c r="A226" s="2" t="s">
        <v>1801</v>
      </c>
      <c r="B226" s="2" t="s">
        <v>250</v>
      </c>
      <c r="C226" s="2" t="s">
        <v>251</v>
      </c>
      <c r="D226" s="2" t="s">
        <v>252</v>
      </c>
      <c r="E226" s="2" t="s">
        <v>1802</v>
      </c>
      <c r="F226" s="2" t="s">
        <v>1796</v>
      </c>
      <c r="G226" s="2" t="s">
        <v>1796</v>
      </c>
      <c r="H226" s="2" t="s">
        <v>1796</v>
      </c>
      <c r="I226" s="2" t="s">
        <v>1797</v>
      </c>
      <c r="J226" s="2" t="s">
        <v>277</v>
      </c>
      <c r="K226" s="2" t="s">
        <v>257</v>
      </c>
      <c r="L226" s="3">
        <v>16.32</v>
      </c>
      <c r="M226" s="3">
        <v>17.14</v>
      </c>
      <c r="N226" s="3">
        <v>33.99</v>
      </c>
      <c r="O226" s="2" t="s">
        <v>460</v>
      </c>
      <c r="P226" s="2" t="s">
        <v>285</v>
      </c>
      <c r="Q226" s="2" t="s">
        <v>206</v>
      </c>
      <c r="R226" s="2" t="s">
        <v>200</v>
      </c>
      <c r="S226" s="2" t="s">
        <v>1798</v>
      </c>
      <c r="T226" s="2" t="s">
        <v>378</v>
      </c>
      <c r="U226" s="2" t="s">
        <v>200</v>
      </c>
      <c r="V226" s="2" t="s">
        <v>208</v>
      </c>
      <c r="W226" s="2" t="s">
        <v>241</v>
      </c>
      <c r="X226" s="2" t="s">
        <v>200</v>
      </c>
      <c r="Y226" s="2" t="s">
        <v>261</v>
      </c>
      <c r="Z226" s="4">
        <v>17</v>
      </c>
      <c r="AA226" s="4">
        <f>=ROUNDDOWN(5.66666666666667,0)</f>
      </c>
      <c r="AB226" s="5">
        <v>3</v>
      </c>
      <c r="AC226" s="2" t="s">
        <v>200</v>
      </c>
      <c r="AD226" s="4"/>
      <c r="AE226" s="4"/>
      <c r="AF226" s="6">
        <v>65</v>
      </c>
      <c r="AG226" s="6"/>
      <c r="AH226" s="7">
        <v>0.8667</v>
      </c>
      <c r="AI226" s="4"/>
      <c r="AJ226" s="4">
        <f>=ROUNDDOWN({0},0)</f>
      </c>
      <c r="AK226" s="5"/>
      <c r="AL226" s="2" t="s">
        <v>200</v>
      </c>
      <c r="AM226" s="4"/>
      <c r="AN226" s="4"/>
      <c r="AO226" s="7"/>
      <c r="AP226" s="4"/>
      <c r="AQ226" s="8"/>
      <c r="AR226" s="4"/>
      <c r="AS226" s="8"/>
      <c r="AT226" s="7"/>
      <c r="AU226" s="7"/>
      <c r="AV226" s="4" t="s">
        <v>200</v>
      </c>
      <c r="AW226" s="8" t="s">
        <v>200</v>
      </c>
      <c r="AX226" s="4" t="s">
        <v>200</v>
      </c>
      <c r="AY226" s="8" t="s">
        <v>200</v>
      </c>
      <c r="AZ226" s="7" t="s">
        <v>200</v>
      </c>
      <c r="BA226" s="7" t="s">
        <v>200</v>
      </c>
      <c r="BB226" s="7"/>
      <c r="BC226" s="4" t="s">
        <v>200</v>
      </c>
      <c r="BD226" s="8" t="s">
        <v>200</v>
      </c>
      <c r="BE226" s="4" t="s">
        <v>200</v>
      </c>
      <c r="BF226" s="8" t="s">
        <v>200</v>
      </c>
      <c r="BG226" s="7" t="s">
        <v>200</v>
      </c>
      <c r="BH226" s="7" t="s">
        <v>200</v>
      </c>
      <c r="BI226" s="7"/>
      <c r="BJ226" s="4">
        <v>7</v>
      </c>
      <c r="BK226" s="8">
        <v>82.49</v>
      </c>
      <c r="BL226" s="2" t="s">
        <v>1803</v>
      </c>
      <c r="BM226" s="7"/>
      <c r="BN226" s="7"/>
      <c r="BO226" s="4"/>
      <c r="BP226" s="8"/>
      <c r="BQ226" s="4"/>
      <c r="BR226" s="8"/>
      <c r="BS226" s="7"/>
      <c r="BT226" s="7"/>
      <c r="BU226" s="2" t="s">
        <v>1804</v>
      </c>
      <c r="BV226" s="2" t="s">
        <v>200</v>
      </c>
      <c r="BW226" s="2" t="s">
        <v>200</v>
      </c>
      <c r="BX226" s="2" t="s">
        <v>289</v>
      </c>
      <c r="BY226" s="2" t="s">
        <v>247</v>
      </c>
      <c r="BZ226" s="2" t="s">
        <v>212</v>
      </c>
      <c r="CA226" s="2" t="s">
        <v>265</v>
      </c>
      <c r="CB226" s="2" t="s">
        <v>894</v>
      </c>
      <c r="CC226" s="2" t="s">
        <v>213</v>
      </c>
      <c r="CD226" s="2" t="s">
        <v>200</v>
      </c>
      <c r="CE226" s="4">
        <v>17</v>
      </c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</row>
    <row r="227">
      <c r="A227" s="2" t="s">
        <v>1805</v>
      </c>
      <c r="B227" s="2" t="s">
        <v>744</v>
      </c>
      <c r="C227" s="2" t="s">
        <v>231</v>
      </c>
      <c r="D227" s="2" t="s">
        <v>1806</v>
      </c>
      <c r="E227" s="2" t="s">
        <v>1807</v>
      </c>
      <c r="F227" s="2" t="s">
        <v>1808</v>
      </c>
      <c r="G227" s="2" t="s">
        <v>1809</v>
      </c>
      <c r="H227" s="2" t="s">
        <v>1810</v>
      </c>
      <c r="I227" s="2" t="s">
        <v>1811</v>
      </c>
      <c r="J227" s="2" t="s">
        <v>711</v>
      </c>
      <c r="K227" s="2" t="s">
        <v>1812</v>
      </c>
      <c r="L227" s="3">
        <v>205.2</v>
      </c>
      <c r="M227" s="3">
        <v>215.46</v>
      </c>
      <c r="N227" s="3">
        <v>429</v>
      </c>
      <c r="O227" s="2" t="s">
        <v>460</v>
      </c>
      <c r="P227" s="2" t="s">
        <v>285</v>
      </c>
      <c r="Q227" s="2" t="s">
        <v>206</v>
      </c>
      <c r="R227" s="2" t="s">
        <v>200</v>
      </c>
      <c r="S227" s="2" t="s">
        <v>200</v>
      </c>
      <c r="T227" s="2" t="s">
        <v>200</v>
      </c>
      <c r="U227" s="2" t="s">
        <v>270</v>
      </c>
      <c r="V227" s="2" t="s">
        <v>208</v>
      </c>
      <c r="W227" s="2" t="s">
        <v>419</v>
      </c>
      <c r="X227" s="2" t="s">
        <v>241</v>
      </c>
      <c r="Y227" s="2" t="s">
        <v>1813</v>
      </c>
      <c r="Z227" s="4">
        <v>68</v>
      </c>
      <c r="AA227" s="4">
        <f>=ROUNDDOWN(40,0)</f>
      </c>
      <c r="AB227" s="5">
        <v>1.7</v>
      </c>
      <c r="AC227" s="2" t="s">
        <v>200</v>
      </c>
      <c r="AD227" s="4"/>
      <c r="AE227" s="4"/>
      <c r="AF227" s="6">
        <v>74</v>
      </c>
      <c r="AG227" s="6"/>
      <c r="AH227" s="7">
        <v>1</v>
      </c>
      <c r="AI227" s="4"/>
      <c r="AJ227" s="4">
        <f>=ROUNDDOWN({0},0)</f>
      </c>
      <c r="AK227" s="5"/>
      <c r="AL227" s="2" t="s">
        <v>200</v>
      </c>
      <c r="AM227" s="4"/>
      <c r="AN227" s="4"/>
      <c r="AO227" s="7"/>
      <c r="AP227" s="4"/>
      <c r="AQ227" s="8"/>
      <c r="AR227" s="4"/>
      <c r="AS227" s="8"/>
      <c r="AT227" s="7"/>
      <c r="AU227" s="7"/>
      <c r="AV227" s="4"/>
      <c r="AW227" s="8"/>
      <c r="AX227" s="4"/>
      <c r="AY227" s="8"/>
      <c r="AZ227" s="7"/>
      <c r="BA227" s="7"/>
      <c r="BB227" s="7"/>
      <c r="BC227" s="4"/>
      <c r="BD227" s="8"/>
      <c r="BE227" s="4"/>
      <c r="BF227" s="8"/>
      <c r="BG227" s="7"/>
      <c r="BH227" s="7"/>
      <c r="BI227" s="7"/>
      <c r="BJ227" s="4">
        <v>5</v>
      </c>
      <c r="BK227" s="8">
        <v>707.78</v>
      </c>
      <c r="BL227" s="2" t="s">
        <v>1814</v>
      </c>
      <c r="BM227" s="7"/>
      <c r="BN227" s="7"/>
      <c r="BO227" s="4"/>
      <c r="BP227" s="8"/>
      <c r="BQ227" s="4"/>
      <c r="BR227" s="8"/>
      <c r="BS227" s="7"/>
      <c r="BT227" s="7"/>
      <c r="BU227" s="2" t="s">
        <v>1815</v>
      </c>
      <c r="BV227" s="2" t="s">
        <v>200</v>
      </c>
      <c r="BW227" s="2" t="s">
        <v>200</v>
      </c>
      <c r="BX227" s="2" t="s">
        <v>289</v>
      </c>
      <c r="BY227" s="2" t="s">
        <v>247</v>
      </c>
      <c r="BZ227" s="2" t="s">
        <v>212</v>
      </c>
      <c r="CA227" s="2" t="s">
        <v>1816</v>
      </c>
      <c r="CB227" s="2" t="s">
        <v>200</v>
      </c>
      <c r="CC227" s="2" t="s">
        <v>213</v>
      </c>
      <c r="CD227" s="2" t="s">
        <v>200</v>
      </c>
      <c r="CE227" s="4"/>
      <c r="CF227" s="4">
        <v>68</v>
      </c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</row>
    <row r="228">
      <c r="A228" s="2" t="s">
        <v>1817</v>
      </c>
      <c r="B228" s="2" t="s">
        <v>903</v>
      </c>
      <c r="C228" s="2" t="s">
        <v>231</v>
      </c>
      <c r="D228" s="2" t="s">
        <v>1818</v>
      </c>
      <c r="E228" s="2" t="s">
        <v>1819</v>
      </c>
      <c r="F228" s="2" t="s">
        <v>1820</v>
      </c>
      <c r="G228" s="2" t="s">
        <v>1821</v>
      </c>
      <c r="H228" s="2" t="s">
        <v>1822</v>
      </c>
      <c r="I228" s="2" t="s">
        <v>1823</v>
      </c>
      <c r="J228" s="2" t="s">
        <v>924</v>
      </c>
      <c r="K228" s="2" t="s">
        <v>221</v>
      </c>
      <c r="L228" s="3">
        <v>52.8</v>
      </c>
      <c r="M228" s="3">
        <v>55.43</v>
      </c>
      <c r="N228" s="3">
        <v>109.99</v>
      </c>
      <c r="O228" s="2" t="s">
        <v>460</v>
      </c>
      <c r="P228" s="2" t="s">
        <v>285</v>
      </c>
      <c r="Q228" s="2" t="s">
        <v>206</v>
      </c>
      <c r="R228" s="2" t="s">
        <v>200</v>
      </c>
      <c r="S228" s="2" t="s">
        <v>1824</v>
      </c>
      <c r="T228" s="2" t="s">
        <v>200</v>
      </c>
      <c r="U228" s="2" t="s">
        <v>240</v>
      </c>
      <c r="V228" s="2" t="s">
        <v>885</v>
      </c>
      <c r="W228" s="2" t="s">
        <v>736</v>
      </c>
      <c r="X228" s="2" t="s">
        <v>1825</v>
      </c>
      <c r="Y228" s="2" t="s">
        <v>1826</v>
      </c>
      <c r="Z228" s="4"/>
      <c r="AA228" s="4">
        <f>=ROUNDDOWN({0},0)</f>
      </c>
      <c r="AB228" s="5">
        <v>7</v>
      </c>
      <c r="AC228" s="2" t="s">
        <v>200</v>
      </c>
      <c r="AD228" s="4"/>
      <c r="AE228" s="4"/>
      <c r="AF228" s="6">
        <v>65</v>
      </c>
      <c r="AG228" s="6"/>
      <c r="AH228" s="7">
        <v>0.9667</v>
      </c>
      <c r="AI228" s="4"/>
      <c r="AJ228" s="4">
        <f>=ROUNDDOWN({0},0)</f>
      </c>
      <c r="AK228" s="5"/>
      <c r="AL228" s="2" t="s">
        <v>200</v>
      </c>
      <c r="AM228" s="4"/>
      <c r="AN228" s="4"/>
      <c r="AO228" s="7"/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 t="s">
        <v>200</v>
      </c>
      <c r="BD228" s="8" t="s">
        <v>200</v>
      </c>
      <c r="BE228" s="4" t="s">
        <v>200</v>
      </c>
      <c r="BF228" s="8" t="s">
        <v>200</v>
      </c>
      <c r="BG228" s="7" t="s">
        <v>200</v>
      </c>
      <c r="BH228" s="7" t="s">
        <v>200</v>
      </c>
      <c r="BI228" s="7"/>
      <c r="BJ228" s="4">
        <v>11</v>
      </c>
      <c r="BK228" s="8">
        <v>610.68</v>
      </c>
      <c r="BL228" s="2" t="s">
        <v>1827</v>
      </c>
      <c r="BM228" s="7"/>
      <c r="BN228" s="7"/>
      <c r="BO228" s="4"/>
      <c r="BP228" s="8"/>
      <c r="BQ228" s="4"/>
      <c r="BR228" s="8"/>
      <c r="BS228" s="7"/>
      <c r="BT228" s="7"/>
      <c r="BU228" s="2" t="s">
        <v>1828</v>
      </c>
      <c r="BV228" s="2" t="s">
        <v>200</v>
      </c>
      <c r="BW228" s="2" t="s">
        <v>200</v>
      </c>
      <c r="BX228" s="2" t="s">
        <v>289</v>
      </c>
      <c r="BY228" s="2" t="s">
        <v>247</v>
      </c>
      <c r="BZ228" s="2" t="s">
        <v>212</v>
      </c>
      <c r="CA228" s="2" t="s">
        <v>1829</v>
      </c>
      <c r="CB228" s="2" t="s">
        <v>1830</v>
      </c>
      <c r="CC228" s="2" t="s">
        <v>213</v>
      </c>
      <c r="CD228" s="2" t="s">
        <v>200</v>
      </c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</row>
    <row r="229">
      <c r="A229" s="2" t="s">
        <v>1831</v>
      </c>
      <c r="B229" s="2" t="s">
        <v>903</v>
      </c>
      <c r="C229" s="2" t="s">
        <v>231</v>
      </c>
      <c r="D229" s="2" t="s">
        <v>1818</v>
      </c>
      <c r="E229" s="2" t="s">
        <v>1819</v>
      </c>
      <c r="F229" s="2" t="s">
        <v>1820</v>
      </c>
      <c r="G229" s="2" t="s">
        <v>1821</v>
      </c>
      <c r="H229" s="2" t="s">
        <v>1822</v>
      </c>
      <c r="I229" s="2" t="s">
        <v>1823</v>
      </c>
      <c r="J229" s="2" t="s">
        <v>924</v>
      </c>
      <c r="K229" s="2" t="s">
        <v>223</v>
      </c>
      <c r="L229" s="3">
        <v>52.8</v>
      </c>
      <c r="M229" s="3">
        <v>55.43</v>
      </c>
      <c r="N229" s="3">
        <v>109.99</v>
      </c>
      <c r="O229" s="2" t="s">
        <v>212</v>
      </c>
      <c r="P229" s="2" t="s">
        <v>258</v>
      </c>
      <c r="Q229" s="2" t="s">
        <v>206</v>
      </c>
      <c r="R229" s="2" t="s">
        <v>200</v>
      </c>
      <c r="S229" s="2" t="s">
        <v>1832</v>
      </c>
      <c r="T229" s="2" t="s">
        <v>1833</v>
      </c>
      <c r="U229" s="2" t="s">
        <v>240</v>
      </c>
      <c r="V229" s="2" t="s">
        <v>885</v>
      </c>
      <c r="W229" s="2" t="s">
        <v>242</v>
      </c>
      <c r="X229" s="2" t="s">
        <v>1825</v>
      </c>
      <c r="Y229" s="2" t="s">
        <v>1834</v>
      </c>
      <c r="Z229" s="4">
        <v>405</v>
      </c>
      <c r="AA229" s="4">
        <f>=ROUNDDOWN(36.8181818181818,0)</f>
      </c>
      <c r="AB229" s="5">
        <v>11</v>
      </c>
      <c r="AC229" s="2" t="s">
        <v>200</v>
      </c>
      <c r="AD229" s="4"/>
      <c r="AE229" s="4"/>
      <c r="AF229" s="6">
        <v>65</v>
      </c>
      <c r="AG229" s="6"/>
      <c r="AH229" s="7">
        <v>1</v>
      </c>
      <c r="AI229" s="4"/>
      <c r="AJ229" s="4">
        <f>=ROUNDDOWN({0},0)</f>
      </c>
      <c r="AK229" s="5"/>
      <c r="AL229" s="2" t="s">
        <v>200</v>
      </c>
      <c r="AM229" s="4"/>
      <c r="AN229" s="4"/>
      <c r="AO229" s="7"/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 t="s">
        <v>200</v>
      </c>
      <c r="BD229" s="8" t="s">
        <v>200</v>
      </c>
      <c r="BE229" s="4" t="s">
        <v>200</v>
      </c>
      <c r="BF229" s="8" t="s">
        <v>200</v>
      </c>
      <c r="BG229" s="7" t="s">
        <v>200</v>
      </c>
      <c r="BH229" s="7" t="s">
        <v>200</v>
      </c>
      <c r="BI229" s="7"/>
      <c r="BJ229" s="4">
        <v>51</v>
      </c>
      <c r="BK229" s="8">
        <v>2848.82</v>
      </c>
      <c r="BL229" s="2" t="s">
        <v>1835</v>
      </c>
      <c r="BM229" s="7"/>
      <c r="BN229" s="7"/>
      <c r="BO229" s="4"/>
      <c r="BP229" s="8"/>
      <c r="BQ229" s="4"/>
      <c r="BR229" s="8"/>
      <c r="BS229" s="7"/>
      <c r="BT229" s="7"/>
      <c r="BU229" s="2" t="s">
        <v>1836</v>
      </c>
      <c r="BV229" s="2" t="s">
        <v>200</v>
      </c>
      <c r="BW229" s="2" t="s">
        <v>200</v>
      </c>
      <c r="BX229" s="2" t="s">
        <v>264</v>
      </c>
      <c r="BY229" s="2" t="s">
        <v>247</v>
      </c>
      <c r="BZ229" s="2" t="s">
        <v>212</v>
      </c>
      <c r="CA229" s="2" t="s">
        <v>1834</v>
      </c>
      <c r="CB229" s="2" t="s">
        <v>1837</v>
      </c>
      <c r="CC229" s="2" t="s">
        <v>213</v>
      </c>
      <c r="CD229" s="2" t="s">
        <v>200</v>
      </c>
      <c r="CE229" s="4">
        <v>405</v>
      </c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</row>
    <row r="230">
      <c r="A230" s="2" t="s">
        <v>1838</v>
      </c>
      <c r="B230" s="2" t="s">
        <v>932</v>
      </c>
      <c r="C230" s="2" t="s">
        <v>1839</v>
      </c>
      <c r="D230" s="2" t="s">
        <v>918</v>
      </c>
      <c r="E230" s="2" t="s">
        <v>919</v>
      </c>
      <c r="F230" s="2" t="s">
        <v>1820</v>
      </c>
      <c r="G230" s="2" t="s">
        <v>1840</v>
      </c>
      <c r="H230" s="2" t="s">
        <v>1841</v>
      </c>
      <c r="I230" s="2" t="s">
        <v>1842</v>
      </c>
      <c r="J230" s="2" t="s">
        <v>612</v>
      </c>
      <c r="K230" s="2" t="s">
        <v>1843</v>
      </c>
      <c r="L230" s="3">
        <v>26.19</v>
      </c>
      <c r="M230" s="3">
        <v>27.5</v>
      </c>
      <c r="N230" s="3">
        <v>54.99</v>
      </c>
      <c r="O230" s="2" t="s">
        <v>417</v>
      </c>
      <c r="P230" s="2" t="s">
        <v>285</v>
      </c>
      <c r="Q230" s="2" t="s">
        <v>206</v>
      </c>
      <c r="R230" s="2" t="s">
        <v>200</v>
      </c>
      <c r="S230" s="2" t="s">
        <v>1844</v>
      </c>
      <c r="T230" s="2" t="s">
        <v>1176</v>
      </c>
      <c r="U230" s="2" t="s">
        <v>454</v>
      </c>
      <c r="V230" s="2" t="s">
        <v>724</v>
      </c>
      <c r="W230" s="2" t="s">
        <v>379</v>
      </c>
      <c r="X230" s="2" t="s">
        <v>200</v>
      </c>
      <c r="Y230" s="2" t="s">
        <v>1845</v>
      </c>
      <c r="Z230" s="4">
        <v>1</v>
      </c>
      <c r="AA230" s="4">
        <f>=ROUNDDOWN(0.263157894736842,0)</f>
      </c>
      <c r="AB230" s="5">
        <v>3.8</v>
      </c>
      <c r="AC230" s="2" t="s">
        <v>200</v>
      </c>
      <c r="AD230" s="4"/>
      <c r="AE230" s="4"/>
      <c r="AF230" s="6">
        <v>65</v>
      </c>
      <c r="AG230" s="6"/>
      <c r="AH230" s="7">
        <v>0.8667</v>
      </c>
      <c r="AI230" s="4"/>
      <c r="AJ230" s="4">
        <f>=ROUNDDOWN({0},0)</f>
      </c>
      <c r="AK230" s="5"/>
      <c r="AL230" s="2" t="s">
        <v>200</v>
      </c>
      <c r="AM230" s="4"/>
      <c r="AN230" s="4"/>
      <c r="AO230" s="7"/>
      <c r="AP230" s="4"/>
      <c r="AQ230" s="8"/>
      <c r="AR230" s="4"/>
      <c r="AS230" s="8"/>
      <c r="AT230" s="7"/>
      <c r="AU230" s="7"/>
      <c r="AV230" s="4"/>
      <c r="AW230" s="8"/>
      <c r="AX230" s="4"/>
      <c r="AY230" s="8"/>
      <c r="AZ230" s="7"/>
      <c r="BA230" s="7"/>
      <c r="BB230" s="7"/>
      <c r="BC230" s="4" t="s">
        <v>200</v>
      </c>
      <c r="BD230" s="8" t="s">
        <v>200</v>
      </c>
      <c r="BE230" s="4" t="s">
        <v>200</v>
      </c>
      <c r="BF230" s="8" t="s">
        <v>200</v>
      </c>
      <c r="BG230" s="7" t="s">
        <v>200</v>
      </c>
      <c r="BH230" s="7" t="s">
        <v>200</v>
      </c>
      <c r="BI230" s="7"/>
      <c r="BJ230" s="4">
        <v>8</v>
      </c>
      <c r="BK230" s="8">
        <v>165.74</v>
      </c>
      <c r="BL230" s="2" t="s">
        <v>1846</v>
      </c>
      <c r="BM230" s="7"/>
      <c r="BN230" s="7"/>
      <c r="BO230" s="4"/>
      <c r="BP230" s="8"/>
      <c r="BQ230" s="4"/>
      <c r="BR230" s="8"/>
      <c r="BS230" s="7"/>
      <c r="BT230" s="7"/>
      <c r="BU230" s="2" t="s">
        <v>1847</v>
      </c>
      <c r="BV230" s="2" t="s">
        <v>200</v>
      </c>
      <c r="BW230" s="2" t="s">
        <v>200</v>
      </c>
      <c r="BX230" s="2" t="s">
        <v>289</v>
      </c>
      <c r="BY230" s="2" t="s">
        <v>247</v>
      </c>
      <c r="BZ230" s="2" t="s">
        <v>212</v>
      </c>
      <c r="CA230" s="2" t="s">
        <v>1848</v>
      </c>
      <c r="CB230" s="2" t="s">
        <v>1849</v>
      </c>
      <c r="CC230" s="2" t="s">
        <v>213</v>
      </c>
      <c r="CD230" s="2" t="s">
        <v>200</v>
      </c>
      <c r="CE230" s="4">
        <v>1</v>
      </c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</row>
    <row r="231">
      <c r="A231" s="2" t="s">
        <v>1850</v>
      </c>
      <c r="B231" s="2" t="s">
        <v>827</v>
      </c>
      <c r="C231" s="2" t="s">
        <v>1010</v>
      </c>
      <c r="D231" s="2" t="s">
        <v>828</v>
      </c>
      <c r="E231" s="2" t="s">
        <v>1011</v>
      </c>
      <c r="F231" s="2" t="s">
        <v>1851</v>
      </c>
      <c r="G231" s="2" t="s">
        <v>1505</v>
      </c>
      <c r="H231" s="2" t="s">
        <v>1852</v>
      </c>
      <c r="I231" s="2" t="s">
        <v>1853</v>
      </c>
      <c r="J231" s="2" t="s">
        <v>1242</v>
      </c>
      <c r="K231" s="2" t="s">
        <v>1214</v>
      </c>
      <c r="L231" s="3">
        <v>18.9</v>
      </c>
      <c r="M231" s="3">
        <v>19.84</v>
      </c>
      <c r="N231" s="3">
        <v>44.99</v>
      </c>
      <c r="O231" s="2" t="s">
        <v>212</v>
      </c>
      <c r="P231" s="2" t="s">
        <v>258</v>
      </c>
      <c r="Q231" s="2" t="s">
        <v>206</v>
      </c>
      <c r="R231" s="2" t="s">
        <v>200</v>
      </c>
      <c r="S231" s="2" t="s">
        <v>1854</v>
      </c>
      <c r="T231" s="2" t="s">
        <v>200</v>
      </c>
      <c r="U231" s="2" t="s">
        <v>200</v>
      </c>
      <c r="V231" s="2" t="s">
        <v>885</v>
      </c>
      <c r="W231" s="2" t="s">
        <v>379</v>
      </c>
      <c r="X231" s="2" t="s">
        <v>1020</v>
      </c>
      <c r="Y231" s="2" t="s">
        <v>978</v>
      </c>
      <c r="Z231" s="4">
        <v>460</v>
      </c>
      <c r="AA231" s="4">
        <f>=ROUNDDOWN(38.3333333333333,0)</f>
      </c>
      <c r="AB231" s="5">
        <v>12</v>
      </c>
      <c r="AC231" s="2" t="s">
        <v>200</v>
      </c>
      <c r="AD231" s="4"/>
      <c r="AE231" s="4"/>
      <c r="AF231" s="6">
        <v>68</v>
      </c>
      <c r="AG231" s="6"/>
      <c r="AH231" s="7">
        <v>1</v>
      </c>
      <c r="AI231" s="4"/>
      <c r="AJ231" s="4">
        <f>=ROUNDDOWN({0},0)</f>
      </c>
      <c r="AK231" s="5"/>
      <c r="AL231" s="2" t="s">
        <v>200</v>
      </c>
      <c r="AM231" s="4"/>
      <c r="AN231" s="4"/>
      <c r="AO231" s="7"/>
      <c r="AP231" s="4"/>
      <c r="AQ231" s="8"/>
      <c r="AR231" s="4"/>
      <c r="AS231" s="8"/>
      <c r="AT231" s="7"/>
      <c r="AU231" s="7"/>
      <c r="AV231" s="4" t="s">
        <v>200</v>
      </c>
      <c r="AW231" s="8" t="s">
        <v>200</v>
      </c>
      <c r="AX231" s="4" t="s">
        <v>200</v>
      </c>
      <c r="AY231" s="8" t="s">
        <v>200</v>
      </c>
      <c r="AZ231" s="7" t="s">
        <v>200</v>
      </c>
      <c r="BA231" s="7" t="s">
        <v>200</v>
      </c>
      <c r="BB231" s="7"/>
      <c r="BC231" s="4" t="s">
        <v>200</v>
      </c>
      <c r="BD231" s="8" t="s">
        <v>200</v>
      </c>
      <c r="BE231" s="4" t="s">
        <v>200</v>
      </c>
      <c r="BF231" s="8" t="s">
        <v>200</v>
      </c>
      <c r="BG231" s="7" t="s">
        <v>200</v>
      </c>
      <c r="BH231" s="7" t="s">
        <v>200</v>
      </c>
      <c r="BI231" s="7"/>
      <c r="BJ231" s="4">
        <v>22</v>
      </c>
      <c r="BK231" s="8">
        <v>529.39</v>
      </c>
      <c r="BL231" s="2" t="s">
        <v>1855</v>
      </c>
      <c r="BM231" s="7"/>
      <c r="BN231" s="7"/>
      <c r="BO231" s="4"/>
      <c r="BP231" s="8"/>
      <c r="BQ231" s="4"/>
      <c r="BR231" s="8"/>
      <c r="BS231" s="7"/>
      <c r="BT231" s="7"/>
      <c r="BU231" s="2" t="s">
        <v>1856</v>
      </c>
      <c r="BV231" s="2" t="s">
        <v>200</v>
      </c>
      <c r="BW231" s="2" t="s">
        <v>200</v>
      </c>
      <c r="BX231" s="2" t="s">
        <v>620</v>
      </c>
      <c r="BY231" s="2" t="s">
        <v>247</v>
      </c>
      <c r="BZ231" s="2" t="s">
        <v>212</v>
      </c>
      <c r="CA231" s="2" t="s">
        <v>1857</v>
      </c>
      <c r="CB231" s="2" t="s">
        <v>1858</v>
      </c>
      <c r="CC231" s="2" t="s">
        <v>213</v>
      </c>
      <c r="CD231" s="2" t="s">
        <v>200</v>
      </c>
      <c r="CE231" s="4">
        <v>460</v>
      </c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</row>
    <row r="232">
      <c r="A232" s="2" t="s">
        <v>1859</v>
      </c>
      <c r="B232" s="2" t="s">
        <v>827</v>
      </c>
      <c r="C232" s="2" t="s">
        <v>1010</v>
      </c>
      <c r="D232" s="2" t="s">
        <v>828</v>
      </c>
      <c r="E232" s="2" t="s">
        <v>1011</v>
      </c>
      <c r="F232" s="2" t="s">
        <v>1851</v>
      </c>
      <c r="G232" s="2" t="s">
        <v>1505</v>
      </c>
      <c r="H232" s="2" t="s">
        <v>1852</v>
      </c>
      <c r="I232" s="2" t="s">
        <v>1853</v>
      </c>
      <c r="J232" s="2" t="s">
        <v>1057</v>
      </c>
      <c r="K232" s="2" t="s">
        <v>1214</v>
      </c>
      <c r="L232" s="3">
        <v>21</v>
      </c>
      <c r="M232" s="3">
        <v>22.05</v>
      </c>
      <c r="N232" s="3">
        <v>49.99</v>
      </c>
      <c r="O232" s="2" t="s">
        <v>212</v>
      </c>
      <c r="P232" s="2" t="s">
        <v>258</v>
      </c>
      <c r="Q232" s="2" t="s">
        <v>206</v>
      </c>
      <c r="R232" s="2" t="s">
        <v>200</v>
      </c>
      <c r="S232" s="2" t="s">
        <v>1854</v>
      </c>
      <c r="T232" s="2" t="s">
        <v>200</v>
      </c>
      <c r="U232" s="2" t="s">
        <v>200</v>
      </c>
      <c r="V232" s="2" t="s">
        <v>885</v>
      </c>
      <c r="W232" s="2" t="s">
        <v>379</v>
      </c>
      <c r="X232" s="2" t="s">
        <v>1020</v>
      </c>
      <c r="Y232" s="2" t="s">
        <v>978</v>
      </c>
      <c r="Z232" s="4">
        <v>392</v>
      </c>
      <c r="AA232" s="4">
        <f>=ROUNDDOWN(56,0)</f>
      </c>
      <c r="AB232" s="5">
        <v>7</v>
      </c>
      <c r="AC232" s="2" t="s">
        <v>200</v>
      </c>
      <c r="AD232" s="4"/>
      <c r="AE232" s="4"/>
      <c r="AF232" s="6">
        <v>68</v>
      </c>
      <c r="AG232" s="6"/>
      <c r="AH232" s="7">
        <v>1</v>
      </c>
      <c r="AI232" s="4"/>
      <c r="AJ232" s="4">
        <f>=ROUNDDOWN({0},0)</f>
      </c>
      <c r="AK232" s="5"/>
      <c r="AL232" s="2" t="s">
        <v>200</v>
      </c>
      <c r="AM232" s="4"/>
      <c r="AN232" s="4"/>
      <c r="AO232" s="7"/>
      <c r="AP232" s="4"/>
      <c r="AQ232" s="8"/>
      <c r="AR232" s="4"/>
      <c r="AS232" s="8"/>
      <c r="AT232" s="7"/>
      <c r="AU232" s="7"/>
      <c r="AV232" s="4" t="s">
        <v>200</v>
      </c>
      <c r="AW232" s="8" t="s">
        <v>200</v>
      </c>
      <c r="AX232" s="4" t="s">
        <v>200</v>
      </c>
      <c r="AY232" s="8" t="s">
        <v>200</v>
      </c>
      <c r="AZ232" s="7" t="s">
        <v>200</v>
      </c>
      <c r="BA232" s="7" t="s">
        <v>200</v>
      </c>
      <c r="BB232" s="7"/>
      <c r="BC232" s="4" t="s">
        <v>200</v>
      </c>
      <c r="BD232" s="8" t="s">
        <v>200</v>
      </c>
      <c r="BE232" s="4" t="s">
        <v>200</v>
      </c>
      <c r="BF232" s="8" t="s">
        <v>200</v>
      </c>
      <c r="BG232" s="7" t="s">
        <v>200</v>
      </c>
      <c r="BH232" s="7" t="s">
        <v>200</v>
      </c>
      <c r="BI232" s="7"/>
      <c r="BJ232" s="4">
        <v>15</v>
      </c>
      <c r="BK232" s="8">
        <v>345.64</v>
      </c>
      <c r="BL232" s="2" t="s">
        <v>1860</v>
      </c>
      <c r="BM232" s="7"/>
      <c r="BN232" s="7"/>
      <c r="BO232" s="4"/>
      <c r="BP232" s="8"/>
      <c r="BQ232" s="4"/>
      <c r="BR232" s="8"/>
      <c r="BS232" s="7"/>
      <c r="BT232" s="7"/>
      <c r="BU232" s="2" t="s">
        <v>1861</v>
      </c>
      <c r="BV232" s="2" t="s">
        <v>200</v>
      </c>
      <c r="BW232" s="2" t="s">
        <v>200</v>
      </c>
      <c r="BX232" s="2" t="s">
        <v>620</v>
      </c>
      <c r="BY232" s="2" t="s">
        <v>247</v>
      </c>
      <c r="BZ232" s="2" t="s">
        <v>212</v>
      </c>
      <c r="CA232" s="2" t="s">
        <v>1857</v>
      </c>
      <c r="CB232" s="2" t="s">
        <v>1862</v>
      </c>
      <c r="CC232" s="2" t="s">
        <v>213</v>
      </c>
      <c r="CD232" s="2" t="s">
        <v>200</v>
      </c>
      <c r="CE232" s="4">
        <v>392</v>
      </c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</row>
    <row r="233">
      <c r="A233" s="2" t="s">
        <v>1863</v>
      </c>
      <c r="B233" s="2" t="s">
        <v>932</v>
      </c>
      <c r="C233" s="2" t="s">
        <v>1839</v>
      </c>
      <c r="D233" s="2" t="s">
        <v>608</v>
      </c>
      <c r="E233" s="2" t="s">
        <v>1324</v>
      </c>
      <c r="F233" s="2" t="s">
        <v>1851</v>
      </c>
      <c r="G233" s="2" t="s">
        <v>1864</v>
      </c>
      <c r="H233" s="2" t="s">
        <v>1865</v>
      </c>
      <c r="I233" s="2" t="s">
        <v>1866</v>
      </c>
      <c r="J233" s="2" t="s">
        <v>612</v>
      </c>
      <c r="K233" s="2" t="s">
        <v>1867</v>
      </c>
      <c r="L233" s="3">
        <v>35.71</v>
      </c>
      <c r="M233" s="3">
        <v>37.5</v>
      </c>
      <c r="N233" s="3">
        <v>74.99</v>
      </c>
      <c r="O233" s="2" t="s">
        <v>212</v>
      </c>
      <c r="P233" s="2" t="s">
        <v>285</v>
      </c>
      <c r="Q233" s="2" t="s">
        <v>206</v>
      </c>
      <c r="R233" s="2" t="s">
        <v>200</v>
      </c>
      <c r="S233" s="2" t="s">
        <v>1868</v>
      </c>
      <c r="T233" s="2" t="s">
        <v>1176</v>
      </c>
      <c r="U233" s="2" t="s">
        <v>454</v>
      </c>
      <c r="V233" s="2" t="s">
        <v>885</v>
      </c>
      <c r="W233" s="2" t="s">
        <v>379</v>
      </c>
      <c r="X233" s="2" t="s">
        <v>200</v>
      </c>
      <c r="Y233" s="2" t="s">
        <v>1395</v>
      </c>
      <c r="Z233" s="4">
        <v>37</v>
      </c>
      <c r="AA233" s="4">
        <f>=ROUNDDOWN(15.4166666666667,0)</f>
      </c>
      <c r="AB233" s="5">
        <v>2.4</v>
      </c>
      <c r="AC233" s="2" t="s">
        <v>200</v>
      </c>
      <c r="AD233" s="4"/>
      <c r="AE233" s="4"/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200</v>
      </c>
      <c r="AM233" s="4"/>
      <c r="AN233" s="4"/>
      <c r="AO233" s="7"/>
      <c r="AP233" s="4"/>
      <c r="AQ233" s="8"/>
      <c r="AR233" s="4"/>
      <c r="AS233" s="8"/>
      <c r="AT233" s="7"/>
      <c r="AU233" s="7"/>
      <c r="AV233" s="4" t="s">
        <v>200</v>
      </c>
      <c r="AW233" s="8" t="s">
        <v>200</v>
      </c>
      <c r="AX233" s="4" t="s">
        <v>200</v>
      </c>
      <c r="AY233" s="8" t="s">
        <v>200</v>
      </c>
      <c r="AZ233" s="7" t="s">
        <v>200</v>
      </c>
      <c r="BA233" s="7" t="s">
        <v>200</v>
      </c>
      <c r="BB233" s="7" t="s">
        <v>200</v>
      </c>
      <c r="BC233" s="4" t="s">
        <v>200</v>
      </c>
      <c r="BD233" s="8" t="s">
        <v>200</v>
      </c>
      <c r="BE233" s="4" t="s">
        <v>200</v>
      </c>
      <c r="BF233" s="8" t="s">
        <v>200</v>
      </c>
      <c r="BG233" s="7" t="s">
        <v>200</v>
      </c>
      <c r="BH233" s="7" t="s">
        <v>200</v>
      </c>
      <c r="BI233" s="7"/>
      <c r="BJ233" s="4">
        <v>48</v>
      </c>
      <c r="BK233" s="8">
        <v>1706.26</v>
      </c>
      <c r="BL233" s="2" t="s">
        <v>1869</v>
      </c>
      <c r="BM233" s="7"/>
      <c r="BN233" s="7"/>
      <c r="BO233" s="4"/>
      <c r="BP233" s="8"/>
      <c r="BQ233" s="4"/>
      <c r="BR233" s="8"/>
      <c r="BS233" s="7"/>
      <c r="BT233" s="7"/>
      <c r="BU233" s="2" t="s">
        <v>1870</v>
      </c>
      <c r="BV233" s="2" t="s">
        <v>200</v>
      </c>
      <c r="BW233" s="2" t="s">
        <v>200</v>
      </c>
      <c r="BX233" s="2" t="s">
        <v>289</v>
      </c>
      <c r="BY233" s="2" t="s">
        <v>247</v>
      </c>
      <c r="BZ233" s="2" t="s">
        <v>212</v>
      </c>
      <c r="CA233" s="2" t="s">
        <v>1209</v>
      </c>
      <c r="CB233" s="2" t="s">
        <v>1871</v>
      </c>
      <c r="CC233" s="2" t="s">
        <v>213</v>
      </c>
      <c r="CD233" s="2" t="s">
        <v>200</v>
      </c>
      <c r="CE233" s="4">
        <v>37</v>
      </c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</row>
    <row r="234">
      <c r="A234" s="2" t="s">
        <v>1872</v>
      </c>
      <c r="B234" s="2" t="s">
        <v>932</v>
      </c>
      <c r="C234" s="2" t="s">
        <v>1839</v>
      </c>
      <c r="D234" s="2" t="s">
        <v>918</v>
      </c>
      <c r="E234" s="2" t="s">
        <v>919</v>
      </c>
      <c r="F234" s="2" t="s">
        <v>1851</v>
      </c>
      <c r="G234" s="2" t="s">
        <v>1864</v>
      </c>
      <c r="H234" s="2" t="s">
        <v>1865</v>
      </c>
      <c r="I234" s="2" t="s">
        <v>1873</v>
      </c>
      <c r="J234" s="2" t="s">
        <v>612</v>
      </c>
      <c r="K234" s="2" t="s">
        <v>1867</v>
      </c>
      <c r="L234" s="3">
        <v>26.19</v>
      </c>
      <c r="M234" s="3">
        <v>27.5</v>
      </c>
      <c r="N234" s="3">
        <v>54.99</v>
      </c>
      <c r="O234" s="2" t="s">
        <v>212</v>
      </c>
      <c r="P234" s="2" t="s">
        <v>285</v>
      </c>
      <c r="Q234" s="2" t="s">
        <v>206</v>
      </c>
      <c r="R234" s="2" t="s">
        <v>200</v>
      </c>
      <c r="S234" s="2" t="s">
        <v>1868</v>
      </c>
      <c r="T234" s="2" t="s">
        <v>1176</v>
      </c>
      <c r="U234" s="2" t="s">
        <v>454</v>
      </c>
      <c r="V234" s="2" t="s">
        <v>885</v>
      </c>
      <c r="W234" s="2" t="s">
        <v>379</v>
      </c>
      <c r="X234" s="2" t="s">
        <v>200</v>
      </c>
      <c r="Y234" s="2" t="s">
        <v>1395</v>
      </c>
      <c r="Z234" s="4">
        <v>70</v>
      </c>
      <c r="AA234" s="4">
        <f>=ROUNDDOWN(35,0)</f>
      </c>
      <c r="AB234" s="5">
        <v>2</v>
      </c>
      <c r="AC234" s="2" t="s">
        <v>200</v>
      </c>
      <c r="AD234" s="4"/>
      <c r="AE234" s="4"/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200</v>
      </c>
      <c r="AM234" s="4"/>
      <c r="AN234" s="4"/>
      <c r="AO234" s="7"/>
      <c r="AP234" s="4"/>
      <c r="AQ234" s="8"/>
      <c r="AR234" s="4"/>
      <c r="AS234" s="8"/>
      <c r="AT234" s="7"/>
      <c r="AU234" s="7"/>
      <c r="AV234" s="4" t="s">
        <v>200</v>
      </c>
      <c r="AW234" s="8" t="s">
        <v>200</v>
      </c>
      <c r="AX234" s="4" t="s">
        <v>200</v>
      </c>
      <c r="AY234" s="8" t="s">
        <v>200</v>
      </c>
      <c r="AZ234" s="7" t="s">
        <v>200</v>
      </c>
      <c r="BA234" s="7" t="s">
        <v>200</v>
      </c>
      <c r="BB234" s="7" t="s">
        <v>200</v>
      </c>
      <c r="BC234" s="4" t="s">
        <v>200</v>
      </c>
      <c r="BD234" s="8" t="s">
        <v>200</v>
      </c>
      <c r="BE234" s="4" t="s">
        <v>200</v>
      </c>
      <c r="BF234" s="8" t="s">
        <v>200</v>
      </c>
      <c r="BG234" s="7" t="s">
        <v>200</v>
      </c>
      <c r="BH234" s="7" t="s">
        <v>200</v>
      </c>
      <c r="BI234" s="7"/>
      <c r="BJ234" s="4">
        <v>2</v>
      </c>
      <c r="BK234" s="8">
        <v>59.4</v>
      </c>
      <c r="BL234" s="2" t="s">
        <v>319</v>
      </c>
      <c r="BM234" s="7"/>
      <c r="BN234" s="7"/>
      <c r="BO234" s="4"/>
      <c r="BP234" s="8"/>
      <c r="BQ234" s="4"/>
      <c r="BR234" s="8"/>
      <c r="BS234" s="7"/>
      <c r="BT234" s="7"/>
      <c r="BU234" s="2" t="s">
        <v>1874</v>
      </c>
      <c r="BV234" s="2" t="s">
        <v>200</v>
      </c>
      <c r="BW234" s="2" t="s">
        <v>200</v>
      </c>
      <c r="BX234" s="2" t="s">
        <v>289</v>
      </c>
      <c r="BY234" s="2" t="s">
        <v>247</v>
      </c>
      <c r="BZ234" s="2" t="s">
        <v>212</v>
      </c>
      <c r="CA234" s="2" t="s">
        <v>1209</v>
      </c>
      <c r="CB234" s="2" t="s">
        <v>1875</v>
      </c>
      <c r="CC234" s="2" t="s">
        <v>213</v>
      </c>
      <c r="CD234" s="2" t="s">
        <v>200</v>
      </c>
      <c r="CE234" s="4">
        <v>70</v>
      </c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</row>
    <row r="235">
      <c r="A235" s="2" t="s">
        <v>1876</v>
      </c>
      <c r="B235" s="2" t="s">
        <v>932</v>
      </c>
      <c r="C235" s="2" t="s">
        <v>1839</v>
      </c>
      <c r="D235" s="2" t="s">
        <v>918</v>
      </c>
      <c r="E235" s="2" t="s">
        <v>919</v>
      </c>
      <c r="F235" s="2" t="s">
        <v>1851</v>
      </c>
      <c r="G235" s="2" t="s">
        <v>1864</v>
      </c>
      <c r="H235" s="2" t="s">
        <v>1865</v>
      </c>
      <c r="I235" s="2" t="s">
        <v>1873</v>
      </c>
      <c r="J235" s="2" t="s">
        <v>924</v>
      </c>
      <c r="K235" s="2" t="s">
        <v>1867</v>
      </c>
      <c r="L235" s="3">
        <v>30.95</v>
      </c>
      <c r="M235" s="3">
        <v>32.5</v>
      </c>
      <c r="N235" s="3">
        <v>64.99</v>
      </c>
      <c r="O235" s="2" t="s">
        <v>212</v>
      </c>
      <c r="P235" s="2" t="s">
        <v>285</v>
      </c>
      <c r="Q235" s="2" t="s">
        <v>206</v>
      </c>
      <c r="R235" s="2" t="s">
        <v>200</v>
      </c>
      <c r="S235" s="2" t="s">
        <v>1868</v>
      </c>
      <c r="T235" s="2" t="s">
        <v>1176</v>
      </c>
      <c r="U235" s="2" t="s">
        <v>454</v>
      </c>
      <c r="V235" s="2" t="s">
        <v>885</v>
      </c>
      <c r="W235" s="2" t="s">
        <v>379</v>
      </c>
      <c r="X235" s="2" t="s">
        <v>200</v>
      </c>
      <c r="Y235" s="2" t="s">
        <v>1877</v>
      </c>
      <c r="Z235" s="4"/>
      <c r="AA235" s="4">
        <f>=ROUNDDOWN({0},0)</f>
      </c>
      <c r="AB235" s="5">
        <v>3.6</v>
      </c>
      <c r="AC235" s="2" t="s">
        <v>200</v>
      </c>
      <c r="AD235" s="4"/>
      <c r="AE235" s="4"/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200</v>
      </c>
      <c r="AM235" s="4"/>
      <c r="AN235" s="4"/>
      <c r="AO235" s="7"/>
      <c r="AP235" s="4"/>
      <c r="AQ235" s="8"/>
      <c r="AR235" s="4"/>
      <c r="AS235" s="8"/>
      <c r="AT235" s="7"/>
      <c r="AU235" s="7"/>
      <c r="AV235" s="4" t="s">
        <v>200</v>
      </c>
      <c r="AW235" s="8" t="s">
        <v>200</v>
      </c>
      <c r="AX235" s="4" t="s">
        <v>200</v>
      </c>
      <c r="AY235" s="8" t="s">
        <v>200</v>
      </c>
      <c r="AZ235" s="7" t="s">
        <v>200</v>
      </c>
      <c r="BA235" s="7" t="s">
        <v>200</v>
      </c>
      <c r="BB235" s="7"/>
      <c r="BC235" s="4" t="s">
        <v>200</v>
      </c>
      <c r="BD235" s="8" t="s">
        <v>200</v>
      </c>
      <c r="BE235" s="4" t="s">
        <v>200</v>
      </c>
      <c r="BF235" s="8" t="s">
        <v>200</v>
      </c>
      <c r="BG235" s="7" t="s">
        <v>200</v>
      </c>
      <c r="BH235" s="7" t="s">
        <v>200</v>
      </c>
      <c r="BI235" s="7"/>
      <c r="BJ235" s="4">
        <v>24</v>
      </c>
      <c r="BK235" s="8">
        <v>770.43</v>
      </c>
      <c r="BL235" s="2" t="s">
        <v>370</v>
      </c>
      <c r="BM235" s="7"/>
      <c r="BN235" s="7"/>
      <c r="BO235" s="4"/>
      <c r="BP235" s="8"/>
      <c r="BQ235" s="4"/>
      <c r="BR235" s="8"/>
      <c r="BS235" s="7"/>
      <c r="BT235" s="7"/>
      <c r="BU235" s="2" t="s">
        <v>1878</v>
      </c>
      <c r="BV235" s="2" t="s">
        <v>200</v>
      </c>
      <c r="BW235" s="2" t="s">
        <v>200</v>
      </c>
      <c r="BX235" s="2" t="s">
        <v>289</v>
      </c>
      <c r="BY235" s="2" t="s">
        <v>247</v>
      </c>
      <c r="BZ235" s="2" t="s">
        <v>212</v>
      </c>
      <c r="CA235" s="2" t="s">
        <v>1209</v>
      </c>
      <c r="CB235" s="2" t="s">
        <v>1879</v>
      </c>
      <c r="CC235" s="2" t="s">
        <v>213</v>
      </c>
      <c r="CD235" s="2" t="s">
        <v>200</v>
      </c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</row>
    <row r="236">
      <c r="A236" s="2" t="s">
        <v>1880</v>
      </c>
      <c r="B236" s="2" t="s">
        <v>827</v>
      </c>
      <c r="C236" s="2" t="s">
        <v>1010</v>
      </c>
      <c r="D236" s="2" t="s">
        <v>828</v>
      </c>
      <c r="E236" s="2" t="s">
        <v>1011</v>
      </c>
      <c r="F236" s="2" t="s">
        <v>1851</v>
      </c>
      <c r="G236" s="2" t="s">
        <v>1505</v>
      </c>
      <c r="H236" s="2" t="s">
        <v>1852</v>
      </c>
      <c r="I236" s="2" t="s">
        <v>1853</v>
      </c>
      <c r="J236" s="2" t="s">
        <v>1242</v>
      </c>
      <c r="K236" s="2" t="s">
        <v>223</v>
      </c>
      <c r="L236" s="3">
        <v>18.9</v>
      </c>
      <c r="M236" s="3">
        <v>19.84</v>
      </c>
      <c r="N236" s="3">
        <v>44.99</v>
      </c>
      <c r="O236" s="2" t="s">
        <v>212</v>
      </c>
      <c r="P236" s="2" t="s">
        <v>258</v>
      </c>
      <c r="Q236" s="2" t="s">
        <v>206</v>
      </c>
      <c r="R236" s="2" t="s">
        <v>200</v>
      </c>
      <c r="S236" s="2" t="s">
        <v>1881</v>
      </c>
      <c r="T236" s="2" t="s">
        <v>378</v>
      </c>
      <c r="U236" s="2" t="s">
        <v>270</v>
      </c>
      <c r="V236" s="2" t="s">
        <v>885</v>
      </c>
      <c r="W236" s="2" t="s">
        <v>379</v>
      </c>
      <c r="X236" s="2" t="s">
        <v>1020</v>
      </c>
      <c r="Y236" s="2" t="s">
        <v>1882</v>
      </c>
      <c r="Z236" s="4">
        <v>168</v>
      </c>
      <c r="AA236" s="4">
        <f>=ROUNDDOWN(18.6666666666667,0)</f>
      </c>
      <c r="AB236" s="5">
        <v>9</v>
      </c>
      <c r="AC236" s="2" t="s">
        <v>1147</v>
      </c>
      <c r="AD236" s="4">
        <v>180</v>
      </c>
      <c r="AE236" s="4">
        <v>180</v>
      </c>
      <c r="AF236" s="6">
        <v>68</v>
      </c>
      <c r="AG236" s="6"/>
      <c r="AH236" s="7">
        <v>1</v>
      </c>
      <c r="AI236" s="4"/>
      <c r="AJ236" s="4">
        <f>=ROUNDDOWN({0},0)</f>
      </c>
      <c r="AK236" s="5"/>
      <c r="AL236" s="2" t="s">
        <v>200</v>
      </c>
      <c r="AM236" s="4"/>
      <c r="AN236" s="4"/>
      <c r="AO236" s="7"/>
      <c r="AP236" s="4"/>
      <c r="AQ236" s="8"/>
      <c r="AR236" s="4"/>
      <c r="AS236" s="8"/>
      <c r="AT236" s="7"/>
      <c r="AU236" s="7"/>
      <c r="AV236" s="4"/>
      <c r="AW236" s="8"/>
      <c r="AX236" s="4"/>
      <c r="AY236" s="8"/>
      <c r="AZ236" s="7"/>
      <c r="BA236" s="7"/>
      <c r="BB236" s="7"/>
      <c r="BC236" s="4" t="s">
        <v>200</v>
      </c>
      <c r="BD236" s="8" t="s">
        <v>200</v>
      </c>
      <c r="BE236" s="4" t="s">
        <v>200</v>
      </c>
      <c r="BF236" s="8" t="s">
        <v>200</v>
      </c>
      <c r="BG236" s="7" t="s">
        <v>200</v>
      </c>
      <c r="BH236" s="7" t="s">
        <v>200</v>
      </c>
      <c r="BI236" s="7"/>
      <c r="BJ236" s="4">
        <v>35</v>
      </c>
      <c r="BK236" s="8">
        <v>933.46</v>
      </c>
      <c r="BL236" s="2" t="s">
        <v>1883</v>
      </c>
      <c r="BM236" s="7"/>
      <c r="BN236" s="7"/>
      <c r="BO236" s="4"/>
      <c r="BP236" s="8"/>
      <c r="BQ236" s="4"/>
      <c r="BR236" s="8"/>
      <c r="BS236" s="7"/>
      <c r="BT236" s="7"/>
      <c r="BU236" s="2" t="s">
        <v>1884</v>
      </c>
      <c r="BV236" s="2" t="s">
        <v>200</v>
      </c>
      <c r="BW236" s="2" t="s">
        <v>200</v>
      </c>
      <c r="BX236" s="2" t="s">
        <v>620</v>
      </c>
      <c r="BY236" s="2" t="s">
        <v>247</v>
      </c>
      <c r="BZ236" s="2" t="s">
        <v>212</v>
      </c>
      <c r="CA236" s="2" t="s">
        <v>1882</v>
      </c>
      <c r="CB236" s="2" t="s">
        <v>1885</v>
      </c>
      <c r="CC236" s="2" t="s">
        <v>213</v>
      </c>
      <c r="CD236" s="2" t="s">
        <v>200</v>
      </c>
      <c r="CE236" s="4">
        <v>168</v>
      </c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>
        <v>180</v>
      </c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</row>
    <row r="237">
      <c r="A237" s="2" t="s">
        <v>1886</v>
      </c>
      <c r="B237" s="2" t="s">
        <v>827</v>
      </c>
      <c r="C237" s="2" t="s">
        <v>1010</v>
      </c>
      <c r="D237" s="2" t="s">
        <v>828</v>
      </c>
      <c r="E237" s="2" t="s">
        <v>1011</v>
      </c>
      <c r="F237" s="2" t="s">
        <v>1851</v>
      </c>
      <c r="G237" s="2" t="s">
        <v>1505</v>
      </c>
      <c r="H237" s="2" t="s">
        <v>1852</v>
      </c>
      <c r="I237" s="2" t="s">
        <v>1853</v>
      </c>
      <c r="J237" s="2" t="s">
        <v>1242</v>
      </c>
      <c r="K237" s="2" t="s">
        <v>1700</v>
      </c>
      <c r="L237" s="3">
        <v>18.9</v>
      </c>
      <c r="M237" s="3">
        <v>19.84</v>
      </c>
      <c r="N237" s="3">
        <v>44.99</v>
      </c>
      <c r="O237" s="2" t="s">
        <v>212</v>
      </c>
      <c r="P237" s="2" t="s">
        <v>258</v>
      </c>
      <c r="Q237" s="2" t="s">
        <v>206</v>
      </c>
      <c r="R237" s="2" t="s">
        <v>200</v>
      </c>
      <c r="S237" s="2" t="s">
        <v>1887</v>
      </c>
      <c r="T237" s="2" t="s">
        <v>200</v>
      </c>
      <c r="U237" s="2" t="s">
        <v>270</v>
      </c>
      <c r="V237" s="2" t="s">
        <v>885</v>
      </c>
      <c r="W237" s="2" t="s">
        <v>379</v>
      </c>
      <c r="X237" s="2" t="s">
        <v>1020</v>
      </c>
      <c r="Y237" s="2" t="s">
        <v>1888</v>
      </c>
      <c r="Z237" s="4">
        <v>353</v>
      </c>
      <c r="AA237" s="4">
        <f>=ROUNDDOWN(35.3,0)</f>
      </c>
      <c r="AB237" s="5">
        <v>10</v>
      </c>
      <c r="AC237" s="2" t="s">
        <v>200</v>
      </c>
      <c r="AD237" s="4"/>
      <c r="AE237" s="4"/>
      <c r="AF237" s="6">
        <v>68</v>
      </c>
      <c r="AG237" s="6"/>
      <c r="AH237" s="7">
        <v>1</v>
      </c>
      <c r="AI237" s="4"/>
      <c r="AJ237" s="4">
        <f>=ROUNDDOWN({0},0)</f>
      </c>
      <c r="AK237" s="5"/>
      <c r="AL237" s="2" t="s">
        <v>200</v>
      </c>
      <c r="AM237" s="4"/>
      <c r="AN237" s="4"/>
      <c r="AO237" s="7"/>
      <c r="AP237" s="4"/>
      <c r="AQ237" s="8"/>
      <c r="AR237" s="4"/>
      <c r="AS237" s="8"/>
      <c r="AT237" s="7"/>
      <c r="AU237" s="7"/>
      <c r="AV237" s="4"/>
      <c r="AW237" s="8"/>
      <c r="AX237" s="4"/>
      <c r="AY237" s="8"/>
      <c r="AZ237" s="7"/>
      <c r="BA237" s="7"/>
      <c r="BB237" s="7"/>
      <c r="BC237" s="4" t="s">
        <v>200</v>
      </c>
      <c r="BD237" s="8" t="s">
        <v>200</v>
      </c>
      <c r="BE237" s="4" t="s">
        <v>200</v>
      </c>
      <c r="BF237" s="8" t="s">
        <v>200</v>
      </c>
      <c r="BG237" s="7" t="s">
        <v>200</v>
      </c>
      <c r="BH237" s="7" t="s">
        <v>200</v>
      </c>
      <c r="BI237" s="7"/>
      <c r="BJ237" s="4">
        <v>83</v>
      </c>
      <c r="BK237" s="8">
        <v>2198.02</v>
      </c>
      <c r="BL237" s="2" t="s">
        <v>1889</v>
      </c>
      <c r="BM237" s="7"/>
      <c r="BN237" s="7"/>
      <c r="BO237" s="4"/>
      <c r="BP237" s="8"/>
      <c r="BQ237" s="4"/>
      <c r="BR237" s="8"/>
      <c r="BS237" s="7"/>
      <c r="BT237" s="7"/>
      <c r="BU237" s="2" t="s">
        <v>1890</v>
      </c>
      <c r="BV237" s="2" t="s">
        <v>200</v>
      </c>
      <c r="BW237" s="2" t="s">
        <v>200</v>
      </c>
      <c r="BX237" s="2" t="s">
        <v>620</v>
      </c>
      <c r="BY237" s="2" t="s">
        <v>247</v>
      </c>
      <c r="BZ237" s="2" t="s">
        <v>212</v>
      </c>
      <c r="CA237" s="2" t="s">
        <v>1891</v>
      </c>
      <c r="CB237" s="2" t="s">
        <v>1892</v>
      </c>
      <c r="CC237" s="2" t="s">
        <v>213</v>
      </c>
      <c r="CD237" s="2" t="s">
        <v>200</v>
      </c>
      <c r="CE237" s="4">
        <v>353</v>
      </c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</row>
    <row r="238">
      <c r="A238" s="2" t="s">
        <v>1893</v>
      </c>
      <c r="B238" s="2" t="s">
        <v>195</v>
      </c>
      <c r="C238" s="2" t="s">
        <v>1894</v>
      </c>
      <c r="D238" s="2" t="s">
        <v>608</v>
      </c>
      <c r="E238" s="2" t="s">
        <v>1324</v>
      </c>
      <c r="F238" s="2" t="s">
        <v>1895</v>
      </c>
      <c r="G238" s="2" t="s">
        <v>1895</v>
      </c>
      <c r="H238" s="2" t="s">
        <v>1895</v>
      </c>
      <c r="I238" s="2" t="s">
        <v>1896</v>
      </c>
      <c r="J238" s="2" t="s">
        <v>1390</v>
      </c>
      <c r="K238" s="2" t="s">
        <v>1897</v>
      </c>
      <c r="L238" s="3">
        <v>42.87</v>
      </c>
      <c r="M238" s="3">
        <v>45.02</v>
      </c>
      <c r="N238" s="3">
        <v>89.99</v>
      </c>
      <c r="O238" s="2" t="s">
        <v>460</v>
      </c>
      <c r="P238" s="2" t="s">
        <v>285</v>
      </c>
      <c r="Q238" s="2" t="s">
        <v>206</v>
      </c>
      <c r="R238" s="2" t="s">
        <v>200</v>
      </c>
      <c r="S238" s="2" t="s">
        <v>1898</v>
      </c>
      <c r="T238" s="2" t="s">
        <v>1899</v>
      </c>
      <c r="U238" s="2" t="s">
        <v>677</v>
      </c>
      <c r="V238" s="2" t="s">
        <v>1198</v>
      </c>
      <c r="W238" s="2" t="s">
        <v>1900</v>
      </c>
      <c r="X238" s="2" t="s">
        <v>241</v>
      </c>
      <c r="Y238" s="2" t="s">
        <v>1901</v>
      </c>
      <c r="Z238" s="4">
        <v>58</v>
      </c>
      <c r="AA238" s="4">
        <f>=ROUNDDOWN(41.4285714285714,0)</f>
      </c>
      <c r="AB238" s="5">
        <v>1.4</v>
      </c>
      <c r="AC238" s="2" t="s">
        <v>200</v>
      </c>
      <c r="AD238" s="4"/>
      <c r="AE238" s="4"/>
      <c r="AF238" s="6"/>
      <c r="AG238" s="6"/>
      <c r="AH238" s="7">
        <v>1</v>
      </c>
      <c r="AI238" s="4"/>
      <c r="AJ238" s="4">
        <f>=ROUNDDOWN({0},0)</f>
      </c>
      <c r="AK238" s="5"/>
      <c r="AL238" s="2" t="s">
        <v>200</v>
      </c>
      <c r="AM238" s="4"/>
      <c r="AN238" s="4"/>
      <c r="AO238" s="7"/>
      <c r="AP238" s="4"/>
      <c r="AQ238" s="8"/>
      <c r="AR238" s="4"/>
      <c r="AS238" s="8"/>
      <c r="AT238" s="7"/>
      <c r="AU238" s="7"/>
      <c r="AV238" s="4" t="s">
        <v>200</v>
      </c>
      <c r="AW238" s="8" t="s">
        <v>200</v>
      </c>
      <c r="AX238" s="4" t="s">
        <v>200</v>
      </c>
      <c r="AY238" s="8" t="s">
        <v>200</v>
      </c>
      <c r="AZ238" s="7" t="s">
        <v>200</v>
      </c>
      <c r="BA238" s="7" t="s">
        <v>200</v>
      </c>
      <c r="BB238" s="7"/>
      <c r="BC238" s="4" t="s">
        <v>200</v>
      </c>
      <c r="BD238" s="8" t="s">
        <v>200</v>
      </c>
      <c r="BE238" s="4" t="s">
        <v>200</v>
      </c>
      <c r="BF238" s="8" t="s">
        <v>200</v>
      </c>
      <c r="BG238" s="7" t="s">
        <v>200</v>
      </c>
      <c r="BH238" s="7" t="s">
        <v>200</v>
      </c>
      <c r="BI238" s="7"/>
      <c r="BJ238" s="4">
        <v>9</v>
      </c>
      <c r="BK238" s="8">
        <v>317.26</v>
      </c>
      <c r="BL238" s="2" t="s">
        <v>1902</v>
      </c>
      <c r="BM238" s="7"/>
      <c r="BN238" s="7"/>
      <c r="BO238" s="4"/>
      <c r="BP238" s="8"/>
      <c r="BQ238" s="4"/>
      <c r="BR238" s="8"/>
      <c r="BS238" s="7"/>
      <c r="BT238" s="7"/>
      <c r="BU238" s="2" t="s">
        <v>1903</v>
      </c>
      <c r="BV238" s="2" t="s">
        <v>200</v>
      </c>
      <c r="BW238" s="2" t="s">
        <v>200</v>
      </c>
      <c r="BX238" s="2" t="s">
        <v>289</v>
      </c>
      <c r="BY238" s="2" t="s">
        <v>247</v>
      </c>
      <c r="BZ238" s="2" t="s">
        <v>212</v>
      </c>
      <c r="CA238" s="2" t="s">
        <v>1904</v>
      </c>
      <c r="CB238" s="2" t="s">
        <v>1905</v>
      </c>
      <c r="CC238" s="2" t="s">
        <v>213</v>
      </c>
      <c r="CD238" s="2" t="s">
        <v>200</v>
      </c>
      <c r="CE238" s="4"/>
      <c r="CF238" s="4"/>
      <c r="CG238" s="4"/>
      <c r="CH238" s="4">
        <v>58</v>
      </c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</row>
    <row r="239">
      <c r="A239" s="2" t="s">
        <v>1906</v>
      </c>
      <c r="B239" s="2" t="s">
        <v>195</v>
      </c>
      <c r="C239" s="2" t="s">
        <v>1894</v>
      </c>
      <c r="D239" s="2" t="s">
        <v>608</v>
      </c>
      <c r="E239" s="2" t="s">
        <v>1324</v>
      </c>
      <c r="F239" s="2" t="s">
        <v>1895</v>
      </c>
      <c r="G239" s="2" t="s">
        <v>1895</v>
      </c>
      <c r="H239" s="2" t="s">
        <v>1895</v>
      </c>
      <c r="I239" s="2" t="s">
        <v>1896</v>
      </c>
      <c r="J239" s="2" t="s">
        <v>612</v>
      </c>
      <c r="K239" s="2" t="s">
        <v>1897</v>
      </c>
      <c r="L239" s="3">
        <v>53.33</v>
      </c>
      <c r="M239" s="3">
        <v>56</v>
      </c>
      <c r="N239" s="3">
        <v>109.99</v>
      </c>
      <c r="O239" s="2" t="s">
        <v>460</v>
      </c>
      <c r="P239" s="2" t="s">
        <v>285</v>
      </c>
      <c r="Q239" s="2" t="s">
        <v>206</v>
      </c>
      <c r="R239" s="2" t="s">
        <v>200</v>
      </c>
      <c r="S239" s="2" t="s">
        <v>1898</v>
      </c>
      <c r="T239" s="2" t="s">
        <v>1899</v>
      </c>
      <c r="U239" s="2" t="s">
        <v>454</v>
      </c>
      <c r="V239" s="2" t="s">
        <v>1198</v>
      </c>
      <c r="W239" s="2" t="s">
        <v>1900</v>
      </c>
      <c r="X239" s="2" t="s">
        <v>241</v>
      </c>
      <c r="Y239" s="2" t="s">
        <v>1907</v>
      </c>
      <c r="Z239" s="4">
        <v>341</v>
      </c>
      <c r="AA239" s="4">
        <f>=ROUNDDOWN(103.333333333333,0)</f>
      </c>
      <c r="AB239" s="5">
        <v>3.3</v>
      </c>
      <c r="AC239" s="2" t="s">
        <v>200</v>
      </c>
      <c r="AD239" s="4"/>
      <c r="AE239" s="4"/>
      <c r="AF239" s="6"/>
      <c r="AG239" s="6"/>
      <c r="AH239" s="7">
        <v>1</v>
      </c>
      <c r="AI239" s="4"/>
      <c r="AJ239" s="4">
        <f>=ROUNDDOWN({0},0)</f>
      </c>
      <c r="AK239" s="5"/>
      <c r="AL239" s="2" t="s">
        <v>200</v>
      </c>
      <c r="AM239" s="4"/>
      <c r="AN239" s="4"/>
      <c r="AO239" s="7"/>
      <c r="AP239" s="4"/>
      <c r="AQ239" s="8"/>
      <c r="AR239" s="4"/>
      <c r="AS239" s="8"/>
      <c r="AT239" s="7"/>
      <c r="AU239" s="7"/>
      <c r="AV239" s="4" t="s">
        <v>200</v>
      </c>
      <c r="AW239" s="8" t="s">
        <v>200</v>
      </c>
      <c r="AX239" s="4" t="s">
        <v>200</v>
      </c>
      <c r="AY239" s="8" t="s">
        <v>200</v>
      </c>
      <c r="AZ239" s="7" t="s">
        <v>200</v>
      </c>
      <c r="BA239" s="7" t="s">
        <v>200</v>
      </c>
      <c r="BB239" s="7"/>
      <c r="BC239" s="4" t="s">
        <v>200</v>
      </c>
      <c r="BD239" s="8" t="s">
        <v>200</v>
      </c>
      <c r="BE239" s="4" t="s">
        <v>200</v>
      </c>
      <c r="BF239" s="8" t="s">
        <v>200</v>
      </c>
      <c r="BG239" s="7" t="s">
        <v>200</v>
      </c>
      <c r="BH239" s="7" t="s">
        <v>200</v>
      </c>
      <c r="BI239" s="7"/>
      <c r="BJ239" s="4">
        <v>19</v>
      </c>
      <c r="BK239" s="8">
        <v>801.32</v>
      </c>
      <c r="BL239" s="2" t="s">
        <v>327</v>
      </c>
      <c r="BM239" s="7"/>
      <c r="BN239" s="7"/>
      <c r="BO239" s="4"/>
      <c r="BP239" s="8"/>
      <c r="BQ239" s="4"/>
      <c r="BR239" s="8"/>
      <c r="BS239" s="7"/>
      <c r="BT239" s="7"/>
      <c r="BU239" s="2" t="s">
        <v>1908</v>
      </c>
      <c r="BV239" s="2" t="s">
        <v>200</v>
      </c>
      <c r="BW239" s="2" t="s">
        <v>200</v>
      </c>
      <c r="BX239" s="2" t="s">
        <v>289</v>
      </c>
      <c r="BY239" s="2" t="s">
        <v>247</v>
      </c>
      <c r="BZ239" s="2" t="s">
        <v>212</v>
      </c>
      <c r="CA239" s="2" t="s">
        <v>1904</v>
      </c>
      <c r="CB239" s="2" t="s">
        <v>365</v>
      </c>
      <c r="CC239" s="2" t="s">
        <v>213</v>
      </c>
      <c r="CD239" s="2" t="s">
        <v>200</v>
      </c>
      <c r="CE239" s="4"/>
      <c r="CF239" s="4"/>
      <c r="CG239" s="4"/>
      <c r="CH239" s="4">
        <v>341</v>
      </c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</row>
    <row r="240">
      <c r="A240" s="2" t="s">
        <v>1909</v>
      </c>
      <c r="B240" s="2" t="s">
        <v>744</v>
      </c>
      <c r="C240" s="2" t="s">
        <v>231</v>
      </c>
      <c r="D240" s="2" t="s">
        <v>1462</v>
      </c>
      <c r="E240" s="2" t="s">
        <v>1463</v>
      </c>
      <c r="F240" s="2" t="s">
        <v>1910</v>
      </c>
      <c r="G240" s="2" t="s">
        <v>1911</v>
      </c>
      <c r="H240" s="2" t="s">
        <v>1912</v>
      </c>
      <c r="I240" s="2" t="s">
        <v>1913</v>
      </c>
      <c r="J240" s="2" t="s">
        <v>711</v>
      </c>
      <c r="K240" s="2" t="s">
        <v>387</v>
      </c>
      <c r="L240" s="3">
        <v>125.4</v>
      </c>
      <c r="M240" s="3">
        <v>131.67</v>
      </c>
      <c r="N240" s="3">
        <v>259</v>
      </c>
      <c r="O240" s="2" t="s">
        <v>212</v>
      </c>
      <c r="P240" s="2" t="s">
        <v>750</v>
      </c>
      <c r="Q240" s="2" t="s">
        <v>206</v>
      </c>
      <c r="R240" s="2" t="s">
        <v>200</v>
      </c>
      <c r="S240" s="2" t="s">
        <v>1914</v>
      </c>
      <c r="T240" s="2" t="s">
        <v>200</v>
      </c>
      <c r="U240" s="2" t="s">
        <v>200</v>
      </c>
      <c r="V240" s="2" t="s">
        <v>208</v>
      </c>
      <c r="W240" s="2" t="s">
        <v>379</v>
      </c>
      <c r="X240" s="2" t="s">
        <v>200</v>
      </c>
      <c r="Y240" s="2" t="s">
        <v>261</v>
      </c>
      <c r="Z240" s="4">
        <v>263</v>
      </c>
      <c r="AA240" s="4">
        <f>=ROUNDDOWN(43.8333333333333,0)</f>
      </c>
      <c r="AB240" s="5">
        <v>6</v>
      </c>
      <c r="AC240" s="2" t="s">
        <v>200</v>
      </c>
      <c r="AD240" s="4"/>
      <c r="AE240" s="4"/>
      <c r="AF240" s="6">
        <v>68</v>
      </c>
      <c r="AG240" s="6"/>
      <c r="AH240" s="7">
        <v>1</v>
      </c>
      <c r="AI240" s="4"/>
      <c r="AJ240" s="4">
        <f>=ROUNDDOWN({0},0)</f>
      </c>
      <c r="AK240" s="5"/>
      <c r="AL240" s="2" t="s">
        <v>200</v>
      </c>
      <c r="AM240" s="4"/>
      <c r="AN240" s="4"/>
      <c r="AO240" s="7"/>
      <c r="AP240" s="4"/>
      <c r="AQ240" s="8"/>
      <c r="AR240" s="4"/>
      <c r="AS240" s="8"/>
      <c r="AT240" s="7"/>
      <c r="AU240" s="7"/>
      <c r="AV240" s="4"/>
      <c r="AW240" s="8"/>
      <c r="AX240" s="4"/>
      <c r="AY240" s="8"/>
      <c r="AZ240" s="7"/>
      <c r="BA240" s="7"/>
      <c r="BB240" s="7"/>
      <c r="BC240" s="4" t="s">
        <v>200</v>
      </c>
      <c r="BD240" s="8" t="s">
        <v>200</v>
      </c>
      <c r="BE240" s="4" t="s">
        <v>200</v>
      </c>
      <c r="BF240" s="8" t="s">
        <v>200</v>
      </c>
      <c r="BG240" s="7" t="s">
        <v>200</v>
      </c>
      <c r="BH240" s="7" t="s">
        <v>200</v>
      </c>
      <c r="BI240" s="7"/>
      <c r="BJ240" s="4">
        <v>30</v>
      </c>
      <c r="BK240" s="8">
        <v>3630.15</v>
      </c>
      <c r="BL240" s="2" t="s">
        <v>1915</v>
      </c>
      <c r="BM240" s="7"/>
      <c r="BN240" s="7"/>
      <c r="BO240" s="4"/>
      <c r="BP240" s="8"/>
      <c r="BQ240" s="4"/>
      <c r="BR240" s="8"/>
      <c r="BS240" s="7"/>
      <c r="BT240" s="7"/>
      <c r="BU240" s="2" t="s">
        <v>1916</v>
      </c>
      <c r="BV240" s="2" t="s">
        <v>200</v>
      </c>
      <c r="BW240" s="2" t="s">
        <v>200</v>
      </c>
      <c r="BX240" s="2" t="s">
        <v>264</v>
      </c>
      <c r="BY240" s="2" t="s">
        <v>247</v>
      </c>
      <c r="BZ240" s="2" t="s">
        <v>212</v>
      </c>
      <c r="CA240" s="2" t="s">
        <v>1917</v>
      </c>
      <c r="CB240" s="2" t="s">
        <v>1918</v>
      </c>
      <c r="CC240" s="2" t="s">
        <v>213</v>
      </c>
      <c r="CD240" s="2" t="s">
        <v>200</v>
      </c>
      <c r="CE240" s="4"/>
      <c r="CF240" s="4">
        <v>263</v>
      </c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</row>
    <row r="241">
      <c r="A241" s="2" t="s">
        <v>1919</v>
      </c>
      <c r="B241" s="2" t="s">
        <v>744</v>
      </c>
      <c r="C241" s="2" t="s">
        <v>231</v>
      </c>
      <c r="D241" s="2" t="s">
        <v>1462</v>
      </c>
      <c r="E241" s="2" t="s">
        <v>1463</v>
      </c>
      <c r="F241" s="2" t="s">
        <v>1910</v>
      </c>
      <c r="G241" s="2" t="s">
        <v>1911</v>
      </c>
      <c r="H241" s="2" t="s">
        <v>1912</v>
      </c>
      <c r="I241" s="2" t="s">
        <v>1913</v>
      </c>
      <c r="J241" s="2" t="s">
        <v>711</v>
      </c>
      <c r="K241" s="2" t="s">
        <v>1214</v>
      </c>
      <c r="L241" s="3">
        <v>125.4</v>
      </c>
      <c r="M241" s="3">
        <v>131.67</v>
      </c>
      <c r="N241" s="3">
        <v>259</v>
      </c>
      <c r="O241" s="2" t="s">
        <v>212</v>
      </c>
      <c r="P241" s="2" t="s">
        <v>285</v>
      </c>
      <c r="Q241" s="2" t="s">
        <v>206</v>
      </c>
      <c r="R241" s="2" t="s">
        <v>200</v>
      </c>
      <c r="S241" s="2" t="s">
        <v>1920</v>
      </c>
      <c r="T241" s="2" t="s">
        <v>200</v>
      </c>
      <c r="U241" s="2" t="s">
        <v>200</v>
      </c>
      <c r="V241" s="2" t="s">
        <v>208</v>
      </c>
      <c r="W241" s="2" t="s">
        <v>379</v>
      </c>
      <c r="X241" s="2" t="s">
        <v>200</v>
      </c>
      <c r="Y241" s="2" t="s">
        <v>261</v>
      </c>
      <c r="Z241" s="4">
        <v>154</v>
      </c>
      <c r="AA241" s="4">
        <f>=ROUNDDOWN(38.5,0)</f>
      </c>
      <c r="AB241" s="5">
        <v>4</v>
      </c>
      <c r="AC241" s="2" t="s">
        <v>200</v>
      </c>
      <c r="AD241" s="4"/>
      <c r="AE241" s="4"/>
      <c r="AF241" s="6">
        <v>68</v>
      </c>
      <c r="AG241" s="6"/>
      <c r="AH241" s="7">
        <v>1</v>
      </c>
      <c r="AI241" s="4"/>
      <c r="AJ241" s="4">
        <f>=ROUNDDOWN({0},0)</f>
      </c>
      <c r="AK241" s="5"/>
      <c r="AL241" s="2" t="s">
        <v>200</v>
      </c>
      <c r="AM241" s="4"/>
      <c r="AN241" s="4"/>
      <c r="AO241" s="7"/>
      <c r="AP241" s="4"/>
      <c r="AQ241" s="8"/>
      <c r="AR241" s="4"/>
      <c r="AS241" s="8"/>
      <c r="AT241" s="7"/>
      <c r="AU241" s="7"/>
      <c r="AV241" s="4"/>
      <c r="AW241" s="8"/>
      <c r="AX241" s="4"/>
      <c r="AY241" s="8"/>
      <c r="AZ241" s="7"/>
      <c r="BA241" s="7"/>
      <c r="BB241" s="7"/>
      <c r="BC241" s="4" t="s">
        <v>200</v>
      </c>
      <c r="BD241" s="8" t="s">
        <v>200</v>
      </c>
      <c r="BE241" s="4" t="s">
        <v>200</v>
      </c>
      <c r="BF241" s="8" t="s">
        <v>200</v>
      </c>
      <c r="BG241" s="7" t="s">
        <v>200</v>
      </c>
      <c r="BH241" s="7" t="s">
        <v>200</v>
      </c>
      <c r="BI241" s="7"/>
      <c r="BJ241" s="4">
        <v>30</v>
      </c>
      <c r="BK241" s="8">
        <v>2597.31</v>
      </c>
      <c r="BL241" s="2" t="s">
        <v>1921</v>
      </c>
      <c r="BM241" s="7"/>
      <c r="BN241" s="7"/>
      <c r="BO241" s="4"/>
      <c r="BP241" s="8"/>
      <c r="BQ241" s="4"/>
      <c r="BR241" s="8"/>
      <c r="BS241" s="7"/>
      <c r="BT241" s="7"/>
      <c r="BU241" s="2" t="s">
        <v>1922</v>
      </c>
      <c r="BV241" s="2" t="s">
        <v>200</v>
      </c>
      <c r="BW241" s="2" t="s">
        <v>200</v>
      </c>
      <c r="BX241" s="2" t="s">
        <v>289</v>
      </c>
      <c r="BY241" s="2" t="s">
        <v>247</v>
      </c>
      <c r="BZ241" s="2" t="s">
        <v>212</v>
      </c>
      <c r="CA241" s="2" t="s">
        <v>1829</v>
      </c>
      <c r="CB241" s="2" t="s">
        <v>1923</v>
      </c>
      <c r="CC241" s="2" t="s">
        <v>213</v>
      </c>
      <c r="CD241" s="2" t="s">
        <v>200</v>
      </c>
      <c r="CE241" s="4"/>
      <c r="CF241" s="4">
        <v>154</v>
      </c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</row>
    <row r="242">
      <c r="A242" s="2" t="s">
        <v>1924</v>
      </c>
      <c r="B242" s="2" t="s">
        <v>669</v>
      </c>
      <c r="C242" s="2" t="s">
        <v>1375</v>
      </c>
      <c r="D242" s="2" t="s">
        <v>670</v>
      </c>
      <c r="E242" s="2" t="s">
        <v>671</v>
      </c>
      <c r="F242" s="2" t="s">
        <v>1925</v>
      </c>
      <c r="G242" s="2" t="s">
        <v>1925</v>
      </c>
      <c r="H242" s="2" t="s">
        <v>1925</v>
      </c>
      <c r="I242" s="2" t="s">
        <v>1926</v>
      </c>
      <c r="J242" s="2" t="s">
        <v>1927</v>
      </c>
      <c r="K242" s="2" t="s">
        <v>1928</v>
      </c>
      <c r="L242" s="3">
        <v>26.4</v>
      </c>
      <c r="M242" s="3">
        <v>27.72</v>
      </c>
      <c r="N242" s="3">
        <v>54.99</v>
      </c>
      <c r="O242" s="2" t="s">
        <v>212</v>
      </c>
      <c r="P242" s="2" t="s">
        <v>1247</v>
      </c>
      <c r="Q242" s="2" t="s">
        <v>206</v>
      </c>
      <c r="R242" s="2" t="s">
        <v>200</v>
      </c>
      <c r="S242" s="2" t="s">
        <v>1929</v>
      </c>
      <c r="T242" s="2" t="s">
        <v>312</v>
      </c>
      <c r="U242" s="2" t="s">
        <v>1930</v>
      </c>
      <c r="V242" s="2" t="s">
        <v>208</v>
      </c>
      <c r="W242" s="2" t="s">
        <v>241</v>
      </c>
      <c r="X242" s="2" t="s">
        <v>200</v>
      </c>
      <c r="Y242" s="2" t="s">
        <v>1931</v>
      </c>
      <c r="Z242" s="4">
        <v>953</v>
      </c>
      <c r="AA242" s="4">
        <f>=ROUNDDOWN(50.1578947368421,0)</f>
      </c>
      <c r="AB242" s="5">
        <v>19</v>
      </c>
      <c r="AC242" s="2" t="s">
        <v>129</v>
      </c>
      <c r="AD242" s="4">
        <v>95</v>
      </c>
      <c r="AE242" s="4">
        <v>95</v>
      </c>
      <c r="AF242" s="6">
        <v>69</v>
      </c>
      <c r="AG242" s="6"/>
      <c r="AH242" s="7">
        <v>1</v>
      </c>
      <c r="AI242" s="4"/>
      <c r="AJ242" s="4">
        <f>=ROUNDDOWN({0},0)</f>
      </c>
      <c r="AK242" s="5"/>
      <c r="AL242" s="2" t="s">
        <v>200</v>
      </c>
      <c r="AM242" s="4"/>
      <c r="AN242" s="4"/>
      <c r="AO242" s="7"/>
      <c r="AP242" s="4"/>
      <c r="AQ242" s="8"/>
      <c r="AR242" s="4"/>
      <c r="AS242" s="8"/>
      <c r="AT242" s="7"/>
      <c r="AU242" s="7"/>
      <c r="AV242" s="4"/>
      <c r="AW242" s="8"/>
      <c r="AX242" s="4"/>
      <c r="AY242" s="8"/>
      <c r="AZ242" s="7"/>
      <c r="BA242" s="7"/>
      <c r="BB242" s="7"/>
      <c r="BC242" s="4" t="s">
        <v>200</v>
      </c>
      <c r="BD242" s="8" t="s">
        <v>200</v>
      </c>
      <c r="BE242" s="4" t="s">
        <v>200</v>
      </c>
      <c r="BF242" s="8" t="s">
        <v>200</v>
      </c>
      <c r="BG242" s="7" t="s">
        <v>200</v>
      </c>
      <c r="BH242" s="7" t="s">
        <v>200</v>
      </c>
      <c r="BI242" s="7"/>
      <c r="BJ242" s="4">
        <v>102</v>
      </c>
      <c r="BK242" s="8">
        <v>2943.84</v>
      </c>
      <c r="BL242" s="2" t="s">
        <v>1932</v>
      </c>
      <c r="BM242" s="7"/>
      <c r="BN242" s="7"/>
      <c r="BO242" s="4"/>
      <c r="BP242" s="8"/>
      <c r="BQ242" s="4"/>
      <c r="BR242" s="8"/>
      <c r="BS242" s="7"/>
      <c r="BT242" s="7"/>
      <c r="BU242" s="2" t="s">
        <v>1933</v>
      </c>
      <c r="BV242" s="2" t="s">
        <v>200</v>
      </c>
      <c r="BW242" s="2" t="s">
        <v>200</v>
      </c>
      <c r="BX242" s="2" t="s">
        <v>264</v>
      </c>
      <c r="BY242" s="2" t="s">
        <v>247</v>
      </c>
      <c r="BZ242" s="2" t="s">
        <v>212</v>
      </c>
      <c r="CA242" s="2" t="s">
        <v>1520</v>
      </c>
      <c r="CB242" s="2" t="s">
        <v>1934</v>
      </c>
      <c r="CC242" s="2" t="s">
        <v>213</v>
      </c>
      <c r="CD242" s="2" t="s">
        <v>200</v>
      </c>
      <c r="CE242" s="4">
        <v>953</v>
      </c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>
        <v>95</v>
      </c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</row>
    <row r="243">
      <c r="A243" s="2" t="s">
        <v>1935</v>
      </c>
      <c r="B243" s="2" t="s">
        <v>669</v>
      </c>
      <c r="C243" s="2" t="s">
        <v>1375</v>
      </c>
      <c r="D243" s="2" t="s">
        <v>670</v>
      </c>
      <c r="E243" s="2" t="s">
        <v>671</v>
      </c>
      <c r="F243" s="2" t="s">
        <v>1925</v>
      </c>
      <c r="G243" s="2" t="s">
        <v>1925</v>
      </c>
      <c r="H243" s="2" t="s">
        <v>1925</v>
      </c>
      <c r="I243" s="2" t="s">
        <v>1926</v>
      </c>
      <c r="J243" s="2" t="s">
        <v>1927</v>
      </c>
      <c r="K243" s="2" t="s">
        <v>237</v>
      </c>
      <c r="L243" s="3">
        <v>26.4</v>
      </c>
      <c r="M243" s="3">
        <v>27.72</v>
      </c>
      <c r="N243" s="3">
        <v>54.99</v>
      </c>
      <c r="O243" s="2" t="s">
        <v>212</v>
      </c>
      <c r="P243" s="2" t="s">
        <v>675</v>
      </c>
      <c r="Q243" s="2" t="s">
        <v>206</v>
      </c>
      <c r="R243" s="2" t="s">
        <v>200</v>
      </c>
      <c r="S243" s="2" t="s">
        <v>1936</v>
      </c>
      <c r="T243" s="2" t="s">
        <v>312</v>
      </c>
      <c r="U243" s="2" t="s">
        <v>1930</v>
      </c>
      <c r="V243" s="2" t="s">
        <v>208</v>
      </c>
      <c r="W243" s="2" t="s">
        <v>241</v>
      </c>
      <c r="X243" s="2" t="s">
        <v>200</v>
      </c>
      <c r="Y243" s="2" t="s">
        <v>1937</v>
      </c>
      <c r="Z243" s="4">
        <v>1310</v>
      </c>
      <c r="AA243" s="4">
        <f>=ROUNDDOWN(87.3333333333333,0)</f>
      </c>
      <c r="AB243" s="5">
        <v>15</v>
      </c>
      <c r="AC243" s="2" t="s">
        <v>200</v>
      </c>
      <c r="AD243" s="4"/>
      <c r="AE243" s="4"/>
      <c r="AF243" s="6">
        <v>69</v>
      </c>
      <c r="AG243" s="6"/>
      <c r="AH243" s="7">
        <v>1</v>
      </c>
      <c r="AI243" s="4"/>
      <c r="AJ243" s="4">
        <f>=ROUNDDOWN({0},0)</f>
      </c>
      <c r="AK243" s="5"/>
      <c r="AL243" s="2" t="s">
        <v>200</v>
      </c>
      <c r="AM243" s="4"/>
      <c r="AN243" s="4"/>
      <c r="AO243" s="7"/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 t="s">
        <v>200</v>
      </c>
      <c r="BD243" s="8" t="s">
        <v>200</v>
      </c>
      <c r="BE243" s="4" t="s">
        <v>200</v>
      </c>
      <c r="BF243" s="8" t="s">
        <v>200</v>
      </c>
      <c r="BG243" s="7" t="s">
        <v>200</v>
      </c>
      <c r="BH243" s="7" t="s">
        <v>200</v>
      </c>
      <c r="BI243" s="7"/>
      <c r="BJ243" s="4">
        <v>86</v>
      </c>
      <c r="BK243" s="8">
        <v>2568.53</v>
      </c>
      <c r="BL243" s="2" t="s">
        <v>1938</v>
      </c>
      <c r="BM243" s="7"/>
      <c r="BN243" s="7"/>
      <c r="BO243" s="4"/>
      <c r="BP243" s="8"/>
      <c r="BQ243" s="4"/>
      <c r="BR243" s="8"/>
      <c r="BS243" s="7"/>
      <c r="BT243" s="7"/>
      <c r="BU243" s="2" t="s">
        <v>1939</v>
      </c>
      <c r="BV243" s="2" t="s">
        <v>200</v>
      </c>
      <c r="BW243" s="2" t="s">
        <v>200</v>
      </c>
      <c r="BX243" s="2" t="s">
        <v>264</v>
      </c>
      <c r="BY243" s="2" t="s">
        <v>247</v>
      </c>
      <c r="BZ243" s="2" t="s">
        <v>212</v>
      </c>
      <c r="CA243" s="2" t="s">
        <v>1940</v>
      </c>
      <c r="CB243" s="2" t="s">
        <v>200</v>
      </c>
      <c r="CC243" s="2" t="s">
        <v>213</v>
      </c>
      <c r="CD243" s="2" t="s">
        <v>200</v>
      </c>
      <c r="CE243" s="4">
        <v>1310</v>
      </c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</row>
    <row r="244">
      <c r="A244" s="2" t="s">
        <v>1941</v>
      </c>
      <c r="B244" s="2" t="s">
        <v>669</v>
      </c>
      <c r="C244" s="2" t="s">
        <v>1375</v>
      </c>
      <c r="D244" s="2" t="s">
        <v>670</v>
      </c>
      <c r="E244" s="2" t="s">
        <v>671</v>
      </c>
      <c r="F244" s="2" t="s">
        <v>1925</v>
      </c>
      <c r="G244" s="2" t="s">
        <v>1925</v>
      </c>
      <c r="H244" s="2" t="s">
        <v>1925</v>
      </c>
      <c r="I244" s="2" t="s">
        <v>1926</v>
      </c>
      <c r="J244" s="2" t="s">
        <v>1927</v>
      </c>
      <c r="K244" s="2" t="s">
        <v>221</v>
      </c>
      <c r="L244" s="3">
        <v>26.4</v>
      </c>
      <c r="M244" s="3">
        <v>27.72</v>
      </c>
      <c r="N244" s="3">
        <v>54.99</v>
      </c>
      <c r="O244" s="2" t="s">
        <v>212</v>
      </c>
      <c r="P244" s="2" t="s">
        <v>1075</v>
      </c>
      <c r="Q244" s="2" t="s">
        <v>206</v>
      </c>
      <c r="R244" s="2" t="s">
        <v>200</v>
      </c>
      <c r="S244" s="2" t="s">
        <v>1942</v>
      </c>
      <c r="T244" s="2" t="s">
        <v>312</v>
      </c>
      <c r="U244" s="2" t="s">
        <v>1930</v>
      </c>
      <c r="V244" s="2" t="s">
        <v>208</v>
      </c>
      <c r="W244" s="2" t="s">
        <v>241</v>
      </c>
      <c r="X244" s="2" t="s">
        <v>200</v>
      </c>
      <c r="Y244" s="2" t="s">
        <v>1151</v>
      </c>
      <c r="Z244" s="4">
        <v>1459</v>
      </c>
      <c r="AA244" s="4">
        <f>=ROUNDDOWN(38.3947368421053,0)</f>
      </c>
      <c r="AB244" s="5">
        <v>38</v>
      </c>
      <c r="AC244" s="2" t="s">
        <v>129</v>
      </c>
      <c r="AD244" s="4">
        <v>601</v>
      </c>
      <c r="AE244" s="4">
        <v>601</v>
      </c>
      <c r="AF244" s="6">
        <v>69</v>
      </c>
      <c r="AG244" s="6"/>
      <c r="AH244" s="7">
        <v>1</v>
      </c>
      <c r="AI244" s="4"/>
      <c r="AJ244" s="4">
        <f>=ROUNDDOWN({0},0)</f>
      </c>
      <c r="AK244" s="5"/>
      <c r="AL244" s="2" t="s">
        <v>200</v>
      </c>
      <c r="AM244" s="4"/>
      <c r="AN244" s="4"/>
      <c r="AO244" s="7"/>
      <c r="AP244" s="4"/>
      <c r="AQ244" s="8"/>
      <c r="AR244" s="4"/>
      <c r="AS244" s="8"/>
      <c r="AT244" s="7"/>
      <c r="AU244" s="7"/>
      <c r="AV244" s="4"/>
      <c r="AW244" s="8"/>
      <c r="AX244" s="4"/>
      <c r="AY244" s="8"/>
      <c r="AZ244" s="7"/>
      <c r="BA244" s="7"/>
      <c r="BB244" s="7"/>
      <c r="BC244" s="4" t="s">
        <v>200</v>
      </c>
      <c r="BD244" s="8" t="s">
        <v>200</v>
      </c>
      <c r="BE244" s="4" t="s">
        <v>200</v>
      </c>
      <c r="BF244" s="8" t="s">
        <v>200</v>
      </c>
      <c r="BG244" s="7" t="s">
        <v>200</v>
      </c>
      <c r="BH244" s="7" t="s">
        <v>200</v>
      </c>
      <c r="BI244" s="7"/>
      <c r="BJ244" s="4">
        <v>185</v>
      </c>
      <c r="BK244" s="8">
        <v>5350.65</v>
      </c>
      <c r="BL244" s="2" t="s">
        <v>1943</v>
      </c>
      <c r="BM244" s="7"/>
      <c r="BN244" s="7"/>
      <c r="BO244" s="4"/>
      <c r="BP244" s="8"/>
      <c r="BQ244" s="4"/>
      <c r="BR244" s="8"/>
      <c r="BS244" s="7"/>
      <c r="BT244" s="7"/>
      <c r="BU244" s="2" t="s">
        <v>1944</v>
      </c>
      <c r="BV244" s="2" t="s">
        <v>200</v>
      </c>
      <c r="BW244" s="2" t="s">
        <v>200</v>
      </c>
      <c r="BX244" s="2" t="s">
        <v>264</v>
      </c>
      <c r="BY244" s="2" t="s">
        <v>247</v>
      </c>
      <c r="BZ244" s="2" t="s">
        <v>212</v>
      </c>
      <c r="CA244" s="2" t="s">
        <v>1945</v>
      </c>
      <c r="CB244" s="2" t="s">
        <v>1946</v>
      </c>
      <c r="CC244" s="2" t="s">
        <v>213</v>
      </c>
      <c r="CD244" s="2" t="s">
        <v>200</v>
      </c>
      <c r="CE244" s="4">
        <v>1459</v>
      </c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>
        <v>601</v>
      </c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</row>
    <row r="245">
      <c r="A245" s="2" t="s">
        <v>1947</v>
      </c>
      <c r="B245" s="2" t="s">
        <v>669</v>
      </c>
      <c r="C245" s="2" t="s">
        <v>1375</v>
      </c>
      <c r="D245" s="2" t="s">
        <v>670</v>
      </c>
      <c r="E245" s="2" t="s">
        <v>671</v>
      </c>
      <c r="F245" s="2" t="s">
        <v>1925</v>
      </c>
      <c r="G245" s="2" t="s">
        <v>1925</v>
      </c>
      <c r="H245" s="2" t="s">
        <v>1925</v>
      </c>
      <c r="I245" s="2" t="s">
        <v>1926</v>
      </c>
      <c r="J245" s="2" t="s">
        <v>1927</v>
      </c>
      <c r="K245" s="2" t="s">
        <v>257</v>
      </c>
      <c r="L245" s="3">
        <v>26.4</v>
      </c>
      <c r="M245" s="3">
        <v>27.72</v>
      </c>
      <c r="N245" s="3">
        <v>54.99</v>
      </c>
      <c r="O245" s="2" t="s">
        <v>212</v>
      </c>
      <c r="P245" s="2" t="s">
        <v>1075</v>
      </c>
      <c r="Q245" s="2" t="s">
        <v>206</v>
      </c>
      <c r="R245" s="2" t="s">
        <v>200</v>
      </c>
      <c r="S245" s="2" t="s">
        <v>1948</v>
      </c>
      <c r="T245" s="2" t="s">
        <v>312</v>
      </c>
      <c r="U245" s="2" t="s">
        <v>1930</v>
      </c>
      <c r="V245" s="2" t="s">
        <v>208</v>
      </c>
      <c r="W245" s="2" t="s">
        <v>241</v>
      </c>
      <c r="X245" s="2" t="s">
        <v>200</v>
      </c>
      <c r="Y245" s="2" t="s">
        <v>1151</v>
      </c>
      <c r="Z245" s="4">
        <v>1519</v>
      </c>
      <c r="AA245" s="4">
        <f>=ROUNDDOWN(42.1944444444444,0)</f>
      </c>
      <c r="AB245" s="5">
        <v>36</v>
      </c>
      <c r="AC245" s="2" t="s">
        <v>129</v>
      </c>
      <c r="AD245" s="4">
        <v>95</v>
      </c>
      <c r="AE245" s="4">
        <v>95</v>
      </c>
      <c r="AF245" s="6">
        <v>69</v>
      </c>
      <c r="AG245" s="6"/>
      <c r="AH245" s="7">
        <v>1</v>
      </c>
      <c r="AI245" s="4"/>
      <c r="AJ245" s="4">
        <f>=ROUNDDOWN({0},0)</f>
      </c>
      <c r="AK245" s="5"/>
      <c r="AL245" s="2" t="s">
        <v>200</v>
      </c>
      <c r="AM245" s="4"/>
      <c r="AN245" s="4"/>
      <c r="AO245" s="7"/>
      <c r="AP245" s="4"/>
      <c r="AQ245" s="8"/>
      <c r="AR245" s="4"/>
      <c r="AS245" s="8"/>
      <c r="AT245" s="7"/>
      <c r="AU245" s="7"/>
      <c r="AV245" s="4"/>
      <c r="AW245" s="8"/>
      <c r="AX245" s="4"/>
      <c r="AY245" s="8"/>
      <c r="AZ245" s="7"/>
      <c r="BA245" s="7"/>
      <c r="BB245" s="7"/>
      <c r="BC245" s="4" t="s">
        <v>200</v>
      </c>
      <c r="BD245" s="8" t="s">
        <v>200</v>
      </c>
      <c r="BE245" s="4" t="s">
        <v>200</v>
      </c>
      <c r="BF245" s="8" t="s">
        <v>200</v>
      </c>
      <c r="BG245" s="7" t="s">
        <v>200</v>
      </c>
      <c r="BH245" s="7" t="s">
        <v>200</v>
      </c>
      <c r="BI245" s="7"/>
      <c r="BJ245" s="4">
        <v>170</v>
      </c>
      <c r="BK245" s="8">
        <v>4950.14</v>
      </c>
      <c r="BL245" s="2" t="s">
        <v>1949</v>
      </c>
      <c r="BM245" s="7"/>
      <c r="BN245" s="7"/>
      <c r="BO245" s="4"/>
      <c r="BP245" s="8"/>
      <c r="BQ245" s="4"/>
      <c r="BR245" s="8"/>
      <c r="BS245" s="7"/>
      <c r="BT245" s="7"/>
      <c r="BU245" s="2" t="s">
        <v>1950</v>
      </c>
      <c r="BV245" s="2" t="s">
        <v>200</v>
      </c>
      <c r="BW245" s="2" t="s">
        <v>200</v>
      </c>
      <c r="BX245" s="2" t="s">
        <v>264</v>
      </c>
      <c r="BY245" s="2" t="s">
        <v>247</v>
      </c>
      <c r="BZ245" s="2" t="s">
        <v>212</v>
      </c>
      <c r="CA245" s="2" t="s">
        <v>1945</v>
      </c>
      <c r="CB245" s="2" t="s">
        <v>1951</v>
      </c>
      <c r="CC245" s="2" t="s">
        <v>213</v>
      </c>
      <c r="CD245" s="2" t="s">
        <v>200</v>
      </c>
      <c r="CE245" s="4">
        <v>1519</v>
      </c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>
        <v>95</v>
      </c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</row>
    <row r="246">
      <c r="A246" s="2" t="s">
        <v>1952</v>
      </c>
      <c r="B246" s="2" t="s">
        <v>705</v>
      </c>
      <c r="C246" s="2" t="s">
        <v>745</v>
      </c>
      <c r="D246" s="2" t="s">
        <v>707</v>
      </c>
      <c r="E246" s="2" t="s">
        <v>708</v>
      </c>
      <c r="F246" s="2" t="s">
        <v>1953</v>
      </c>
      <c r="G246" s="2" t="s">
        <v>1953</v>
      </c>
      <c r="H246" s="2" t="s">
        <v>1953</v>
      </c>
      <c r="I246" s="2" t="s">
        <v>1954</v>
      </c>
      <c r="J246" s="2" t="s">
        <v>711</v>
      </c>
      <c r="K246" s="2" t="s">
        <v>1955</v>
      </c>
      <c r="L246" s="3">
        <v>51.84</v>
      </c>
      <c r="M246" s="3">
        <v>54.43</v>
      </c>
      <c r="N246" s="3">
        <v>119.99</v>
      </c>
      <c r="O246" s="2" t="s">
        <v>417</v>
      </c>
      <c r="P246" s="2" t="s">
        <v>285</v>
      </c>
      <c r="Q246" s="2" t="s">
        <v>206</v>
      </c>
      <c r="R246" s="2" t="s">
        <v>200</v>
      </c>
      <c r="S246" s="2" t="s">
        <v>200</v>
      </c>
      <c r="T246" s="2" t="s">
        <v>200</v>
      </c>
      <c r="U246" s="2" t="s">
        <v>270</v>
      </c>
      <c r="V246" s="2" t="s">
        <v>616</v>
      </c>
      <c r="W246" s="2" t="s">
        <v>379</v>
      </c>
      <c r="X246" s="2" t="s">
        <v>200</v>
      </c>
      <c r="Y246" s="2" t="s">
        <v>1774</v>
      </c>
      <c r="Z246" s="4">
        <v>8</v>
      </c>
      <c r="AA246" s="4">
        <f>=ROUNDDOWN(2.66666666666667,0)</f>
      </c>
      <c r="AB246" s="5">
        <v>3</v>
      </c>
      <c r="AC246" s="2" t="s">
        <v>200</v>
      </c>
      <c r="AD246" s="4"/>
      <c r="AE246" s="4"/>
      <c r="AF246" s="6">
        <v>65</v>
      </c>
      <c r="AG246" s="6"/>
      <c r="AH246" s="7">
        <v>0.9</v>
      </c>
      <c r="AI246" s="4"/>
      <c r="AJ246" s="4">
        <f>=ROUNDDOWN({0},0)</f>
      </c>
      <c r="AK246" s="5"/>
      <c r="AL246" s="2" t="s">
        <v>200</v>
      </c>
      <c r="AM246" s="4"/>
      <c r="AN246" s="4"/>
      <c r="AO246" s="7"/>
      <c r="AP246" s="4"/>
      <c r="AQ246" s="8"/>
      <c r="AR246" s="4"/>
      <c r="AS246" s="8"/>
      <c r="AT246" s="7"/>
      <c r="AU246" s="7"/>
      <c r="AV246" s="4"/>
      <c r="AW246" s="8"/>
      <c r="AX246" s="4"/>
      <c r="AY246" s="8"/>
      <c r="AZ246" s="7"/>
      <c r="BA246" s="7"/>
      <c r="BB246" s="7"/>
      <c r="BC246" s="4" t="s">
        <v>200</v>
      </c>
      <c r="BD246" s="8" t="s">
        <v>200</v>
      </c>
      <c r="BE246" s="4" t="s">
        <v>200</v>
      </c>
      <c r="BF246" s="8" t="s">
        <v>200</v>
      </c>
      <c r="BG246" s="7" t="s">
        <v>200</v>
      </c>
      <c r="BH246" s="7" t="s">
        <v>200</v>
      </c>
      <c r="BI246" s="7"/>
      <c r="BJ246" s="4">
        <v>3</v>
      </c>
      <c r="BK246" s="8">
        <v>180.72</v>
      </c>
      <c r="BL246" s="2" t="s">
        <v>1956</v>
      </c>
      <c r="BM246" s="7"/>
      <c r="BN246" s="7"/>
      <c r="BO246" s="4"/>
      <c r="BP246" s="8"/>
      <c r="BQ246" s="4"/>
      <c r="BR246" s="8"/>
      <c r="BS246" s="7"/>
      <c r="BT246" s="7"/>
      <c r="BU246" s="2" t="s">
        <v>1957</v>
      </c>
      <c r="BV246" s="2" t="s">
        <v>200</v>
      </c>
      <c r="BW246" s="2" t="s">
        <v>200</v>
      </c>
      <c r="BX246" s="2" t="s">
        <v>289</v>
      </c>
      <c r="BY246" s="2" t="s">
        <v>247</v>
      </c>
      <c r="BZ246" s="2" t="s">
        <v>212</v>
      </c>
      <c r="CA246" s="2" t="s">
        <v>1958</v>
      </c>
      <c r="CB246" s="2" t="s">
        <v>1959</v>
      </c>
      <c r="CC246" s="2" t="s">
        <v>213</v>
      </c>
      <c r="CD246" s="2" t="s">
        <v>200</v>
      </c>
      <c r="CE246" s="4"/>
      <c r="CF246" s="4">
        <v>8</v>
      </c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</row>
    <row r="247">
      <c r="A247" s="2" t="s">
        <v>1960</v>
      </c>
      <c r="B247" s="2" t="s">
        <v>744</v>
      </c>
      <c r="C247" s="2" t="s">
        <v>1375</v>
      </c>
      <c r="D247" s="2" t="s">
        <v>1413</v>
      </c>
      <c r="E247" s="2" t="s">
        <v>1414</v>
      </c>
      <c r="F247" s="2" t="s">
        <v>1953</v>
      </c>
      <c r="G247" s="2" t="s">
        <v>1953</v>
      </c>
      <c r="H247" s="2" t="s">
        <v>1953</v>
      </c>
      <c r="I247" s="2" t="s">
        <v>1961</v>
      </c>
      <c r="J247" s="2" t="s">
        <v>711</v>
      </c>
      <c r="K247" s="2" t="s">
        <v>1962</v>
      </c>
      <c r="L247" s="3">
        <v>83.6</v>
      </c>
      <c r="M247" s="3">
        <v>87.78</v>
      </c>
      <c r="N247" s="3">
        <v>179</v>
      </c>
      <c r="O247" s="2" t="s">
        <v>212</v>
      </c>
      <c r="P247" s="2" t="s">
        <v>205</v>
      </c>
      <c r="Q247" s="2" t="s">
        <v>206</v>
      </c>
      <c r="R247" s="2" t="s">
        <v>200</v>
      </c>
      <c r="S247" s="2" t="s">
        <v>200</v>
      </c>
      <c r="T247" s="2" t="s">
        <v>200</v>
      </c>
      <c r="U247" s="2" t="s">
        <v>270</v>
      </c>
      <c r="V247" s="2" t="s">
        <v>616</v>
      </c>
      <c r="W247" s="2" t="s">
        <v>419</v>
      </c>
      <c r="X247" s="2" t="s">
        <v>379</v>
      </c>
      <c r="Y247" s="2" t="s">
        <v>1963</v>
      </c>
      <c r="Z247" s="4">
        <v>85</v>
      </c>
      <c r="AA247" s="4">
        <f>=ROUNDDOWN(85,0)</f>
      </c>
      <c r="AB247" s="5">
        <v>1</v>
      </c>
      <c r="AC247" s="2" t="s">
        <v>200</v>
      </c>
      <c r="AD247" s="4"/>
      <c r="AE247" s="4"/>
      <c r="AF247" s="6">
        <v>76</v>
      </c>
      <c r="AG247" s="6"/>
      <c r="AH247" s="7">
        <v>1</v>
      </c>
      <c r="AI247" s="4"/>
      <c r="AJ247" s="4">
        <f>=ROUNDDOWN({0},0)</f>
      </c>
      <c r="AK247" s="5"/>
      <c r="AL247" s="2" t="s">
        <v>200</v>
      </c>
      <c r="AM247" s="4"/>
      <c r="AN247" s="4"/>
      <c r="AO247" s="7"/>
      <c r="AP247" s="4"/>
      <c r="AQ247" s="8"/>
      <c r="AR247" s="4"/>
      <c r="AS247" s="8"/>
      <c r="AT247" s="7"/>
      <c r="AU247" s="7"/>
      <c r="AV247" s="4"/>
      <c r="AW247" s="8"/>
      <c r="AX247" s="4"/>
      <c r="AY247" s="8"/>
      <c r="AZ247" s="7"/>
      <c r="BA247" s="7"/>
      <c r="BB247" s="7"/>
      <c r="BC247" s="4" t="s">
        <v>200</v>
      </c>
      <c r="BD247" s="8" t="s">
        <v>200</v>
      </c>
      <c r="BE247" s="4" t="s">
        <v>200</v>
      </c>
      <c r="BF247" s="8" t="s">
        <v>200</v>
      </c>
      <c r="BG247" s="7" t="s">
        <v>200</v>
      </c>
      <c r="BH247" s="7" t="s">
        <v>200</v>
      </c>
      <c r="BI247" s="7"/>
      <c r="BJ247" s="4">
        <v>6</v>
      </c>
      <c r="BK247" s="8">
        <v>555.56</v>
      </c>
      <c r="BL247" s="2" t="s">
        <v>1964</v>
      </c>
      <c r="BM247" s="7"/>
      <c r="BN247" s="7"/>
      <c r="BO247" s="4"/>
      <c r="BP247" s="8"/>
      <c r="BQ247" s="4"/>
      <c r="BR247" s="8"/>
      <c r="BS247" s="7"/>
      <c r="BT247" s="7"/>
      <c r="BU247" s="2" t="s">
        <v>1965</v>
      </c>
      <c r="BV247" s="2" t="s">
        <v>200</v>
      </c>
      <c r="BW247" s="2" t="s">
        <v>200</v>
      </c>
      <c r="BX247" s="2" t="s">
        <v>264</v>
      </c>
      <c r="BY247" s="2" t="s">
        <v>247</v>
      </c>
      <c r="BZ247" s="2" t="s">
        <v>212</v>
      </c>
      <c r="CA247" s="2" t="s">
        <v>1966</v>
      </c>
      <c r="CB247" s="2" t="s">
        <v>1967</v>
      </c>
      <c r="CC247" s="2" t="s">
        <v>213</v>
      </c>
      <c r="CD247" s="2" t="s">
        <v>200</v>
      </c>
      <c r="CE247" s="4"/>
      <c r="CF247" s="4">
        <v>85</v>
      </c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</row>
    <row r="248">
      <c r="A248" s="2" t="s">
        <v>1968</v>
      </c>
      <c r="B248" s="2" t="s">
        <v>744</v>
      </c>
      <c r="C248" s="2" t="s">
        <v>1375</v>
      </c>
      <c r="D248" s="2" t="s">
        <v>1413</v>
      </c>
      <c r="E248" s="2" t="s">
        <v>1414</v>
      </c>
      <c r="F248" s="2" t="s">
        <v>1953</v>
      </c>
      <c r="G248" s="2" t="s">
        <v>1953</v>
      </c>
      <c r="H248" s="2" t="s">
        <v>1953</v>
      </c>
      <c r="I248" s="2" t="s">
        <v>1961</v>
      </c>
      <c r="J248" s="2" t="s">
        <v>711</v>
      </c>
      <c r="K248" s="2" t="s">
        <v>1969</v>
      </c>
      <c r="L248" s="3">
        <v>83.6</v>
      </c>
      <c r="M248" s="3">
        <v>87.78</v>
      </c>
      <c r="N248" s="3">
        <v>179</v>
      </c>
      <c r="O248" s="2" t="s">
        <v>212</v>
      </c>
      <c r="P248" s="2" t="s">
        <v>205</v>
      </c>
      <c r="Q248" s="2" t="s">
        <v>206</v>
      </c>
      <c r="R248" s="2" t="s">
        <v>200</v>
      </c>
      <c r="S248" s="2" t="s">
        <v>200</v>
      </c>
      <c r="T248" s="2" t="s">
        <v>200</v>
      </c>
      <c r="U248" s="2" t="s">
        <v>270</v>
      </c>
      <c r="V248" s="2" t="s">
        <v>616</v>
      </c>
      <c r="W248" s="2" t="s">
        <v>419</v>
      </c>
      <c r="X248" s="2" t="s">
        <v>379</v>
      </c>
      <c r="Y248" s="2" t="s">
        <v>1417</v>
      </c>
      <c r="Z248" s="4">
        <v>85</v>
      </c>
      <c r="AA248" s="4">
        <f>=ROUNDDOWN(42.5,0)</f>
      </c>
      <c r="AB248" s="5">
        <v>2</v>
      </c>
      <c r="AC248" s="2" t="s">
        <v>200</v>
      </c>
      <c r="AD248" s="4"/>
      <c r="AE248" s="4"/>
      <c r="AF248" s="6">
        <v>76</v>
      </c>
      <c r="AG248" s="6"/>
      <c r="AH248" s="7">
        <v>1</v>
      </c>
      <c r="AI248" s="4"/>
      <c r="AJ248" s="4">
        <f>=ROUNDDOWN({0},0)</f>
      </c>
      <c r="AK248" s="5"/>
      <c r="AL248" s="2" t="s">
        <v>200</v>
      </c>
      <c r="AM248" s="4"/>
      <c r="AN248" s="4"/>
      <c r="AO248" s="7"/>
      <c r="AP248" s="4"/>
      <c r="AQ248" s="8"/>
      <c r="AR248" s="4"/>
      <c r="AS248" s="8"/>
      <c r="AT248" s="7"/>
      <c r="AU248" s="7"/>
      <c r="AV248" s="4"/>
      <c r="AW248" s="8"/>
      <c r="AX248" s="4"/>
      <c r="AY248" s="8"/>
      <c r="AZ248" s="7"/>
      <c r="BA248" s="7"/>
      <c r="BB248" s="7"/>
      <c r="BC248" s="4" t="s">
        <v>200</v>
      </c>
      <c r="BD248" s="8" t="s">
        <v>200</v>
      </c>
      <c r="BE248" s="4" t="s">
        <v>200</v>
      </c>
      <c r="BF248" s="8" t="s">
        <v>200</v>
      </c>
      <c r="BG248" s="7" t="s">
        <v>200</v>
      </c>
      <c r="BH248" s="7" t="s">
        <v>200</v>
      </c>
      <c r="BI248" s="7"/>
      <c r="BJ248" s="4">
        <v>3</v>
      </c>
      <c r="BK248" s="8">
        <v>259.56</v>
      </c>
      <c r="BL248" s="2" t="s">
        <v>1792</v>
      </c>
      <c r="BM248" s="7"/>
      <c r="BN248" s="7"/>
      <c r="BO248" s="4"/>
      <c r="BP248" s="8"/>
      <c r="BQ248" s="4"/>
      <c r="BR248" s="8"/>
      <c r="BS248" s="7"/>
      <c r="BT248" s="7"/>
      <c r="BU248" s="2" t="s">
        <v>1970</v>
      </c>
      <c r="BV248" s="2" t="s">
        <v>200</v>
      </c>
      <c r="BW248" s="2" t="s">
        <v>200</v>
      </c>
      <c r="BX248" s="2" t="s">
        <v>264</v>
      </c>
      <c r="BY248" s="2" t="s">
        <v>247</v>
      </c>
      <c r="BZ248" s="2" t="s">
        <v>212</v>
      </c>
      <c r="CA248" s="2" t="s">
        <v>1420</v>
      </c>
      <c r="CB248" s="2" t="s">
        <v>1971</v>
      </c>
      <c r="CC248" s="2" t="s">
        <v>213</v>
      </c>
      <c r="CD248" s="2" t="s">
        <v>200</v>
      </c>
      <c r="CE248" s="4"/>
      <c r="CF248" s="4">
        <v>85</v>
      </c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</row>
    <row r="249">
      <c r="A249" s="2" t="s">
        <v>1972</v>
      </c>
      <c r="B249" s="2" t="s">
        <v>744</v>
      </c>
      <c r="C249" s="2" t="s">
        <v>745</v>
      </c>
      <c r="D249" s="2" t="s">
        <v>1275</v>
      </c>
      <c r="E249" s="2" t="s">
        <v>1276</v>
      </c>
      <c r="F249" s="2" t="s">
        <v>1973</v>
      </c>
      <c r="G249" s="2" t="s">
        <v>1973</v>
      </c>
      <c r="H249" s="2" t="s">
        <v>1973</v>
      </c>
      <c r="I249" s="2" t="s">
        <v>1974</v>
      </c>
      <c r="J249" s="2" t="s">
        <v>711</v>
      </c>
      <c r="K249" s="2" t="s">
        <v>1135</v>
      </c>
      <c r="L249" s="3">
        <v>262.38</v>
      </c>
      <c r="M249" s="3">
        <v>275.5</v>
      </c>
      <c r="N249" s="3">
        <v>549</v>
      </c>
      <c r="O249" s="2" t="s">
        <v>460</v>
      </c>
      <c r="P249" s="2" t="s">
        <v>285</v>
      </c>
      <c r="Q249" s="2" t="s">
        <v>206</v>
      </c>
      <c r="R249" s="2" t="s">
        <v>200</v>
      </c>
      <c r="S249" s="2" t="s">
        <v>200</v>
      </c>
      <c r="T249" s="2" t="s">
        <v>200</v>
      </c>
      <c r="U249" s="2" t="s">
        <v>270</v>
      </c>
      <c r="V249" s="2" t="s">
        <v>208</v>
      </c>
      <c r="W249" s="2" t="s">
        <v>379</v>
      </c>
      <c r="X249" s="2" t="s">
        <v>1975</v>
      </c>
      <c r="Y249" s="2" t="s">
        <v>1976</v>
      </c>
      <c r="Z249" s="4">
        <v>79</v>
      </c>
      <c r="AA249" s="4">
        <f>=ROUNDDOWN(79,0)</f>
      </c>
      <c r="AB249" s="5">
        <v>1</v>
      </c>
      <c r="AC249" s="2" t="s">
        <v>200</v>
      </c>
      <c r="AD249" s="4"/>
      <c r="AE249" s="4"/>
      <c r="AF249" s="6">
        <v>76</v>
      </c>
      <c r="AG249" s="6"/>
      <c r="AH249" s="7">
        <v>1</v>
      </c>
      <c r="AI249" s="4"/>
      <c r="AJ249" s="4">
        <f>=ROUNDDOWN({0},0)</f>
      </c>
      <c r="AK249" s="5"/>
      <c r="AL249" s="2" t="s">
        <v>200</v>
      </c>
      <c r="AM249" s="4"/>
      <c r="AN249" s="4"/>
      <c r="AO249" s="7"/>
      <c r="AP249" s="4"/>
      <c r="AQ249" s="8"/>
      <c r="AR249" s="4"/>
      <c r="AS249" s="8"/>
      <c r="AT249" s="7"/>
      <c r="AU249" s="7"/>
      <c r="AV249" s="4"/>
      <c r="AW249" s="8"/>
      <c r="AX249" s="4"/>
      <c r="AY249" s="8"/>
      <c r="AZ249" s="7"/>
      <c r="BA249" s="7"/>
      <c r="BB249" s="7"/>
      <c r="BC249" s="4" t="s">
        <v>200</v>
      </c>
      <c r="BD249" s="8" t="s">
        <v>200</v>
      </c>
      <c r="BE249" s="4" t="s">
        <v>200</v>
      </c>
      <c r="BF249" s="8" t="s">
        <v>200</v>
      </c>
      <c r="BG249" s="7" t="s">
        <v>200</v>
      </c>
      <c r="BH249" s="7" t="s">
        <v>200</v>
      </c>
      <c r="BI249" s="7"/>
      <c r="BJ249" s="4">
        <v>27</v>
      </c>
      <c r="BK249" s="8">
        <v>784.69</v>
      </c>
      <c r="BL249" s="2" t="s">
        <v>1675</v>
      </c>
      <c r="BM249" s="7"/>
      <c r="BN249" s="7"/>
      <c r="BO249" s="4"/>
      <c r="BP249" s="8"/>
      <c r="BQ249" s="4"/>
      <c r="BR249" s="8"/>
      <c r="BS249" s="7"/>
      <c r="BT249" s="7"/>
      <c r="BU249" s="2" t="s">
        <v>1977</v>
      </c>
      <c r="BV249" s="2" t="s">
        <v>200</v>
      </c>
      <c r="BW249" s="2" t="s">
        <v>200</v>
      </c>
      <c r="BX249" s="2" t="s">
        <v>289</v>
      </c>
      <c r="BY249" s="2" t="s">
        <v>247</v>
      </c>
      <c r="BZ249" s="2" t="s">
        <v>212</v>
      </c>
      <c r="CA249" s="2" t="s">
        <v>1978</v>
      </c>
      <c r="CB249" s="2" t="s">
        <v>1979</v>
      </c>
      <c r="CC249" s="2" t="s">
        <v>213</v>
      </c>
      <c r="CD249" s="2" t="s">
        <v>200</v>
      </c>
      <c r="CE249" s="4"/>
      <c r="CF249" s="4">
        <v>79</v>
      </c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</row>
    <row r="250">
      <c r="A250" s="2" t="s">
        <v>1980</v>
      </c>
      <c r="B250" s="2" t="s">
        <v>932</v>
      </c>
      <c r="C250" s="2" t="s">
        <v>877</v>
      </c>
      <c r="D250" s="2" t="s">
        <v>608</v>
      </c>
      <c r="E250" s="2" t="s">
        <v>609</v>
      </c>
      <c r="F250" s="2" t="s">
        <v>1973</v>
      </c>
      <c r="G250" s="2" t="s">
        <v>1981</v>
      </c>
      <c r="H250" s="2" t="s">
        <v>1982</v>
      </c>
      <c r="I250" s="2" t="s">
        <v>1983</v>
      </c>
      <c r="J250" s="2" t="s">
        <v>1390</v>
      </c>
      <c r="K250" s="2" t="s">
        <v>1984</v>
      </c>
      <c r="L250" s="3">
        <v>23.8</v>
      </c>
      <c r="M250" s="3">
        <v>24.99</v>
      </c>
      <c r="N250" s="3">
        <v>49.99</v>
      </c>
      <c r="O250" s="2" t="s">
        <v>212</v>
      </c>
      <c r="P250" s="2" t="s">
        <v>258</v>
      </c>
      <c r="Q250" s="2" t="s">
        <v>206</v>
      </c>
      <c r="R250" s="2" t="s">
        <v>200</v>
      </c>
      <c r="S250" s="2" t="s">
        <v>1985</v>
      </c>
      <c r="T250" s="2" t="s">
        <v>378</v>
      </c>
      <c r="U250" s="2" t="s">
        <v>240</v>
      </c>
      <c r="V250" s="2" t="s">
        <v>1198</v>
      </c>
      <c r="W250" s="2" t="s">
        <v>241</v>
      </c>
      <c r="X250" s="2" t="s">
        <v>1900</v>
      </c>
      <c r="Y250" s="2" t="s">
        <v>1986</v>
      </c>
      <c r="Z250" s="4">
        <v>172</v>
      </c>
      <c r="AA250" s="4">
        <f>=ROUNDDOWN(19.1111111111111,0)</f>
      </c>
      <c r="AB250" s="5">
        <v>9</v>
      </c>
      <c r="AC250" s="2" t="s">
        <v>482</v>
      </c>
      <c r="AD250" s="4">
        <v>180</v>
      </c>
      <c r="AE250" s="4">
        <v>180</v>
      </c>
      <c r="AF250" s="6">
        <v>64</v>
      </c>
      <c r="AG250" s="6"/>
      <c r="AH250" s="7">
        <v>0.3667</v>
      </c>
      <c r="AI250" s="4"/>
      <c r="AJ250" s="4">
        <f>=ROUNDDOWN({0},0)</f>
      </c>
      <c r="AK250" s="5"/>
      <c r="AL250" s="2" t="s">
        <v>200</v>
      </c>
      <c r="AM250" s="4"/>
      <c r="AN250" s="4"/>
      <c r="AO250" s="7"/>
      <c r="AP250" s="4"/>
      <c r="AQ250" s="8"/>
      <c r="AR250" s="4"/>
      <c r="AS250" s="8"/>
      <c r="AT250" s="7"/>
      <c r="AU250" s="7"/>
      <c r="AV250" s="4" t="s">
        <v>200</v>
      </c>
      <c r="AW250" s="8" t="s">
        <v>200</v>
      </c>
      <c r="AX250" s="4" t="s">
        <v>200</v>
      </c>
      <c r="AY250" s="8" t="s">
        <v>200</v>
      </c>
      <c r="AZ250" s="7" t="s">
        <v>200</v>
      </c>
      <c r="BA250" s="7" t="s">
        <v>200</v>
      </c>
      <c r="BB250" s="7" t="s">
        <v>200</v>
      </c>
      <c r="BC250" s="4" t="s">
        <v>200</v>
      </c>
      <c r="BD250" s="8" t="s">
        <v>200</v>
      </c>
      <c r="BE250" s="4" t="s">
        <v>200</v>
      </c>
      <c r="BF250" s="8" t="s">
        <v>200</v>
      </c>
      <c r="BG250" s="7" t="s">
        <v>200</v>
      </c>
      <c r="BH250" s="7" t="s">
        <v>200</v>
      </c>
      <c r="BI250" s="7"/>
      <c r="BJ250" s="4">
        <v>19</v>
      </c>
      <c r="BK250" s="8">
        <v>514.73</v>
      </c>
      <c r="BL250" s="2" t="s">
        <v>1987</v>
      </c>
      <c r="BM250" s="7"/>
      <c r="BN250" s="7"/>
      <c r="BO250" s="4"/>
      <c r="BP250" s="8"/>
      <c r="BQ250" s="4"/>
      <c r="BR250" s="8"/>
      <c r="BS250" s="7"/>
      <c r="BT250" s="7"/>
      <c r="BU250" s="2" t="s">
        <v>1988</v>
      </c>
      <c r="BV250" s="2" t="s">
        <v>200</v>
      </c>
      <c r="BW250" s="2" t="s">
        <v>200</v>
      </c>
      <c r="BX250" s="2" t="s">
        <v>264</v>
      </c>
      <c r="BY250" s="2" t="s">
        <v>247</v>
      </c>
      <c r="BZ250" s="2" t="s">
        <v>212</v>
      </c>
      <c r="CA250" s="2" t="s">
        <v>1989</v>
      </c>
      <c r="CB250" s="2" t="s">
        <v>1990</v>
      </c>
      <c r="CC250" s="2" t="s">
        <v>213</v>
      </c>
      <c r="CD250" s="2" t="s">
        <v>200</v>
      </c>
      <c r="CE250" s="4">
        <v>172</v>
      </c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>
        <v>180</v>
      </c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</row>
    <row r="251">
      <c r="A251" s="2" t="s">
        <v>1991</v>
      </c>
      <c r="B251" s="2" t="s">
        <v>932</v>
      </c>
      <c r="C251" s="2" t="s">
        <v>877</v>
      </c>
      <c r="D251" s="2" t="s">
        <v>918</v>
      </c>
      <c r="E251" s="2" t="s">
        <v>919</v>
      </c>
      <c r="F251" s="2" t="s">
        <v>1973</v>
      </c>
      <c r="G251" s="2" t="s">
        <v>1981</v>
      </c>
      <c r="H251" s="2" t="s">
        <v>1982</v>
      </c>
      <c r="I251" s="2" t="s">
        <v>1992</v>
      </c>
      <c r="J251" s="2" t="s">
        <v>1390</v>
      </c>
      <c r="K251" s="2" t="s">
        <v>1984</v>
      </c>
      <c r="L251" s="3">
        <v>14.28</v>
      </c>
      <c r="M251" s="3">
        <v>14.99</v>
      </c>
      <c r="N251" s="3">
        <v>29.99</v>
      </c>
      <c r="O251" s="2" t="s">
        <v>212</v>
      </c>
      <c r="P251" s="2" t="s">
        <v>258</v>
      </c>
      <c r="Q251" s="2" t="s">
        <v>206</v>
      </c>
      <c r="R251" s="2" t="s">
        <v>200</v>
      </c>
      <c r="S251" s="2" t="s">
        <v>1985</v>
      </c>
      <c r="T251" s="2" t="s">
        <v>378</v>
      </c>
      <c r="U251" s="2" t="s">
        <v>677</v>
      </c>
      <c r="V251" s="2" t="s">
        <v>1198</v>
      </c>
      <c r="W251" s="2" t="s">
        <v>241</v>
      </c>
      <c r="X251" s="2" t="s">
        <v>1900</v>
      </c>
      <c r="Y251" s="2" t="s">
        <v>1986</v>
      </c>
      <c r="Z251" s="4">
        <v>64</v>
      </c>
      <c r="AA251" s="4">
        <f>=ROUNDDOWN(16,0)</f>
      </c>
      <c r="AB251" s="5">
        <v>4</v>
      </c>
      <c r="AC251" s="2" t="s">
        <v>482</v>
      </c>
      <c r="AD251" s="4">
        <v>60</v>
      </c>
      <c r="AE251" s="4">
        <v>60</v>
      </c>
      <c r="AF251" s="6">
        <v>64</v>
      </c>
      <c r="AG251" s="6"/>
      <c r="AH251" s="7">
        <v>0.5667</v>
      </c>
      <c r="AI251" s="4"/>
      <c r="AJ251" s="4">
        <f>=ROUNDDOWN({0},0)</f>
      </c>
      <c r="AK251" s="5"/>
      <c r="AL251" s="2" t="s">
        <v>200</v>
      </c>
      <c r="AM251" s="4"/>
      <c r="AN251" s="4"/>
      <c r="AO251" s="7"/>
      <c r="AP251" s="4"/>
      <c r="AQ251" s="8"/>
      <c r="AR251" s="4"/>
      <c r="AS251" s="8"/>
      <c r="AT251" s="7"/>
      <c r="AU251" s="7"/>
      <c r="AV251" s="4" t="s">
        <v>200</v>
      </c>
      <c r="AW251" s="8" t="s">
        <v>200</v>
      </c>
      <c r="AX251" s="4" t="s">
        <v>200</v>
      </c>
      <c r="AY251" s="8" t="s">
        <v>200</v>
      </c>
      <c r="AZ251" s="7" t="s">
        <v>200</v>
      </c>
      <c r="BA251" s="7" t="s">
        <v>200</v>
      </c>
      <c r="BB251" s="7" t="s">
        <v>200</v>
      </c>
      <c r="BC251" s="4" t="s">
        <v>200</v>
      </c>
      <c r="BD251" s="8" t="s">
        <v>200</v>
      </c>
      <c r="BE251" s="4" t="s">
        <v>200</v>
      </c>
      <c r="BF251" s="8" t="s">
        <v>200</v>
      </c>
      <c r="BG251" s="7" t="s">
        <v>200</v>
      </c>
      <c r="BH251" s="7" t="s">
        <v>200</v>
      </c>
      <c r="BI251" s="7"/>
      <c r="BJ251" s="4">
        <v>19</v>
      </c>
      <c r="BK251" s="8">
        <v>308.77</v>
      </c>
      <c r="BL251" s="2" t="s">
        <v>1993</v>
      </c>
      <c r="BM251" s="7"/>
      <c r="BN251" s="7"/>
      <c r="BO251" s="4"/>
      <c r="BP251" s="8"/>
      <c r="BQ251" s="4"/>
      <c r="BR251" s="8"/>
      <c r="BS251" s="7"/>
      <c r="BT251" s="7"/>
      <c r="BU251" s="2" t="s">
        <v>1994</v>
      </c>
      <c r="BV251" s="2" t="s">
        <v>200</v>
      </c>
      <c r="BW251" s="2" t="s">
        <v>200</v>
      </c>
      <c r="BX251" s="2" t="s">
        <v>264</v>
      </c>
      <c r="BY251" s="2" t="s">
        <v>247</v>
      </c>
      <c r="BZ251" s="2" t="s">
        <v>212</v>
      </c>
      <c r="CA251" s="2" t="s">
        <v>1995</v>
      </c>
      <c r="CB251" s="2" t="s">
        <v>963</v>
      </c>
      <c r="CC251" s="2" t="s">
        <v>213</v>
      </c>
      <c r="CD251" s="2" t="s">
        <v>200</v>
      </c>
      <c r="CE251" s="4">
        <v>64</v>
      </c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>
        <v>60</v>
      </c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</row>
    <row r="252">
      <c r="A252" s="2" t="s">
        <v>1996</v>
      </c>
      <c r="B252" s="2" t="s">
        <v>932</v>
      </c>
      <c r="C252" s="2" t="s">
        <v>877</v>
      </c>
      <c r="D252" s="2" t="s">
        <v>608</v>
      </c>
      <c r="E252" s="2" t="s">
        <v>609</v>
      </c>
      <c r="F252" s="2" t="s">
        <v>1973</v>
      </c>
      <c r="G252" s="2" t="s">
        <v>1981</v>
      </c>
      <c r="H252" s="2" t="s">
        <v>1982</v>
      </c>
      <c r="I252" s="2" t="s">
        <v>1983</v>
      </c>
      <c r="J252" s="2" t="s">
        <v>612</v>
      </c>
      <c r="K252" s="2" t="s">
        <v>1984</v>
      </c>
      <c r="L252" s="3">
        <v>28.57</v>
      </c>
      <c r="M252" s="3">
        <v>30</v>
      </c>
      <c r="N252" s="3">
        <v>59.99</v>
      </c>
      <c r="O252" s="2" t="s">
        <v>212</v>
      </c>
      <c r="P252" s="2" t="s">
        <v>258</v>
      </c>
      <c r="Q252" s="2" t="s">
        <v>206</v>
      </c>
      <c r="R252" s="2" t="s">
        <v>200</v>
      </c>
      <c r="S252" s="2" t="s">
        <v>1985</v>
      </c>
      <c r="T252" s="2" t="s">
        <v>378</v>
      </c>
      <c r="U252" s="2" t="s">
        <v>615</v>
      </c>
      <c r="V252" s="2" t="s">
        <v>1198</v>
      </c>
      <c r="W252" s="2" t="s">
        <v>241</v>
      </c>
      <c r="X252" s="2" t="s">
        <v>1900</v>
      </c>
      <c r="Y252" s="2" t="s">
        <v>1986</v>
      </c>
      <c r="Z252" s="4">
        <v>201</v>
      </c>
      <c r="AA252" s="4">
        <f>=ROUNDDOWN(15.4615384615385,0)</f>
      </c>
      <c r="AB252" s="5">
        <v>13</v>
      </c>
      <c r="AC252" s="2" t="s">
        <v>482</v>
      </c>
      <c r="AD252" s="4">
        <v>300</v>
      </c>
      <c r="AE252" s="4">
        <v>300</v>
      </c>
      <c r="AF252" s="6">
        <v>64</v>
      </c>
      <c r="AG252" s="6"/>
      <c r="AH252" s="7">
        <v>0.3333</v>
      </c>
      <c r="AI252" s="4"/>
      <c r="AJ252" s="4">
        <f>=ROUNDDOWN({0},0)</f>
      </c>
      <c r="AK252" s="5"/>
      <c r="AL252" s="2" t="s">
        <v>200</v>
      </c>
      <c r="AM252" s="4"/>
      <c r="AN252" s="4"/>
      <c r="AO252" s="7"/>
      <c r="AP252" s="4"/>
      <c r="AQ252" s="8"/>
      <c r="AR252" s="4"/>
      <c r="AS252" s="8"/>
      <c r="AT252" s="7"/>
      <c r="AU252" s="7"/>
      <c r="AV252" s="4" t="s">
        <v>200</v>
      </c>
      <c r="AW252" s="8" t="s">
        <v>200</v>
      </c>
      <c r="AX252" s="4" t="s">
        <v>200</v>
      </c>
      <c r="AY252" s="8" t="s">
        <v>200</v>
      </c>
      <c r="AZ252" s="7" t="s">
        <v>200</v>
      </c>
      <c r="BA252" s="7" t="s">
        <v>200</v>
      </c>
      <c r="BB252" s="7"/>
      <c r="BC252" s="4" t="s">
        <v>200</v>
      </c>
      <c r="BD252" s="8" t="s">
        <v>200</v>
      </c>
      <c r="BE252" s="4" t="s">
        <v>200</v>
      </c>
      <c r="BF252" s="8" t="s">
        <v>200</v>
      </c>
      <c r="BG252" s="7" t="s">
        <v>200</v>
      </c>
      <c r="BH252" s="7" t="s">
        <v>200</v>
      </c>
      <c r="BI252" s="7"/>
      <c r="BJ252" s="4">
        <v>46</v>
      </c>
      <c r="BK252" s="8">
        <v>1477.7</v>
      </c>
      <c r="BL252" s="2" t="s">
        <v>1997</v>
      </c>
      <c r="BM252" s="7"/>
      <c r="BN252" s="7"/>
      <c r="BO252" s="4"/>
      <c r="BP252" s="8"/>
      <c r="BQ252" s="4"/>
      <c r="BR252" s="8"/>
      <c r="BS252" s="7"/>
      <c r="BT252" s="7"/>
      <c r="BU252" s="2" t="s">
        <v>1998</v>
      </c>
      <c r="BV252" s="2" t="s">
        <v>200</v>
      </c>
      <c r="BW252" s="2" t="s">
        <v>200</v>
      </c>
      <c r="BX252" s="2" t="s">
        <v>264</v>
      </c>
      <c r="BY252" s="2" t="s">
        <v>247</v>
      </c>
      <c r="BZ252" s="2" t="s">
        <v>212</v>
      </c>
      <c r="CA252" s="2" t="s">
        <v>1989</v>
      </c>
      <c r="CB252" s="2" t="s">
        <v>317</v>
      </c>
      <c r="CC252" s="2" t="s">
        <v>213</v>
      </c>
      <c r="CD252" s="2" t="s">
        <v>200</v>
      </c>
      <c r="CE252" s="4">
        <v>201</v>
      </c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>
        <v>300</v>
      </c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</row>
    <row r="253">
      <c r="A253" s="2" t="s">
        <v>1999</v>
      </c>
      <c r="B253" s="2" t="s">
        <v>903</v>
      </c>
      <c r="C253" s="2" t="s">
        <v>231</v>
      </c>
      <c r="D253" s="2" t="s">
        <v>1818</v>
      </c>
      <c r="E253" s="2" t="s">
        <v>2000</v>
      </c>
      <c r="F253" s="2" t="s">
        <v>1973</v>
      </c>
      <c r="G253" s="2" t="s">
        <v>2001</v>
      </c>
      <c r="H253" s="2" t="s">
        <v>2002</v>
      </c>
      <c r="I253" s="2" t="s">
        <v>2003</v>
      </c>
      <c r="J253" s="2" t="s">
        <v>612</v>
      </c>
      <c r="K253" s="2" t="s">
        <v>2004</v>
      </c>
      <c r="L253" s="3">
        <v>38.09</v>
      </c>
      <c r="M253" s="3">
        <v>39.99</v>
      </c>
      <c r="N253" s="3">
        <v>79.99</v>
      </c>
      <c r="O253" s="2" t="s">
        <v>460</v>
      </c>
      <c r="P253" s="2" t="s">
        <v>285</v>
      </c>
      <c r="Q253" s="2" t="s">
        <v>206</v>
      </c>
      <c r="R253" s="2" t="s">
        <v>200</v>
      </c>
      <c r="S253" s="2" t="s">
        <v>2005</v>
      </c>
      <c r="T253" s="2" t="s">
        <v>378</v>
      </c>
      <c r="U253" s="2" t="s">
        <v>454</v>
      </c>
      <c r="V253" s="2" t="s">
        <v>1068</v>
      </c>
      <c r="W253" s="2" t="s">
        <v>241</v>
      </c>
      <c r="X253" s="2" t="s">
        <v>1399</v>
      </c>
      <c r="Y253" s="2" t="s">
        <v>2006</v>
      </c>
      <c r="Z253" s="4">
        <v>163</v>
      </c>
      <c r="AA253" s="4">
        <f>=ROUNDDOWN(81.5,0)</f>
      </c>
      <c r="AB253" s="5">
        <v>2</v>
      </c>
      <c r="AC253" s="2" t="s">
        <v>200</v>
      </c>
      <c r="AD253" s="4"/>
      <c r="AE253" s="4"/>
      <c r="AF253" s="6">
        <v>66</v>
      </c>
      <c r="AG253" s="6"/>
      <c r="AH253" s="7">
        <v>1</v>
      </c>
      <c r="AI253" s="4"/>
      <c r="AJ253" s="4">
        <f>=ROUNDDOWN({0},0)</f>
      </c>
      <c r="AK253" s="5"/>
      <c r="AL253" s="2" t="s">
        <v>200</v>
      </c>
      <c r="AM253" s="4"/>
      <c r="AN253" s="4"/>
      <c r="AO253" s="7"/>
      <c r="AP253" s="4"/>
      <c r="AQ253" s="8"/>
      <c r="AR253" s="4"/>
      <c r="AS253" s="8"/>
      <c r="AT253" s="7"/>
      <c r="AU253" s="7"/>
      <c r="AV253" s="4" t="s">
        <v>200</v>
      </c>
      <c r="AW253" s="8" t="s">
        <v>200</v>
      </c>
      <c r="AX253" s="4" t="s">
        <v>200</v>
      </c>
      <c r="AY253" s="8" t="s">
        <v>200</v>
      </c>
      <c r="AZ253" s="7" t="s">
        <v>200</v>
      </c>
      <c r="BA253" s="7" t="s">
        <v>200</v>
      </c>
      <c r="BB253" s="7"/>
      <c r="BC253" s="4" t="s">
        <v>200</v>
      </c>
      <c r="BD253" s="8" t="s">
        <v>200</v>
      </c>
      <c r="BE253" s="4" t="s">
        <v>200</v>
      </c>
      <c r="BF253" s="8" t="s">
        <v>200</v>
      </c>
      <c r="BG253" s="7" t="s">
        <v>200</v>
      </c>
      <c r="BH253" s="7" t="s">
        <v>200</v>
      </c>
      <c r="BI253" s="7"/>
      <c r="BJ253" s="4">
        <v>7</v>
      </c>
      <c r="BK253" s="8">
        <v>191.54</v>
      </c>
      <c r="BL253" s="2" t="s">
        <v>1089</v>
      </c>
      <c r="BM253" s="7"/>
      <c r="BN253" s="7"/>
      <c r="BO253" s="4"/>
      <c r="BP253" s="8"/>
      <c r="BQ253" s="4"/>
      <c r="BR253" s="8"/>
      <c r="BS253" s="7"/>
      <c r="BT253" s="7"/>
      <c r="BU253" s="2" t="s">
        <v>2007</v>
      </c>
      <c r="BV253" s="2" t="s">
        <v>200</v>
      </c>
      <c r="BW253" s="2" t="s">
        <v>200</v>
      </c>
      <c r="BX253" s="2" t="s">
        <v>289</v>
      </c>
      <c r="BY253" s="2" t="s">
        <v>247</v>
      </c>
      <c r="BZ253" s="2" t="s">
        <v>212</v>
      </c>
      <c r="CA253" s="2" t="s">
        <v>1607</v>
      </c>
      <c r="CB253" s="2" t="s">
        <v>2008</v>
      </c>
      <c r="CC253" s="2" t="s">
        <v>213</v>
      </c>
      <c r="CD253" s="2" t="s">
        <v>200</v>
      </c>
      <c r="CE253" s="4">
        <v>163</v>
      </c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</row>
    <row r="254">
      <c r="A254" s="2" t="s">
        <v>2009</v>
      </c>
      <c r="B254" s="2" t="s">
        <v>903</v>
      </c>
      <c r="C254" s="2" t="s">
        <v>231</v>
      </c>
      <c r="D254" s="2" t="s">
        <v>1818</v>
      </c>
      <c r="E254" s="2" t="s">
        <v>2000</v>
      </c>
      <c r="F254" s="2" t="s">
        <v>1973</v>
      </c>
      <c r="G254" s="2" t="s">
        <v>2001</v>
      </c>
      <c r="H254" s="2" t="s">
        <v>2002</v>
      </c>
      <c r="I254" s="2" t="s">
        <v>2003</v>
      </c>
      <c r="J254" s="2" t="s">
        <v>924</v>
      </c>
      <c r="K254" s="2" t="s">
        <v>2004</v>
      </c>
      <c r="L254" s="3">
        <v>42.85</v>
      </c>
      <c r="M254" s="3">
        <v>44.99</v>
      </c>
      <c r="N254" s="3">
        <v>89.99</v>
      </c>
      <c r="O254" s="2" t="s">
        <v>460</v>
      </c>
      <c r="P254" s="2" t="s">
        <v>285</v>
      </c>
      <c r="Q254" s="2" t="s">
        <v>206</v>
      </c>
      <c r="R254" s="2" t="s">
        <v>200</v>
      </c>
      <c r="S254" s="2" t="s">
        <v>2005</v>
      </c>
      <c r="T254" s="2" t="s">
        <v>378</v>
      </c>
      <c r="U254" s="2" t="s">
        <v>454</v>
      </c>
      <c r="V254" s="2" t="s">
        <v>1068</v>
      </c>
      <c r="W254" s="2" t="s">
        <v>241</v>
      </c>
      <c r="X254" s="2" t="s">
        <v>1399</v>
      </c>
      <c r="Y254" s="2" t="s">
        <v>2006</v>
      </c>
      <c r="Z254" s="4">
        <v>176</v>
      </c>
      <c r="AA254" s="4">
        <f>=ROUNDDOWN(88,0)</f>
      </c>
      <c r="AB254" s="5">
        <v>2</v>
      </c>
      <c r="AC254" s="2" t="s">
        <v>200</v>
      </c>
      <c r="AD254" s="4"/>
      <c r="AE254" s="4"/>
      <c r="AF254" s="6">
        <v>66</v>
      </c>
      <c r="AG254" s="6"/>
      <c r="AH254" s="7">
        <v>1</v>
      </c>
      <c r="AI254" s="4"/>
      <c r="AJ254" s="4">
        <f>=ROUNDDOWN({0},0)</f>
      </c>
      <c r="AK254" s="5"/>
      <c r="AL254" s="2" t="s">
        <v>200</v>
      </c>
      <c r="AM254" s="4"/>
      <c r="AN254" s="4"/>
      <c r="AO254" s="7"/>
      <c r="AP254" s="4"/>
      <c r="AQ254" s="8"/>
      <c r="AR254" s="4"/>
      <c r="AS254" s="8"/>
      <c r="AT254" s="7"/>
      <c r="AU254" s="7"/>
      <c r="AV254" s="4" t="s">
        <v>200</v>
      </c>
      <c r="AW254" s="8" t="s">
        <v>200</v>
      </c>
      <c r="AX254" s="4" t="s">
        <v>200</v>
      </c>
      <c r="AY254" s="8" t="s">
        <v>200</v>
      </c>
      <c r="AZ254" s="7" t="s">
        <v>200</v>
      </c>
      <c r="BA254" s="7" t="s">
        <v>200</v>
      </c>
      <c r="BB254" s="7"/>
      <c r="BC254" s="4" t="s">
        <v>200</v>
      </c>
      <c r="BD254" s="8" t="s">
        <v>200</v>
      </c>
      <c r="BE254" s="4" t="s">
        <v>200</v>
      </c>
      <c r="BF254" s="8" t="s">
        <v>200</v>
      </c>
      <c r="BG254" s="7" t="s">
        <v>200</v>
      </c>
      <c r="BH254" s="7" t="s">
        <v>200</v>
      </c>
      <c r="BI254" s="7"/>
      <c r="BJ254" s="4">
        <v>8</v>
      </c>
      <c r="BK254" s="8">
        <v>233.2</v>
      </c>
      <c r="BL254" s="2" t="s">
        <v>2010</v>
      </c>
      <c r="BM254" s="7"/>
      <c r="BN254" s="7"/>
      <c r="BO254" s="4"/>
      <c r="BP254" s="8"/>
      <c r="BQ254" s="4"/>
      <c r="BR254" s="8"/>
      <c r="BS254" s="7"/>
      <c r="BT254" s="7"/>
      <c r="BU254" s="2" t="s">
        <v>2011</v>
      </c>
      <c r="BV254" s="2" t="s">
        <v>200</v>
      </c>
      <c r="BW254" s="2" t="s">
        <v>200</v>
      </c>
      <c r="BX254" s="2" t="s">
        <v>289</v>
      </c>
      <c r="BY254" s="2" t="s">
        <v>247</v>
      </c>
      <c r="BZ254" s="2" t="s">
        <v>212</v>
      </c>
      <c r="CA254" s="2" t="s">
        <v>1607</v>
      </c>
      <c r="CB254" s="2" t="s">
        <v>2012</v>
      </c>
      <c r="CC254" s="2" t="s">
        <v>213</v>
      </c>
      <c r="CD254" s="2" t="s">
        <v>200</v>
      </c>
      <c r="CE254" s="4">
        <v>176</v>
      </c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</row>
    <row r="255">
      <c r="A255" s="2" t="s">
        <v>2013</v>
      </c>
      <c r="B255" s="2" t="s">
        <v>932</v>
      </c>
      <c r="C255" s="2" t="s">
        <v>2014</v>
      </c>
      <c r="D255" s="2" t="s">
        <v>608</v>
      </c>
      <c r="E255" s="2" t="s">
        <v>609</v>
      </c>
      <c r="F255" s="2" t="s">
        <v>2015</v>
      </c>
      <c r="G255" s="2" t="s">
        <v>2015</v>
      </c>
      <c r="H255" s="2" t="s">
        <v>2015</v>
      </c>
      <c r="I255" s="2" t="s">
        <v>2016</v>
      </c>
      <c r="J255" s="2" t="s">
        <v>256</v>
      </c>
      <c r="K255" s="2" t="s">
        <v>387</v>
      </c>
      <c r="L255" s="3">
        <v>31.89</v>
      </c>
      <c r="M255" s="3">
        <v>33.48</v>
      </c>
      <c r="N255" s="3">
        <v>54.99</v>
      </c>
      <c r="O255" s="2" t="s">
        <v>460</v>
      </c>
      <c r="P255" s="2" t="s">
        <v>1258</v>
      </c>
      <c r="Q255" s="2" t="s">
        <v>206</v>
      </c>
      <c r="R255" s="2" t="s">
        <v>1259</v>
      </c>
      <c r="S255" s="2" t="s">
        <v>200</v>
      </c>
      <c r="T255" s="2" t="s">
        <v>200</v>
      </c>
      <c r="U255" s="2" t="s">
        <v>677</v>
      </c>
      <c r="V255" s="2" t="s">
        <v>339</v>
      </c>
      <c r="W255" s="2" t="s">
        <v>200</v>
      </c>
      <c r="X255" s="2" t="s">
        <v>200</v>
      </c>
      <c r="Y255" s="2" t="s">
        <v>2017</v>
      </c>
      <c r="Z255" s="4">
        <v>140</v>
      </c>
      <c r="AA255" s="4">
        <f>=ROUNDDOWN(70,0)</f>
      </c>
      <c r="AB255" s="5">
        <v>2</v>
      </c>
      <c r="AC255" s="2" t="s">
        <v>200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200</v>
      </c>
      <c r="AM255" s="4"/>
      <c r="AN255" s="4"/>
      <c r="AO255" s="7"/>
      <c r="AP255" s="4"/>
      <c r="AQ255" s="8"/>
      <c r="AR255" s="4"/>
      <c r="AS255" s="8"/>
      <c r="AT255" s="7"/>
      <c r="AU255" s="7"/>
      <c r="AV255" s="4" t="s">
        <v>200</v>
      </c>
      <c r="AW255" s="8" t="s">
        <v>200</v>
      </c>
      <c r="AX255" s="4" t="s">
        <v>200</v>
      </c>
      <c r="AY255" s="8" t="s">
        <v>200</v>
      </c>
      <c r="AZ255" s="7" t="s">
        <v>200</v>
      </c>
      <c r="BA255" s="7" t="s">
        <v>200</v>
      </c>
      <c r="BB255" s="7" t="s">
        <v>200</v>
      </c>
      <c r="BC255" s="4" t="s">
        <v>200</v>
      </c>
      <c r="BD255" s="8" t="s">
        <v>200</v>
      </c>
      <c r="BE255" s="4" t="s">
        <v>200</v>
      </c>
      <c r="BF255" s="8" t="s">
        <v>200</v>
      </c>
      <c r="BG255" s="7" t="s">
        <v>200</v>
      </c>
      <c r="BH255" s="7" t="s">
        <v>200</v>
      </c>
      <c r="BI255" s="7"/>
      <c r="BJ255" s="4">
        <v>1</v>
      </c>
      <c r="BK255" s="8">
        <v>22</v>
      </c>
      <c r="BL255" s="2" t="s">
        <v>1029</v>
      </c>
      <c r="BM255" s="7"/>
      <c r="BN255" s="7"/>
      <c r="BO255" s="4"/>
      <c r="BP255" s="8"/>
      <c r="BQ255" s="4"/>
      <c r="BR255" s="8"/>
      <c r="BS255" s="7"/>
      <c r="BT255" s="7"/>
      <c r="BU255" s="2" t="s">
        <v>2018</v>
      </c>
      <c r="BV255" s="2" t="s">
        <v>200</v>
      </c>
      <c r="BW255" s="2" t="s">
        <v>200</v>
      </c>
      <c r="BX255" s="2" t="s">
        <v>264</v>
      </c>
      <c r="BY255" s="2" t="s">
        <v>247</v>
      </c>
      <c r="BZ255" s="2" t="s">
        <v>212</v>
      </c>
      <c r="CA255" s="2" t="s">
        <v>774</v>
      </c>
      <c r="CB255" s="2" t="s">
        <v>200</v>
      </c>
      <c r="CC255" s="2" t="s">
        <v>213</v>
      </c>
      <c r="CD255" s="2" t="s">
        <v>200</v>
      </c>
      <c r="CE255" s="4">
        <v>140</v>
      </c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</row>
    <row r="256">
      <c r="A256" s="2" t="s">
        <v>2019</v>
      </c>
      <c r="B256" s="2" t="s">
        <v>932</v>
      </c>
      <c r="C256" s="2" t="s">
        <v>2014</v>
      </c>
      <c r="D256" s="2" t="s">
        <v>1818</v>
      </c>
      <c r="E256" s="2" t="s">
        <v>2020</v>
      </c>
      <c r="F256" s="2" t="s">
        <v>2015</v>
      </c>
      <c r="G256" s="2" t="s">
        <v>2015</v>
      </c>
      <c r="H256" s="2" t="s">
        <v>2015</v>
      </c>
      <c r="I256" s="2" t="s">
        <v>2021</v>
      </c>
      <c r="J256" s="2" t="s">
        <v>256</v>
      </c>
      <c r="K256" s="2" t="s">
        <v>387</v>
      </c>
      <c r="L256" s="3">
        <v>31.89</v>
      </c>
      <c r="M256" s="3">
        <v>33.48</v>
      </c>
      <c r="N256" s="3">
        <v>54.99</v>
      </c>
      <c r="O256" s="2" t="s">
        <v>460</v>
      </c>
      <c r="P256" s="2" t="s">
        <v>1258</v>
      </c>
      <c r="Q256" s="2" t="s">
        <v>206</v>
      </c>
      <c r="R256" s="2" t="s">
        <v>1259</v>
      </c>
      <c r="S256" s="2" t="s">
        <v>200</v>
      </c>
      <c r="T256" s="2" t="s">
        <v>200</v>
      </c>
      <c r="U256" s="2" t="s">
        <v>200</v>
      </c>
      <c r="V256" s="2" t="s">
        <v>339</v>
      </c>
      <c r="W256" s="2" t="s">
        <v>200</v>
      </c>
      <c r="X256" s="2" t="s">
        <v>200</v>
      </c>
      <c r="Y256" s="2" t="s">
        <v>2017</v>
      </c>
      <c r="Z256" s="4">
        <v>42</v>
      </c>
      <c r="AA256" s="4">
        <f>=ROUNDDOWN(42,0)</f>
      </c>
      <c r="AB256" s="5">
        <v>1</v>
      </c>
      <c r="AC256" s="2" t="s">
        <v>200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200</v>
      </c>
      <c r="AM256" s="4"/>
      <c r="AN256" s="4"/>
      <c r="AO256" s="7"/>
      <c r="AP256" s="4"/>
      <c r="AQ256" s="8"/>
      <c r="AR256" s="4"/>
      <c r="AS256" s="8"/>
      <c r="AT256" s="7"/>
      <c r="AU256" s="7"/>
      <c r="AV256" s="4" t="s">
        <v>200</v>
      </c>
      <c r="AW256" s="8" t="s">
        <v>200</v>
      </c>
      <c r="AX256" s="4" t="s">
        <v>200</v>
      </c>
      <c r="AY256" s="8" t="s">
        <v>200</v>
      </c>
      <c r="AZ256" s="7" t="s">
        <v>200</v>
      </c>
      <c r="BA256" s="7" t="s">
        <v>200</v>
      </c>
      <c r="BB256" s="7" t="s">
        <v>200</v>
      </c>
      <c r="BC256" s="4" t="s">
        <v>200</v>
      </c>
      <c r="BD256" s="8" t="s">
        <v>200</v>
      </c>
      <c r="BE256" s="4" t="s">
        <v>200</v>
      </c>
      <c r="BF256" s="8" t="s">
        <v>200</v>
      </c>
      <c r="BG256" s="7" t="s">
        <v>200</v>
      </c>
      <c r="BH256" s="7" t="s">
        <v>200</v>
      </c>
      <c r="BI256" s="7"/>
      <c r="BJ256" s="4"/>
      <c r="BK256" s="8"/>
      <c r="BL256" s="2" t="s">
        <v>1029</v>
      </c>
      <c r="BM256" s="7"/>
      <c r="BN256" s="7"/>
      <c r="BO256" s="4"/>
      <c r="BP256" s="8"/>
      <c r="BQ256" s="4"/>
      <c r="BR256" s="8"/>
      <c r="BS256" s="7"/>
      <c r="BT256" s="7"/>
      <c r="BU256" s="2" t="s">
        <v>2022</v>
      </c>
      <c r="BV256" s="2" t="s">
        <v>200</v>
      </c>
      <c r="BW256" s="2" t="s">
        <v>200</v>
      </c>
      <c r="BX256" s="2" t="s">
        <v>264</v>
      </c>
      <c r="BY256" s="2" t="s">
        <v>247</v>
      </c>
      <c r="BZ256" s="2" t="s">
        <v>212</v>
      </c>
      <c r="CA256" s="2" t="s">
        <v>1263</v>
      </c>
      <c r="CB256" s="2" t="s">
        <v>200</v>
      </c>
      <c r="CC256" s="2" t="s">
        <v>213</v>
      </c>
      <c r="CD256" s="2" t="s">
        <v>200</v>
      </c>
      <c r="CE256" s="4">
        <v>42</v>
      </c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</row>
    <row r="257">
      <c r="A257" s="2" t="s">
        <v>2023</v>
      </c>
      <c r="B257" s="2" t="s">
        <v>932</v>
      </c>
      <c r="C257" s="2" t="s">
        <v>2014</v>
      </c>
      <c r="D257" s="2" t="s">
        <v>608</v>
      </c>
      <c r="E257" s="2" t="s">
        <v>609</v>
      </c>
      <c r="F257" s="2" t="s">
        <v>2015</v>
      </c>
      <c r="G257" s="2" t="s">
        <v>2015</v>
      </c>
      <c r="H257" s="2" t="s">
        <v>2015</v>
      </c>
      <c r="I257" s="2" t="s">
        <v>2024</v>
      </c>
      <c r="J257" s="2" t="s">
        <v>612</v>
      </c>
      <c r="K257" s="2" t="s">
        <v>387</v>
      </c>
      <c r="L257" s="3">
        <v>37.69</v>
      </c>
      <c r="M257" s="3">
        <v>39.57</v>
      </c>
      <c r="N257" s="3">
        <v>64.99</v>
      </c>
      <c r="O257" s="2" t="s">
        <v>460</v>
      </c>
      <c r="P257" s="2" t="s">
        <v>1258</v>
      </c>
      <c r="Q257" s="2" t="s">
        <v>206</v>
      </c>
      <c r="R257" s="2" t="s">
        <v>1259</v>
      </c>
      <c r="S257" s="2" t="s">
        <v>200</v>
      </c>
      <c r="T257" s="2" t="s">
        <v>200</v>
      </c>
      <c r="U257" s="2" t="s">
        <v>454</v>
      </c>
      <c r="V257" s="2" t="s">
        <v>339</v>
      </c>
      <c r="W257" s="2" t="s">
        <v>200</v>
      </c>
      <c r="X257" s="2" t="s">
        <v>200</v>
      </c>
      <c r="Y257" s="2" t="s">
        <v>2017</v>
      </c>
      <c r="Z257" s="4">
        <v>205</v>
      </c>
      <c r="AA257" s="4">
        <f>=ROUNDDOWN(102.5,0)</f>
      </c>
      <c r="AB257" s="5">
        <v>2</v>
      </c>
      <c r="AC257" s="2" t="s">
        <v>200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200</v>
      </c>
      <c r="AM257" s="4"/>
      <c r="AN257" s="4"/>
      <c r="AO257" s="7"/>
      <c r="AP257" s="4"/>
      <c r="AQ257" s="8"/>
      <c r="AR257" s="4"/>
      <c r="AS257" s="8"/>
      <c r="AT257" s="7"/>
      <c r="AU257" s="7"/>
      <c r="AV257" s="4" t="s">
        <v>200</v>
      </c>
      <c r="AW257" s="8" t="s">
        <v>200</v>
      </c>
      <c r="AX257" s="4" t="s">
        <v>200</v>
      </c>
      <c r="AY257" s="8" t="s">
        <v>200</v>
      </c>
      <c r="AZ257" s="7" t="s">
        <v>200</v>
      </c>
      <c r="BA257" s="7" t="s">
        <v>200</v>
      </c>
      <c r="BB257" s="7" t="s">
        <v>200</v>
      </c>
      <c r="BC257" s="4" t="s">
        <v>200</v>
      </c>
      <c r="BD257" s="8" t="s">
        <v>200</v>
      </c>
      <c r="BE257" s="4" t="s">
        <v>200</v>
      </c>
      <c r="BF257" s="8" t="s">
        <v>200</v>
      </c>
      <c r="BG257" s="7" t="s">
        <v>200</v>
      </c>
      <c r="BH257" s="7" t="s">
        <v>200</v>
      </c>
      <c r="BI257" s="7"/>
      <c r="BJ257" s="4"/>
      <c r="BK257" s="8"/>
      <c r="BL257" s="2" t="s">
        <v>200</v>
      </c>
      <c r="BM257" s="7"/>
      <c r="BN257" s="7"/>
      <c r="BO257" s="4"/>
      <c r="BP257" s="8"/>
      <c r="BQ257" s="4"/>
      <c r="BR257" s="8"/>
      <c r="BS257" s="7"/>
      <c r="BT257" s="7"/>
      <c r="BU257" s="2" t="s">
        <v>2025</v>
      </c>
      <c r="BV257" s="2" t="s">
        <v>200</v>
      </c>
      <c r="BW257" s="2" t="s">
        <v>200</v>
      </c>
      <c r="BX257" s="2" t="s">
        <v>264</v>
      </c>
      <c r="BY257" s="2" t="s">
        <v>247</v>
      </c>
      <c r="BZ257" s="2" t="s">
        <v>212</v>
      </c>
      <c r="CA257" s="2" t="s">
        <v>774</v>
      </c>
      <c r="CB257" s="2" t="s">
        <v>200</v>
      </c>
      <c r="CC257" s="2" t="s">
        <v>213</v>
      </c>
      <c r="CD257" s="2" t="s">
        <v>200</v>
      </c>
      <c r="CE257" s="4">
        <v>205</v>
      </c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</row>
    <row r="258">
      <c r="A258" s="2" t="s">
        <v>2026</v>
      </c>
      <c r="B258" s="2" t="s">
        <v>932</v>
      </c>
      <c r="C258" s="2" t="s">
        <v>2014</v>
      </c>
      <c r="D258" s="2" t="s">
        <v>1818</v>
      </c>
      <c r="E258" s="2" t="s">
        <v>2020</v>
      </c>
      <c r="F258" s="2" t="s">
        <v>2015</v>
      </c>
      <c r="G258" s="2" t="s">
        <v>2015</v>
      </c>
      <c r="H258" s="2" t="s">
        <v>2015</v>
      </c>
      <c r="I258" s="2" t="s">
        <v>2027</v>
      </c>
      <c r="J258" s="2" t="s">
        <v>612</v>
      </c>
      <c r="K258" s="2" t="s">
        <v>387</v>
      </c>
      <c r="L258" s="3">
        <v>37.69</v>
      </c>
      <c r="M258" s="3">
        <v>39.57</v>
      </c>
      <c r="N258" s="3">
        <v>64.99</v>
      </c>
      <c r="O258" s="2" t="s">
        <v>460</v>
      </c>
      <c r="P258" s="2" t="s">
        <v>1258</v>
      </c>
      <c r="Q258" s="2" t="s">
        <v>206</v>
      </c>
      <c r="R258" s="2" t="s">
        <v>1259</v>
      </c>
      <c r="S258" s="2" t="s">
        <v>200</v>
      </c>
      <c r="T258" s="2" t="s">
        <v>200</v>
      </c>
      <c r="U258" s="2" t="s">
        <v>200</v>
      </c>
      <c r="V258" s="2" t="s">
        <v>339</v>
      </c>
      <c r="W258" s="2" t="s">
        <v>200</v>
      </c>
      <c r="X258" s="2" t="s">
        <v>200</v>
      </c>
      <c r="Y258" s="2" t="s">
        <v>2017</v>
      </c>
      <c r="Z258" s="4">
        <v>69</v>
      </c>
      <c r="AA258" s="4">
        <f>=ROUNDDOWN(34.5,0)</f>
      </c>
      <c r="AB258" s="5">
        <v>2</v>
      </c>
      <c r="AC258" s="2" t="s">
        <v>200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200</v>
      </c>
      <c r="AM258" s="4"/>
      <c r="AN258" s="4"/>
      <c r="AO258" s="7"/>
      <c r="AP258" s="4"/>
      <c r="AQ258" s="8"/>
      <c r="AR258" s="4"/>
      <c r="AS258" s="8"/>
      <c r="AT258" s="7"/>
      <c r="AU258" s="7"/>
      <c r="AV258" s="4" t="s">
        <v>200</v>
      </c>
      <c r="AW258" s="8" t="s">
        <v>200</v>
      </c>
      <c r="AX258" s="4" t="s">
        <v>200</v>
      </c>
      <c r="AY258" s="8" t="s">
        <v>200</v>
      </c>
      <c r="AZ258" s="7" t="s">
        <v>200</v>
      </c>
      <c r="BA258" s="7" t="s">
        <v>200</v>
      </c>
      <c r="BB258" s="7" t="s">
        <v>200</v>
      </c>
      <c r="BC258" s="4" t="s">
        <v>200</v>
      </c>
      <c r="BD258" s="8" t="s">
        <v>200</v>
      </c>
      <c r="BE258" s="4" t="s">
        <v>200</v>
      </c>
      <c r="BF258" s="8" t="s">
        <v>200</v>
      </c>
      <c r="BG258" s="7" t="s">
        <v>200</v>
      </c>
      <c r="BH258" s="7" t="s">
        <v>200</v>
      </c>
      <c r="BI258" s="7"/>
      <c r="BJ258" s="4"/>
      <c r="BK258" s="8"/>
      <c r="BL258" s="2" t="s">
        <v>1029</v>
      </c>
      <c r="BM258" s="7"/>
      <c r="BN258" s="7"/>
      <c r="BO258" s="4"/>
      <c r="BP258" s="8"/>
      <c r="BQ258" s="4"/>
      <c r="BR258" s="8"/>
      <c r="BS258" s="7"/>
      <c r="BT258" s="7"/>
      <c r="BU258" s="2" t="s">
        <v>2028</v>
      </c>
      <c r="BV258" s="2" t="s">
        <v>200</v>
      </c>
      <c r="BW258" s="2" t="s">
        <v>200</v>
      </c>
      <c r="BX258" s="2" t="s">
        <v>264</v>
      </c>
      <c r="BY258" s="2" t="s">
        <v>247</v>
      </c>
      <c r="BZ258" s="2" t="s">
        <v>212</v>
      </c>
      <c r="CA258" s="2" t="s">
        <v>1263</v>
      </c>
      <c r="CB258" s="2" t="s">
        <v>200</v>
      </c>
      <c r="CC258" s="2" t="s">
        <v>213</v>
      </c>
      <c r="CD258" s="2" t="s">
        <v>200</v>
      </c>
      <c r="CE258" s="4">
        <v>69</v>
      </c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</row>
    <row r="259">
      <c r="A259" s="2" t="s">
        <v>2029</v>
      </c>
      <c r="B259" s="2" t="s">
        <v>827</v>
      </c>
      <c r="C259" s="2" t="s">
        <v>1010</v>
      </c>
      <c r="D259" s="2" t="s">
        <v>828</v>
      </c>
      <c r="E259" s="2" t="s">
        <v>1011</v>
      </c>
      <c r="F259" s="2" t="s">
        <v>2030</v>
      </c>
      <c r="G259" s="2" t="s">
        <v>2031</v>
      </c>
      <c r="H259" s="2" t="s">
        <v>2032</v>
      </c>
      <c r="I259" s="2" t="s">
        <v>2033</v>
      </c>
      <c r="J259" s="2" t="s">
        <v>1242</v>
      </c>
      <c r="K259" s="2" t="s">
        <v>660</v>
      </c>
      <c r="L259" s="3">
        <v>18</v>
      </c>
      <c r="M259" s="3">
        <v>18.9</v>
      </c>
      <c r="N259" s="3">
        <v>39.99</v>
      </c>
      <c r="O259" s="2" t="s">
        <v>212</v>
      </c>
      <c r="P259" s="2" t="s">
        <v>258</v>
      </c>
      <c r="Q259" s="2" t="s">
        <v>206</v>
      </c>
      <c r="R259" s="2" t="s">
        <v>200</v>
      </c>
      <c r="S259" s="2" t="s">
        <v>2034</v>
      </c>
      <c r="T259" s="2" t="s">
        <v>200</v>
      </c>
      <c r="U259" s="2" t="s">
        <v>200</v>
      </c>
      <c r="V259" s="2" t="s">
        <v>1695</v>
      </c>
      <c r="W259" s="2" t="s">
        <v>379</v>
      </c>
      <c r="X259" s="2" t="s">
        <v>2035</v>
      </c>
      <c r="Y259" s="2" t="s">
        <v>978</v>
      </c>
      <c r="Z259" s="4">
        <v>439</v>
      </c>
      <c r="AA259" s="4">
        <f>=ROUNDDOWN(24.3888888888889,0)</f>
      </c>
      <c r="AB259" s="5">
        <v>18</v>
      </c>
      <c r="AC259" s="2" t="s">
        <v>1105</v>
      </c>
      <c r="AD259" s="4">
        <v>140</v>
      </c>
      <c r="AE259" s="4">
        <v>348</v>
      </c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200</v>
      </c>
      <c r="AM259" s="4"/>
      <c r="AN259" s="4"/>
      <c r="AO259" s="7"/>
      <c r="AP259" s="4"/>
      <c r="AQ259" s="8"/>
      <c r="AR259" s="4"/>
      <c r="AS259" s="8"/>
      <c r="AT259" s="7"/>
      <c r="AU259" s="7"/>
      <c r="AV259" s="4"/>
      <c r="AW259" s="8"/>
      <c r="AX259" s="4"/>
      <c r="AY259" s="8"/>
      <c r="AZ259" s="7"/>
      <c r="BA259" s="7"/>
      <c r="BB259" s="7"/>
      <c r="BC259" s="4" t="s">
        <v>200</v>
      </c>
      <c r="BD259" s="8" t="s">
        <v>200</v>
      </c>
      <c r="BE259" s="4" t="s">
        <v>200</v>
      </c>
      <c r="BF259" s="8" t="s">
        <v>200</v>
      </c>
      <c r="BG259" s="7" t="s">
        <v>200</v>
      </c>
      <c r="BH259" s="7" t="s">
        <v>200</v>
      </c>
      <c r="BI259" s="7"/>
      <c r="BJ259" s="4">
        <v>70</v>
      </c>
      <c r="BK259" s="8">
        <v>1295.98</v>
      </c>
      <c r="BL259" s="2" t="s">
        <v>2036</v>
      </c>
      <c r="BM259" s="7"/>
      <c r="BN259" s="7"/>
      <c r="BO259" s="4"/>
      <c r="BP259" s="8"/>
      <c r="BQ259" s="4"/>
      <c r="BR259" s="8"/>
      <c r="BS259" s="7"/>
      <c r="BT259" s="7"/>
      <c r="BU259" s="2" t="s">
        <v>2037</v>
      </c>
      <c r="BV259" s="2" t="s">
        <v>200</v>
      </c>
      <c r="BW259" s="2" t="s">
        <v>200</v>
      </c>
      <c r="BX259" s="2" t="s">
        <v>264</v>
      </c>
      <c r="BY259" s="2" t="s">
        <v>247</v>
      </c>
      <c r="BZ259" s="2" t="s">
        <v>212</v>
      </c>
      <c r="CA259" s="2" t="s">
        <v>980</v>
      </c>
      <c r="CB259" s="2" t="s">
        <v>2038</v>
      </c>
      <c r="CC259" s="2" t="s">
        <v>213</v>
      </c>
      <c r="CD259" s="2" t="s">
        <v>200</v>
      </c>
      <c r="CE259" s="4">
        <v>439</v>
      </c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>
        <v>140</v>
      </c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>
        <v>100</v>
      </c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>
        <v>108</v>
      </c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</row>
    <row r="260">
      <c r="A260" s="2" t="s">
        <v>2039</v>
      </c>
      <c r="B260" s="2" t="s">
        <v>827</v>
      </c>
      <c r="C260" s="2" t="s">
        <v>1010</v>
      </c>
      <c r="D260" s="2" t="s">
        <v>828</v>
      </c>
      <c r="E260" s="2" t="s">
        <v>1011</v>
      </c>
      <c r="F260" s="2" t="s">
        <v>2030</v>
      </c>
      <c r="G260" s="2" t="s">
        <v>2031</v>
      </c>
      <c r="H260" s="2" t="s">
        <v>2032</v>
      </c>
      <c r="I260" s="2" t="s">
        <v>2033</v>
      </c>
      <c r="J260" s="2" t="s">
        <v>1242</v>
      </c>
      <c r="K260" s="2" t="s">
        <v>221</v>
      </c>
      <c r="L260" s="3">
        <v>18</v>
      </c>
      <c r="M260" s="3">
        <v>18.9</v>
      </c>
      <c r="N260" s="3">
        <v>39.99</v>
      </c>
      <c r="O260" s="2" t="s">
        <v>212</v>
      </c>
      <c r="P260" s="2" t="s">
        <v>1247</v>
      </c>
      <c r="Q260" s="2" t="s">
        <v>206</v>
      </c>
      <c r="R260" s="2" t="s">
        <v>200</v>
      </c>
      <c r="S260" s="2" t="s">
        <v>2040</v>
      </c>
      <c r="T260" s="2" t="s">
        <v>200</v>
      </c>
      <c r="U260" s="2" t="s">
        <v>200</v>
      </c>
      <c r="V260" s="2" t="s">
        <v>1695</v>
      </c>
      <c r="W260" s="2" t="s">
        <v>379</v>
      </c>
      <c r="X260" s="2" t="s">
        <v>2035</v>
      </c>
      <c r="Y260" s="2" t="s">
        <v>978</v>
      </c>
      <c r="Z260" s="4">
        <v>545</v>
      </c>
      <c r="AA260" s="4">
        <f>=ROUNDDOWN(45.4166666666667,0)</f>
      </c>
      <c r="AB260" s="5">
        <v>12</v>
      </c>
      <c r="AC260" s="2" t="s">
        <v>1105</v>
      </c>
      <c r="AD260" s="4">
        <v>92</v>
      </c>
      <c r="AE260" s="4">
        <v>92</v>
      </c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200</v>
      </c>
      <c r="AM260" s="4"/>
      <c r="AN260" s="4"/>
      <c r="AO260" s="7"/>
      <c r="AP260" s="4"/>
      <c r="AQ260" s="8"/>
      <c r="AR260" s="4"/>
      <c r="AS260" s="8"/>
      <c r="AT260" s="7"/>
      <c r="AU260" s="7"/>
      <c r="AV260" s="4"/>
      <c r="AW260" s="8"/>
      <c r="AX260" s="4"/>
      <c r="AY260" s="8"/>
      <c r="AZ260" s="7"/>
      <c r="BA260" s="7"/>
      <c r="BB260" s="7"/>
      <c r="BC260" s="4" t="s">
        <v>200</v>
      </c>
      <c r="BD260" s="8" t="s">
        <v>200</v>
      </c>
      <c r="BE260" s="4" t="s">
        <v>200</v>
      </c>
      <c r="BF260" s="8" t="s">
        <v>200</v>
      </c>
      <c r="BG260" s="7" t="s">
        <v>200</v>
      </c>
      <c r="BH260" s="7" t="s">
        <v>200</v>
      </c>
      <c r="BI260" s="7"/>
      <c r="BJ260" s="4">
        <v>58</v>
      </c>
      <c r="BK260" s="8">
        <v>1189.15</v>
      </c>
      <c r="BL260" s="2" t="s">
        <v>2041</v>
      </c>
      <c r="BM260" s="7"/>
      <c r="BN260" s="7"/>
      <c r="BO260" s="4"/>
      <c r="BP260" s="8"/>
      <c r="BQ260" s="4"/>
      <c r="BR260" s="8"/>
      <c r="BS260" s="7"/>
      <c r="BT260" s="7"/>
      <c r="BU260" s="2" t="s">
        <v>2042</v>
      </c>
      <c r="BV260" s="2" t="s">
        <v>200</v>
      </c>
      <c r="BW260" s="2" t="s">
        <v>200</v>
      </c>
      <c r="BX260" s="2" t="s">
        <v>264</v>
      </c>
      <c r="BY260" s="2" t="s">
        <v>247</v>
      </c>
      <c r="BZ260" s="2" t="s">
        <v>212</v>
      </c>
      <c r="CA260" s="2" t="s">
        <v>980</v>
      </c>
      <c r="CB260" s="2" t="s">
        <v>2043</v>
      </c>
      <c r="CC260" s="2" t="s">
        <v>213</v>
      </c>
      <c r="CD260" s="2" t="s">
        <v>200</v>
      </c>
      <c r="CE260" s="4">
        <v>545</v>
      </c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>
        <v>92</v>
      </c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</row>
    <row r="261">
      <c r="A261" s="2" t="s">
        <v>2044</v>
      </c>
      <c r="B261" s="2" t="s">
        <v>827</v>
      </c>
      <c r="C261" s="2" t="s">
        <v>1010</v>
      </c>
      <c r="D261" s="2" t="s">
        <v>828</v>
      </c>
      <c r="E261" s="2" t="s">
        <v>1011</v>
      </c>
      <c r="F261" s="2" t="s">
        <v>2030</v>
      </c>
      <c r="G261" s="2" t="s">
        <v>2031</v>
      </c>
      <c r="H261" s="2" t="s">
        <v>2032</v>
      </c>
      <c r="I261" s="2" t="s">
        <v>2033</v>
      </c>
      <c r="J261" s="2" t="s">
        <v>1242</v>
      </c>
      <c r="K261" s="2" t="s">
        <v>1700</v>
      </c>
      <c r="L261" s="3">
        <v>18</v>
      </c>
      <c r="M261" s="3">
        <v>18.9</v>
      </c>
      <c r="N261" s="3">
        <v>39.99</v>
      </c>
      <c r="O261" s="2" t="s">
        <v>212</v>
      </c>
      <c r="P261" s="2" t="s">
        <v>258</v>
      </c>
      <c r="Q261" s="2" t="s">
        <v>206</v>
      </c>
      <c r="R261" s="2" t="s">
        <v>200</v>
      </c>
      <c r="S261" s="2" t="s">
        <v>2045</v>
      </c>
      <c r="T261" s="2" t="s">
        <v>200</v>
      </c>
      <c r="U261" s="2" t="s">
        <v>200</v>
      </c>
      <c r="V261" s="2" t="s">
        <v>1695</v>
      </c>
      <c r="W261" s="2" t="s">
        <v>379</v>
      </c>
      <c r="X261" s="2" t="s">
        <v>2035</v>
      </c>
      <c r="Y261" s="2" t="s">
        <v>978</v>
      </c>
      <c r="Z261" s="4">
        <v>176</v>
      </c>
      <c r="AA261" s="4">
        <f>=ROUNDDOWN(19.5555555555556,0)</f>
      </c>
      <c r="AB261" s="5">
        <v>9</v>
      </c>
      <c r="AC261" s="2" t="s">
        <v>115</v>
      </c>
      <c r="AD261" s="4">
        <v>140</v>
      </c>
      <c r="AE261" s="4">
        <v>220</v>
      </c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200</v>
      </c>
      <c r="AM261" s="4"/>
      <c r="AN261" s="4"/>
      <c r="AO261" s="7"/>
      <c r="AP261" s="4"/>
      <c r="AQ261" s="8"/>
      <c r="AR261" s="4"/>
      <c r="AS261" s="8"/>
      <c r="AT261" s="7"/>
      <c r="AU261" s="7"/>
      <c r="AV261" s="4"/>
      <c r="AW261" s="8"/>
      <c r="AX261" s="4"/>
      <c r="AY261" s="8"/>
      <c r="AZ261" s="7"/>
      <c r="BA261" s="7"/>
      <c r="BB261" s="7"/>
      <c r="BC261" s="4" t="s">
        <v>200</v>
      </c>
      <c r="BD261" s="8" t="s">
        <v>200</v>
      </c>
      <c r="BE261" s="4" t="s">
        <v>200</v>
      </c>
      <c r="BF261" s="8" t="s">
        <v>200</v>
      </c>
      <c r="BG261" s="7" t="s">
        <v>200</v>
      </c>
      <c r="BH261" s="7" t="s">
        <v>200</v>
      </c>
      <c r="BI261" s="7"/>
      <c r="BJ261" s="4">
        <v>12</v>
      </c>
      <c r="BK261" s="8">
        <v>211.08</v>
      </c>
      <c r="BL261" s="2" t="s">
        <v>2046</v>
      </c>
      <c r="BM261" s="7"/>
      <c r="BN261" s="7"/>
      <c r="BO261" s="4"/>
      <c r="BP261" s="8"/>
      <c r="BQ261" s="4"/>
      <c r="BR261" s="8"/>
      <c r="BS261" s="7"/>
      <c r="BT261" s="7"/>
      <c r="BU261" s="2" t="s">
        <v>2047</v>
      </c>
      <c r="BV261" s="2" t="s">
        <v>200</v>
      </c>
      <c r="BW261" s="2" t="s">
        <v>200</v>
      </c>
      <c r="BX261" s="2" t="s">
        <v>264</v>
      </c>
      <c r="BY261" s="2" t="s">
        <v>247</v>
      </c>
      <c r="BZ261" s="2" t="s">
        <v>212</v>
      </c>
      <c r="CA261" s="2" t="s">
        <v>980</v>
      </c>
      <c r="CB261" s="2" t="s">
        <v>2048</v>
      </c>
      <c r="CC261" s="2" t="s">
        <v>213</v>
      </c>
      <c r="CD261" s="2" t="s">
        <v>200</v>
      </c>
      <c r="CE261" s="4">
        <v>176</v>
      </c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>
        <v>140</v>
      </c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>
        <v>80</v>
      </c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</row>
    <row r="262">
      <c r="A262" s="2" t="s">
        <v>2049</v>
      </c>
      <c r="B262" s="2" t="s">
        <v>719</v>
      </c>
      <c r="C262" s="2" t="s">
        <v>730</v>
      </c>
      <c r="D262" s="2" t="s">
        <v>1554</v>
      </c>
      <c r="E262" s="2" t="s">
        <v>721</v>
      </c>
      <c r="F262" s="2" t="s">
        <v>2050</v>
      </c>
      <c r="G262" s="2" t="s">
        <v>2050</v>
      </c>
      <c r="H262" s="2" t="s">
        <v>2050</v>
      </c>
      <c r="I262" s="2" t="s">
        <v>2051</v>
      </c>
      <c r="J262" s="2" t="s">
        <v>711</v>
      </c>
      <c r="K262" s="2" t="s">
        <v>733</v>
      </c>
      <c r="L262" s="3">
        <v>79.42</v>
      </c>
      <c r="M262" s="3">
        <v>83.39</v>
      </c>
      <c r="N262" s="3">
        <v>157.24</v>
      </c>
      <c r="O262" s="2" t="s">
        <v>212</v>
      </c>
      <c r="P262" s="2" t="s">
        <v>1075</v>
      </c>
      <c r="Q262" s="2" t="s">
        <v>206</v>
      </c>
      <c r="R262" s="2" t="s">
        <v>200</v>
      </c>
      <c r="S262" s="2" t="s">
        <v>2052</v>
      </c>
      <c r="T262" s="2" t="s">
        <v>200</v>
      </c>
      <c r="U262" s="2" t="s">
        <v>615</v>
      </c>
      <c r="V262" s="2" t="s">
        <v>724</v>
      </c>
      <c r="W262" s="2" t="s">
        <v>379</v>
      </c>
      <c r="X262" s="2" t="s">
        <v>2053</v>
      </c>
      <c r="Y262" s="2" t="s">
        <v>2054</v>
      </c>
      <c r="Z262" s="4">
        <v>91</v>
      </c>
      <c r="AA262" s="4">
        <f>=ROUNDDOWN(13,0)</f>
      </c>
      <c r="AB262" s="5">
        <v>7</v>
      </c>
      <c r="AC262" s="2" t="s">
        <v>1568</v>
      </c>
      <c r="AD262" s="4">
        <v>100</v>
      </c>
      <c r="AE262" s="4">
        <v>100</v>
      </c>
      <c r="AF262" s="6">
        <v>61</v>
      </c>
      <c r="AG262" s="6"/>
      <c r="AH262" s="7">
        <v>1</v>
      </c>
      <c r="AI262" s="4"/>
      <c r="AJ262" s="4">
        <f>=ROUNDDOWN({0},0)</f>
      </c>
      <c r="AK262" s="5"/>
      <c r="AL262" s="2" t="s">
        <v>200</v>
      </c>
      <c r="AM262" s="4"/>
      <c r="AN262" s="4"/>
      <c r="AO262" s="7"/>
      <c r="AP262" s="4"/>
      <c r="AQ262" s="8"/>
      <c r="AR262" s="4"/>
      <c r="AS262" s="8"/>
      <c r="AT262" s="7"/>
      <c r="AU262" s="7"/>
      <c r="AV262" s="4"/>
      <c r="AW262" s="8"/>
      <c r="AX262" s="4"/>
      <c r="AY262" s="8"/>
      <c r="AZ262" s="7"/>
      <c r="BA262" s="7"/>
      <c r="BB262" s="7"/>
      <c r="BC262" s="4"/>
      <c r="BD262" s="8"/>
      <c r="BE262" s="4"/>
      <c r="BF262" s="8"/>
      <c r="BG262" s="7"/>
      <c r="BH262" s="7"/>
      <c r="BI262" s="7"/>
      <c r="BJ262" s="4">
        <v>33</v>
      </c>
      <c r="BK262" s="8">
        <v>2929.28</v>
      </c>
      <c r="BL262" s="2" t="s">
        <v>2055</v>
      </c>
      <c r="BM262" s="7"/>
      <c r="BN262" s="7"/>
      <c r="BO262" s="4"/>
      <c r="BP262" s="8"/>
      <c r="BQ262" s="4"/>
      <c r="BR262" s="8"/>
      <c r="BS262" s="7"/>
      <c r="BT262" s="7"/>
      <c r="BU262" s="2" t="s">
        <v>2056</v>
      </c>
      <c r="BV262" s="2" t="s">
        <v>200</v>
      </c>
      <c r="BW262" s="2" t="s">
        <v>200</v>
      </c>
      <c r="BX262" s="2" t="s">
        <v>264</v>
      </c>
      <c r="BY262" s="2" t="s">
        <v>247</v>
      </c>
      <c r="BZ262" s="2" t="s">
        <v>212</v>
      </c>
      <c r="CA262" s="2" t="s">
        <v>2057</v>
      </c>
      <c r="CB262" s="2" t="s">
        <v>2058</v>
      </c>
      <c r="CC262" s="2" t="s">
        <v>213</v>
      </c>
      <c r="CD262" s="2" t="s">
        <v>200</v>
      </c>
      <c r="CE262" s="4"/>
      <c r="CF262" s="4">
        <v>91</v>
      </c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>
        <v>100</v>
      </c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</row>
    <row r="263">
      <c r="A263" s="2" t="s">
        <v>2059</v>
      </c>
      <c r="B263" s="2" t="s">
        <v>719</v>
      </c>
      <c r="C263" s="2" t="s">
        <v>231</v>
      </c>
      <c r="D263" s="2" t="s">
        <v>1542</v>
      </c>
      <c r="E263" s="2" t="s">
        <v>2060</v>
      </c>
      <c r="F263" s="2" t="s">
        <v>2061</v>
      </c>
      <c r="G263" s="2" t="s">
        <v>2061</v>
      </c>
      <c r="H263" s="2" t="s">
        <v>2061</v>
      </c>
      <c r="I263" s="2" t="s">
        <v>2062</v>
      </c>
      <c r="J263" s="2" t="s">
        <v>711</v>
      </c>
      <c r="K263" s="2" t="s">
        <v>257</v>
      </c>
      <c r="L263" s="3">
        <v>20.4</v>
      </c>
      <c r="M263" s="3">
        <v>21.42</v>
      </c>
      <c r="N263" s="3">
        <v>42.49</v>
      </c>
      <c r="O263" s="2" t="s">
        <v>212</v>
      </c>
      <c r="P263" s="2" t="s">
        <v>285</v>
      </c>
      <c r="Q263" s="2" t="s">
        <v>206</v>
      </c>
      <c r="R263" s="2" t="s">
        <v>200</v>
      </c>
      <c r="S263" s="2" t="s">
        <v>2063</v>
      </c>
      <c r="T263" s="2" t="s">
        <v>200</v>
      </c>
      <c r="U263" s="2" t="s">
        <v>270</v>
      </c>
      <c r="V263" s="2" t="s">
        <v>1348</v>
      </c>
      <c r="W263" s="2" t="s">
        <v>1975</v>
      </c>
      <c r="X263" s="2" t="s">
        <v>200</v>
      </c>
      <c r="Y263" s="2" t="s">
        <v>2064</v>
      </c>
      <c r="Z263" s="4">
        <v>94</v>
      </c>
      <c r="AA263" s="4">
        <f>=ROUNDDOWN(23.5,0)</f>
      </c>
      <c r="AB263" s="5">
        <v>4</v>
      </c>
      <c r="AC263" s="2" t="s">
        <v>200</v>
      </c>
      <c r="AD263" s="4"/>
      <c r="AE263" s="4"/>
      <c r="AF263" s="6">
        <v>63</v>
      </c>
      <c r="AG263" s="6"/>
      <c r="AH263" s="7">
        <v>1</v>
      </c>
      <c r="AI263" s="4"/>
      <c r="AJ263" s="4">
        <f>=ROUNDDOWN({0},0)</f>
      </c>
      <c r="AK263" s="5"/>
      <c r="AL263" s="2" t="s">
        <v>200</v>
      </c>
      <c r="AM263" s="4"/>
      <c r="AN263" s="4"/>
      <c r="AO263" s="7"/>
      <c r="AP263" s="4"/>
      <c r="AQ263" s="8"/>
      <c r="AR263" s="4"/>
      <c r="AS263" s="8"/>
      <c r="AT263" s="7"/>
      <c r="AU263" s="7"/>
      <c r="AV263" s="4"/>
      <c r="AW263" s="8"/>
      <c r="AX263" s="4"/>
      <c r="AY263" s="8"/>
      <c r="AZ263" s="7"/>
      <c r="BA263" s="7"/>
      <c r="BB263" s="7"/>
      <c r="BC263" s="4"/>
      <c r="BD263" s="8"/>
      <c r="BE263" s="4"/>
      <c r="BF263" s="8"/>
      <c r="BG263" s="7"/>
      <c r="BH263" s="7"/>
      <c r="BI263" s="7"/>
      <c r="BJ263" s="4">
        <v>9</v>
      </c>
      <c r="BK263" s="8">
        <v>221.58</v>
      </c>
      <c r="BL263" s="2" t="s">
        <v>2065</v>
      </c>
      <c r="BM263" s="7"/>
      <c r="BN263" s="7"/>
      <c r="BO263" s="4"/>
      <c r="BP263" s="8"/>
      <c r="BQ263" s="4"/>
      <c r="BR263" s="8"/>
      <c r="BS263" s="7"/>
      <c r="BT263" s="7"/>
      <c r="BU263" s="2" t="s">
        <v>2066</v>
      </c>
      <c r="BV263" s="2" t="s">
        <v>200</v>
      </c>
      <c r="BW263" s="2" t="s">
        <v>200</v>
      </c>
      <c r="BX263" s="2" t="s">
        <v>289</v>
      </c>
      <c r="BY263" s="2" t="s">
        <v>247</v>
      </c>
      <c r="BZ263" s="2" t="s">
        <v>212</v>
      </c>
      <c r="CA263" s="2" t="s">
        <v>2067</v>
      </c>
      <c r="CB263" s="2" t="s">
        <v>2068</v>
      </c>
      <c r="CC263" s="2" t="s">
        <v>213</v>
      </c>
      <c r="CD263" s="2" t="s">
        <v>200</v>
      </c>
      <c r="CE263" s="4"/>
      <c r="CF263" s="4">
        <v>94</v>
      </c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</row>
    <row r="264">
      <c r="A264" s="2" t="s">
        <v>2069</v>
      </c>
      <c r="B264" s="2" t="s">
        <v>744</v>
      </c>
      <c r="C264" s="2" t="s">
        <v>745</v>
      </c>
      <c r="D264" s="2" t="s">
        <v>795</v>
      </c>
      <c r="E264" s="2" t="s">
        <v>796</v>
      </c>
      <c r="F264" s="2" t="s">
        <v>2070</v>
      </c>
      <c r="G264" s="2" t="s">
        <v>2070</v>
      </c>
      <c r="H264" s="2" t="s">
        <v>2070</v>
      </c>
      <c r="I264" s="2" t="s">
        <v>2071</v>
      </c>
      <c r="J264" s="2" t="s">
        <v>711</v>
      </c>
      <c r="K264" s="2" t="s">
        <v>1928</v>
      </c>
      <c r="L264" s="3">
        <v>213.75</v>
      </c>
      <c r="M264" s="3">
        <v>224.44</v>
      </c>
      <c r="N264" s="3">
        <v>449</v>
      </c>
      <c r="O264" s="2" t="s">
        <v>212</v>
      </c>
      <c r="P264" s="2" t="s">
        <v>258</v>
      </c>
      <c r="Q264" s="2" t="s">
        <v>206</v>
      </c>
      <c r="R264" s="2" t="s">
        <v>200</v>
      </c>
      <c r="S264" s="2" t="s">
        <v>200</v>
      </c>
      <c r="T264" s="2" t="s">
        <v>200</v>
      </c>
      <c r="U264" s="2" t="s">
        <v>270</v>
      </c>
      <c r="V264" s="2" t="s">
        <v>616</v>
      </c>
      <c r="W264" s="2" t="s">
        <v>419</v>
      </c>
      <c r="X264" s="2" t="s">
        <v>241</v>
      </c>
      <c r="Y264" s="2" t="s">
        <v>1978</v>
      </c>
      <c r="Z264" s="4">
        <v>260</v>
      </c>
      <c r="AA264" s="4">
        <f>=ROUNDDOWN(78.7878787878788,0)</f>
      </c>
      <c r="AB264" s="5">
        <v>3.3</v>
      </c>
      <c r="AC264" s="2" t="s">
        <v>200</v>
      </c>
      <c r="AD264" s="4"/>
      <c r="AE264" s="4"/>
      <c r="AF264" s="6">
        <v>74</v>
      </c>
      <c r="AG264" s="6"/>
      <c r="AH264" s="7">
        <v>1</v>
      </c>
      <c r="AI264" s="4"/>
      <c r="AJ264" s="4">
        <f>=ROUNDDOWN({0},0)</f>
      </c>
      <c r="AK264" s="5"/>
      <c r="AL264" s="2" t="s">
        <v>200</v>
      </c>
      <c r="AM264" s="4"/>
      <c r="AN264" s="4"/>
      <c r="AO264" s="7"/>
      <c r="AP264" s="4"/>
      <c r="AQ264" s="8"/>
      <c r="AR264" s="4"/>
      <c r="AS264" s="8"/>
      <c r="AT264" s="7"/>
      <c r="AU264" s="7"/>
      <c r="AV264" s="4"/>
      <c r="AW264" s="8"/>
      <c r="AX264" s="4"/>
      <c r="AY264" s="8"/>
      <c r="AZ264" s="7"/>
      <c r="BA264" s="7"/>
      <c r="BB264" s="7"/>
      <c r="BC264" s="4"/>
      <c r="BD264" s="8"/>
      <c r="BE264" s="4"/>
      <c r="BF264" s="8"/>
      <c r="BG264" s="7"/>
      <c r="BH264" s="7"/>
      <c r="BI264" s="7"/>
      <c r="BJ264" s="4">
        <v>13</v>
      </c>
      <c r="BK264" s="8">
        <v>3174.88</v>
      </c>
      <c r="BL264" s="2" t="s">
        <v>2072</v>
      </c>
      <c r="BM264" s="7"/>
      <c r="BN264" s="7"/>
      <c r="BO264" s="4"/>
      <c r="BP264" s="8"/>
      <c r="BQ264" s="4"/>
      <c r="BR264" s="8"/>
      <c r="BS264" s="7"/>
      <c r="BT264" s="7"/>
      <c r="BU264" s="2" t="s">
        <v>2073</v>
      </c>
      <c r="BV264" s="2" t="s">
        <v>200</v>
      </c>
      <c r="BW264" s="2" t="s">
        <v>200</v>
      </c>
      <c r="BX264" s="2" t="s">
        <v>264</v>
      </c>
      <c r="BY264" s="2" t="s">
        <v>247</v>
      </c>
      <c r="BZ264" s="2" t="s">
        <v>212</v>
      </c>
      <c r="CA264" s="2" t="s">
        <v>2074</v>
      </c>
      <c r="CB264" s="2" t="s">
        <v>2075</v>
      </c>
      <c r="CC264" s="2" t="s">
        <v>213</v>
      </c>
      <c r="CD264" s="2" t="s">
        <v>200</v>
      </c>
      <c r="CE264" s="4"/>
      <c r="CF264" s="4">
        <v>260</v>
      </c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</row>
    <row r="265">
      <c r="A265" s="2" t="s">
        <v>2076</v>
      </c>
      <c r="B265" s="2" t="s">
        <v>903</v>
      </c>
      <c r="C265" s="2" t="s">
        <v>231</v>
      </c>
      <c r="D265" s="2" t="s">
        <v>918</v>
      </c>
      <c r="E265" s="2" t="s">
        <v>934</v>
      </c>
      <c r="F265" s="2" t="s">
        <v>2077</v>
      </c>
      <c r="G265" s="2" t="s">
        <v>2078</v>
      </c>
      <c r="H265" s="2" t="s">
        <v>2079</v>
      </c>
      <c r="I265" s="2" t="s">
        <v>2080</v>
      </c>
      <c r="J265" s="2" t="s">
        <v>612</v>
      </c>
      <c r="K265" s="2" t="s">
        <v>387</v>
      </c>
      <c r="L265" s="3">
        <v>27.42</v>
      </c>
      <c r="M265" s="3">
        <v>28.79</v>
      </c>
      <c r="N265" s="3">
        <v>59.99</v>
      </c>
      <c r="O265" s="2" t="s">
        <v>212</v>
      </c>
      <c r="P265" s="2" t="s">
        <v>285</v>
      </c>
      <c r="Q265" s="2" t="s">
        <v>206</v>
      </c>
      <c r="R265" s="2" t="s">
        <v>200</v>
      </c>
      <c r="S265" s="2" t="s">
        <v>2081</v>
      </c>
      <c r="T265" s="2" t="s">
        <v>378</v>
      </c>
      <c r="U265" s="2" t="s">
        <v>615</v>
      </c>
      <c r="V265" s="2" t="s">
        <v>348</v>
      </c>
      <c r="W265" s="2" t="s">
        <v>926</v>
      </c>
      <c r="X265" s="2" t="s">
        <v>200</v>
      </c>
      <c r="Y265" s="2" t="s">
        <v>1476</v>
      </c>
      <c r="Z265" s="4"/>
      <c r="AA265" s="4">
        <f>=ROUNDDOWN({0},0)</f>
      </c>
      <c r="AB265" s="5">
        <v>3</v>
      </c>
      <c r="AC265" s="2" t="s">
        <v>200</v>
      </c>
      <c r="AD265" s="4"/>
      <c r="AE265" s="4"/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200</v>
      </c>
      <c r="AM265" s="4"/>
      <c r="AN265" s="4"/>
      <c r="AO265" s="7"/>
      <c r="AP265" s="4"/>
      <c r="AQ265" s="8"/>
      <c r="AR265" s="4"/>
      <c r="AS265" s="8"/>
      <c r="AT265" s="7"/>
      <c r="AU265" s="7"/>
      <c r="AV265" s="4" t="s">
        <v>200</v>
      </c>
      <c r="AW265" s="8" t="s">
        <v>200</v>
      </c>
      <c r="AX265" s="4" t="s">
        <v>200</v>
      </c>
      <c r="AY265" s="8" t="s">
        <v>200</v>
      </c>
      <c r="AZ265" s="7" t="s">
        <v>200</v>
      </c>
      <c r="BA265" s="7" t="s">
        <v>200</v>
      </c>
      <c r="BB265" s="7"/>
      <c r="BC265" s="4" t="s">
        <v>200</v>
      </c>
      <c r="BD265" s="8" t="s">
        <v>200</v>
      </c>
      <c r="BE265" s="4" t="s">
        <v>200</v>
      </c>
      <c r="BF265" s="8" t="s">
        <v>200</v>
      </c>
      <c r="BG265" s="7" t="s">
        <v>200</v>
      </c>
      <c r="BH265" s="7" t="s">
        <v>200</v>
      </c>
      <c r="BI265" s="7"/>
      <c r="BJ265" s="4">
        <v>19</v>
      </c>
      <c r="BK265" s="8">
        <v>593.65</v>
      </c>
      <c r="BL265" s="2" t="s">
        <v>448</v>
      </c>
      <c r="BM265" s="7"/>
      <c r="BN265" s="7"/>
      <c r="BO265" s="4"/>
      <c r="BP265" s="8"/>
      <c r="BQ265" s="4"/>
      <c r="BR265" s="8"/>
      <c r="BS265" s="7"/>
      <c r="BT265" s="7"/>
      <c r="BU265" s="2" t="s">
        <v>2082</v>
      </c>
      <c r="BV265" s="2" t="s">
        <v>200</v>
      </c>
      <c r="BW265" s="2" t="s">
        <v>200</v>
      </c>
      <c r="BX265" s="2" t="s">
        <v>289</v>
      </c>
      <c r="BY265" s="2" t="s">
        <v>247</v>
      </c>
      <c r="BZ265" s="2" t="s">
        <v>212</v>
      </c>
      <c r="CA265" s="2" t="s">
        <v>2083</v>
      </c>
      <c r="CB265" s="2" t="s">
        <v>2084</v>
      </c>
      <c r="CC265" s="2" t="s">
        <v>213</v>
      </c>
      <c r="CD265" s="2" t="s">
        <v>200</v>
      </c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</row>
    <row r="266">
      <c r="A266" s="2" t="s">
        <v>2085</v>
      </c>
      <c r="B266" s="2" t="s">
        <v>1099</v>
      </c>
      <c r="C266" s="2" t="s">
        <v>231</v>
      </c>
      <c r="D266" s="2" t="s">
        <v>1159</v>
      </c>
      <c r="E266" s="2" t="s">
        <v>1160</v>
      </c>
      <c r="F266" s="2" t="s">
        <v>2077</v>
      </c>
      <c r="G266" s="2" t="s">
        <v>2078</v>
      </c>
      <c r="H266" s="2" t="s">
        <v>2079</v>
      </c>
      <c r="I266" s="2" t="s">
        <v>2086</v>
      </c>
      <c r="J266" s="2" t="s">
        <v>1162</v>
      </c>
      <c r="K266" s="2" t="s">
        <v>387</v>
      </c>
      <c r="L266" s="3">
        <v>13.2</v>
      </c>
      <c r="M266" s="3">
        <v>13.86</v>
      </c>
      <c r="N266" s="3">
        <v>29.99</v>
      </c>
      <c r="O266" s="2" t="s">
        <v>212</v>
      </c>
      <c r="P266" s="2" t="s">
        <v>205</v>
      </c>
      <c r="Q266" s="2" t="s">
        <v>206</v>
      </c>
      <c r="R266" s="2" t="s">
        <v>200</v>
      </c>
      <c r="S266" s="2" t="s">
        <v>2081</v>
      </c>
      <c r="T266" s="2" t="s">
        <v>378</v>
      </c>
      <c r="U266" s="2" t="s">
        <v>270</v>
      </c>
      <c r="V266" s="2" t="s">
        <v>1695</v>
      </c>
      <c r="W266" s="2" t="s">
        <v>2087</v>
      </c>
      <c r="X266" s="2" t="s">
        <v>379</v>
      </c>
      <c r="Y266" s="2" t="s">
        <v>1476</v>
      </c>
      <c r="Z266" s="4">
        <v>1156</v>
      </c>
      <c r="AA266" s="4">
        <f>=ROUNDDOWN(82.5714285714286,0)</f>
      </c>
      <c r="AB266" s="5">
        <v>14</v>
      </c>
      <c r="AC266" s="2" t="s">
        <v>200</v>
      </c>
      <c r="AD266" s="4"/>
      <c r="AE266" s="4"/>
      <c r="AF266" s="6">
        <v>65</v>
      </c>
      <c r="AG266" s="6"/>
      <c r="AH266" s="7">
        <v>0.2667</v>
      </c>
      <c r="AI266" s="4"/>
      <c r="AJ266" s="4">
        <f>=ROUNDDOWN({0},0)</f>
      </c>
      <c r="AK266" s="5"/>
      <c r="AL266" s="2" t="s">
        <v>200</v>
      </c>
      <c r="AM266" s="4"/>
      <c r="AN266" s="4"/>
      <c r="AO266" s="7"/>
      <c r="AP266" s="4"/>
      <c r="AQ266" s="8"/>
      <c r="AR266" s="4"/>
      <c r="AS266" s="8"/>
      <c r="AT266" s="7"/>
      <c r="AU266" s="7"/>
      <c r="AV266" s="4" t="s">
        <v>200</v>
      </c>
      <c r="AW266" s="8" t="s">
        <v>200</v>
      </c>
      <c r="AX266" s="4" t="s">
        <v>200</v>
      </c>
      <c r="AY266" s="8" t="s">
        <v>200</v>
      </c>
      <c r="AZ266" s="7" t="s">
        <v>200</v>
      </c>
      <c r="BA266" s="7" t="s">
        <v>200</v>
      </c>
      <c r="BB266" s="7"/>
      <c r="BC266" s="4" t="s">
        <v>200</v>
      </c>
      <c r="BD266" s="8" t="s">
        <v>200</v>
      </c>
      <c r="BE266" s="4" t="s">
        <v>200</v>
      </c>
      <c r="BF266" s="8" t="s">
        <v>200</v>
      </c>
      <c r="BG266" s="7" t="s">
        <v>200</v>
      </c>
      <c r="BH266" s="7" t="s">
        <v>200</v>
      </c>
      <c r="BI266" s="7"/>
      <c r="BJ266" s="4"/>
      <c r="BK266" s="8"/>
      <c r="BL266" s="2" t="s">
        <v>1292</v>
      </c>
      <c r="BM266" s="7"/>
      <c r="BN266" s="7"/>
      <c r="BO266" s="4"/>
      <c r="BP266" s="8"/>
      <c r="BQ266" s="4"/>
      <c r="BR266" s="8"/>
      <c r="BS266" s="7"/>
      <c r="BT266" s="7"/>
      <c r="BU266" s="2" t="s">
        <v>2088</v>
      </c>
      <c r="BV266" s="2" t="s">
        <v>200</v>
      </c>
      <c r="BW266" s="2" t="s">
        <v>200</v>
      </c>
      <c r="BX266" s="2" t="s">
        <v>264</v>
      </c>
      <c r="BY266" s="2" t="s">
        <v>247</v>
      </c>
      <c r="BZ266" s="2" t="s">
        <v>212</v>
      </c>
      <c r="CA266" s="2" t="s">
        <v>2083</v>
      </c>
      <c r="CB266" s="2" t="s">
        <v>2089</v>
      </c>
      <c r="CC266" s="2" t="s">
        <v>213</v>
      </c>
      <c r="CD266" s="2" t="s">
        <v>200</v>
      </c>
      <c r="CE266" s="4"/>
      <c r="CF266" s="4"/>
      <c r="CG266" s="4"/>
      <c r="CH266" s="4"/>
      <c r="CI266" s="4"/>
      <c r="CJ266" s="4"/>
      <c r="CK266" s="4">
        <v>1156</v>
      </c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</row>
    <row r="267">
      <c r="A267" s="2" t="s">
        <v>2090</v>
      </c>
      <c r="B267" s="2" t="s">
        <v>744</v>
      </c>
      <c r="C267" s="2" t="s">
        <v>745</v>
      </c>
      <c r="D267" s="2" t="s">
        <v>1275</v>
      </c>
      <c r="E267" s="2" t="s">
        <v>2091</v>
      </c>
      <c r="F267" s="2" t="s">
        <v>2092</v>
      </c>
      <c r="G267" s="2" t="s">
        <v>2092</v>
      </c>
      <c r="H267" s="2" t="s">
        <v>2092</v>
      </c>
      <c r="I267" s="2" t="s">
        <v>2093</v>
      </c>
      <c r="J267" s="2" t="s">
        <v>711</v>
      </c>
      <c r="K267" s="2" t="s">
        <v>1174</v>
      </c>
      <c r="L267" s="3">
        <v>225</v>
      </c>
      <c r="M267" s="3">
        <v>236.25</v>
      </c>
      <c r="N267" s="3">
        <v>479</v>
      </c>
      <c r="O267" s="2" t="s">
        <v>212</v>
      </c>
      <c r="P267" s="2" t="s">
        <v>750</v>
      </c>
      <c r="Q267" s="2" t="s">
        <v>206</v>
      </c>
      <c r="R267" s="2" t="s">
        <v>200</v>
      </c>
      <c r="S267" s="2" t="s">
        <v>2094</v>
      </c>
      <c r="T267" s="2" t="s">
        <v>200</v>
      </c>
      <c r="U267" s="2" t="s">
        <v>200</v>
      </c>
      <c r="V267" s="2" t="s">
        <v>208</v>
      </c>
      <c r="W267" s="2" t="s">
        <v>2095</v>
      </c>
      <c r="X267" s="2" t="s">
        <v>200</v>
      </c>
      <c r="Y267" s="2" t="s">
        <v>2096</v>
      </c>
      <c r="Z267" s="4">
        <v>108</v>
      </c>
      <c r="AA267" s="4">
        <f>=ROUNDDOWN(21.6,0)</f>
      </c>
      <c r="AB267" s="5">
        <v>5</v>
      </c>
      <c r="AC267" s="2" t="s">
        <v>1435</v>
      </c>
      <c r="AD267" s="4">
        <v>100</v>
      </c>
      <c r="AE267" s="4">
        <v>100</v>
      </c>
      <c r="AF267" s="6">
        <v>66</v>
      </c>
      <c r="AG267" s="6">
        <v>49</v>
      </c>
      <c r="AH267" s="7">
        <v>1</v>
      </c>
      <c r="AI267" s="4"/>
      <c r="AJ267" s="4">
        <f>=ROUNDDOWN({0},0)</f>
      </c>
      <c r="AK267" s="5"/>
      <c r="AL267" s="2" t="s">
        <v>200</v>
      </c>
      <c r="AM267" s="4"/>
      <c r="AN267" s="4"/>
      <c r="AO267" s="7"/>
      <c r="AP267" s="4"/>
      <c r="AQ267" s="8"/>
      <c r="AR267" s="4"/>
      <c r="AS267" s="8"/>
      <c r="AT267" s="7"/>
      <c r="AU267" s="7"/>
      <c r="AV267" s="4"/>
      <c r="AW267" s="8"/>
      <c r="AX267" s="4"/>
      <c r="AY267" s="8"/>
      <c r="AZ267" s="7"/>
      <c r="BA267" s="7"/>
      <c r="BB267" s="7"/>
      <c r="BC267" s="4" t="s">
        <v>200</v>
      </c>
      <c r="BD267" s="8" t="s">
        <v>200</v>
      </c>
      <c r="BE267" s="4" t="s">
        <v>200</v>
      </c>
      <c r="BF267" s="8" t="s">
        <v>200</v>
      </c>
      <c r="BG267" s="7" t="s">
        <v>200</v>
      </c>
      <c r="BH267" s="7" t="s">
        <v>200</v>
      </c>
      <c r="BI267" s="7"/>
      <c r="BJ267" s="4">
        <v>10</v>
      </c>
      <c r="BK267" s="8">
        <v>2267.94</v>
      </c>
      <c r="BL267" s="2" t="s">
        <v>2097</v>
      </c>
      <c r="BM267" s="7"/>
      <c r="BN267" s="7"/>
      <c r="BO267" s="4"/>
      <c r="BP267" s="8"/>
      <c r="BQ267" s="4"/>
      <c r="BR267" s="8"/>
      <c r="BS267" s="7"/>
      <c r="BT267" s="7"/>
      <c r="BU267" s="2" t="s">
        <v>2098</v>
      </c>
      <c r="BV267" s="2" t="s">
        <v>200</v>
      </c>
      <c r="BW267" s="2" t="s">
        <v>200</v>
      </c>
      <c r="BX267" s="2" t="s">
        <v>264</v>
      </c>
      <c r="BY267" s="2" t="s">
        <v>247</v>
      </c>
      <c r="BZ267" s="2" t="s">
        <v>212</v>
      </c>
      <c r="CA267" s="2" t="s">
        <v>2099</v>
      </c>
      <c r="CB267" s="2" t="s">
        <v>2100</v>
      </c>
      <c r="CC267" s="2" t="s">
        <v>213</v>
      </c>
      <c r="CD267" s="2" t="s">
        <v>200</v>
      </c>
      <c r="CE267" s="4"/>
      <c r="CF267" s="4">
        <v>108</v>
      </c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>
        <v>100</v>
      </c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</row>
    <row r="268">
      <c r="A268" s="2" t="s">
        <v>2101</v>
      </c>
      <c r="B268" s="2" t="s">
        <v>744</v>
      </c>
      <c r="C268" s="2" t="s">
        <v>745</v>
      </c>
      <c r="D268" s="2" t="s">
        <v>1275</v>
      </c>
      <c r="E268" s="2" t="s">
        <v>2091</v>
      </c>
      <c r="F268" s="2" t="s">
        <v>2092</v>
      </c>
      <c r="G268" s="2" t="s">
        <v>2092</v>
      </c>
      <c r="H268" s="2" t="s">
        <v>200</v>
      </c>
      <c r="I268" s="2" t="s">
        <v>2093</v>
      </c>
      <c r="J268" s="2" t="s">
        <v>711</v>
      </c>
      <c r="K268" s="2" t="s">
        <v>2102</v>
      </c>
      <c r="L268" s="3">
        <v>225</v>
      </c>
      <c r="M268" s="3">
        <v>236.25</v>
      </c>
      <c r="N268" s="3">
        <v>479</v>
      </c>
      <c r="O268" s="2" t="s">
        <v>212</v>
      </c>
      <c r="P268" s="2" t="s">
        <v>285</v>
      </c>
      <c r="Q268" s="2" t="s">
        <v>206</v>
      </c>
      <c r="R268" s="2" t="s">
        <v>200</v>
      </c>
      <c r="S268" s="2" t="s">
        <v>2103</v>
      </c>
      <c r="T268" s="2" t="s">
        <v>200</v>
      </c>
      <c r="U268" s="2" t="s">
        <v>200</v>
      </c>
      <c r="V268" s="2" t="s">
        <v>208</v>
      </c>
      <c r="W268" s="2" t="s">
        <v>712</v>
      </c>
      <c r="X268" s="2" t="s">
        <v>200</v>
      </c>
      <c r="Y268" s="2" t="s">
        <v>261</v>
      </c>
      <c r="Z268" s="4">
        <v>114</v>
      </c>
      <c r="AA268" s="4">
        <f>=ROUNDDOWN(38,0)</f>
      </c>
      <c r="AB268" s="5">
        <v>3</v>
      </c>
      <c r="AC268" s="2" t="s">
        <v>200</v>
      </c>
      <c r="AD268" s="4"/>
      <c r="AE268" s="4"/>
      <c r="AF268" s="6">
        <v>66</v>
      </c>
      <c r="AG268" s="6">
        <v>49</v>
      </c>
      <c r="AH268" s="7">
        <v>1</v>
      </c>
      <c r="AI268" s="4"/>
      <c r="AJ268" s="4">
        <f>=ROUNDDOWN({0},0)</f>
      </c>
      <c r="AK268" s="5"/>
      <c r="AL268" s="2" t="s">
        <v>200</v>
      </c>
      <c r="AM268" s="4"/>
      <c r="AN268" s="4"/>
      <c r="AO268" s="7"/>
      <c r="AP268" s="4"/>
      <c r="AQ268" s="8"/>
      <c r="AR268" s="4"/>
      <c r="AS268" s="8"/>
      <c r="AT268" s="7"/>
      <c r="AU268" s="7"/>
      <c r="AV268" s="4"/>
      <c r="AW268" s="8"/>
      <c r="AX268" s="4"/>
      <c r="AY268" s="8"/>
      <c r="AZ268" s="7"/>
      <c r="BA268" s="7"/>
      <c r="BB268" s="7"/>
      <c r="BC268" s="4" t="s">
        <v>200</v>
      </c>
      <c r="BD268" s="8" t="s">
        <v>200</v>
      </c>
      <c r="BE268" s="4" t="s">
        <v>200</v>
      </c>
      <c r="BF268" s="8" t="s">
        <v>200</v>
      </c>
      <c r="BG268" s="7" t="s">
        <v>200</v>
      </c>
      <c r="BH268" s="7" t="s">
        <v>200</v>
      </c>
      <c r="BI268" s="7"/>
      <c r="BJ268" s="4">
        <v>3</v>
      </c>
      <c r="BK268" s="8">
        <v>604.32</v>
      </c>
      <c r="BL268" s="2" t="s">
        <v>2104</v>
      </c>
      <c r="BM268" s="7"/>
      <c r="BN268" s="7"/>
      <c r="BO268" s="4"/>
      <c r="BP268" s="8"/>
      <c r="BQ268" s="4"/>
      <c r="BR268" s="8"/>
      <c r="BS268" s="7"/>
      <c r="BT268" s="7"/>
      <c r="BU268" s="2" t="s">
        <v>2105</v>
      </c>
      <c r="BV268" s="2" t="s">
        <v>200</v>
      </c>
      <c r="BW268" s="2" t="s">
        <v>200</v>
      </c>
      <c r="BX268" s="2" t="s">
        <v>289</v>
      </c>
      <c r="BY268" s="2" t="s">
        <v>247</v>
      </c>
      <c r="BZ268" s="2" t="s">
        <v>212</v>
      </c>
      <c r="CA268" s="2" t="s">
        <v>2106</v>
      </c>
      <c r="CB268" s="2" t="s">
        <v>2107</v>
      </c>
      <c r="CC268" s="2" t="s">
        <v>213</v>
      </c>
      <c r="CD268" s="2" t="s">
        <v>200</v>
      </c>
      <c r="CE268" s="4"/>
      <c r="CF268" s="4">
        <v>114</v>
      </c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</row>
    <row r="269">
      <c r="A269" s="2" t="s">
        <v>2108</v>
      </c>
      <c r="B269" s="2" t="s">
        <v>744</v>
      </c>
      <c r="C269" s="2" t="s">
        <v>607</v>
      </c>
      <c r="D269" s="2" t="s">
        <v>1806</v>
      </c>
      <c r="E269" s="2" t="s">
        <v>1807</v>
      </c>
      <c r="F269" s="2" t="s">
        <v>2109</v>
      </c>
      <c r="G269" s="2" t="s">
        <v>2109</v>
      </c>
      <c r="H269" s="2" t="s">
        <v>200</v>
      </c>
      <c r="I269" s="2" t="s">
        <v>1807</v>
      </c>
      <c r="J269" s="2" t="s">
        <v>711</v>
      </c>
      <c r="K269" s="2" t="s">
        <v>2110</v>
      </c>
      <c r="L269" s="3">
        <v>240</v>
      </c>
      <c r="M269" s="3">
        <v>252</v>
      </c>
      <c r="N269" s="3">
        <v>499</v>
      </c>
      <c r="O269" s="2" t="s">
        <v>212</v>
      </c>
      <c r="P269" s="2" t="s">
        <v>258</v>
      </c>
      <c r="Q269" s="2" t="s">
        <v>206</v>
      </c>
      <c r="R269" s="2" t="s">
        <v>200</v>
      </c>
      <c r="S269" s="2" t="s">
        <v>2111</v>
      </c>
      <c r="T269" s="2" t="s">
        <v>200</v>
      </c>
      <c r="U269" s="2" t="s">
        <v>200</v>
      </c>
      <c r="V269" s="2" t="s">
        <v>208</v>
      </c>
      <c r="W269" s="2" t="s">
        <v>736</v>
      </c>
      <c r="X269" s="2" t="s">
        <v>200</v>
      </c>
      <c r="Y269" s="2" t="s">
        <v>978</v>
      </c>
      <c r="Z269" s="4">
        <v>230</v>
      </c>
      <c r="AA269" s="4">
        <f>=ROUNDDOWN(38.3333333333333,0)</f>
      </c>
      <c r="AB269" s="5">
        <v>6</v>
      </c>
      <c r="AC269" s="2" t="s">
        <v>200</v>
      </c>
      <c r="AD269" s="4"/>
      <c r="AE269" s="4"/>
      <c r="AF269" s="6">
        <v>66</v>
      </c>
      <c r="AG269" s="6">
        <v>49</v>
      </c>
      <c r="AH269" s="7">
        <v>1</v>
      </c>
      <c r="AI269" s="4"/>
      <c r="AJ269" s="4">
        <f>=ROUNDDOWN({0},0)</f>
      </c>
      <c r="AK269" s="5"/>
      <c r="AL269" s="2" t="s">
        <v>200</v>
      </c>
      <c r="AM269" s="4"/>
      <c r="AN269" s="4"/>
      <c r="AO269" s="7"/>
      <c r="AP269" s="4"/>
      <c r="AQ269" s="8"/>
      <c r="AR269" s="4"/>
      <c r="AS269" s="8"/>
      <c r="AT269" s="7"/>
      <c r="AU269" s="7"/>
      <c r="AV269" s="4"/>
      <c r="AW269" s="8"/>
      <c r="AX269" s="4"/>
      <c r="AY269" s="8"/>
      <c r="AZ269" s="7"/>
      <c r="BA269" s="7"/>
      <c r="BB269" s="7"/>
      <c r="BC269" s="4"/>
      <c r="BD269" s="8"/>
      <c r="BE269" s="4"/>
      <c r="BF269" s="8"/>
      <c r="BG269" s="7"/>
      <c r="BH269" s="7"/>
      <c r="BI269" s="7"/>
      <c r="BJ269" s="4">
        <v>28</v>
      </c>
      <c r="BK269" s="8">
        <v>6494.14</v>
      </c>
      <c r="BL269" s="2" t="s">
        <v>2112</v>
      </c>
      <c r="BM269" s="7"/>
      <c r="BN269" s="7"/>
      <c r="BO269" s="4"/>
      <c r="BP269" s="8"/>
      <c r="BQ269" s="4"/>
      <c r="BR269" s="8"/>
      <c r="BS269" s="7"/>
      <c r="BT269" s="7"/>
      <c r="BU269" s="2" t="s">
        <v>2113</v>
      </c>
      <c r="BV269" s="2" t="s">
        <v>200</v>
      </c>
      <c r="BW269" s="2" t="s">
        <v>200</v>
      </c>
      <c r="BX269" s="2" t="s">
        <v>264</v>
      </c>
      <c r="BY269" s="2" t="s">
        <v>247</v>
      </c>
      <c r="BZ269" s="2" t="s">
        <v>212</v>
      </c>
      <c r="CA269" s="2" t="s">
        <v>2114</v>
      </c>
      <c r="CB269" s="2" t="s">
        <v>2115</v>
      </c>
      <c r="CC269" s="2" t="s">
        <v>213</v>
      </c>
      <c r="CD269" s="2" t="s">
        <v>200</v>
      </c>
      <c r="CE269" s="4"/>
      <c r="CF269" s="4">
        <v>230</v>
      </c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</row>
    <row r="270">
      <c r="A270" s="2" t="s">
        <v>2116</v>
      </c>
      <c r="B270" s="2" t="s">
        <v>705</v>
      </c>
      <c r="C270" s="2" t="s">
        <v>1375</v>
      </c>
      <c r="D270" s="2" t="s">
        <v>817</v>
      </c>
      <c r="E270" s="2" t="s">
        <v>818</v>
      </c>
      <c r="F270" s="2" t="s">
        <v>2117</v>
      </c>
      <c r="G270" s="2" t="s">
        <v>2117</v>
      </c>
      <c r="H270" s="2" t="s">
        <v>2117</v>
      </c>
      <c r="I270" s="2" t="s">
        <v>2118</v>
      </c>
      <c r="J270" s="2" t="s">
        <v>711</v>
      </c>
      <c r="K270" s="2" t="s">
        <v>2119</v>
      </c>
      <c r="L270" s="3">
        <v>54.94</v>
      </c>
      <c r="M270" s="3">
        <v>57.69</v>
      </c>
      <c r="N270" s="3">
        <v>119.99</v>
      </c>
      <c r="O270" s="2" t="s">
        <v>212</v>
      </c>
      <c r="P270" s="2" t="s">
        <v>258</v>
      </c>
      <c r="Q270" s="2" t="s">
        <v>206</v>
      </c>
      <c r="R270" s="2" t="s">
        <v>200</v>
      </c>
      <c r="S270" s="2" t="s">
        <v>200</v>
      </c>
      <c r="T270" s="2" t="s">
        <v>200</v>
      </c>
      <c r="U270" s="2" t="s">
        <v>270</v>
      </c>
      <c r="V270" s="2" t="s">
        <v>616</v>
      </c>
      <c r="W270" s="2" t="s">
        <v>419</v>
      </c>
      <c r="X270" s="2" t="s">
        <v>200</v>
      </c>
      <c r="Y270" s="2" t="s">
        <v>2057</v>
      </c>
      <c r="Z270" s="4">
        <v>143</v>
      </c>
      <c r="AA270" s="4">
        <f>=ROUNDDOWN(28.6,0)</f>
      </c>
      <c r="AB270" s="5">
        <v>5</v>
      </c>
      <c r="AC270" s="2" t="s">
        <v>200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200</v>
      </c>
      <c r="AM270" s="4"/>
      <c r="AN270" s="4"/>
      <c r="AO270" s="7"/>
      <c r="AP270" s="4"/>
      <c r="AQ270" s="8"/>
      <c r="AR270" s="4"/>
      <c r="AS270" s="8"/>
      <c r="AT270" s="7"/>
      <c r="AU270" s="7"/>
      <c r="AV270" s="4"/>
      <c r="AW270" s="8"/>
      <c r="AX270" s="4"/>
      <c r="AY270" s="8"/>
      <c r="AZ270" s="7"/>
      <c r="BA270" s="7"/>
      <c r="BB270" s="7"/>
      <c r="BC270" s="4"/>
      <c r="BD270" s="8"/>
      <c r="BE270" s="4"/>
      <c r="BF270" s="8"/>
      <c r="BG270" s="7"/>
      <c r="BH270" s="7"/>
      <c r="BI270" s="7"/>
      <c r="BJ270" s="4">
        <v>21</v>
      </c>
      <c r="BK270" s="8">
        <v>1257.77</v>
      </c>
      <c r="BL270" s="2" t="s">
        <v>2120</v>
      </c>
      <c r="BM270" s="7"/>
      <c r="BN270" s="7"/>
      <c r="BO270" s="4"/>
      <c r="BP270" s="8"/>
      <c r="BQ270" s="4"/>
      <c r="BR270" s="8"/>
      <c r="BS270" s="7"/>
      <c r="BT270" s="7"/>
      <c r="BU270" s="2" t="s">
        <v>2121</v>
      </c>
      <c r="BV270" s="2" t="s">
        <v>200</v>
      </c>
      <c r="BW270" s="2" t="s">
        <v>200</v>
      </c>
      <c r="BX270" s="2" t="s">
        <v>264</v>
      </c>
      <c r="BY270" s="2" t="s">
        <v>247</v>
      </c>
      <c r="BZ270" s="2" t="s">
        <v>212</v>
      </c>
      <c r="CA270" s="2" t="s">
        <v>2057</v>
      </c>
      <c r="CB270" s="2" t="s">
        <v>2122</v>
      </c>
      <c r="CC270" s="2" t="s">
        <v>213</v>
      </c>
      <c r="CD270" s="2" t="s">
        <v>200</v>
      </c>
      <c r="CE270" s="4"/>
      <c r="CF270" s="4">
        <v>143</v>
      </c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</row>
    <row r="271">
      <c r="A271" s="2" t="s">
        <v>2123</v>
      </c>
      <c r="B271" s="2" t="s">
        <v>2124</v>
      </c>
      <c r="C271" s="2" t="s">
        <v>624</v>
      </c>
      <c r="D271" s="2" t="s">
        <v>2125</v>
      </c>
      <c r="E271" s="2" t="s">
        <v>2126</v>
      </c>
      <c r="F271" s="2" t="s">
        <v>2127</v>
      </c>
      <c r="G271" s="2" t="s">
        <v>2127</v>
      </c>
      <c r="H271" s="2" t="s">
        <v>2127</v>
      </c>
      <c r="I271" s="2" t="s">
        <v>2126</v>
      </c>
      <c r="J271" s="2" t="s">
        <v>2128</v>
      </c>
      <c r="K271" s="2" t="s">
        <v>2129</v>
      </c>
      <c r="L271" s="3">
        <v>22.03</v>
      </c>
      <c r="M271" s="3">
        <v>23.13</v>
      </c>
      <c r="N271" s="3"/>
      <c r="O271" s="2" t="s">
        <v>460</v>
      </c>
      <c r="P271" s="2" t="s">
        <v>285</v>
      </c>
      <c r="Q271" s="2" t="s">
        <v>206</v>
      </c>
      <c r="R271" s="2" t="s">
        <v>200</v>
      </c>
      <c r="S271" s="2" t="s">
        <v>200</v>
      </c>
      <c r="T271" s="2" t="s">
        <v>200</v>
      </c>
      <c r="U271" s="2" t="s">
        <v>270</v>
      </c>
      <c r="V271" s="2" t="s">
        <v>616</v>
      </c>
      <c r="W271" s="2" t="s">
        <v>200</v>
      </c>
      <c r="X271" s="2" t="s">
        <v>200</v>
      </c>
      <c r="Y271" s="2" t="s">
        <v>2130</v>
      </c>
      <c r="Z271" s="4">
        <v>441</v>
      </c>
      <c r="AA271" s="4">
        <f>=ROUNDDOWN(66.8181818181818,0)</f>
      </c>
      <c r="AB271" s="5">
        <v>6.6</v>
      </c>
      <c r="AC271" s="2" t="s">
        <v>200</v>
      </c>
      <c r="AD271" s="4"/>
      <c r="AE271" s="4"/>
      <c r="AF271" s="6"/>
      <c r="AG271" s="6"/>
      <c r="AH271" s="7">
        <v>1</v>
      </c>
      <c r="AI271" s="4"/>
      <c r="AJ271" s="4">
        <f>=ROUNDDOWN({0},0)</f>
      </c>
      <c r="AK271" s="5"/>
      <c r="AL271" s="2" t="s">
        <v>200</v>
      </c>
      <c r="AM271" s="4"/>
      <c r="AN271" s="4"/>
      <c r="AO271" s="7"/>
      <c r="AP271" s="4"/>
      <c r="AQ271" s="8"/>
      <c r="AR271" s="4"/>
      <c r="AS271" s="8"/>
      <c r="AT271" s="7"/>
      <c r="AU271" s="7"/>
      <c r="AV271" s="4" t="s">
        <v>200</v>
      </c>
      <c r="AW271" s="8" t="s">
        <v>200</v>
      </c>
      <c r="AX271" s="4" t="s">
        <v>200</v>
      </c>
      <c r="AY271" s="8" t="s">
        <v>200</v>
      </c>
      <c r="AZ271" s="7" t="s">
        <v>200</v>
      </c>
      <c r="BA271" s="7" t="s">
        <v>200</v>
      </c>
      <c r="BB271" s="7"/>
      <c r="BC271" s="4" t="s">
        <v>200</v>
      </c>
      <c r="BD271" s="8" t="s">
        <v>200</v>
      </c>
      <c r="BE271" s="4" t="s">
        <v>200</v>
      </c>
      <c r="BF271" s="8" t="s">
        <v>200</v>
      </c>
      <c r="BG271" s="7" t="s">
        <v>200</v>
      </c>
      <c r="BH271" s="7" t="s">
        <v>200</v>
      </c>
      <c r="BI271" s="7"/>
      <c r="BJ271" s="4">
        <v>1</v>
      </c>
      <c r="BK271" s="8">
        <v>13.1</v>
      </c>
      <c r="BL271" s="2" t="s">
        <v>455</v>
      </c>
      <c r="BM271" s="7"/>
      <c r="BN271" s="7"/>
      <c r="BO271" s="4"/>
      <c r="BP271" s="8"/>
      <c r="BQ271" s="4"/>
      <c r="BR271" s="8"/>
      <c r="BS271" s="7"/>
      <c r="BT271" s="7"/>
      <c r="BU271" s="2" t="s">
        <v>2131</v>
      </c>
      <c r="BV271" s="2" t="s">
        <v>200</v>
      </c>
      <c r="BW271" s="2" t="s">
        <v>200</v>
      </c>
      <c r="BX271" s="2" t="s">
        <v>289</v>
      </c>
      <c r="BY271" s="2" t="s">
        <v>247</v>
      </c>
      <c r="BZ271" s="2" t="s">
        <v>212</v>
      </c>
      <c r="CA271" s="2" t="s">
        <v>2132</v>
      </c>
      <c r="CB271" s="2" t="s">
        <v>200</v>
      </c>
      <c r="CC271" s="2" t="s">
        <v>213</v>
      </c>
      <c r="CD271" s="2" t="s">
        <v>200</v>
      </c>
      <c r="CE271" s="4"/>
      <c r="CF271" s="4"/>
      <c r="CG271" s="4"/>
      <c r="CH271" s="4">
        <v>441</v>
      </c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</row>
    <row r="272">
      <c r="A272" s="2" t="s">
        <v>2133</v>
      </c>
      <c r="B272" s="2" t="s">
        <v>2124</v>
      </c>
      <c r="C272" s="2" t="s">
        <v>624</v>
      </c>
      <c r="D272" s="2" t="s">
        <v>2125</v>
      </c>
      <c r="E272" s="2" t="s">
        <v>2126</v>
      </c>
      <c r="F272" s="2" t="s">
        <v>2127</v>
      </c>
      <c r="G272" s="2" t="s">
        <v>2127</v>
      </c>
      <c r="H272" s="2" t="s">
        <v>2127</v>
      </c>
      <c r="I272" s="2" t="s">
        <v>2126</v>
      </c>
      <c r="J272" s="2" t="s">
        <v>951</v>
      </c>
      <c r="K272" s="2" t="s">
        <v>2129</v>
      </c>
      <c r="L272" s="3">
        <v>22.03</v>
      </c>
      <c r="M272" s="3">
        <v>23.13</v>
      </c>
      <c r="N272" s="3"/>
      <c r="O272" s="2" t="s">
        <v>460</v>
      </c>
      <c r="P272" s="2" t="s">
        <v>285</v>
      </c>
      <c r="Q272" s="2" t="s">
        <v>206</v>
      </c>
      <c r="R272" s="2" t="s">
        <v>200</v>
      </c>
      <c r="S272" s="2" t="s">
        <v>200</v>
      </c>
      <c r="T272" s="2" t="s">
        <v>200</v>
      </c>
      <c r="U272" s="2" t="s">
        <v>270</v>
      </c>
      <c r="V272" s="2" t="s">
        <v>616</v>
      </c>
      <c r="W272" s="2" t="s">
        <v>200</v>
      </c>
      <c r="X272" s="2" t="s">
        <v>200</v>
      </c>
      <c r="Y272" s="2" t="s">
        <v>2130</v>
      </c>
      <c r="Z272" s="4">
        <v>903</v>
      </c>
      <c r="AA272" s="4">
        <f>=ROUNDDOWN(70,0)</f>
      </c>
      <c r="AB272" s="5">
        <v>12.9</v>
      </c>
      <c r="AC272" s="2" t="s">
        <v>200</v>
      </c>
      <c r="AD272" s="4"/>
      <c r="AE272" s="4"/>
      <c r="AF272" s="6"/>
      <c r="AG272" s="6"/>
      <c r="AH272" s="7">
        <v>1</v>
      </c>
      <c r="AI272" s="4"/>
      <c r="AJ272" s="4">
        <f>=ROUNDDOWN({0},0)</f>
      </c>
      <c r="AK272" s="5"/>
      <c r="AL272" s="2" t="s">
        <v>200</v>
      </c>
      <c r="AM272" s="4"/>
      <c r="AN272" s="4"/>
      <c r="AO272" s="7"/>
      <c r="AP272" s="4"/>
      <c r="AQ272" s="8"/>
      <c r="AR272" s="4"/>
      <c r="AS272" s="8"/>
      <c r="AT272" s="7"/>
      <c r="AU272" s="7"/>
      <c r="AV272" s="4" t="s">
        <v>200</v>
      </c>
      <c r="AW272" s="8" t="s">
        <v>200</v>
      </c>
      <c r="AX272" s="4" t="s">
        <v>200</v>
      </c>
      <c r="AY272" s="8" t="s">
        <v>200</v>
      </c>
      <c r="AZ272" s="7" t="s">
        <v>200</v>
      </c>
      <c r="BA272" s="7" t="s">
        <v>200</v>
      </c>
      <c r="BB272" s="7"/>
      <c r="BC272" s="4" t="s">
        <v>200</v>
      </c>
      <c r="BD272" s="8" t="s">
        <v>200</v>
      </c>
      <c r="BE272" s="4" t="s">
        <v>200</v>
      </c>
      <c r="BF272" s="8" t="s">
        <v>200</v>
      </c>
      <c r="BG272" s="7" t="s">
        <v>200</v>
      </c>
      <c r="BH272" s="7" t="s">
        <v>200</v>
      </c>
      <c r="BI272" s="7"/>
      <c r="BJ272" s="4"/>
      <c r="BK272" s="8"/>
      <c r="BL272" s="2" t="s">
        <v>200</v>
      </c>
      <c r="BM272" s="7"/>
      <c r="BN272" s="7"/>
      <c r="BO272" s="4"/>
      <c r="BP272" s="8"/>
      <c r="BQ272" s="4"/>
      <c r="BR272" s="8"/>
      <c r="BS272" s="7"/>
      <c r="BT272" s="7"/>
      <c r="BU272" s="2" t="s">
        <v>2134</v>
      </c>
      <c r="BV272" s="2" t="s">
        <v>200</v>
      </c>
      <c r="BW272" s="2" t="s">
        <v>200</v>
      </c>
      <c r="BX272" s="2" t="s">
        <v>289</v>
      </c>
      <c r="BY272" s="2" t="s">
        <v>247</v>
      </c>
      <c r="BZ272" s="2" t="s">
        <v>212</v>
      </c>
      <c r="CA272" s="2" t="s">
        <v>2132</v>
      </c>
      <c r="CB272" s="2" t="s">
        <v>200</v>
      </c>
      <c r="CC272" s="2" t="s">
        <v>213</v>
      </c>
      <c r="CD272" s="2" t="s">
        <v>200</v>
      </c>
      <c r="CE272" s="4"/>
      <c r="CF272" s="4"/>
      <c r="CG272" s="4"/>
      <c r="CH272" s="4">
        <v>903</v>
      </c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</row>
    <row r="273">
      <c r="A273" s="2" t="s">
        <v>2135</v>
      </c>
      <c r="B273" s="2" t="s">
        <v>2124</v>
      </c>
      <c r="C273" s="2" t="s">
        <v>624</v>
      </c>
      <c r="D273" s="2" t="s">
        <v>2125</v>
      </c>
      <c r="E273" s="2" t="s">
        <v>2126</v>
      </c>
      <c r="F273" s="2" t="s">
        <v>2127</v>
      </c>
      <c r="G273" s="2" t="s">
        <v>2127</v>
      </c>
      <c r="H273" s="2" t="s">
        <v>2127</v>
      </c>
      <c r="I273" s="2" t="s">
        <v>2126</v>
      </c>
      <c r="J273" s="2" t="s">
        <v>2136</v>
      </c>
      <c r="K273" s="2" t="s">
        <v>2129</v>
      </c>
      <c r="L273" s="3">
        <v>22.03</v>
      </c>
      <c r="M273" s="3">
        <v>23.13</v>
      </c>
      <c r="N273" s="3"/>
      <c r="O273" s="2" t="s">
        <v>460</v>
      </c>
      <c r="P273" s="2" t="s">
        <v>285</v>
      </c>
      <c r="Q273" s="2" t="s">
        <v>206</v>
      </c>
      <c r="R273" s="2" t="s">
        <v>200</v>
      </c>
      <c r="S273" s="2" t="s">
        <v>200</v>
      </c>
      <c r="T273" s="2" t="s">
        <v>200</v>
      </c>
      <c r="U273" s="2" t="s">
        <v>270</v>
      </c>
      <c r="V273" s="2" t="s">
        <v>616</v>
      </c>
      <c r="W273" s="2" t="s">
        <v>200</v>
      </c>
      <c r="X273" s="2" t="s">
        <v>200</v>
      </c>
      <c r="Y273" s="2" t="s">
        <v>2130</v>
      </c>
      <c r="Z273" s="4">
        <v>883</v>
      </c>
      <c r="AA273" s="4">
        <f>=ROUNDDOWN(68.4496124031008,0)</f>
      </c>
      <c r="AB273" s="5">
        <v>12.9</v>
      </c>
      <c r="AC273" s="2" t="s">
        <v>200</v>
      </c>
      <c r="AD273" s="4"/>
      <c r="AE273" s="4"/>
      <c r="AF273" s="6"/>
      <c r="AG273" s="6"/>
      <c r="AH273" s="7">
        <v>1</v>
      </c>
      <c r="AI273" s="4"/>
      <c r="AJ273" s="4">
        <f>=ROUNDDOWN({0},0)</f>
      </c>
      <c r="AK273" s="5"/>
      <c r="AL273" s="2" t="s">
        <v>200</v>
      </c>
      <c r="AM273" s="4"/>
      <c r="AN273" s="4"/>
      <c r="AO273" s="7"/>
      <c r="AP273" s="4"/>
      <c r="AQ273" s="8"/>
      <c r="AR273" s="4"/>
      <c r="AS273" s="8"/>
      <c r="AT273" s="7"/>
      <c r="AU273" s="7"/>
      <c r="AV273" s="4" t="s">
        <v>200</v>
      </c>
      <c r="AW273" s="8" t="s">
        <v>200</v>
      </c>
      <c r="AX273" s="4" t="s">
        <v>200</v>
      </c>
      <c r="AY273" s="8" t="s">
        <v>200</v>
      </c>
      <c r="AZ273" s="7" t="s">
        <v>200</v>
      </c>
      <c r="BA273" s="7" t="s">
        <v>200</v>
      </c>
      <c r="BB273" s="7"/>
      <c r="BC273" s="4" t="s">
        <v>200</v>
      </c>
      <c r="BD273" s="8" t="s">
        <v>200</v>
      </c>
      <c r="BE273" s="4" t="s">
        <v>200</v>
      </c>
      <c r="BF273" s="8" t="s">
        <v>200</v>
      </c>
      <c r="BG273" s="7" t="s">
        <v>200</v>
      </c>
      <c r="BH273" s="7" t="s">
        <v>200</v>
      </c>
      <c r="BI273" s="7"/>
      <c r="BJ273" s="4"/>
      <c r="BK273" s="8"/>
      <c r="BL273" s="2" t="s">
        <v>455</v>
      </c>
      <c r="BM273" s="7"/>
      <c r="BN273" s="7"/>
      <c r="BO273" s="4"/>
      <c r="BP273" s="8"/>
      <c r="BQ273" s="4"/>
      <c r="BR273" s="8"/>
      <c r="BS273" s="7"/>
      <c r="BT273" s="7"/>
      <c r="BU273" s="2" t="s">
        <v>2137</v>
      </c>
      <c r="BV273" s="2" t="s">
        <v>200</v>
      </c>
      <c r="BW273" s="2" t="s">
        <v>200</v>
      </c>
      <c r="BX273" s="2" t="s">
        <v>289</v>
      </c>
      <c r="BY273" s="2" t="s">
        <v>247</v>
      </c>
      <c r="BZ273" s="2" t="s">
        <v>212</v>
      </c>
      <c r="CA273" s="2" t="s">
        <v>2132</v>
      </c>
      <c r="CB273" s="2" t="s">
        <v>200</v>
      </c>
      <c r="CC273" s="2" t="s">
        <v>213</v>
      </c>
      <c r="CD273" s="2" t="s">
        <v>200</v>
      </c>
      <c r="CE273" s="4"/>
      <c r="CF273" s="4"/>
      <c r="CG273" s="4"/>
      <c r="CH273" s="4">
        <v>883</v>
      </c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</row>
    <row r="274">
      <c r="A274" s="2" t="s">
        <v>2138</v>
      </c>
      <c r="B274" s="2" t="s">
        <v>2124</v>
      </c>
      <c r="C274" s="2" t="s">
        <v>624</v>
      </c>
      <c r="D274" s="2" t="s">
        <v>2125</v>
      </c>
      <c r="E274" s="2" t="s">
        <v>2126</v>
      </c>
      <c r="F274" s="2" t="s">
        <v>2127</v>
      </c>
      <c r="G274" s="2" t="s">
        <v>2127</v>
      </c>
      <c r="H274" s="2" t="s">
        <v>2127</v>
      </c>
      <c r="I274" s="2" t="s">
        <v>2126</v>
      </c>
      <c r="J274" s="2" t="s">
        <v>2139</v>
      </c>
      <c r="K274" s="2" t="s">
        <v>2129</v>
      </c>
      <c r="L274" s="3">
        <v>22.03</v>
      </c>
      <c r="M274" s="3">
        <v>23.13</v>
      </c>
      <c r="N274" s="3"/>
      <c r="O274" s="2" t="s">
        <v>460</v>
      </c>
      <c r="P274" s="2" t="s">
        <v>285</v>
      </c>
      <c r="Q274" s="2" t="s">
        <v>206</v>
      </c>
      <c r="R274" s="2" t="s">
        <v>200</v>
      </c>
      <c r="S274" s="2" t="s">
        <v>200</v>
      </c>
      <c r="T274" s="2" t="s">
        <v>200</v>
      </c>
      <c r="U274" s="2" t="s">
        <v>270</v>
      </c>
      <c r="V274" s="2" t="s">
        <v>616</v>
      </c>
      <c r="W274" s="2" t="s">
        <v>200</v>
      </c>
      <c r="X274" s="2" t="s">
        <v>200</v>
      </c>
      <c r="Y274" s="2" t="s">
        <v>2130</v>
      </c>
      <c r="Z274" s="4">
        <v>426</v>
      </c>
      <c r="AA274" s="4">
        <f>=ROUNDDOWN(66.5625,0)</f>
      </c>
      <c r="AB274" s="5">
        <v>6.4</v>
      </c>
      <c r="AC274" s="2" t="s">
        <v>200</v>
      </c>
      <c r="AD274" s="4"/>
      <c r="AE274" s="4"/>
      <c r="AF274" s="6"/>
      <c r="AG274" s="6"/>
      <c r="AH274" s="7">
        <v>1</v>
      </c>
      <c r="AI274" s="4"/>
      <c r="AJ274" s="4">
        <f>=ROUNDDOWN({0},0)</f>
      </c>
      <c r="AK274" s="5"/>
      <c r="AL274" s="2" t="s">
        <v>200</v>
      </c>
      <c r="AM274" s="4"/>
      <c r="AN274" s="4"/>
      <c r="AO274" s="7"/>
      <c r="AP274" s="4"/>
      <c r="AQ274" s="8"/>
      <c r="AR274" s="4"/>
      <c r="AS274" s="8"/>
      <c r="AT274" s="7"/>
      <c r="AU274" s="7"/>
      <c r="AV274" s="4" t="s">
        <v>200</v>
      </c>
      <c r="AW274" s="8" t="s">
        <v>200</v>
      </c>
      <c r="AX274" s="4" t="s">
        <v>200</v>
      </c>
      <c r="AY274" s="8" t="s">
        <v>200</v>
      </c>
      <c r="AZ274" s="7" t="s">
        <v>200</v>
      </c>
      <c r="BA274" s="7" t="s">
        <v>200</v>
      </c>
      <c r="BB274" s="7"/>
      <c r="BC274" s="4" t="s">
        <v>200</v>
      </c>
      <c r="BD274" s="8" t="s">
        <v>200</v>
      </c>
      <c r="BE274" s="4" t="s">
        <v>200</v>
      </c>
      <c r="BF274" s="8" t="s">
        <v>200</v>
      </c>
      <c r="BG274" s="7" t="s">
        <v>200</v>
      </c>
      <c r="BH274" s="7" t="s">
        <v>200</v>
      </c>
      <c r="BI274" s="7"/>
      <c r="BJ274" s="4"/>
      <c r="BK274" s="8"/>
      <c r="BL274" s="2" t="s">
        <v>200</v>
      </c>
      <c r="BM274" s="7"/>
      <c r="BN274" s="7"/>
      <c r="BO274" s="4"/>
      <c r="BP274" s="8"/>
      <c r="BQ274" s="4"/>
      <c r="BR274" s="8"/>
      <c r="BS274" s="7"/>
      <c r="BT274" s="7"/>
      <c r="BU274" s="2" t="s">
        <v>2140</v>
      </c>
      <c r="BV274" s="2" t="s">
        <v>200</v>
      </c>
      <c r="BW274" s="2" t="s">
        <v>200</v>
      </c>
      <c r="BX274" s="2" t="s">
        <v>289</v>
      </c>
      <c r="BY274" s="2" t="s">
        <v>247</v>
      </c>
      <c r="BZ274" s="2" t="s">
        <v>212</v>
      </c>
      <c r="CA274" s="2" t="s">
        <v>2132</v>
      </c>
      <c r="CB274" s="2" t="s">
        <v>200</v>
      </c>
      <c r="CC274" s="2" t="s">
        <v>213</v>
      </c>
      <c r="CD274" s="2" t="s">
        <v>200</v>
      </c>
      <c r="CE274" s="4"/>
      <c r="CF274" s="4"/>
      <c r="CG274" s="4"/>
      <c r="CH274" s="4">
        <v>426</v>
      </c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</row>
    <row r="275">
      <c r="A275" s="2" t="s">
        <v>2141</v>
      </c>
      <c r="B275" s="2" t="s">
        <v>2124</v>
      </c>
      <c r="C275" s="2" t="s">
        <v>624</v>
      </c>
      <c r="D275" s="2" t="s">
        <v>2125</v>
      </c>
      <c r="E275" s="2" t="s">
        <v>2126</v>
      </c>
      <c r="F275" s="2" t="s">
        <v>2127</v>
      </c>
      <c r="G275" s="2" t="s">
        <v>2127</v>
      </c>
      <c r="H275" s="2" t="s">
        <v>2127</v>
      </c>
      <c r="I275" s="2" t="s">
        <v>2126</v>
      </c>
      <c r="J275" s="2" t="s">
        <v>2128</v>
      </c>
      <c r="K275" s="2" t="s">
        <v>2142</v>
      </c>
      <c r="L275" s="3">
        <v>22.03</v>
      </c>
      <c r="M275" s="3">
        <v>23.13</v>
      </c>
      <c r="N275" s="3"/>
      <c r="O275" s="2" t="s">
        <v>460</v>
      </c>
      <c r="P275" s="2" t="s">
        <v>285</v>
      </c>
      <c r="Q275" s="2" t="s">
        <v>206</v>
      </c>
      <c r="R275" s="2" t="s">
        <v>200</v>
      </c>
      <c r="S275" s="2" t="s">
        <v>200</v>
      </c>
      <c r="T275" s="2" t="s">
        <v>200</v>
      </c>
      <c r="U275" s="2" t="s">
        <v>270</v>
      </c>
      <c r="V275" s="2" t="s">
        <v>616</v>
      </c>
      <c r="W275" s="2" t="s">
        <v>200</v>
      </c>
      <c r="X275" s="2" t="s">
        <v>200</v>
      </c>
      <c r="Y275" s="2" t="s">
        <v>2130</v>
      </c>
      <c r="Z275" s="4">
        <v>402</v>
      </c>
      <c r="AA275" s="4">
        <f>=ROUNDDOWN(49.0243902439024,0)</f>
      </c>
      <c r="AB275" s="5">
        <v>8.2</v>
      </c>
      <c r="AC275" s="2" t="s">
        <v>200</v>
      </c>
      <c r="AD275" s="4"/>
      <c r="AE275" s="4"/>
      <c r="AF275" s="6"/>
      <c r="AG275" s="6"/>
      <c r="AH275" s="7">
        <v>1</v>
      </c>
      <c r="AI275" s="4"/>
      <c r="AJ275" s="4">
        <f>=ROUNDDOWN({0},0)</f>
      </c>
      <c r="AK275" s="5"/>
      <c r="AL275" s="2" t="s">
        <v>200</v>
      </c>
      <c r="AM275" s="4"/>
      <c r="AN275" s="4"/>
      <c r="AO275" s="7"/>
      <c r="AP275" s="4"/>
      <c r="AQ275" s="8"/>
      <c r="AR275" s="4"/>
      <c r="AS275" s="8"/>
      <c r="AT275" s="7"/>
      <c r="AU275" s="7"/>
      <c r="AV275" s="4" t="s">
        <v>200</v>
      </c>
      <c r="AW275" s="8" t="s">
        <v>200</v>
      </c>
      <c r="AX275" s="4" t="s">
        <v>200</v>
      </c>
      <c r="AY275" s="8" t="s">
        <v>200</v>
      </c>
      <c r="AZ275" s="7" t="s">
        <v>200</v>
      </c>
      <c r="BA275" s="7" t="s">
        <v>200</v>
      </c>
      <c r="BB275" s="7"/>
      <c r="BC275" s="4" t="s">
        <v>200</v>
      </c>
      <c r="BD275" s="8" t="s">
        <v>200</v>
      </c>
      <c r="BE275" s="4" t="s">
        <v>200</v>
      </c>
      <c r="BF275" s="8" t="s">
        <v>200</v>
      </c>
      <c r="BG275" s="7" t="s">
        <v>200</v>
      </c>
      <c r="BH275" s="7" t="s">
        <v>200</v>
      </c>
      <c r="BI275" s="7"/>
      <c r="BJ275" s="4"/>
      <c r="BK275" s="8"/>
      <c r="BL275" s="2" t="s">
        <v>455</v>
      </c>
      <c r="BM275" s="7"/>
      <c r="BN275" s="7"/>
      <c r="BO275" s="4"/>
      <c r="BP275" s="8"/>
      <c r="BQ275" s="4"/>
      <c r="BR275" s="8"/>
      <c r="BS275" s="7"/>
      <c r="BT275" s="7"/>
      <c r="BU275" s="2" t="s">
        <v>2143</v>
      </c>
      <c r="BV275" s="2" t="s">
        <v>200</v>
      </c>
      <c r="BW275" s="2" t="s">
        <v>200</v>
      </c>
      <c r="BX275" s="2" t="s">
        <v>289</v>
      </c>
      <c r="BY275" s="2" t="s">
        <v>247</v>
      </c>
      <c r="BZ275" s="2" t="s">
        <v>212</v>
      </c>
      <c r="CA275" s="2" t="s">
        <v>2132</v>
      </c>
      <c r="CB275" s="2" t="s">
        <v>200</v>
      </c>
      <c r="CC275" s="2" t="s">
        <v>213</v>
      </c>
      <c r="CD275" s="2" t="s">
        <v>200</v>
      </c>
      <c r="CE275" s="4"/>
      <c r="CF275" s="4"/>
      <c r="CG275" s="4"/>
      <c r="CH275" s="4">
        <v>402</v>
      </c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</row>
    <row r="276">
      <c r="A276" s="2" t="s">
        <v>2144</v>
      </c>
      <c r="B276" s="2" t="s">
        <v>2124</v>
      </c>
      <c r="C276" s="2" t="s">
        <v>624</v>
      </c>
      <c r="D276" s="2" t="s">
        <v>2125</v>
      </c>
      <c r="E276" s="2" t="s">
        <v>2126</v>
      </c>
      <c r="F276" s="2" t="s">
        <v>2127</v>
      </c>
      <c r="G276" s="2" t="s">
        <v>2127</v>
      </c>
      <c r="H276" s="2" t="s">
        <v>2127</v>
      </c>
      <c r="I276" s="2" t="s">
        <v>2126</v>
      </c>
      <c r="J276" s="2" t="s">
        <v>951</v>
      </c>
      <c r="K276" s="2" t="s">
        <v>2142</v>
      </c>
      <c r="L276" s="3">
        <v>22.03</v>
      </c>
      <c r="M276" s="3">
        <v>23.13</v>
      </c>
      <c r="N276" s="3"/>
      <c r="O276" s="2" t="s">
        <v>460</v>
      </c>
      <c r="P276" s="2" t="s">
        <v>285</v>
      </c>
      <c r="Q276" s="2" t="s">
        <v>206</v>
      </c>
      <c r="R276" s="2" t="s">
        <v>200</v>
      </c>
      <c r="S276" s="2" t="s">
        <v>200</v>
      </c>
      <c r="T276" s="2" t="s">
        <v>200</v>
      </c>
      <c r="U276" s="2" t="s">
        <v>270</v>
      </c>
      <c r="V276" s="2" t="s">
        <v>616</v>
      </c>
      <c r="W276" s="2" t="s">
        <v>200</v>
      </c>
      <c r="X276" s="2" t="s">
        <v>200</v>
      </c>
      <c r="Y276" s="2" t="s">
        <v>2130</v>
      </c>
      <c r="Z276" s="4">
        <v>843</v>
      </c>
      <c r="AA276" s="4">
        <f>=ROUNDDOWN(49.8816568047337,0)</f>
      </c>
      <c r="AB276" s="5">
        <v>16.9</v>
      </c>
      <c r="AC276" s="2" t="s">
        <v>200</v>
      </c>
      <c r="AD276" s="4"/>
      <c r="AE276" s="4"/>
      <c r="AF276" s="6"/>
      <c r="AG276" s="6"/>
      <c r="AH276" s="7">
        <v>1</v>
      </c>
      <c r="AI276" s="4"/>
      <c r="AJ276" s="4">
        <f>=ROUNDDOWN({0},0)</f>
      </c>
      <c r="AK276" s="5"/>
      <c r="AL276" s="2" t="s">
        <v>200</v>
      </c>
      <c r="AM276" s="4"/>
      <c r="AN276" s="4"/>
      <c r="AO276" s="7"/>
      <c r="AP276" s="4"/>
      <c r="AQ276" s="8"/>
      <c r="AR276" s="4"/>
      <c r="AS276" s="8"/>
      <c r="AT276" s="7"/>
      <c r="AU276" s="7"/>
      <c r="AV276" s="4" t="s">
        <v>200</v>
      </c>
      <c r="AW276" s="8" t="s">
        <v>200</v>
      </c>
      <c r="AX276" s="4" t="s">
        <v>200</v>
      </c>
      <c r="AY276" s="8" t="s">
        <v>200</v>
      </c>
      <c r="AZ276" s="7" t="s">
        <v>200</v>
      </c>
      <c r="BA276" s="7" t="s">
        <v>200</v>
      </c>
      <c r="BB276" s="7"/>
      <c r="BC276" s="4" t="s">
        <v>200</v>
      </c>
      <c r="BD276" s="8" t="s">
        <v>200</v>
      </c>
      <c r="BE276" s="4" t="s">
        <v>200</v>
      </c>
      <c r="BF276" s="8" t="s">
        <v>200</v>
      </c>
      <c r="BG276" s="7" t="s">
        <v>200</v>
      </c>
      <c r="BH276" s="7" t="s">
        <v>200</v>
      </c>
      <c r="BI276" s="7"/>
      <c r="BJ276" s="4">
        <v>2</v>
      </c>
      <c r="BK276" s="8">
        <v>26.2</v>
      </c>
      <c r="BL276" s="2" t="s">
        <v>455</v>
      </c>
      <c r="BM276" s="7"/>
      <c r="BN276" s="7"/>
      <c r="BO276" s="4"/>
      <c r="BP276" s="8"/>
      <c r="BQ276" s="4"/>
      <c r="BR276" s="8"/>
      <c r="BS276" s="7"/>
      <c r="BT276" s="7"/>
      <c r="BU276" s="2" t="s">
        <v>2145</v>
      </c>
      <c r="BV276" s="2" t="s">
        <v>200</v>
      </c>
      <c r="BW276" s="2" t="s">
        <v>200</v>
      </c>
      <c r="BX276" s="2" t="s">
        <v>289</v>
      </c>
      <c r="BY276" s="2" t="s">
        <v>247</v>
      </c>
      <c r="BZ276" s="2" t="s">
        <v>212</v>
      </c>
      <c r="CA276" s="2" t="s">
        <v>2132</v>
      </c>
      <c r="CB276" s="2" t="s">
        <v>200</v>
      </c>
      <c r="CC276" s="2" t="s">
        <v>213</v>
      </c>
      <c r="CD276" s="2" t="s">
        <v>200</v>
      </c>
      <c r="CE276" s="4"/>
      <c r="CF276" s="4"/>
      <c r="CG276" s="4"/>
      <c r="CH276" s="4">
        <v>843</v>
      </c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</row>
    <row r="277">
      <c r="A277" s="2" t="s">
        <v>2146</v>
      </c>
      <c r="B277" s="2" t="s">
        <v>2124</v>
      </c>
      <c r="C277" s="2" t="s">
        <v>624</v>
      </c>
      <c r="D277" s="2" t="s">
        <v>2125</v>
      </c>
      <c r="E277" s="2" t="s">
        <v>2126</v>
      </c>
      <c r="F277" s="2" t="s">
        <v>2127</v>
      </c>
      <c r="G277" s="2" t="s">
        <v>2127</v>
      </c>
      <c r="H277" s="2" t="s">
        <v>2127</v>
      </c>
      <c r="I277" s="2" t="s">
        <v>2126</v>
      </c>
      <c r="J277" s="2" t="s">
        <v>2136</v>
      </c>
      <c r="K277" s="2" t="s">
        <v>2142</v>
      </c>
      <c r="L277" s="3">
        <v>22.03</v>
      </c>
      <c r="M277" s="3">
        <v>23.13</v>
      </c>
      <c r="N277" s="3"/>
      <c r="O277" s="2" t="s">
        <v>460</v>
      </c>
      <c r="P277" s="2" t="s">
        <v>285</v>
      </c>
      <c r="Q277" s="2" t="s">
        <v>206</v>
      </c>
      <c r="R277" s="2" t="s">
        <v>200</v>
      </c>
      <c r="S277" s="2" t="s">
        <v>200</v>
      </c>
      <c r="T277" s="2" t="s">
        <v>200</v>
      </c>
      <c r="U277" s="2" t="s">
        <v>270</v>
      </c>
      <c r="V277" s="2" t="s">
        <v>616</v>
      </c>
      <c r="W277" s="2" t="s">
        <v>200</v>
      </c>
      <c r="X277" s="2" t="s">
        <v>200</v>
      </c>
      <c r="Y277" s="2" t="s">
        <v>2130</v>
      </c>
      <c r="Z277" s="4">
        <v>854</v>
      </c>
      <c r="AA277" s="4">
        <f>=ROUNDDOWN(52.0731707317073,0)</f>
      </c>
      <c r="AB277" s="5">
        <v>16.4</v>
      </c>
      <c r="AC277" s="2" t="s">
        <v>200</v>
      </c>
      <c r="AD277" s="4"/>
      <c r="AE277" s="4"/>
      <c r="AF277" s="6"/>
      <c r="AG277" s="6"/>
      <c r="AH277" s="7">
        <v>1</v>
      </c>
      <c r="AI277" s="4"/>
      <c r="AJ277" s="4">
        <f>=ROUNDDOWN({0},0)</f>
      </c>
      <c r="AK277" s="5"/>
      <c r="AL277" s="2" t="s">
        <v>200</v>
      </c>
      <c r="AM277" s="4"/>
      <c r="AN277" s="4"/>
      <c r="AO277" s="7"/>
      <c r="AP277" s="4"/>
      <c r="AQ277" s="8"/>
      <c r="AR277" s="4"/>
      <c r="AS277" s="8"/>
      <c r="AT277" s="7"/>
      <c r="AU277" s="7"/>
      <c r="AV277" s="4" t="s">
        <v>200</v>
      </c>
      <c r="AW277" s="8" t="s">
        <v>200</v>
      </c>
      <c r="AX277" s="4" t="s">
        <v>200</v>
      </c>
      <c r="AY277" s="8" t="s">
        <v>200</v>
      </c>
      <c r="AZ277" s="7" t="s">
        <v>200</v>
      </c>
      <c r="BA277" s="7" t="s">
        <v>200</v>
      </c>
      <c r="BB277" s="7"/>
      <c r="BC277" s="4" t="s">
        <v>200</v>
      </c>
      <c r="BD277" s="8" t="s">
        <v>200</v>
      </c>
      <c r="BE277" s="4" t="s">
        <v>200</v>
      </c>
      <c r="BF277" s="8" t="s">
        <v>200</v>
      </c>
      <c r="BG277" s="7" t="s">
        <v>200</v>
      </c>
      <c r="BH277" s="7" t="s">
        <v>200</v>
      </c>
      <c r="BI277" s="7"/>
      <c r="BJ277" s="4"/>
      <c r="BK277" s="8"/>
      <c r="BL277" s="2" t="s">
        <v>455</v>
      </c>
      <c r="BM277" s="7"/>
      <c r="BN277" s="7"/>
      <c r="BO277" s="4"/>
      <c r="BP277" s="8"/>
      <c r="BQ277" s="4"/>
      <c r="BR277" s="8"/>
      <c r="BS277" s="7"/>
      <c r="BT277" s="7"/>
      <c r="BU277" s="2" t="s">
        <v>2147</v>
      </c>
      <c r="BV277" s="2" t="s">
        <v>200</v>
      </c>
      <c r="BW277" s="2" t="s">
        <v>200</v>
      </c>
      <c r="BX277" s="2" t="s">
        <v>289</v>
      </c>
      <c r="BY277" s="2" t="s">
        <v>247</v>
      </c>
      <c r="BZ277" s="2" t="s">
        <v>212</v>
      </c>
      <c r="CA277" s="2" t="s">
        <v>2132</v>
      </c>
      <c r="CB277" s="2" t="s">
        <v>200</v>
      </c>
      <c r="CC277" s="2" t="s">
        <v>213</v>
      </c>
      <c r="CD277" s="2" t="s">
        <v>200</v>
      </c>
      <c r="CE277" s="4"/>
      <c r="CF277" s="4"/>
      <c r="CG277" s="4"/>
      <c r="CH277" s="4">
        <v>854</v>
      </c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</row>
    <row r="278">
      <c r="A278" s="2" t="s">
        <v>2148</v>
      </c>
      <c r="B278" s="2" t="s">
        <v>2124</v>
      </c>
      <c r="C278" s="2" t="s">
        <v>624</v>
      </c>
      <c r="D278" s="2" t="s">
        <v>2125</v>
      </c>
      <c r="E278" s="2" t="s">
        <v>2126</v>
      </c>
      <c r="F278" s="2" t="s">
        <v>2127</v>
      </c>
      <c r="G278" s="2" t="s">
        <v>2127</v>
      </c>
      <c r="H278" s="2" t="s">
        <v>2127</v>
      </c>
      <c r="I278" s="2" t="s">
        <v>2126</v>
      </c>
      <c r="J278" s="2" t="s">
        <v>2139</v>
      </c>
      <c r="K278" s="2" t="s">
        <v>2142</v>
      </c>
      <c r="L278" s="3">
        <v>22.03</v>
      </c>
      <c r="M278" s="3">
        <v>23.13</v>
      </c>
      <c r="N278" s="3"/>
      <c r="O278" s="2" t="s">
        <v>460</v>
      </c>
      <c r="P278" s="2" t="s">
        <v>285</v>
      </c>
      <c r="Q278" s="2" t="s">
        <v>206</v>
      </c>
      <c r="R278" s="2" t="s">
        <v>200</v>
      </c>
      <c r="S278" s="2" t="s">
        <v>200</v>
      </c>
      <c r="T278" s="2" t="s">
        <v>200</v>
      </c>
      <c r="U278" s="2" t="s">
        <v>270</v>
      </c>
      <c r="V278" s="2" t="s">
        <v>616</v>
      </c>
      <c r="W278" s="2" t="s">
        <v>200</v>
      </c>
      <c r="X278" s="2" t="s">
        <v>200</v>
      </c>
      <c r="Y278" s="2" t="s">
        <v>2130</v>
      </c>
      <c r="Z278" s="4">
        <v>399</v>
      </c>
      <c r="AA278" s="4">
        <f>=ROUNDDOWN(48.6585365853659,0)</f>
      </c>
      <c r="AB278" s="5">
        <v>8.2</v>
      </c>
      <c r="AC278" s="2" t="s">
        <v>200</v>
      </c>
      <c r="AD278" s="4"/>
      <c r="AE278" s="4"/>
      <c r="AF278" s="6"/>
      <c r="AG278" s="6"/>
      <c r="AH278" s="7">
        <v>1</v>
      </c>
      <c r="AI278" s="4"/>
      <c r="AJ278" s="4">
        <f>=ROUNDDOWN({0},0)</f>
      </c>
      <c r="AK278" s="5"/>
      <c r="AL278" s="2" t="s">
        <v>200</v>
      </c>
      <c r="AM278" s="4"/>
      <c r="AN278" s="4"/>
      <c r="AO278" s="7"/>
      <c r="AP278" s="4"/>
      <c r="AQ278" s="8"/>
      <c r="AR278" s="4"/>
      <c r="AS278" s="8"/>
      <c r="AT278" s="7"/>
      <c r="AU278" s="7"/>
      <c r="AV278" s="4" t="s">
        <v>200</v>
      </c>
      <c r="AW278" s="8" t="s">
        <v>200</v>
      </c>
      <c r="AX278" s="4" t="s">
        <v>200</v>
      </c>
      <c r="AY278" s="8" t="s">
        <v>200</v>
      </c>
      <c r="AZ278" s="7" t="s">
        <v>200</v>
      </c>
      <c r="BA278" s="7" t="s">
        <v>200</v>
      </c>
      <c r="BB278" s="7"/>
      <c r="BC278" s="4" t="s">
        <v>200</v>
      </c>
      <c r="BD278" s="8" t="s">
        <v>200</v>
      </c>
      <c r="BE278" s="4" t="s">
        <v>200</v>
      </c>
      <c r="BF278" s="8" t="s">
        <v>200</v>
      </c>
      <c r="BG278" s="7" t="s">
        <v>200</v>
      </c>
      <c r="BH278" s="7" t="s">
        <v>200</v>
      </c>
      <c r="BI278" s="7"/>
      <c r="BJ278" s="4"/>
      <c r="BK278" s="8"/>
      <c r="BL278" s="2" t="s">
        <v>200</v>
      </c>
      <c r="BM278" s="7"/>
      <c r="BN278" s="7"/>
      <c r="BO278" s="4"/>
      <c r="BP278" s="8"/>
      <c r="BQ278" s="4"/>
      <c r="BR278" s="8"/>
      <c r="BS278" s="7"/>
      <c r="BT278" s="7"/>
      <c r="BU278" s="2" t="s">
        <v>2149</v>
      </c>
      <c r="BV278" s="2" t="s">
        <v>200</v>
      </c>
      <c r="BW278" s="2" t="s">
        <v>200</v>
      </c>
      <c r="BX278" s="2" t="s">
        <v>289</v>
      </c>
      <c r="BY278" s="2" t="s">
        <v>247</v>
      </c>
      <c r="BZ278" s="2" t="s">
        <v>212</v>
      </c>
      <c r="CA278" s="2" t="s">
        <v>2132</v>
      </c>
      <c r="CB278" s="2" t="s">
        <v>200</v>
      </c>
      <c r="CC278" s="2" t="s">
        <v>213</v>
      </c>
      <c r="CD278" s="2" t="s">
        <v>200</v>
      </c>
      <c r="CE278" s="4"/>
      <c r="CF278" s="4"/>
      <c r="CG278" s="4"/>
      <c r="CH278" s="4">
        <v>399</v>
      </c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</row>
    <row r="279">
      <c r="A279" s="2" t="s">
        <v>2150</v>
      </c>
      <c r="B279" s="2" t="s">
        <v>744</v>
      </c>
      <c r="C279" s="2" t="s">
        <v>231</v>
      </c>
      <c r="D279" s="2" t="s">
        <v>1275</v>
      </c>
      <c r="E279" s="2" t="s">
        <v>1276</v>
      </c>
      <c r="F279" s="2" t="s">
        <v>2151</v>
      </c>
      <c r="G279" s="2" t="s">
        <v>2152</v>
      </c>
      <c r="H279" s="2" t="s">
        <v>2153</v>
      </c>
      <c r="I279" s="2" t="s">
        <v>2093</v>
      </c>
      <c r="J279" s="2" t="s">
        <v>711</v>
      </c>
      <c r="K279" s="2" t="s">
        <v>221</v>
      </c>
      <c r="L279" s="3">
        <v>276</v>
      </c>
      <c r="M279" s="3">
        <v>289.8</v>
      </c>
      <c r="N279" s="3">
        <v>579</v>
      </c>
      <c r="O279" s="2" t="s">
        <v>212</v>
      </c>
      <c r="P279" s="2" t="s">
        <v>750</v>
      </c>
      <c r="Q279" s="2" t="s">
        <v>206</v>
      </c>
      <c r="R279" s="2" t="s">
        <v>200</v>
      </c>
      <c r="S279" s="2" t="s">
        <v>2154</v>
      </c>
      <c r="T279" s="2" t="s">
        <v>200</v>
      </c>
      <c r="U279" s="2" t="s">
        <v>270</v>
      </c>
      <c r="V279" s="2" t="s">
        <v>208</v>
      </c>
      <c r="W279" s="2" t="s">
        <v>419</v>
      </c>
      <c r="X279" s="2" t="s">
        <v>200</v>
      </c>
      <c r="Y279" s="2" t="s">
        <v>2155</v>
      </c>
      <c r="Z279" s="4">
        <v>134</v>
      </c>
      <c r="AA279" s="4">
        <f>=ROUNDDOWN(67,0)</f>
      </c>
      <c r="AB279" s="5">
        <v>2</v>
      </c>
      <c r="AC279" s="2" t="s">
        <v>115</v>
      </c>
      <c r="AD279" s="4">
        <v>56</v>
      </c>
      <c r="AE279" s="4">
        <v>56</v>
      </c>
      <c r="AF279" s="6">
        <v>69</v>
      </c>
      <c r="AG279" s="6"/>
      <c r="AH279" s="7">
        <v>1</v>
      </c>
      <c r="AI279" s="4"/>
      <c r="AJ279" s="4">
        <f>=ROUNDDOWN({0},0)</f>
      </c>
      <c r="AK279" s="5"/>
      <c r="AL279" s="2" t="s">
        <v>200</v>
      </c>
      <c r="AM279" s="4"/>
      <c r="AN279" s="4"/>
      <c r="AO279" s="7"/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/>
      <c r="BD279" s="8"/>
      <c r="BE279" s="4"/>
      <c r="BF279" s="8"/>
      <c r="BG279" s="7"/>
      <c r="BH279" s="7"/>
      <c r="BI279" s="7"/>
      <c r="BJ279" s="4">
        <v>11</v>
      </c>
      <c r="BK279" s="8">
        <v>3013.14</v>
      </c>
      <c r="BL279" s="2" t="s">
        <v>2156</v>
      </c>
      <c r="BM279" s="7"/>
      <c r="BN279" s="7"/>
      <c r="BO279" s="4"/>
      <c r="BP279" s="8"/>
      <c r="BQ279" s="4"/>
      <c r="BR279" s="8"/>
      <c r="BS279" s="7"/>
      <c r="BT279" s="7"/>
      <c r="BU279" s="2" t="s">
        <v>2157</v>
      </c>
      <c r="BV279" s="2" t="s">
        <v>200</v>
      </c>
      <c r="BW279" s="2" t="s">
        <v>200</v>
      </c>
      <c r="BX279" s="2" t="s">
        <v>264</v>
      </c>
      <c r="BY279" s="2" t="s">
        <v>247</v>
      </c>
      <c r="BZ279" s="2" t="s">
        <v>212</v>
      </c>
      <c r="CA279" s="2" t="s">
        <v>2158</v>
      </c>
      <c r="CB279" s="2" t="s">
        <v>2159</v>
      </c>
      <c r="CC279" s="2" t="s">
        <v>213</v>
      </c>
      <c r="CD279" s="2" t="s">
        <v>200</v>
      </c>
      <c r="CE279" s="4"/>
      <c r="CF279" s="4">
        <v>134</v>
      </c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>
        <v>56</v>
      </c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</row>
    <row r="280">
      <c r="A280" s="2" t="s">
        <v>2160</v>
      </c>
      <c r="B280" s="2" t="s">
        <v>903</v>
      </c>
      <c r="C280" s="2" t="s">
        <v>1894</v>
      </c>
      <c r="D280" s="2" t="s">
        <v>608</v>
      </c>
      <c r="E280" s="2" t="s">
        <v>1324</v>
      </c>
      <c r="F280" s="2" t="s">
        <v>2161</v>
      </c>
      <c r="G280" s="2" t="s">
        <v>2161</v>
      </c>
      <c r="H280" s="2" t="s">
        <v>2161</v>
      </c>
      <c r="I280" s="2" t="s">
        <v>2162</v>
      </c>
      <c r="J280" s="2" t="s">
        <v>924</v>
      </c>
      <c r="K280" s="2" t="s">
        <v>2163</v>
      </c>
      <c r="L280" s="3">
        <v>68.57</v>
      </c>
      <c r="M280" s="3">
        <v>72</v>
      </c>
      <c r="N280" s="3">
        <v>149.99</v>
      </c>
      <c r="O280" s="2" t="s">
        <v>212</v>
      </c>
      <c r="P280" s="2" t="s">
        <v>258</v>
      </c>
      <c r="Q280" s="2" t="s">
        <v>206</v>
      </c>
      <c r="R280" s="2" t="s">
        <v>200</v>
      </c>
      <c r="S280" s="2" t="s">
        <v>2164</v>
      </c>
      <c r="T280" s="2" t="s">
        <v>2165</v>
      </c>
      <c r="U280" s="2" t="s">
        <v>454</v>
      </c>
      <c r="V280" s="2" t="s">
        <v>885</v>
      </c>
      <c r="W280" s="2" t="s">
        <v>2166</v>
      </c>
      <c r="X280" s="2" t="s">
        <v>419</v>
      </c>
      <c r="Y280" s="2" t="s">
        <v>2167</v>
      </c>
      <c r="Z280" s="4"/>
      <c r="AA280" s="4">
        <f>=ROUNDDOWN({0},0)</f>
      </c>
      <c r="AB280" s="5">
        <v>10</v>
      </c>
      <c r="AC280" s="2" t="s">
        <v>117</v>
      </c>
      <c r="AD280" s="4">
        <v>190</v>
      </c>
      <c r="AE280" s="4">
        <v>280</v>
      </c>
      <c r="AF280" s="6">
        <v>65</v>
      </c>
      <c r="AG280" s="6"/>
      <c r="AH280" s="7">
        <v>0</v>
      </c>
      <c r="AI280" s="4"/>
      <c r="AJ280" s="4">
        <f>=ROUNDDOWN({0},0)</f>
      </c>
      <c r="AK280" s="5"/>
      <c r="AL280" s="2" t="s">
        <v>200</v>
      </c>
      <c r="AM280" s="4"/>
      <c r="AN280" s="4"/>
      <c r="AO280" s="7"/>
      <c r="AP280" s="4"/>
      <c r="AQ280" s="8"/>
      <c r="AR280" s="4"/>
      <c r="AS280" s="8"/>
      <c r="AT280" s="7"/>
      <c r="AU280" s="7"/>
      <c r="AV280" s="4"/>
      <c r="AW280" s="8"/>
      <c r="AX280" s="4"/>
      <c r="AY280" s="8"/>
      <c r="AZ280" s="7"/>
      <c r="BA280" s="7"/>
      <c r="BB280" s="7"/>
      <c r="BC280" s="4"/>
      <c r="BD280" s="8"/>
      <c r="BE280" s="4"/>
      <c r="BF280" s="8"/>
      <c r="BG280" s="7"/>
      <c r="BH280" s="7"/>
      <c r="BI280" s="7"/>
      <c r="BJ280" s="4">
        <v>5</v>
      </c>
      <c r="BK280" s="8">
        <v>387.44</v>
      </c>
      <c r="BL280" s="2" t="s">
        <v>2168</v>
      </c>
      <c r="BM280" s="7"/>
      <c r="BN280" s="7"/>
      <c r="BO280" s="4"/>
      <c r="BP280" s="8"/>
      <c r="BQ280" s="4"/>
      <c r="BR280" s="8"/>
      <c r="BS280" s="7"/>
      <c r="BT280" s="7"/>
      <c r="BU280" s="2" t="s">
        <v>2169</v>
      </c>
      <c r="BV280" s="2" t="s">
        <v>200</v>
      </c>
      <c r="BW280" s="2" t="s">
        <v>200</v>
      </c>
      <c r="BX280" s="2" t="s">
        <v>264</v>
      </c>
      <c r="BY280" s="2" t="s">
        <v>247</v>
      </c>
      <c r="BZ280" s="2" t="s">
        <v>212</v>
      </c>
      <c r="CA280" s="2" t="s">
        <v>1989</v>
      </c>
      <c r="CB280" s="2" t="s">
        <v>955</v>
      </c>
      <c r="CC280" s="2" t="s">
        <v>213</v>
      </c>
      <c r="CD280" s="2" t="s">
        <v>200</v>
      </c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>
        <v>190</v>
      </c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>
        <v>90</v>
      </c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</row>
    <row r="281">
      <c r="A281" s="2" t="s">
        <v>2170</v>
      </c>
      <c r="B281" s="2" t="s">
        <v>195</v>
      </c>
      <c r="C281" s="2" t="s">
        <v>745</v>
      </c>
      <c r="D281" s="2" t="s">
        <v>2171</v>
      </c>
      <c r="E281" s="2" t="s">
        <v>2172</v>
      </c>
      <c r="F281" s="2" t="s">
        <v>2173</v>
      </c>
      <c r="G281" s="2" t="s">
        <v>2173</v>
      </c>
      <c r="H281" s="2" t="s">
        <v>2173</v>
      </c>
      <c r="I281" s="2" t="s">
        <v>2174</v>
      </c>
      <c r="J281" s="2" t="s">
        <v>2175</v>
      </c>
      <c r="K281" s="2" t="s">
        <v>1174</v>
      </c>
      <c r="L281" s="3">
        <v>18.4</v>
      </c>
      <c r="M281" s="3">
        <v>19.32</v>
      </c>
      <c r="N281" s="3">
        <v>39.99</v>
      </c>
      <c r="O281" s="2" t="s">
        <v>212</v>
      </c>
      <c r="P281" s="2" t="s">
        <v>750</v>
      </c>
      <c r="Q281" s="2" t="s">
        <v>206</v>
      </c>
      <c r="R281" s="2" t="s">
        <v>200</v>
      </c>
      <c r="S281" s="2" t="s">
        <v>2176</v>
      </c>
      <c r="T281" s="2" t="s">
        <v>2177</v>
      </c>
      <c r="U281" s="2" t="s">
        <v>270</v>
      </c>
      <c r="V281" s="2" t="s">
        <v>208</v>
      </c>
      <c r="W281" s="2" t="s">
        <v>241</v>
      </c>
      <c r="X281" s="2" t="s">
        <v>1271</v>
      </c>
      <c r="Y281" s="2" t="s">
        <v>1206</v>
      </c>
      <c r="Z281" s="4">
        <v>358</v>
      </c>
      <c r="AA281" s="4">
        <f>=ROUNDDOWN(179,0)</f>
      </c>
      <c r="AB281" s="5">
        <v>2</v>
      </c>
      <c r="AC281" s="2" t="s">
        <v>200</v>
      </c>
      <c r="AD281" s="4"/>
      <c r="AE281" s="4"/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200</v>
      </c>
      <c r="AM281" s="4"/>
      <c r="AN281" s="4"/>
      <c r="AO281" s="7"/>
      <c r="AP281" s="4"/>
      <c r="AQ281" s="8"/>
      <c r="AR281" s="4"/>
      <c r="AS281" s="8"/>
      <c r="AT281" s="7"/>
      <c r="AU281" s="7"/>
      <c r="AV281" s="4"/>
      <c r="AW281" s="8"/>
      <c r="AX281" s="4"/>
      <c r="AY281" s="8"/>
      <c r="AZ281" s="7"/>
      <c r="BA281" s="7"/>
      <c r="BB281" s="7"/>
      <c r="BC281" s="4" t="s">
        <v>200</v>
      </c>
      <c r="BD281" s="8" t="s">
        <v>200</v>
      </c>
      <c r="BE281" s="4" t="s">
        <v>200</v>
      </c>
      <c r="BF281" s="8" t="s">
        <v>200</v>
      </c>
      <c r="BG281" s="7" t="s">
        <v>200</v>
      </c>
      <c r="BH281" s="7" t="s">
        <v>200</v>
      </c>
      <c r="BI281" s="7"/>
      <c r="BJ281" s="4">
        <v>8</v>
      </c>
      <c r="BK281" s="8">
        <v>143.45</v>
      </c>
      <c r="BL281" s="2" t="s">
        <v>2178</v>
      </c>
      <c r="BM281" s="7"/>
      <c r="BN281" s="7"/>
      <c r="BO281" s="4"/>
      <c r="BP281" s="8"/>
      <c r="BQ281" s="4"/>
      <c r="BR281" s="8"/>
      <c r="BS281" s="7"/>
      <c r="BT281" s="7"/>
      <c r="BU281" s="2" t="s">
        <v>2179</v>
      </c>
      <c r="BV281" s="2" t="s">
        <v>200</v>
      </c>
      <c r="BW281" s="2" t="s">
        <v>200</v>
      </c>
      <c r="BX281" s="2" t="s">
        <v>264</v>
      </c>
      <c r="BY281" s="2" t="s">
        <v>247</v>
      </c>
      <c r="BZ281" s="2" t="s">
        <v>212</v>
      </c>
      <c r="CA281" s="2" t="s">
        <v>2180</v>
      </c>
      <c r="CB281" s="2" t="s">
        <v>1737</v>
      </c>
      <c r="CC281" s="2" t="s">
        <v>213</v>
      </c>
      <c r="CD281" s="2" t="s">
        <v>200</v>
      </c>
      <c r="CE281" s="4">
        <v>358</v>
      </c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</row>
    <row r="282">
      <c r="A282" s="2" t="s">
        <v>2181</v>
      </c>
      <c r="B282" s="2" t="s">
        <v>195</v>
      </c>
      <c r="C282" s="2" t="s">
        <v>745</v>
      </c>
      <c r="D282" s="2" t="s">
        <v>2171</v>
      </c>
      <c r="E282" s="2" t="s">
        <v>2172</v>
      </c>
      <c r="F282" s="2" t="s">
        <v>2173</v>
      </c>
      <c r="G282" s="2" t="s">
        <v>2173</v>
      </c>
      <c r="H282" s="2" t="s">
        <v>2173</v>
      </c>
      <c r="I282" s="2" t="s">
        <v>2174</v>
      </c>
      <c r="J282" s="2" t="s">
        <v>2175</v>
      </c>
      <c r="K282" s="2" t="s">
        <v>416</v>
      </c>
      <c r="L282" s="3">
        <v>18.4</v>
      </c>
      <c r="M282" s="3">
        <v>19.32</v>
      </c>
      <c r="N282" s="3">
        <v>39.99</v>
      </c>
      <c r="O282" s="2" t="s">
        <v>212</v>
      </c>
      <c r="P282" s="2" t="s">
        <v>750</v>
      </c>
      <c r="Q282" s="2" t="s">
        <v>206</v>
      </c>
      <c r="R282" s="2" t="s">
        <v>200</v>
      </c>
      <c r="S282" s="2" t="s">
        <v>2182</v>
      </c>
      <c r="T282" s="2" t="s">
        <v>2177</v>
      </c>
      <c r="U282" s="2" t="s">
        <v>270</v>
      </c>
      <c r="V282" s="2" t="s">
        <v>208</v>
      </c>
      <c r="W282" s="2" t="s">
        <v>241</v>
      </c>
      <c r="X282" s="2" t="s">
        <v>1271</v>
      </c>
      <c r="Y282" s="2" t="s">
        <v>1206</v>
      </c>
      <c r="Z282" s="4">
        <v>153</v>
      </c>
      <c r="AA282" s="4">
        <f>=ROUNDDOWN(58.8461538461538,0)</f>
      </c>
      <c r="AB282" s="5">
        <v>2.6</v>
      </c>
      <c r="AC282" s="2" t="s">
        <v>200</v>
      </c>
      <c r="AD282" s="4"/>
      <c r="AE282" s="4"/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200</v>
      </c>
      <c r="AM282" s="4"/>
      <c r="AN282" s="4"/>
      <c r="AO282" s="7"/>
      <c r="AP282" s="4"/>
      <c r="AQ282" s="8"/>
      <c r="AR282" s="4"/>
      <c r="AS282" s="8"/>
      <c r="AT282" s="7"/>
      <c r="AU282" s="7"/>
      <c r="AV282" s="4"/>
      <c r="AW282" s="8"/>
      <c r="AX282" s="4"/>
      <c r="AY282" s="8"/>
      <c r="AZ282" s="7"/>
      <c r="BA282" s="7"/>
      <c r="BB282" s="7"/>
      <c r="BC282" s="4" t="s">
        <v>200</v>
      </c>
      <c r="BD282" s="8" t="s">
        <v>200</v>
      </c>
      <c r="BE282" s="4" t="s">
        <v>200</v>
      </c>
      <c r="BF282" s="8" t="s">
        <v>200</v>
      </c>
      <c r="BG282" s="7" t="s">
        <v>200</v>
      </c>
      <c r="BH282" s="7" t="s">
        <v>200</v>
      </c>
      <c r="BI282" s="7"/>
      <c r="BJ282" s="4">
        <v>4</v>
      </c>
      <c r="BK282" s="8">
        <v>74.54</v>
      </c>
      <c r="BL282" s="2" t="s">
        <v>2183</v>
      </c>
      <c r="BM282" s="7"/>
      <c r="BN282" s="7"/>
      <c r="BO282" s="4"/>
      <c r="BP282" s="8"/>
      <c r="BQ282" s="4"/>
      <c r="BR282" s="8"/>
      <c r="BS282" s="7"/>
      <c r="BT282" s="7"/>
      <c r="BU282" s="2" t="s">
        <v>2184</v>
      </c>
      <c r="BV282" s="2" t="s">
        <v>200</v>
      </c>
      <c r="BW282" s="2" t="s">
        <v>200</v>
      </c>
      <c r="BX282" s="2" t="s">
        <v>264</v>
      </c>
      <c r="BY282" s="2" t="s">
        <v>247</v>
      </c>
      <c r="BZ282" s="2" t="s">
        <v>212</v>
      </c>
      <c r="CA282" s="2" t="s">
        <v>2180</v>
      </c>
      <c r="CB282" s="2" t="s">
        <v>2185</v>
      </c>
      <c r="CC282" s="2" t="s">
        <v>213</v>
      </c>
      <c r="CD282" s="2" t="s">
        <v>200</v>
      </c>
      <c r="CE282" s="4">
        <v>153</v>
      </c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</row>
    <row r="283">
      <c r="A283" s="2" t="s">
        <v>2186</v>
      </c>
      <c r="B283" s="2" t="s">
        <v>195</v>
      </c>
      <c r="C283" s="2" t="s">
        <v>745</v>
      </c>
      <c r="D283" s="2" t="s">
        <v>197</v>
      </c>
      <c r="E283" s="2" t="s">
        <v>198</v>
      </c>
      <c r="F283" s="2" t="s">
        <v>2173</v>
      </c>
      <c r="G283" s="2" t="s">
        <v>2173</v>
      </c>
      <c r="H283" s="2" t="s">
        <v>2173</v>
      </c>
      <c r="I283" s="2" t="s">
        <v>198</v>
      </c>
      <c r="J283" s="2" t="s">
        <v>302</v>
      </c>
      <c r="K283" s="2" t="s">
        <v>221</v>
      </c>
      <c r="L283" s="3">
        <v>42.4</v>
      </c>
      <c r="M283" s="3">
        <v>44.52</v>
      </c>
      <c r="N283" s="3">
        <v>89.99</v>
      </c>
      <c r="O283" s="2" t="s">
        <v>212</v>
      </c>
      <c r="P283" s="2" t="s">
        <v>258</v>
      </c>
      <c r="Q283" s="2" t="s">
        <v>206</v>
      </c>
      <c r="R283" s="2" t="s">
        <v>200</v>
      </c>
      <c r="S283" s="2" t="s">
        <v>2187</v>
      </c>
      <c r="T283" s="2" t="s">
        <v>2177</v>
      </c>
      <c r="U283" s="2" t="s">
        <v>270</v>
      </c>
      <c r="V283" s="2" t="s">
        <v>208</v>
      </c>
      <c r="W283" s="2" t="s">
        <v>241</v>
      </c>
      <c r="X283" s="2" t="s">
        <v>1271</v>
      </c>
      <c r="Y283" s="2" t="s">
        <v>2188</v>
      </c>
      <c r="Z283" s="4">
        <v>346</v>
      </c>
      <c r="AA283" s="4">
        <f>=ROUNDDOWN(70.6122448979592,0)</f>
      </c>
      <c r="AB283" s="5">
        <v>4.9</v>
      </c>
      <c r="AC283" s="2" t="s">
        <v>200</v>
      </c>
      <c r="AD283" s="4"/>
      <c r="AE283" s="4"/>
      <c r="AF283" s="6">
        <v>64</v>
      </c>
      <c r="AG283" s="6"/>
      <c r="AH283" s="7">
        <v>1</v>
      </c>
      <c r="AI283" s="4"/>
      <c r="AJ283" s="4">
        <f>=ROUNDDOWN({0},0)</f>
      </c>
      <c r="AK283" s="5"/>
      <c r="AL283" s="2" t="s">
        <v>200</v>
      </c>
      <c r="AM283" s="4"/>
      <c r="AN283" s="4"/>
      <c r="AO283" s="7"/>
      <c r="AP283" s="4"/>
      <c r="AQ283" s="8"/>
      <c r="AR283" s="4"/>
      <c r="AS283" s="8"/>
      <c r="AT283" s="7"/>
      <c r="AU283" s="7"/>
      <c r="AV283" s="4" t="s">
        <v>200</v>
      </c>
      <c r="AW283" s="8" t="s">
        <v>200</v>
      </c>
      <c r="AX283" s="4" t="s">
        <v>200</v>
      </c>
      <c r="AY283" s="8" t="s">
        <v>200</v>
      </c>
      <c r="AZ283" s="7" t="s">
        <v>200</v>
      </c>
      <c r="BA283" s="7" t="s">
        <v>200</v>
      </c>
      <c r="BB283" s="7"/>
      <c r="BC283" s="4" t="s">
        <v>200</v>
      </c>
      <c r="BD283" s="8" t="s">
        <v>200</v>
      </c>
      <c r="BE283" s="4" t="s">
        <v>200</v>
      </c>
      <c r="BF283" s="8" t="s">
        <v>200</v>
      </c>
      <c r="BG283" s="7" t="s">
        <v>200</v>
      </c>
      <c r="BH283" s="7" t="s">
        <v>200</v>
      </c>
      <c r="BI283" s="7"/>
      <c r="BJ283" s="4">
        <v>26</v>
      </c>
      <c r="BK283" s="8">
        <v>1206.89</v>
      </c>
      <c r="BL283" s="2" t="s">
        <v>2189</v>
      </c>
      <c r="BM283" s="7"/>
      <c r="BN283" s="7"/>
      <c r="BO283" s="4"/>
      <c r="BP283" s="8"/>
      <c r="BQ283" s="4"/>
      <c r="BR283" s="8"/>
      <c r="BS283" s="7"/>
      <c r="BT283" s="7"/>
      <c r="BU283" s="2" t="s">
        <v>2190</v>
      </c>
      <c r="BV283" s="2" t="s">
        <v>200</v>
      </c>
      <c r="BW283" s="2" t="s">
        <v>200</v>
      </c>
      <c r="BX283" s="2" t="s">
        <v>264</v>
      </c>
      <c r="BY283" s="2" t="s">
        <v>247</v>
      </c>
      <c r="BZ283" s="2" t="s">
        <v>212</v>
      </c>
      <c r="CA283" s="2" t="s">
        <v>2191</v>
      </c>
      <c r="CB283" s="2" t="s">
        <v>2192</v>
      </c>
      <c r="CC283" s="2" t="s">
        <v>213</v>
      </c>
      <c r="CD283" s="2" t="s">
        <v>200</v>
      </c>
      <c r="CE283" s="4">
        <v>346</v>
      </c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</row>
    <row r="284">
      <c r="A284" s="2" t="s">
        <v>2193</v>
      </c>
      <c r="B284" s="2" t="s">
        <v>195</v>
      </c>
      <c r="C284" s="2" t="s">
        <v>745</v>
      </c>
      <c r="D284" s="2" t="s">
        <v>2171</v>
      </c>
      <c r="E284" s="2" t="s">
        <v>2172</v>
      </c>
      <c r="F284" s="2" t="s">
        <v>2173</v>
      </c>
      <c r="G284" s="2" t="s">
        <v>2173</v>
      </c>
      <c r="H284" s="2" t="s">
        <v>2173</v>
      </c>
      <c r="I284" s="2" t="s">
        <v>2194</v>
      </c>
      <c r="J284" s="2" t="s">
        <v>2195</v>
      </c>
      <c r="K284" s="2" t="s">
        <v>221</v>
      </c>
      <c r="L284" s="3">
        <v>10.58</v>
      </c>
      <c r="M284" s="3">
        <v>11.11</v>
      </c>
      <c r="N284" s="3">
        <v>22.99</v>
      </c>
      <c r="O284" s="2" t="s">
        <v>212</v>
      </c>
      <c r="P284" s="2" t="s">
        <v>750</v>
      </c>
      <c r="Q284" s="2" t="s">
        <v>206</v>
      </c>
      <c r="R284" s="2" t="s">
        <v>200</v>
      </c>
      <c r="S284" s="2" t="s">
        <v>2187</v>
      </c>
      <c r="T284" s="2" t="s">
        <v>2177</v>
      </c>
      <c r="U284" s="2" t="s">
        <v>270</v>
      </c>
      <c r="V284" s="2" t="s">
        <v>208</v>
      </c>
      <c r="W284" s="2" t="s">
        <v>241</v>
      </c>
      <c r="X284" s="2" t="s">
        <v>1271</v>
      </c>
      <c r="Y284" s="2" t="s">
        <v>2188</v>
      </c>
      <c r="Z284" s="4">
        <v>302</v>
      </c>
      <c r="AA284" s="4">
        <f>=ROUNDDOWN(335.555555555556,0)</f>
      </c>
      <c r="AB284" s="5">
        <v>0.9</v>
      </c>
      <c r="AC284" s="2" t="s">
        <v>200</v>
      </c>
      <c r="AD284" s="4"/>
      <c r="AE284" s="4"/>
      <c r="AF284" s="6">
        <v>64</v>
      </c>
      <c r="AG284" s="6"/>
      <c r="AH284" s="7">
        <v>1</v>
      </c>
      <c r="AI284" s="4"/>
      <c r="AJ284" s="4">
        <f>=ROUNDDOWN({0},0)</f>
      </c>
      <c r="AK284" s="5"/>
      <c r="AL284" s="2" t="s">
        <v>200</v>
      </c>
      <c r="AM284" s="4"/>
      <c r="AN284" s="4"/>
      <c r="AO284" s="7"/>
      <c r="AP284" s="4"/>
      <c r="AQ284" s="8"/>
      <c r="AR284" s="4"/>
      <c r="AS284" s="8"/>
      <c r="AT284" s="7"/>
      <c r="AU284" s="7"/>
      <c r="AV284" s="4" t="s">
        <v>200</v>
      </c>
      <c r="AW284" s="8" t="s">
        <v>200</v>
      </c>
      <c r="AX284" s="4" t="s">
        <v>200</v>
      </c>
      <c r="AY284" s="8" t="s">
        <v>200</v>
      </c>
      <c r="AZ284" s="7" t="s">
        <v>200</v>
      </c>
      <c r="BA284" s="7" t="s">
        <v>200</v>
      </c>
      <c r="BB284" s="7"/>
      <c r="BC284" s="4" t="s">
        <v>200</v>
      </c>
      <c r="BD284" s="8" t="s">
        <v>200</v>
      </c>
      <c r="BE284" s="4" t="s">
        <v>200</v>
      </c>
      <c r="BF284" s="8" t="s">
        <v>200</v>
      </c>
      <c r="BG284" s="7" t="s">
        <v>200</v>
      </c>
      <c r="BH284" s="7" t="s">
        <v>200</v>
      </c>
      <c r="BI284" s="7"/>
      <c r="BJ284" s="4">
        <v>5</v>
      </c>
      <c r="BK284" s="8">
        <v>57.04</v>
      </c>
      <c r="BL284" s="2" t="s">
        <v>2196</v>
      </c>
      <c r="BM284" s="7"/>
      <c r="BN284" s="7"/>
      <c r="BO284" s="4"/>
      <c r="BP284" s="8"/>
      <c r="BQ284" s="4"/>
      <c r="BR284" s="8"/>
      <c r="BS284" s="7"/>
      <c r="BT284" s="7"/>
      <c r="BU284" s="2" t="s">
        <v>2197</v>
      </c>
      <c r="BV284" s="2" t="s">
        <v>200</v>
      </c>
      <c r="BW284" s="2" t="s">
        <v>200</v>
      </c>
      <c r="BX284" s="2" t="s">
        <v>264</v>
      </c>
      <c r="BY284" s="2" t="s">
        <v>247</v>
      </c>
      <c r="BZ284" s="2" t="s">
        <v>212</v>
      </c>
      <c r="CA284" s="2" t="s">
        <v>2191</v>
      </c>
      <c r="CB284" s="2" t="s">
        <v>2198</v>
      </c>
      <c r="CC284" s="2" t="s">
        <v>213</v>
      </c>
      <c r="CD284" s="2" t="s">
        <v>200</v>
      </c>
      <c r="CE284" s="4">
        <v>184</v>
      </c>
      <c r="CF284" s="4"/>
      <c r="CG284" s="4"/>
      <c r="CH284" s="4">
        <v>118</v>
      </c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</row>
    <row r="285">
      <c r="A285" s="2" t="s">
        <v>2199</v>
      </c>
      <c r="B285" s="2" t="s">
        <v>195</v>
      </c>
      <c r="C285" s="2" t="s">
        <v>745</v>
      </c>
      <c r="D285" s="2" t="s">
        <v>2171</v>
      </c>
      <c r="E285" s="2" t="s">
        <v>2172</v>
      </c>
      <c r="F285" s="2" t="s">
        <v>2173</v>
      </c>
      <c r="G285" s="2" t="s">
        <v>2173</v>
      </c>
      <c r="H285" s="2" t="s">
        <v>2173</v>
      </c>
      <c r="I285" s="2" t="s">
        <v>2200</v>
      </c>
      <c r="J285" s="2" t="s">
        <v>1660</v>
      </c>
      <c r="K285" s="2" t="s">
        <v>221</v>
      </c>
      <c r="L285" s="3">
        <v>12.96</v>
      </c>
      <c r="M285" s="3">
        <v>13.61</v>
      </c>
      <c r="N285" s="3">
        <v>26.99</v>
      </c>
      <c r="O285" s="2" t="s">
        <v>212</v>
      </c>
      <c r="P285" s="2" t="s">
        <v>750</v>
      </c>
      <c r="Q285" s="2" t="s">
        <v>206</v>
      </c>
      <c r="R285" s="2" t="s">
        <v>200</v>
      </c>
      <c r="S285" s="2" t="s">
        <v>2187</v>
      </c>
      <c r="T285" s="2" t="s">
        <v>2177</v>
      </c>
      <c r="U285" s="2" t="s">
        <v>270</v>
      </c>
      <c r="V285" s="2" t="s">
        <v>208</v>
      </c>
      <c r="W285" s="2" t="s">
        <v>241</v>
      </c>
      <c r="X285" s="2" t="s">
        <v>1271</v>
      </c>
      <c r="Y285" s="2" t="s">
        <v>2201</v>
      </c>
      <c r="Z285" s="4">
        <v>269</v>
      </c>
      <c r="AA285" s="4">
        <f>=ROUNDDOWN(269,0)</f>
      </c>
      <c r="AB285" s="5">
        <v>1</v>
      </c>
      <c r="AC285" s="2" t="s">
        <v>200</v>
      </c>
      <c r="AD285" s="4"/>
      <c r="AE285" s="4"/>
      <c r="AF285" s="6">
        <v>64</v>
      </c>
      <c r="AG285" s="6"/>
      <c r="AH285" s="7">
        <v>1</v>
      </c>
      <c r="AI285" s="4"/>
      <c r="AJ285" s="4">
        <f>=ROUNDDOWN({0},0)</f>
      </c>
      <c r="AK285" s="5"/>
      <c r="AL285" s="2" t="s">
        <v>200</v>
      </c>
      <c r="AM285" s="4"/>
      <c r="AN285" s="4"/>
      <c r="AO285" s="7"/>
      <c r="AP285" s="4"/>
      <c r="AQ285" s="8"/>
      <c r="AR285" s="4"/>
      <c r="AS285" s="8"/>
      <c r="AT285" s="7"/>
      <c r="AU285" s="7"/>
      <c r="AV285" s="4" t="s">
        <v>200</v>
      </c>
      <c r="AW285" s="8" t="s">
        <v>200</v>
      </c>
      <c r="AX285" s="4" t="s">
        <v>200</v>
      </c>
      <c r="AY285" s="8" t="s">
        <v>200</v>
      </c>
      <c r="AZ285" s="7" t="s">
        <v>200</v>
      </c>
      <c r="BA285" s="7" t="s">
        <v>200</v>
      </c>
      <c r="BB285" s="7"/>
      <c r="BC285" s="4" t="s">
        <v>200</v>
      </c>
      <c r="BD285" s="8" t="s">
        <v>200</v>
      </c>
      <c r="BE285" s="4" t="s">
        <v>200</v>
      </c>
      <c r="BF285" s="8" t="s">
        <v>200</v>
      </c>
      <c r="BG285" s="7" t="s">
        <v>200</v>
      </c>
      <c r="BH285" s="7" t="s">
        <v>200</v>
      </c>
      <c r="BI285" s="7"/>
      <c r="BJ285" s="4">
        <v>3</v>
      </c>
      <c r="BK285" s="8">
        <v>39.19</v>
      </c>
      <c r="BL285" s="2" t="s">
        <v>2202</v>
      </c>
      <c r="BM285" s="7"/>
      <c r="BN285" s="7"/>
      <c r="BO285" s="4"/>
      <c r="BP285" s="8"/>
      <c r="BQ285" s="4"/>
      <c r="BR285" s="8"/>
      <c r="BS285" s="7"/>
      <c r="BT285" s="7"/>
      <c r="BU285" s="2" t="s">
        <v>2203</v>
      </c>
      <c r="BV285" s="2" t="s">
        <v>200</v>
      </c>
      <c r="BW285" s="2" t="s">
        <v>200</v>
      </c>
      <c r="BX285" s="2" t="s">
        <v>264</v>
      </c>
      <c r="BY285" s="2" t="s">
        <v>247</v>
      </c>
      <c r="BZ285" s="2" t="s">
        <v>212</v>
      </c>
      <c r="CA285" s="2" t="s">
        <v>2204</v>
      </c>
      <c r="CB285" s="2" t="s">
        <v>2205</v>
      </c>
      <c r="CC285" s="2" t="s">
        <v>213</v>
      </c>
      <c r="CD285" s="2" t="s">
        <v>200</v>
      </c>
      <c r="CE285" s="4">
        <v>269</v>
      </c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</row>
    <row r="286">
      <c r="A286" s="2" t="s">
        <v>2206</v>
      </c>
      <c r="B286" s="2" t="s">
        <v>195</v>
      </c>
      <c r="C286" s="2" t="s">
        <v>745</v>
      </c>
      <c r="D286" s="2" t="s">
        <v>2171</v>
      </c>
      <c r="E286" s="2" t="s">
        <v>2172</v>
      </c>
      <c r="F286" s="2" t="s">
        <v>2173</v>
      </c>
      <c r="G286" s="2" t="s">
        <v>2173</v>
      </c>
      <c r="H286" s="2" t="s">
        <v>2173</v>
      </c>
      <c r="I286" s="2" t="s">
        <v>2174</v>
      </c>
      <c r="J286" s="2" t="s">
        <v>2175</v>
      </c>
      <c r="K286" s="2" t="s">
        <v>221</v>
      </c>
      <c r="L286" s="3">
        <v>18.4</v>
      </c>
      <c r="M286" s="3">
        <v>19.32</v>
      </c>
      <c r="N286" s="3">
        <v>39.99</v>
      </c>
      <c r="O286" s="2" t="s">
        <v>212</v>
      </c>
      <c r="P286" s="2" t="s">
        <v>750</v>
      </c>
      <c r="Q286" s="2" t="s">
        <v>206</v>
      </c>
      <c r="R286" s="2" t="s">
        <v>200</v>
      </c>
      <c r="S286" s="2" t="s">
        <v>2187</v>
      </c>
      <c r="T286" s="2" t="s">
        <v>2177</v>
      </c>
      <c r="U286" s="2" t="s">
        <v>270</v>
      </c>
      <c r="V286" s="2" t="s">
        <v>208</v>
      </c>
      <c r="W286" s="2" t="s">
        <v>241</v>
      </c>
      <c r="X286" s="2" t="s">
        <v>1271</v>
      </c>
      <c r="Y286" s="2" t="s">
        <v>2201</v>
      </c>
      <c r="Z286" s="4">
        <v>297</v>
      </c>
      <c r="AA286" s="4">
        <f>=ROUNDDOWN(228.461538461538,0)</f>
      </c>
      <c r="AB286" s="5">
        <v>1.3</v>
      </c>
      <c r="AC286" s="2" t="s">
        <v>200</v>
      </c>
      <c r="AD286" s="4"/>
      <c r="AE286" s="4"/>
      <c r="AF286" s="6">
        <v>64</v>
      </c>
      <c r="AG286" s="6"/>
      <c r="AH286" s="7">
        <v>1</v>
      </c>
      <c r="AI286" s="4"/>
      <c r="AJ286" s="4">
        <f>=ROUNDDOWN({0},0)</f>
      </c>
      <c r="AK286" s="5"/>
      <c r="AL286" s="2" t="s">
        <v>200</v>
      </c>
      <c r="AM286" s="4"/>
      <c r="AN286" s="4"/>
      <c r="AO286" s="7"/>
      <c r="AP286" s="4"/>
      <c r="AQ286" s="8"/>
      <c r="AR286" s="4"/>
      <c r="AS286" s="8"/>
      <c r="AT286" s="7"/>
      <c r="AU286" s="7"/>
      <c r="AV286" s="4" t="s">
        <v>200</v>
      </c>
      <c r="AW286" s="8" t="s">
        <v>200</v>
      </c>
      <c r="AX286" s="4" t="s">
        <v>200</v>
      </c>
      <c r="AY286" s="8" t="s">
        <v>200</v>
      </c>
      <c r="AZ286" s="7" t="s">
        <v>200</v>
      </c>
      <c r="BA286" s="7" t="s">
        <v>200</v>
      </c>
      <c r="BB286" s="7"/>
      <c r="BC286" s="4" t="s">
        <v>200</v>
      </c>
      <c r="BD286" s="8" t="s">
        <v>200</v>
      </c>
      <c r="BE286" s="4" t="s">
        <v>200</v>
      </c>
      <c r="BF286" s="8" t="s">
        <v>200</v>
      </c>
      <c r="BG286" s="7" t="s">
        <v>200</v>
      </c>
      <c r="BH286" s="7" t="s">
        <v>200</v>
      </c>
      <c r="BI286" s="7"/>
      <c r="BJ286" s="4">
        <v>7</v>
      </c>
      <c r="BK286" s="8">
        <v>112.38</v>
      </c>
      <c r="BL286" s="2" t="s">
        <v>2207</v>
      </c>
      <c r="BM286" s="7"/>
      <c r="BN286" s="7"/>
      <c r="BO286" s="4"/>
      <c r="BP286" s="8"/>
      <c r="BQ286" s="4"/>
      <c r="BR286" s="8"/>
      <c r="BS286" s="7"/>
      <c r="BT286" s="7"/>
      <c r="BU286" s="2" t="s">
        <v>2208</v>
      </c>
      <c r="BV286" s="2" t="s">
        <v>200</v>
      </c>
      <c r="BW286" s="2" t="s">
        <v>200</v>
      </c>
      <c r="BX286" s="2" t="s">
        <v>264</v>
      </c>
      <c r="BY286" s="2" t="s">
        <v>247</v>
      </c>
      <c r="BZ286" s="2" t="s">
        <v>212</v>
      </c>
      <c r="CA286" s="2" t="s">
        <v>2204</v>
      </c>
      <c r="CB286" s="2" t="s">
        <v>2209</v>
      </c>
      <c r="CC286" s="2" t="s">
        <v>213</v>
      </c>
      <c r="CD286" s="2" t="s">
        <v>200</v>
      </c>
      <c r="CE286" s="4">
        <v>297</v>
      </c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</row>
    <row r="287">
      <c r="A287" s="2" t="s">
        <v>2210</v>
      </c>
      <c r="B287" s="2" t="s">
        <v>195</v>
      </c>
      <c r="C287" s="2" t="s">
        <v>745</v>
      </c>
      <c r="D287" s="2" t="s">
        <v>2171</v>
      </c>
      <c r="E287" s="2" t="s">
        <v>2172</v>
      </c>
      <c r="F287" s="2" t="s">
        <v>2173</v>
      </c>
      <c r="G287" s="2" t="s">
        <v>2173</v>
      </c>
      <c r="H287" s="2" t="s">
        <v>2173</v>
      </c>
      <c r="I287" s="2" t="s">
        <v>2194</v>
      </c>
      <c r="J287" s="2" t="s">
        <v>2195</v>
      </c>
      <c r="K287" s="2" t="s">
        <v>436</v>
      </c>
      <c r="L287" s="3">
        <v>10.58</v>
      </c>
      <c r="M287" s="3">
        <v>11.11</v>
      </c>
      <c r="N287" s="3">
        <v>22.99</v>
      </c>
      <c r="O287" s="2" t="s">
        <v>212</v>
      </c>
      <c r="P287" s="2" t="s">
        <v>258</v>
      </c>
      <c r="Q287" s="2" t="s">
        <v>206</v>
      </c>
      <c r="R287" s="2" t="s">
        <v>200</v>
      </c>
      <c r="S287" s="2" t="s">
        <v>2211</v>
      </c>
      <c r="T287" s="2" t="s">
        <v>2177</v>
      </c>
      <c r="U287" s="2" t="s">
        <v>200</v>
      </c>
      <c r="V287" s="2" t="s">
        <v>208</v>
      </c>
      <c r="W287" s="2" t="s">
        <v>241</v>
      </c>
      <c r="X287" s="2" t="s">
        <v>1271</v>
      </c>
      <c r="Y287" s="2" t="s">
        <v>261</v>
      </c>
      <c r="Z287" s="4">
        <v>617</v>
      </c>
      <c r="AA287" s="4">
        <f>=ROUNDDOWN(77.125,0)</f>
      </c>
      <c r="AB287" s="5">
        <v>8</v>
      </c>
      <c r="AC287" s="2" t="s">
        <v>200</v>
      </c>
      <c r="AD287" s="4"/>
      <c r="AE287" s="4"/>
      <c r="AF287" s="6">
        <v>64</v>
      </c>
      <c r="AG287" s="6"/>
      <c r="AH287" s="7">
        <v>1</v>
      </c>
      <c r="AI287" s="4"/>
      <c r="AJ287" s="4">
        <f>=ROUNDDOWN({0},0)</f>
      </c>
      <c r="AK287" s="5"/>
      <c r="AL287" s="2" t="s">
        <v>200</v>
      </c>
      <c r="AM287" s="4"/>
      <c r="AN287" s="4"/>
      <c r="AO287" s="7"/>
      <c r="AP287" s="4"/>
      <c r="AQ287" s="8"/>
      <c r="AR287" s="4"/>
      <c r="AS287" s="8"/>
      <c r="AT287" s="7"/>
      <c r="AU287" s="7"/>
      <c r="AV287" s="4"/>
      <c r="AW287" s="8"/>
      <c r="AX287" s="4"/>
      <c r="AY287" s="8"/>
      <c r="AZ287" s="7"/>
      <c r="BA287" s="7"/>
      <c r="BB287" s="7"/>
      <c r="BC287" s="4" t="s">
        <v>200</v>
      </c>
      <c r="BD287" s="8" t="s">
        <v>200</v>
      </c>
      <c r="BE287" s="4" t="s">
        <v>200</v>
      </c>
      <c r="BF287" s="8" t="s">
        <v>200</v>
      </c>
      <c r="BG287" s="7" t="s">
        <v>200</v>
      </c>
      <c r="BH287" s="7" t="s">
        <v>200</v>
      </c>
      <c r="BI287" s="7"/>
      <c r="BJ287" s="4">
        <v>131</v>
      </c>
      <c r="BK287" s="8">
        <v>1476.37</v>
      </c>
      <c r="BL287" s="2" t="s">
        <v>2212</v>
      </c>
      <c r="BM287" s="7"/>
      <c r="BN287" s="7"/>
      <c r="BO287" s="4"/>
      <c r="BP287" s="8"/>
      <c r="BQ287" s="4"/>
      <c r="BR287" s="8"/>
      <c r="BS287" s="7"/>
      <c r="BT287" s="7"/>
      <c r="BU287" s="2" t="s">
        <v>2213</v>
      </c>
      <c r="BV287" s="2" t="s">
        <v>200</v>
      </c>
      <c r="BW287" s="2" t="s">
        <v>200</v>
      </c>
      <c r="BX287" s="2" t="s">
        <v>264</v>
      </c>
      <c r="BY287" s="2" t="s">
        <v>247</v>
      </c>
      <c r="BZ287" s="2" t="s">
        <v>212</v>
      </c>
      <c r="CA287" s="2" t="s">
        <v>391</v>
      </c>
      <c r="CB287" s="2" t="s">
        <v>2214</v>
      </c>
      <c r="CC287" s="2" t="s">
        <v>213</v>
      </c>
      <c r="CD287" s="2" t="s">
        <v>200</v>
      </c>
      <c r="CE287" s="4">
        <v>617</v>
      </c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</row>
    <row r="288">
      <c r="A288" s="2" t="s">
        <v>2215</v>
      </c>
      <c r="B288" s="2" t="s">
        <v>195</v>
      </c>
      <c r="C288" s="2" t="s">
        <v>745</v>
      </c>
      <c r="D288" s="2" t="s">
        <v>2171</v>
      </c>
      <c r="E288" s="2" t="s">
        <v>2172</v>
      </c>
      <c r="F288" s="2" t="s">
        <v>2173</v>
      </c>
      <c r="G288" s="2" t="s">
        <v>2173</v>
      </c>
      <c r="H288" s="2" t="s">
        <v>2173</v>
      </c>
      <c r="I288" s="2" t="s">
        <v>2194</v>
      </c>
      <c r="J288" s="2" t="s">
        <v>2195</v>
      </c>
      <c r="K288" s="2" t="s">
        <v>850</v>
      </c>
      <c r="L288" s="3">
        <v>10.58</v>
      </c>
      <c r="M288" s="3">
        <v>11.11</v>
      </c>
      <c r="N288" s="3">
        <v>22.99</v>
      </c>
      <c r="O288" s="2" t="s">
        <v>212</v>
      </c>
      <c r="P288" s="2" t="s">
        <v>258</v>
      </c>
      <c r="Q288" s="2" t="s">
        <v>206</v>
      </c>
      <c r="R288" s="2" t="s">
        <v>200</v>
      </c>
      <c r="S288" s="2" t="s">
        <v>2216</v>
      </c>
      <c r="T288" s="2" t="s">
        <v>2177</v>
      </c>
      <c r="U288" s="2" t="s">
        <v>270</v>
      </c>
      <c r="V288" s="2" t="s">
        <v>208</v>
      </c>
      <c r="W288" s="2" t="s">
        <v>241</v>
      </c>
      <c r="X288" s="2" t="s">
        <v>1271</v>
      </c>
      <c r="Y288" s="2" t="s">
        <v>1206</v>
      </c>
      <c r="Z288" s="4">
        <v>286</v>
      </c>
      <c r="AA288" s="4">
        <f>=ROUNDDOWN(204.285714285714,0)</f>
      </c>
      <c r="AB288" s="5">
        <v>1.4</v>
      </c>
      <c r="AC288" s="2" t="s">
        <v>200</v>
      </c>
      <c r="AD288" s="4"/>
      <c r="AE288" s="4"/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200</v>
      </c>
      <c r="AM288" s="4"/>
      <c r="AN288" s="4"/>
      <c r="AO288" s="7"/>
      <c r="AP288" s="4"/>
      <c r="AQ288" s="8"/>
      <c r="AR288" s="4"/>
      <c r="AS288" s="8"/>
      <c r="AT288" s="7"/>
      <c r="AU288" s="7"/>
      <c r="AV288" s="4" t="s">
        <v>200</v>
      </c>
      <c r="AW288" s="8" t="s">
        <v>200</v>
      </c>
      <c r="AX288" s="4" t="s">
        <v>200</v>
      </c>
      <c r="AY288" s="8" t="s">
        <v>200</v>
      </c>
      <c r="AZ288" s="7" t="s">
        <v>200</v>
      </c>
      <c r="BA288" s="7" t="s">
        <v>200</v>
      </c>
      <c r="BB288" s="7"/>
      <c r="BC288" s="4" t="s">
        <v>200</v>
      </c>
      <c r="BD288" s="8" t="s">
        <v>200</v>
      </c>
      <c r="BE288" s="4" t="s">
        <v>200</v>
      </c>
      <c r="BF288" s="8" t="s">
        <v>200</v>
      </c>
      <c r="BG288" s="7" t="s">
        <v>200</v>
      </c>
      <c r="BH288" s="7" t="s">
        <v>200</v>
      </c>
      <c r="BI288" s="7"/>
      <c r="BJ288" s="4">
        <v>7</v>
      </c>
      <c r="BK288" s="8">
        <v>90.53</v>
      </c>
      <c r="BL288" s="2" t="s">
        <v>2196</v>
      </c>
      <c r="BM288" s="7"/>
      <c r="BN288" s="7"/>
      <c r="BO288" s="4"/>
      <c r="BP288" s="8"/>
      <c r="BQ288" s="4"/>
      <c r="BR288" s="8"/>
      <c r="BS288" s="7"/>
      <c r="BT288" s="7"/>
      <c r="BU288" s="2" t="s">
        <v>2217</v>
      </c>
      <c r="BV288" s="2" t="s">
        <v>200</v>
      </c>
      <c r="BW288" s="2" t="s">
        <v>200</v>
      </c>
      <c r="BX288" s="2" t="s">
        <v>264</v>
      </c>
      <c r="BY288" s="2" t="s">
        <v>247</v>
      </c>
      <c r="BZ288" s="2" t="s">
        <v>212</v>
      </c>
      <c r="CA288" s="2" t="s">
        <v>2180</v>
      </c>
      <c r="CB288" s="2" t="s">
        <v>1940</v>
      </c>
      <c r="CC288" s="2" t="s">
        <v>213</v>
      </c>
      <c r="CD288" s="2" t="s">
        <v>200</v>
      </c>
      <c r="CE288" s="4">
        <v>286</v>
      </c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</row>
    <row r="289">
      <c r="A289" s="2" t="s">
        <v>2218</v>
      </c>
      <c r="B289" s="2" t="s">
        <v>195</v>
      </c>
      <c r="C289" s="2" t="s">
        <v>745</v>
      </c>
      <c r="D289" s="2" t="s">
        <v>2171</v>
      </c>
      <c r="E289" s="2" t="s">
        <v>2172</v>
      </c>
      <c r="F289" s="2" t="s">
        <v>2173</v>
      </c>
      <c r="G289" s="2" t="s">
        <v>2173</v>
      </c>
      <c r="H289" s="2" t="s">
        <v>2173</v>
      </c>
      <c r="I289" s="2" t="s">
        <v>2174</v>
      </c>
      <c r="J289" s="2" t="s">
        <v>2175</v>
      </c>
      <c r="K289" s="2" t="s">
        <v>850</v>
      </c>
      <c r="L289" s="3">
        <v>18.4</v>
      </c>
      <c r="M289" s="3">
        <v>19.32</v>
      </c>
      <c r="N289" s="3">
        <v>39.99</v>
      </c>
      <c r="O289" s="2" t="s">
        <v>212</v>
      </c>
      <c r="P289" s="2" t="s">
        <v>258</v>
      </c>
      <c r="Q289" s="2" t="s">
        <v>206</v>
      </c>
      <c r="R289" s="2" t="s">
        <v>200</v>
      </c>
      <c r="S289" s="2" t="s">
        <v>2216</v>
      </c>
      <c r="T289" s="2" t="s">
        <v>2177</v>
      </c>
      <c r="U289" s="2" t="s">
        <v>270</v>
      </c>
      <c r="V289" s="2" t="s">
        <v>208</v>
      </c>
      <c r="W289" s="2" t="s">
        <v>241</v>
      </c>
      <c r="X289" s="2" t="s">
        <v>1271</v>
      </c>
      <c r="Y289" s="2" t="s">
        <v>1206</v>
      </c>
      <c r="Z289" s="4">
        <v>143</v>
      </c>
      <c r="AA289" s="4">
        <f>=ROUNDDOWN(30.4255319148936,0)</f>
      </c>
      <c r="AB289" s="5">
        <v>4.7</v>
      </c>
      <c r="AC289" s="2" t="s">
        <v>200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200</v>
      </c>
      <c r="AM289" s="4"/>
      <c r="AN289" s="4"/>
      <c r="AO289" s="7"/>
      <c r="AP289" s="4"/>
      <c r="AQ289" s="8"/>
      <c r="AR289" s="4"/>
      <c r="AS289" s="8"/>
      <c r="AT289" s="7"/>
      <c r="AU289" s="7"/>
      <c r="AV289" s="4" t="s">
        <v>200</v>
      </c>
      <c r="AW289" s="8" t="s">
        <v>200</v>
      </c>
      <c r="AX289" s="4" t="s">
        <v>200</v>
      </c>
      <c r="AY289" s="8" t="s">
        <v>200</v>
      </c>
      <c r="AZ289" s="7" t="s">
        <v>200</v>
      </c>
      <c r="BA289" s="7" t="s">
        <v>200</v>
      </c>
      <c r="BB289" s="7"/>
      <c r="BC289" s="4" t="s">
        <v>200</v>
      </c>
      <c r="BD289" s="8" t="s">
        <v>200</v>
      </c>
      <c r="BE289" s="4" t="s">
        <v>200</v>
      </c>
      <c r="BF289" s="8" t="s">
        <v>200</v>
      </c>
      <c r="BG289" s="7" t="s">
        <v>200</v>
      </c>
      <c r="BH289" s="7" t="s">
        <v>200</v>
      </c>
      <c r="BI289" s="7"/>
      <c r="BJ289" s="4">
        <v>3</v>
      </c>
      <c r="BK289" s="8">
        <v>53.85</v>
      </c>
      <c r="BL289" s="2" t="s">
        <v>1292</v>
      </c>
      <c r="BM289" s="7"/>
      <c r="BN289" s="7"/>
      <c r="BO289" s="4"/>
      <c r="BP289" s="8"/>
      <c r="BQ289" s="4"/>
      <c r="BR289" s="8"/>
      <c r="BS289" s="7"/>
      <c r="BT289" s="7"/>
      <c r="BU289" s="2" t="s">
        <v>2219</v>
      </c>
      <c r="BV289" s="2" t="s">
        <v>200</v>
      </c>
      <c r="BW289" s="2" t="s">
        <v>200</v>
      </c>
      <c r="BX289" s="2" t="s">
        <v>264</v>
      </c>
      <c r="BY289" s="2" t="s">
        <v>247</v>
      </c>
      <c r="BZ289" s="2" t="s">
        <v>212</v>
      </c>
      <c r="CA289" s="2" t="s">
        <v>2180</v>
      </c>
      <c r="CB289" s="2" t="s">
        <v>2220</v>
      </c>
      <c r="CC289" s="2" t="s">
        <v>213</v>
      </c>
      <c r="CD289" s="2" t="s">
        <v>200</v>
      </c>
      <c r="CE289" s="4">
        <v>143</v>
      </c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</row>
    <row r="290">
      <c r="A290" s="2" t="s">
        <v>2221</v>
      </c>
      <c r="B290" s="2" t="s">
        <v>903</v>
      </c>
      <c r="C290" s="2" t="s">
        <v>1759</v>
      </c>
      <c r="D290" s="2" t="s">
        <v>1818</v>
      </c>
      <c r="E290" s="2" t="s">
        <v>2020</v>
      </c>
      <c r="F290" s="2" t="s">
        <v>2222</v>
      </c>
      <c r="G290" s="2" t="s">
        <v>2222</v>
      </c>
      <c r="H290" s="2" t="s">
        <v>2222</v>
      </c>
      <c r="I290" s="2" t="s">
        <v>2223</v>
      </c>
      <c r="J290" s="2" t="s">
        <v>612</v>
      </c>
      <c r="K290" s="2" t="s">
        <v>387</v>
      </c>
      <c r="L290" s="3">
        <v>68.57</v>
      </c>
      <c r="M290" s="3">
        <v>72</v>
      </c>
      <c r="N290" s="3">
        <v>149.99</v>
      </c>
      <c r="O290" s="2" t="s">
        <v>212</v>
      </c>
      <c r="P290" s="2" t="s">
        <v>675</v>
      </c>
      <c r="Q290" s="2" t="s">
        <v>206</v>
      </c>
      <c r="R290" s="2" t="s">
        <v>200</v>
      </c>
      <c r="S290" s="2" t="s">
        <v>200</v>
      </c>
      <c r="T290" s="2" t="s">
        <v>312</v>
      </c>
      <c r="U290" s="2" t="s">
        <v>454</v>
      </c>
      <c r="V290" s="2" t="s">
        <v>208</v>
      </c>
      <c r="W290" s="2" t="s">
        <v>2224</v>
      </c>
      <c r="X290" s="2" t="s">
        <v>200</v>
      </c>
      <c r="Y290" s="2" t="s">
        <v>200</v>
      </c>
      <c r="Z290" s="4"/>
      <c r="AA290" s="4">
        <f>=ROUNDDOWN({0},0)</f>
      </c>
      <c r="AB290" s="5"/>
      <c r="AC290" s="2" t="s">
        <v>2225</v>
      </c>
      <c r="AD290" s="4">
        <v>190</v>
      </c>
      <c r="AE290" s="4">
        <v>190</v>
      </c>
      <c r="AF290" s="6">
        <v>69</v>
      </c>
      <c r="AG290" s="6"/>
      <c r="AH290" s="7"/>
      <c r="AI290" s="4"/>
      <c r="AJ290" s="4">
        <f>=ROUNDDOWN({0},0)</f>
      </c>
      <c r="AK290" s="5"/>
      <c r="AL290" s="2" t="s">
        <v>200</v>
      </c>
      <c r="AM290" s="4"/>
      <c r="AN290" s="4"/>
      <c r="AO290" s="7"/>
      <c r="AP290" s="4"/>
      <c r="AQ290" s="8"/>
      <c r="AR290" s="4"/>
      <c r="AS290" s="8"/>
      <c r="AT290" s="7"/>
      <c r="AU290" s="7"/>
      <c r="AV290" s="4" t="s">
        <v>200</v>
      </c>
      <c r="AW290" s="8" t="s">
        <v>200</v>
      </c>
      <c r="AX290" s="4" t="s">
        <v>200</v>
      </c>
      <c r="AY290" s="8" t="s">
        <v>200</v>
      </c>
      <c r="AZ290" s="7" t="s">
        <v>200</v>
      </c>
      <c r="BA290" s="7" t="s">
        <v>200</v>
      </c>
      <c r="BB290" s="7"/>
      <c r="BC290" s="4" t="s">
        <v>200</v>
      </c>
      <c r="BD290" s="8" t="s">
        <v>200</v>
      </c>
      <c r="BE290" s="4" t="s">
        <v>200</v>
      </c>
      <c r="BF290" s="8" t="s">
        <v>200</v>
      </c>
      <c r="BG290" s="7" t="s">
        <v>200</v>
      </c>
      <c r="BH290" s="7" t="s">
        <v>200</v>
      </c>
      <c r="BI290" s="7"/>
      <c r="BJ290" s="4"/>
      <c r="BK290" s="8"/>
      <c r="BL290" s="2" t="s">
        <v>200</v>
      </c>
      <c r="BM290" s="7"/>
      <c r="BN290" s="7"/>
      <c r="BO290" s="4"/>
      <c r="BP290" s="8"/>
      <c r="BQ290" s="4"/>
      <c r="BR290" s="8"/>
      <c r="BS290" s="7"/>
      <c r="BT290" s="7"/>
      <c r="BU290" s="2" t="s">
        <v>210</v>
      </c>
      <c r="BV290" s="2" t="s">
        <v>200</v>
      </c>
      <c r="BW290" s="2" t="s">
        <v>200</v>
      </c>
      <c r="BX290" s="2" t="s">
        <v>210</v>
      </c>
      <c r="BY290" s="2" t="s">
        <v>211</v>
      </c>
      <c r="BZ290" s="2" t="s">
        <v>212</v>
      </c>
      <c r="CA290" s="2" t="s">
        <v>200</v>
      </c>
      <c r="CB290" s="2" t="s">
        <v>200</v>
      </c>
      <c r="CC290" s="2" t="s">
        <v>213</v>
      </c>
      <c r="CD290" s="2" t="s">
        <v>200</v>
      </c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>
        <v>190</v>
      </c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</row>
    <row r="291">
      <c r="A291" s="2" t="s">
        <v>2226</v>
      </c>
      <c r="B291" s="2" t="s">
        <v>903</v>
      </c>
      <c r="C291" s="2" t="s">
        <v>1759</v>
      </c>
      <c r="D291" s="2" t="s">
        <v>1818</v>
      </c>
      <c r="E291" s="2" t="s">
        <v>2020</v>
      </c>
      <c r="F291" s="2" t="s">
        <v>2222</v>
      </c>
      <c r="G291" s="2" t="s">
        <v>2222</v>
      </c>
      <c r="H291" s="2" t="s">
        <v>2222</v>
      </c>
      <c r="I291" s="2" t="s">
        <v>2223</v>
      </c>
      <c r="J291" s="2" t="s">
        <v>302</v>
      </c>
      <c r="K291" s="2" t="s">
        <v>387</v>
      </c>
      <c r="L291" s="3">
        <v>77.71</v>
      </c>
      <c r="M291" s="3">
        <v>81.6</v>
      </c>
      <c r="N291" s="3">
        <v>169.99</v>
      </c>
      <c r="O291" s="2" t="s">
        <v>212</v>
      </c>
      <c r="P291" s="2" t="s">
        <v>675</v>
      </c>
      <c r="Q291" s="2" t="s">
        <v>206</v>
      </c>
      <c r="R291" s="2" t="s">
        <v>200</v>
      </c>
      <c r="S291" s="2" t="s">
        <v>200</v>
      </c>
      <c r="T291" s="2" t="s">
        <v>312</v>
      </c>
      <c r="U291" s="2" t="s">
        <v>454</v>
      </c>
      <c r="V291" s="2" t="s">
        <v>208</v>
      </c>
      <c r="W291" s="2" t="s">
        <v>2224</v>
      </c>
      <c r="X291" s="2" t="s">
        <v>200</v>
      </c>
      <c r="Y291" s="2" t="s">
        <v>200</v>
      </c>
      <c r="Z291" s="4"/>
      <c r="AA291" s="4">
        <f>=ROUNDDOWN({0},0)</f>
      </c>
      <c r="AB291" s="5"/>
      <c r="AC291" s="2" t="s">
        <v>2225</v>
      </c>
      <c r="AD291" s="4">
        <v>210</v>
      </c>
      <c r="AE291" s="4">
        <v>210</v>
      </c>
      <c r="AF291" s="6">
        <v>69</v>
      </c>
      <c r="AG291" s="6"/>
      <c r="AH291" s="7"/>
      <c r="AI291" s="4"/>
      <c r="AJ291" s="4">
        <f>=ROUNDDOWN({0},0)</f>
      </c>
      <c r="AK291" s="5"/>
      <c r="AL291" s="2" t="s">
        <v>200</v>
      </c>
      <c r="AM291" s="4"/>
      <c r="AN291" s="4"/>
      <c r="AO291" s="7"/>
      <c r="AP291" s="4"/>
      <c r="AQ291" s="8"/>
      <c r="AR291" s="4"/>
      <c r="AS291" s="8"/>
      <c r="AT291" s="7"/>
      <c r="AU291" s="7"/>
      <c r="AV291" s="4" t="s">
        <v>200</v>
      </c>
      <c r="AW291" s="8" t="s">
        <v>200</v>
      </c>
      <c r="AX291" s="4" t="s">
        <v>200</v>
      </c>
      <c r="AY291" s="8" t="s">
        <v>200</v>
      </c>
      <c r="AZ291" s="7" t="s">
        <v>200</v>
      </c>
      <c r="BA291" s="7" t="s">
        <v>200</v>
      </c>
      <c r="BB291" s="7"/>
      <c r="BC291" s="4" t="s">
        <v>200</v>
      </c>
      <c r="BD291" s="8" t="s">
        <v>200</v>
      </c>
      <c r="BE291" s="4" t="s">
        <v>200</v>
      </c>
      <c r="BF291" s="8" t="s">
        <v>200</v>
      </c>
      <c r="BG291" s="7" t="s">
        <v>200</v>
      </c>
      <c r="BH291" s="7" t="s">
        <v>200</v>
      </c>
      <c r="BI291" s="7"/>
      <c r="BJ291" s="4"/>
      <c r="BK291" s="8"/>
      <c r="BL291" s="2" t="s">
        <v>200</v>
      </c>
      <c r="BM291" s="7"/>
      <c r="BN291" s="7"/>
      <c r="BO291" s="4"/>
      <c r="BP291" s="8"/>
      <c r="BQ291" s="4"/>
      <c r="BR291" s="8"/>
      <c r="BS291" s="7"/>
      <c r="BT291" s="7"/>
      <c r="BU291" s="2" t="s">
        <v>210</v>
      </c>
      <c r="BV291" s="2" t="s">
        <v>200</v>
      </c>
      <c r="BW291" s="2" t="s">
        <v>200</v>
      </c>
      <c r="BX291" s="2" t="s">
        <v>210</v>
      </c>
      <c r="BY291" s="2" t="s">
        <v>211</v>
      </c>
      <c r="BZ291" s="2" t="s">
        <v>212</v>
      </c>
      <c r="CA291" s="2" t="s">
        <v>200</v>
      </c>
      <c r="CB291" s="2" t="s">
        <v>200</v>
      </c>
      <c r="CC291" s="2" t="s">
        <v>213</v>
      </c>
      <c r="CD291" s="2" t="s">
        <v>200</v>
      </c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>
        <v>210</v>
      </c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</row>
    <row r="292">
      <c r="A292" s="2" t="s">
        <v>2227</v>
      </c>
      <c r="B292" s="2" t="s">
        <v>903</v>
      </c>
      <c r="C292" s="2" t="s">
        <v>1759</v>
      </c>
      <c r="D292" s="2" t="s">
        <v>2228</v>
      </c>
      <c r="E292" s="2" t="s">
        <v>2229</v>
      </c>
      <c r="F292" s="2" t="s">
        <v>2222</v>
      </c>
      <c r="G292" s="2" t="s">
        <v>2222</v>
      </c>
      <c r="H292" s="2" t="s">
        <v>2222</v>
      </c>
      <c r="I292" s="2" t="s">
        <v>2230</v>
      </c>
      <c r="J292" s="2" t="s">
        <v>2231</v>
      </c>
      <c r="K292" s="2" t="s">
        <v>387</v>
      </c>
      <c r="L292" s="3">
        <v>11.42</v>
      </c>
      <c r="M292" s="3">
        <v>11.99</v>
      </c>
      <c r="N292" s="3">
        <v>24.99</v>
      </c>
      <c r="O292" s="2" t="s">
        <v>212</v>
      </c>
      <c r="P292" s="2" t="s">
        <v>675</v>
      </c>
      <c r="Q292" s="2" t="s">
        <v>206</v>
      </c>
      <c r="R292" s="2" t="s">
        <v>200</v>
      </c>
      <c r="S292" s="2" t="s">
        <v>200</v>
      </c>
      <c r="T292" s="2" t="s">
        <v>312</v>
      </c>
      <c r="U292" s="2" t="s">
        <v>270</v>
      </c>
      <c r="V292" s="2" t="s">
        <v>208</v>
      </c>
      <c r="W292" s="2" t="s">
        <v>2224</v>
      </c>
      <c r="X292" s="2" t="s">
        <v>200</v>
      </c>
      <c r="Y292" s="2" t="s">
        <v>200</v>
      </c>
      <c r="Z292" s="4"/>
      <c r="AA292" s="4">
        <f>=ROUNDDOWN({0},0)</f>
      </c>
      <c r="AB292" s="5"/>
      <c r="AC292" s="2" t="s">
        <v>2225</v>
      </c>
      <c r="AD292" s="4">
        <v>210</v>
      </c>
      <c r="AE292" s="4">
        <v>210</v>
      </c>
      <c r="AF292" s="6">
        <v>69</v>
      </c>
      <c r="AG292" s="6"/>
      <c r="AH292" s="7"/>
      <c r="AI292" s="4"/>
      <c r="AJ292" s="4">
        <f>=ROUNDDOWN({0},0)</f>
      </c>
      <c r="AK292" s="5"/>
      <c r="AL292" s="2" t="s">
        <v>200</v>
      </c>
      <c r="AM292" s="4"/>
      <c r="AN292" s="4"/>
      <c r="AO292" s="7"/>
      <c r="AP292" s="4"/>
      <c r="AQ292" s="8"/>
      <c r="AR292" s="4"/>
      <c r="AS292" s="8"/>
      <c r="AT292" s="7"/>
      <c r="AU292" s="7"/>
      <c r="AV292" s="4" t="s">
        <v>200</v>
      </c>
      <c r="AW292" s="8" t="s">
        <v>200</v>
      </c>
      <c r="AX292" s="4" t="s">
        <v>200</v>
      </c>
      <c r="AY292" s="8" t="s">
        <v>200</v>
      </c>
      <c r="AZ292" s="7" t="s">
        <v>200</v>
      </c>
      <c r="BA292" s="7" t="s">
        <v>200</v>
      </c>
      <c r="BB292" s="7"/>
      <c r="BC292" s="4" t="s">
        <v>200</v>
      </c>
      <c r="BD292" s="8" t="s">
        <v>200</v>
      </c>
      <c r="BE292" s="4" t="s">
        <v>200</v>
      </c>
      <c r="BF292" s="8" t="s">
        <v>200</v>
      </c>
      <c r="BG292" s="7" t="s">
        <v>200</v>
      </c>
      <c r="BH292" s="7" t="s">
        <v>200</v>
      </c>
      <c r="BI292" s="7"/>
      <c r="BJ292" s="4"/>
      <c r="BK292" s="8"/>
      <c r="BL292" s="2" t="s">
        <v>200</v>
      </c>
      <c r="BM292" s="7"/>
      <c r="BN292" s="7"/>
      <c r="BO292" s="4"/>
      <c r="BP292" s="8"/>
      <c r="BQ292" s="4"/>
      <c r="BR292" s="8"/>
      <c r="BS292" s="7"/>
      <c r="BT292" s="7"/>
      <c r="BU292" s="2" t="s">
        <v>210</v>
      </c>
      <c r="BV292" s="2" t="s">
        <v>200</v>
      </c>
      <c r="BW292" s="2" t="s">
        <v>200</v>
      </c>
      <c r="BX292" s="2" t="s">
        <v>210</v>
      </c>
      <c r="BY292" s="2" t="s">
        <v>211</v>
      </c>
      <c r="BZ292" s="2" t="s">
        <v>212</v>
      </c>
      <c r="CA292" s="2" t="s">
        <v>200</v>
      </c>
      <c r="CB292" s="2" t="s">
        <v>200</v>
      </c>
      <c r="CC292" s="2" t="s">
        <v>213</v>
      </c>
      <c r="CD292" s="2" t="s">
        <v>200</v>
      </c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>
        <v>210</v>
      </c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</row>
    <row r="293">
      <c r="A293" s="2" t="s">
        <v>2232</v>
      </c>
      <c r="B293" s="2" t="s">
        <v>903</v>
      </c>
      <c r="C293" s="2" t="s">
        <v>1759</v>
      </c>
      <c r="D293" s="2" t="s">
        <v>1818</v>
      </c>
      <c r="E293" s="2" t="s">
        <v>2020</v>
      </c>
      <c r="F293" s="2" t="s">
        <v>2222</v>
      </c>
      <c r="G293" s="2" t="s">
        <v>2222</v>
      </c>
      <c r="H293" s="2" t="s">
        <v>2222</v>
      </c>
      <c r="I293" s="2" t="s">
        <v>2223</v>
      </c>
      <c r="J293" s="2" t="s">
        <v>612</v>
      </c>
      <c r="K293" s="2" t="s">
        <v>2233</v>
      </c>
      <c r="L293" s="3">
        <v>68.57</v>
      </c>
      <c r="M293" s="3">
        <v>72</v>
      </c>
      <c r="N293" s="3">
        <v>149.99</v>
      </c>
      <c r="O293" s="2" t="s">
        <v>212</v>
      </c>
      <c r="P293" s="2" t="s">
        <v>675</v>
      </c>
      <c r="Q293" s="2" t="s">
        <v>206</v>
      </c>
      <c r="R293" s="2" t="s">
        <v>200</v>
      </c>
      <c r="S293" s="2" t="s">
        <v>200</v>
      </c>
      <c r="T293" s="2" t="s">
        <v>312</v>
      </c>
      <c r="U293" s="2" t="s">
        <v>454</v>
      </c>
      <c r="V293" s="2" t="s">
        <v>208</v>
      </c>
      <c r="W293" s="2" t="s">
        <v>2224</v>
      </c>
      <c r="X293" s="2" t="s">
        <v>200</v>
      </c>
      <c r="Y293" s="2" t="s">
        <v>200</v>
      </c>
      <c r="Z293" s="4"/>
      <c r="AA293" s="4">
        <f>=ROUNDDOWN({0},0)</f>
      </c>
      <c r="AB293" s="5"/>
      <c r="AC293" s="2" t="s">
        <v>2225</v>
      </c>
      <c r="AD293" s="4">
        <v>190</v>
      </c>
      <c r="AE293" s="4">
        <v>190</v>
      </c>
      <c r="AF293" s="6">
        <v>69</v>
      </c>
      <c r="AG293" s="6"/>
      <c r="AH293" s="7"/>
      <c r="AI293" s="4"/>
      <c r="AJ293" s="4">
        <f>=ROUNDDOWN({0},0)</f>
      </c>
      <c r="AK293" s="5"/>
      <c r="AL293" s="2" t="s">
        <v>200</v>
      </c>
      <c r="AM293" s="4"/>
      <c r="AN293" s="4"/>
      <c r="AO293" s="7"/>
      <c r="AP293" s="4"/>
      <c r="AQ293" s="8"/>
      <c r="AR293" s="4"/>
      <c r="AS293" s="8"/>
      <c r="AT293" s="7"/>
      <c r="AU293" s="7"/>
      <c r="AV293" s="4" t="s">
        <v>200</v>
      </c>
      <c r="AW293" s="8" t="s">
        <v>200</v>
      </c>
      <c r="AX293" s="4" t="s">
        <v>200</v>
      </c>
      <c r="AY293" s="8" t="s">
        <v>200</v>
      </c>
      <c r="AZ293" s="7" t="s">
        <v>200</v>
      </c>
      <c r="BA293" s="7" t="s">
        <v>200</v>
      </c>
      <c r="BB293" s="7"/>
      <c r="BC293" s="4" t="s">
        <v>200</v>
      </c>
      <c r="BD293" s="8" t="s">
        <v>200</v>
      </c>
      <c r="BE293" s="4" t="s">
        <v>200</v>
      </c>
      <c r="BF293" s="8" t="s">
        <v>200</v>
      </c>
      <c r="BG293" s="7" t="s">
        <v>200</v>
      </c>
      <c r="BH293" s="7" t="s">
        <v>200</v>
      </c>
      <c r="BI293" s="7"/>
      <c r="BJ293" s="4"/>
      <c r="BK293" s="8"/>
      <c r="BL293" s="2" t="s">
        <v>200</v>
      </c>
      <c r="BM293" s="7"/>
      <c r="BN293" s="7"/>
      <c r="BO293" s="4"/>
      <c r="BP293" s="8"/>
      <c r="BQ293" s="4"/>
      <c r="BR293" s="8"/>
      <c r="BS293" s="7"/>
      <c r="BT293" s="7"/>
      <c r="BU293" s="2" t="s">
        <v>210</v>
      </c>
      <c r="BV293" s="2" t="s">
        <v>200</v>
      </c>
      <c r="BW293" s="2" t="s">
        <v>200</v>
      </c>
      <c r="BX293" s="2" t="s">
        <v>210</v>
      </c>
      <c r="BY293" s="2" t="s">
        <v>211</v>
      </c>
      <c r="BZ293" s="2" t="s">
        <v>212</v>
      </c>
      <c r="CA293" s="2" t="s">
        <v>200</v>
      </c>
      <c r="CB293" s="2" t="s">
        <v>200</v>
      </c>
      <c r="CC293" s="2" t="s">
        <v>213</v>
      </c>
      <c r="CD293" s="2" t="s">
        <v>200</v>
      </c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>
        <v>190</v>
      </c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</row>
    <row r="294">
      <c r="A294" s="2" t="s">
        <v>2234</v>
      </c>
      <c r="B294" s="2" t="s">
        <v>903</v>
      </c>
      <c r="C294" s="2" t="s">
        <v>1759</v>
      </c>
      <c r="D294" s="2" t="s">
        <v>1818</v>
      </c>
      <c r="E294" s="2" t="s">
        <v>2020</v>
      </c>
      <c r="F294" s="2" t="s">
        <v>2222</v>
      </c>
      <c r="G294" s="2" t="s">
        <v>2222</v>
      </c>
      <c r="H294" s="2" t="s">
        <v>2222</v>
      </c>
      <c r="I294" s="2" t="s">
        <v>2223</v>
      </c>
      <c r="J294" s="2" t="s">
        <v>302</v>
      </c>
      <c r="K294" s="2" t="s">
        <v>2233</v>
      </c>
      <c r="L294" s="3">
        <v>77.71</v>
      </c>
      <c r="M294" s="3">
        <v>81.6</v>
      </c>
      <c r="N294" s="3">
        <v>169.99</v>
      </c>
      <c r="O294" s="2" t="s">
        <v>212</v>
      </c>
      <c r="P294" s="2" t="s">
        <v>675</v>
      </c>
      <c r="Q294" s="2" t="s">
        <v>206</v>
      </c>
      <c r="R294" s="2" t="s">
        <v>200</v>
      </c>
      <c r="S294" s="2" t="s">
        <v>200</v>
      </c>
      <c r="T294" s="2" t="s">
        <v>312</v>
      </c>
      <c r="U294" s="2" t="s">
        <v>454</v>
      </c>
      <c r="V294" s="2" t="s">
        <v>208</v>
      </c>
      <c r="W294" s="2" t="s">
        <v>2224</v>
      </c>
      <c r="X294" s="2" t="s">
        <v>200</v>
      </c>
      <c r="Y294" s="2" t="s">
        <v>200</v>
      </c>
      <c r="Z294" s="4"/>
      <c r="AA294" s="4">
        <f>=ROUNDDOWN({0},0)</f>
      </c>
      <c r="AB294" s="5"/>
      <c r="AC294" s="2" t="s">
        <v>2225</v>
      </c>
      <c r="AD294" s="4">
        <v>210</v>
      </c>
      <c r="AE294" s="4">
        <v>210</v>
      </c>
      <c r="AF294" s="6">
        <v>69</v>
      </c>
      <c r="AG294" s="6"/>
      <c r="AH294" s="7"/>
      <c r="AI294" s="4"/>
      <c r="AJ294" s="4">
        <f>=ROUNDDOWN({0},0)</f>
      </c>
      <c r="AK294" s="5"/>
      <c r="AL294" s="2" t="s">
        <v>200</v>
      </c>
      <c r="AM294" s="4"/>
      <c r="AN294" s="4"/>
      <c r="AO294" s="7"/>
      <c r="AP294" s="4"/>
      <c r="AQ294" s="8"/>
      <c r="AR294" s="4"/>
      <c r="AS294" s="8"/>
      <c r="AT294" s="7"/>
      <c r="AU294" s="7"/>
      <c r="AV294" s="4" t="s">
        <v>200</v>
      </c>
      <c r="AW294" s="8" t="s">
        <v>200</v>
      </c>
      <c r="AX294" s="4" t="s">
        <v>200</v>
      </c>
      <c r="AY294" s="8" t="s">
        <v>200</v>
      </c>
      <c r="AZ294" s="7" t="s">
        <v>200</v>
      </c>
      <c r="BA294" s="7" t="s">
        <v>200</v>
      </c>
      <c r="BB294" s="7"/>
      <c r="BC294" s="4" t="s">
        <v>200</v>
      </c>
      <c r="BD294" s="8" t="s">
        <v>200</v>
      </c>
      <c r="BE294" s="4" t="s">
        <v>200</v>
      </c>
      <c r="BF294" s="8" t="s">
        <v>200</v>
      </c>
      <c r="BG294" s="7" t="s">
        <v>200</v>
      </c>
      <c r="BH294" s="7" t="s">
        <v>200</v>
      </c>
      <c r="BI294" s="7"/>
      <c r="BJ294" s="4"/>
      <c r="BK294" s="8"/>
      <c r="BL294" s="2" t="s">
        <v>200</v>
      </c>
      <c r="BM294" s="7"/>
      <c r="BN294" s="7"/>
      <c r="BO294" s="4"/>
      <c r="BP294" s="8"/>
      <c r="BQ294" s="4"/>
      <c r="BR294" s="8"/>
      <c r="BS294" s="7"/>
      <c r="BT294" s="7"/>
      <c r="BU294" s="2" t="s">
        <v>210</v>
      </c>
      <c r="BV294" s="2" t="s">
        <v>200</v>
      </c>
      <c r="BW294" s="2" t="s">
        <v>200</v>
      </c>
      <c r="BX294" s="2" t="s">
        <v>210</v>
      </c>
      <c r="BY294" s="2" t="s">
        <v>211</v>
      </c>
      <c r="BZ294" s="2" t="s">
        <v>212</v>
      </c>
      <c r="CA294" s="2" t="s">
        <v>200</v>
      </c>
      <c r="CB294" s="2" t="s">
        <v>200</v>
      </c>
      <c r="CC294" s="2" t="s">
        <v>213</v>
      </c>
      <c r="CD294" s="2" t="s">
        <v>200</v>
      </c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>
        <v>210</v>
      </c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</row>
    <row r="295">
      <c r="A295" s="2" t="s">
        <v>2235</v>
      </c>
      <c r="B295" s="2" t="s">
        <v>903</v>
      </c>
      <c r="C295" s="2" t="s">
        <v>1759</v>
      </c>
      <c r="D295" s="2" t="s">
        <v>2228</v>
      </c>
      <c r="E295" s="2" t="s">
        <v>2229</v>
      </c>
      <c r="F295" s="2" t="s">
        <v>2222</v>
      </c>
      <c r="G295" s="2" t="s">
        <v>2222</v>
      </c>
      <c r="H295" s="2" t="s">
        <v>2222</v>
      </c>
      <c r="I295" s="2" t="s">
        <v>2230</v>
      </c>
      <c r="J295" s="2" t="s">
        <v>2231</v>
      </c>
      <c r="K295" s="2" t="s">
        <v>2233</v>
      </c>
      <c r="L295" s="3">
        <v>11.42</v>
      </c>
      <c r="M295" s="3">
        <v>11.99</v>
      </c>
      <c r="N295" s="3">
        <v>24.99</v>
      </c>
      <c r="O295" s="2" t="s">
        <v>212</v>
      </c>
      <c r="P295" s="2" t="s">
        <v>675</v>
      </c>
      <c r="Q295" s="2" t="s">
        <v>206</v>
      </c>
      <c r="R295" s="2" t="s">
        <v>200</v>
      </c>
      <c r="S295" s="2" t="s">
        <v>200</v>
      </c>
      <c r="T295" s="2" t="s">
        <v>312</v>
      </c>
      <c r="U295" s="2" t="s">
        <v>270</v>
      </c>
      <c r="V295" s="2" t="s">
        <v>208</v>
      </c>
      <c r="W295" s="2" t="s">
        <v>2224</v>
      </c>
      <c r="X295" s="2" t="s">
        <v>200</v>
      </c>
      <c r="Y295" s="2" t="s">
        <v>200</v>
      </c>
      <c r="Z295" s="4"/>
      <c r="AA295" s="4">
        <f>=ROUNDDOWN({0},0)</f>
      </c>
      <c r="AB295" s="5"/>
      <c r="AC295" s="2" t="s">
        <v>2225</v>
      </c>
      <c r="AD295" s="4">
        <v>210</v>
      </c>
      <c r="AE295" s="4">
        <v>210</v>
      </c>
      <c r="AF295" s="6">
        <v>69</v>
      </c>
      <c r="AG295" s="6"/>
      <c r="AH295" s="7"/>
      <c r="AI295" s="4"/>
      <c r="AJ295" s="4">
        <f>=ROUNDDOWN({0},0)</f>
      </c>
      <c r="AK295" s="5"/>
      <c r="AL295" s="2" t="s">
        <v>200</v>
      </c>
      <c r="AM295" s="4"/>
      <c r="AN295" s="4"/>
      <c r="AO295" s="7"/>
      <c r="AP295" s="4"/>
      <c r="AQ295" s="8"/>
      <c r="AR295" s="4"/>
      <c r="AS295" s="8"/>
      <c r="AT295" s="7"/>
      <c r="AU295" s="7"/>
      <c r="AV295" s="4" t="s">
        <v>200</v>
      </c>
      <c r="AW295" s="8" t="s">
        <v>200</v>
      </c>
      <c r="AX295" s="4" t="s">
        <v>200</v>
      </c>
      <c r="AY295" s="8" t="s">
        <v>200</v>
      </c>
      <c r="AZ295" s="7" t="s">
        <v>200</v>
      </c>
      <c r="BA295" s="7" t="s">
        <v>200</v>
      </c>
      <c r="BB295" s="7"/>
      <c r="BC295" s="4" t="s">
        <v>200</v>
      </c>
      <c r="BD295" s="8" t="s">
        <v>200</v>
      </c>
      <c r="BE295" s="4" t="s">
        <v>200</v>
      </c>
      <c r="BF295" s="8" t="s">
        <v>200</v>
      </c>
      <c r="BG295" s="7" t="s">
        <v>200</v>
      </c>
      <c r="BH295" s="7" t="s">
        <v>200</v>
      </c>
      <c r="BI295" s="7"/>
      <c r="BJ295" s="4"/>
      <c r="BK295" s="8"/>
      <c r="BL295" s="2" t="s">
        <v>200</v>
      </c>
      <c r="BM295" s="7"/>
      <c r="BN295" s="7"/>
      <c r="BO295" s="4"/>
      <c r="BP295" s="8"/>
      <c r="BQ295" s="4"/>
      <c r="BR295" s="8"/>
      <c r="BS295" s="7"/>
      <c r="BT295" s="7"/>
      <c r="BU295" s="2" t="s">
        <v>210</v>
      </c>
      <c r="BV295" s="2" t="s">
        <v>200</v>
      </c>
      <c r="BW295" s="2" t="s">
        <v>200</v>
      </c>
      <c r="BX295" s="2" t="s">
        <v>210</v>
      </c>
      <c r="BY295" s="2" t="s">
        <v>211</v>
      </c>
      <c r="BZ295" s="2" t="s">
        <v>212</v>
      </c>
      <c r="CA295" s="2" t="s">
        <v>200</v>
      </c>
      <c r="CB295" s="2" t="s">
        <v>200</v>
      </c>
      <c r="CC295" s="2" t="s">
        <v>213</v>
      </c>
      <c r="CD295" s="2" t="s">
        <v>200</v>
      </c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>
        <v>210</v>
      </c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</row>
    <row r="296">
      <c r="A296" s="2" t="s">
        <v>2236</v>
      </c>
      <c r="B296" s="2" t="s">
        <v>903</v>
      </c>
      <c r="C296" s="2" t="s">
        <v>1759</v>
      </c>
      <c r="D296" s="2" t="s">
        <v>1818</v>
      </c>
      <c r="E296" s="2" t="s">
        <v>2020</v>
      </c>
      <c r="F296" s="2" t="s">
        <v>2222</v>
      </c>
      <c r="G296" s="2" t="s">
        <v>2222</v>
      </c>
      <c r="H296" s="2" t="s">
        <v>2222</v>
      </c>
      <c r="I296" s="2" t="s">
        <v>2223</v>
      </c>
      <c r="J296" s="2" t="s">
        <v>612</v>
      </c>
      <c r="K296" s="2" t="s">
        <v>1700</v>
      </c>
      <c r="L296" s="3">
        <v>68.57</v>
      </c>
      <c r="M296" s="3">
        <v>72</v>
      </c>
      <c r="N296" s="3">
        <v>149.99</v>
      </c>
      <c r="O296" s="2" t="s">
        <v>212</v>
      </c>
      <c r="P296" s="2" t="s">
        <v>675</v>
      </c>
      <c r="Q296" s="2" t="s">
        <v>206</v>
      </c>
      <c r="R296" s="2" t="s">
        <v>200</v>
      </c>
      <c r="S296" s="2" t="s">
        <v>200</v>
      </c>
      <c r="T296" s="2" t="s">
        <v>312</v>
      </c>
      <c r="U296" s="2" t="s">
        <v>454</v>
      </c>
      <c r="V296" s="2" t="s">
        <v>208</v>
      </c>
      <c r="W296" s="2" t="s">
        <v>2224</v>
      </c>
      <c r="X296" s="2" t="s">
        <v>200</v>
      </c>
      <c r="Y296" s="2" t="s">
        <v>200</v>
      </c>
      <c r="Z296" s="4"/>
      <c r="AA296" s="4">
        <f>=ROUNDDOWN({0},0)</f>
      </c>
      <c r="AB296" s="5"/>
      <c r="AC296" s="2" t="s">
        <v>2225</v>
      </c>
      <c r="AD296" s="4">
        <v>190</v>
      </c>
      <c r="AE296" s="4">
        <v>190</v>
      </c>
      <c r="AF296" s="6">
        <v>69</v>
      </c>
      <c r="AG296" s="6"/>
      <c r="AH296" s="7"/>
      <c r="AI296" s="4"/>
      <c r="AJ296" s="4">
        <f>=ROUNDDOWN({0},0)</f>
      </c>
      <c r="AK296" s="5"/>
      <c r="AL296" s="2" t="s">
        <v>200</v>
      </c>
      <c r="AM296" s="4"/>
      <c r="AN296" s="4"/>
      <c r="AO296" s="7"/>
      <c r="AP296" s="4"/>
      <c r="AQ296" s="8"/>
      <c r="AR296" s="4"/>
      <c r="AS296" s="8"/>
      <c r="AT296" s="7"/>
      <c r="AU296" s="7"/>
      <c r="AV296" s="4" t="s">
        <v>200</v>
      </c>
      <c r="AW296" s="8" t="s">
        <v>200</v>
      </c>
      <c r="AX296" s="4" t="s">
        <v>200</v>
      </c>
      <c r="AY296" s="8" t="s">
        <v>200</v>
      </c>
      <c r="AZ296" s="7" t="s">
        <v>200</v>
      </c>
      <c r="BA296" s="7" t="s">
        <v>200</v>
      </c>
      <c r="BB296" s="7"/>
      <c r="BC296" s="4" t="s">
        <v>200</v>
      </c>
      <c r="BD296" s="8" t="s">
        <v>200</v>
      </c>
      <c r="BE296" s="4" t="s">
        <v>200</v>
      </c>
      <c r="BF296" s="8" t="s">
        <v>200</v>
      </c>
      <c r="BG296" s="7" t="s">
        <v>200</v>
      </c>
      <c r="BH296" s="7" t="s">
        <v>200</v>
      </c>
      <c r="BI296" s="7"/>
      <c r="BJ296" s="4"/>
      <c r="BK296" s="8"/>
      <c r="BL296" s="2" t="s">
        <v>200</v>
      </c>
      <c r="BM296" s="7"/>
      <c r="BN296" s="7"/>
      <c r="BO296" s="4"/>
      <c r="BP296" s="8"/>
      <c r="BQ296" s="4"/>
      <c r="BR296" s="8"/>
      <c r="BS296" s="7"/>
      <c r="BT296" s="7"/>
      <c r="BU296" s="2" t="s">
        <v>210</v>
      </c>
      <c r="BV296" s="2" t="s">
        <v>200</v>
      </c>
      <c r="BW296" s="2" t="s">
        <v>200</v>
      </c>
      <c r="BX296" s="2" t="s">
        <v>210</v>
      </c>
      <c r="BY296" s="2" t="s">
        <v>211</v>
      </c>
      <c r="BZ296" s="2" t="s">
        <v>212</v>
      </c>
      <c r="CA296" s="2" t="s">
        <v>200</v>
      </c>
      <c r="CB296" s="2" t="s">
        <v>200</v>
      </c>
      <c r="CC296" s="2" t="s">
        <v>213</v>
      </c>
      <c r="CD296" s="2" t="s">
        <v>200</v>
      </c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>
        <v>190</v>
      </c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</row>
    <row r="297">
      <c r="A297" s="2" t="s">
        <v>2237</v>
      </c>
      <c r="B297" s="2" t="s">
        <v>903</v>
      </c>
      <c r="C297" s="2" t="s">
        <v>1759</v>
      </c>
      <c r="D297" s="2" t="s">
        <v>1818</v>
      </c>
      <c r="E297" s="2" t="s">
        <v>2020</v>
      </c>
      <c r="F297" s="2" t="s">
        <v>2222</v>
      </c>
      <c r="G297" s="2" t="s">
        <v>2222</v>
      </c>
      <c r="H297" s="2" t="s">
        <v>2222</v>
      </c>
      <c r="I297" s="2" t="s">
        <v>2223</v>
      </c>
      <c r="J297" s="2" t="s">
        <v>302</v>
      </c>
      <c r="K297" s="2" t="s">
        <v>1700</v>
      </c>
      <c r="L297" s="3">
        <v>77.71</v>
      </c>
      <c r="M297" s="3">
        <v>81.6</v>
      </c>
      <c r="N297" s="3">
        <v>169.99</v>
      </c>
      <c r="O297" s="2" t="s">
        <v>212</v>
      </c>
      <c r="P297" s="2" t="s">
        <v>675</v>
      </c>
      <c r="Q297" s="2" t="s">
        <v>206</v>
      </c>
      <c r="R297" s="2" t="s">
        <v>200</v>
      </c>
      <c r="S297" s="2" t="s">
        <v>200</v>
      </c>
      <c r="T297" s="2" t="s">
        <v>312</v>
      </c>
      <c r="U297" s="2" t="s">
        <v>454</v>
      </c>
      <c r="V297" s="2" t="s">
        <v>208</v>
      </c>
      <c r="W297" s="2" t="s">
        <v>2224</v>
      </c>
      <c r="X297" s="2" t="s">
        <v>200</v>
      </c>
      <c r="Y297" s="2" t="s">
        <v>200</v>
      </c>
      <c r="Z297" s="4"/>
      <c r="AA297" s="4">
        <f>=ROUNDDOWN({0},0)</f>
      </c>
      <c r="AB297" s="5"/>
      <c r="AC297" s="2" t="s">
        <v>2225</v>
      </c>
      <c r="AD297" s="4">
        <v>210</v>
      </c>
      <c r="AE297" s="4">
        <v>210</v>
      </c>
      <c r="AF297" s="6">
        <v>69</v>
      </c>
      <c r="AG297" s="6"/>
      <c r="AH297" s="7"/>
      <c r="AI297" s="4"/>
      <c r="AJ297" s="4">
        <f>=ROUNDDOWN({0},0)</f>
      </c>
      <c r="AK297" s="5"/>
      <c r="AL297" s="2" t="s">
        <v>200</v>
      </c>
      <c r="AM297" s="4"/>
      <c r="AN297" s="4"/>
      <c r="AO297" s="7"/>
      <c r="AP297" s="4"/>
      <c r="AQ297" s="8"/>
      <c r="AR297" s="4"/>
      <c r="AS297" s="8"/>
      <c r="AT297" s="7"/>
      <c r="AU297" s="7"/>
      <c r="AV297" s="4" t="s">
        <v>200</v>
      </c>
      <c r="AW297" s="8" t="s">
        <v>200</v>
      </c>
      <c r="AX297" s="4" t="s">
        <v>200</v>
      </c>
      <c r="AY297" s="8" t="s">
        <v>200</v>
      </c>
      <c r="AZ297" s="7" t="s">
        <v>200</v>
      </c>
      <c r="BA297" s="7" t="s">
        <v>200</v>
      </c>
      <c r="BB297" s="7"/>
      <c r="BC297" s="4" t="s">
        <v>200</v>
      </c>
      <c r="BD297" s="8" t="s">
        <v>200</v>
      </c>
      <c r="BE297" s="4" t="s">
        <v>200</v>
      </c>
      <c r="BF297" s="8" t="s">
        <v>200</v>
      </c>
      <c r="BG297" s="7" t="s">
        <v>200</v>
      </c>
      <c r="BH297" s="7" t="s">
        <v>200</v>
      </c>
      <c r="BI297" s="7"/>
      <c r="BJ297" s="4"/>
      <c r="BK297" s="8"/>
      <c r="BL297" s="2" t="s">
        <v>200</v>
      </c>
      <c r="BM297" s="7"/>
      <c r="BN297" s="7"/>
      <c r="BO297" s="4"/>
      <c r="BP297" s="8"/>
      <c r="BQ297" s="4"/>
      <c r="BR297" s="8"/>
      <c r="BS297" s="7"/>
      <c r="BT297" s="7"/>
      <c r="BU297" s="2" t="s">
        <v>210</v>
      </c>
      <c r="BV297" s="2" t="s">
        <v>200</v>
      </c>
      <c r="BW297" s="2" t="s">
        <v>200</v>
      </c>
      <c r="BX297" s="2" t="s">
        <v>210</v>
      </c>
      <c r="BY297" s="2" t="s">
        <v>211</v>
      </c>
      <c r="BZ297" s="2" t="s">
        <v>212</v>
      </c>
      <c r="CA297" s="2" t="s">
        <v>200</v>
      </c>
      <c r="CB297" s="2" t="s">
        <v>200</v>
      </c>
      <c r="CC297" s="2" t="s">
        <v>213</v>
      </c>
      <c r="CD297" s="2" t="s">
        <v>200</v>
      </c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>
        <v>210</v>
      </c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</row>
    <row r="298">
      <c r="A298" s="2" t="s">
        <v>2238</v>
      </c>
      <c r="B298" s="2" t="s">
        <v>903</v>
      </c>
      <c r="C298" s="2" t="s">
        <v>1759</v>
      </c>
      <c r="D298" s="2" t="s">
        <v>2228</v>
      </c>
      <c r="E298" s="2" t="s">
        <v>2229</v>
      </c>
      <c r="F298" s="2" t="s">
        <v>2222</v>
      </c>
      <c r="G298" s="2" t="s">
        <v>2222</v>
      </c>
      <c r="H298" s="2" t="s">
        <v>2222</v>
      </c>
      <c r="I298" s="2" t="s">
        <v>2230</v>
      </c>
      <c r="J298" s="2" t="s">
        <v>2231</v>
      </c>
      <c r="K298" s="2" t="s">
        <v>1700</v>
      </c>
      <c r="L298" s="3">
        <v>11.42</v>
      </c>
      <c r="M298" s="3">
        <v>11.99</v>
      </c>
      <c r="N298" s="3">
        <v>24.99</v>
      </c>
      <c r="O298" s="2" t="s">
        <v>212</v>
      </c>
      <c r="P298" s="2" t="s">
        <v>675</v>
      </c>
      <c r="Q298" s="2" t="s">
        <v>206</v>
      </c>
      <c r="R298" s="2" t="s">
        <v>200</v>
      </c>
      <c r="S298" s="2" t="s">
        <v>200</v>
      </c>
      <c r="T298" s="2" t="s">
        <v>312</v>
      </c>
      <c r="U298" s="2" t="s">
        <v>270</v>
      </c>
      <c r="V298" s="2" t="s">
        <v>208</v>
      </c>
      <c r="W298" s="2" t="s">
        <v>2224</v>
      </c>
      <c r="X298" s="2" t="s">
        <v>200</v>
      </c>
      <c r="Y298" s="2" t="s">
        <v>200</v>
      </c>
      <c r="Z298" s="4"/>
      <c r="AA298" s="4">
        <f>=ROUNDDOWN({0},0)</f>
      </c>
      <c r="AB298" s="5"/>
      <c r="AC298" s="2" t="s">
        <v>2225</v>
      </c>
      <c r="AD298" s="4">
        <v>210</v>
      </c>
      <c r="AE298" s="4">
        <v>210</v>
      </c>
      <c r="AF298" s="6">
        <v>69</v>
      </c>
      <c r="AG298" s="6"/>
      <c r="AH298" s="7"/>
      <c r="AI298" s="4"/>
      <c r="AJ298" s="4">
        <f>=ROUNDDOWN({0},0)</f>
      </c>
      <c r="AK298" s="5"/>
      <c r="AL298" s="2" t="s">
        <v>200</v>
      </c>
      <c r="AM298" s="4"/>
      <c r="AN298" s="4"/>
      <c r="AO298" s="7"/>
      <c r="AP298" s="4"/>
      <c r="AQ298" s="8"/>
      <c r="AR298" s="4"/>
      <c r="AS298" s="8"/>
      <c r="AT298" s="7"/>
      <c r="AU298" s="7"/>
      <c r="AV298" s="4" t="s">
        <v>200</v>
      </c>
      <c r="AW298" s="8" t="s">
        <v>200</v>
      </c>
      <c r="AX298" s="4" t="s">
        <v>200</v>
      </c>
      <c r="AY298" s="8" t="s">
        <v>200</v>
      </c>
      <c r="AZ298" s="7" t="s">
        <v>200</v>
      </c>
      <c r="BA298" s="7" t="s">
        <v>200</v>
      </c>
      <c r="BB298" s="7"/>
      <c r="BC298" s="4" t="s">
        <v>200</v>
      </c>
      <c r="BD298" s="8" t="s">
        <v>200</v>
      </c>
      <c r="BE298" s="4" t="s">
        <v>200</v>
      </c>
      <c r="BF298" s="8" t="s">
        <v>200</v>
      </c>
      <c r="BG298" s="7" t="s">
        <v>200</v>
      </c>
      <c r="BH298" s="7" t="s">
        <v>200</v>
      </c>
      <c r="BI298" s="7"/>
      <c r="BJ298" s="4"/>
      <c r="BK298" s="8"/>
      <c r="BL298" s="2" t="s">
        <v>200</v>
      </c>
      <c r="BM298" s="7"/>
      <c r="BN298" s="7"/>
      <c r="BO298" s="4"/>
      <c r="BP298" s="8"/>
      <c r="BQ298" s="4"/>
      <c r="BR298" s="8"/>
      <c r="BS298" s="7"/>
      <c r="BT298" s="7"/>
      <c r="BU298" s="2" t="s">
        <v>210</v>
      </c>
      <c r="BV298" s="2" t="s">
        <v>200</v>
      </c>
      <c r="BW298" s="2" t="s">
        <v>200</v>
      </c>
      <c r="BX298" s="2" t="s">
        <v>210</v>
      </c>
      <c r="BY298" s="2" t="s">
        <v>211</v>
      </c>
      <c r="BZ298" s="2" t="s">
        <v>212</v>
      </c>
      <c r="CA298" s="2" t="s">
        <v>200</v>
      </c>
      <c r="CB298" s="2" t="s">
        <v>200</v>
      </c>
      <c r="CC298" s="2" t="s">
        <v>213</v>
      </c>
      <c r="CD298" s="2" t="s">
        <v>200</v>
      </c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>
        <v>210</v>
      </c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</row>
    <row r="299">
      <c r="A299" s="2" t="s">
        <v>2239</v>
      </c>
      <c r="B299" s="2" t="s">
        <v>903</v>
      </c>
      <c r="C299" s="2" t="s">
        <v>1759</v>
      </c>
      <c r="D299" s="2" t="s">
        <v>1818</v>
      </c>
      <c r="E299" s="2" t="s">
        <v>2020</v>
      </c>
      <c r="F299" s="2" t="s">
        <v>2222</v>
      </c>
      <c r="G299" s="2" t="s">
        <v>2222</v>
      </c>
      <c r="H299" s="2" t="s">
        <v>2222</v>
      </c>
      <c r="I299" s="2" t="s">
        <v>2223</v>
      </c>
      <c r="J299" s="2" t="s">
        <v>612</v>
      </c>
      <c r="K299" s="2" t="s">
        <v>257</v>
      </c>
      <c r="L299" s="3">
        <v>68.57</v>
      </c>
      <c r="M299" s="3">
        <v>72</v>
      </c>
      <c r="N299" s="3">
        <v>149.99</v>
      </c>
      <c r="O299" s="2" t="s">
        <v>212</v>
      </c>
      <c r="P299" s="2" t="s">
        <v>675</v>
      </c>
      <c r="Q299" s="2" t="s">
        <v>206</v>
      </c>
      <c r="R299" s="2" t="s">
        <v>200</v>
      </c>
      <c r="S299" s="2" t="s">
        <v>200</v>
      </c>
      <c r="T299" s="2" t="s">
        <v>312</v>
      </c>
      <c r="U299" s="2" t="s">
        <v>454</v>
      </c>
      <c r="V299" s="2" t="s">
        <v>208</v>
      </c>
      <c r="W299" s="2" t="s">
        <v>2224</v>
      </c>
      <c r="X299" s="2" t="s">
        <v>200</v>
      </c>
      <c r="Y299" s="2" t="s">
        <v>200</v>
      </c>
      <c r="Z299" s="4"/>
      <c r="AA299" s="4">
        <f>=ROUNDDOWN({0},0)</f>
      </c>
      <c r="AB299" s="5"/>
      <c r="AC299" s="2" t="s">
        <v>2225</v>
      </c>
      <c r="AD299" s="4">
        <v>190</v>
      </c>
      <c r="AE299" s="4">
        <v>190</v>
      </c>
      <c r="AF299" s="6">
        <v>69</v>
      </c>
      <c r="AG299" s="6"/>
      <c r="AH299" s="7"/>
      <c r="AI299" s="4"/>
      <c r="AJ299" s="4">
        <f>=ROUNDDOWN({0},0)</f>
      </c>
      <c r="AK299" s="5"/>
      <c r="AL299" s="2" t="s">
        <v>200</v>
      </c>
      <c r="AM299" s="4"/>
      <c r="AN299" s="4"/>
      <c r="AO299" s="7"/>
      <c r="AP299" s="4"/>
      <c r="AQ299" s="8"/>
      <c r="AR299" s="4"/>
      <c r="AS299" s="8"/>
      <c r="AT299" s="7"/>
      <c r="AU299" s="7"/>
      <c r="AV299" s="4" t="s">
        <v>200</v>
      </c>
      <c r="AW299" s="8" t="s">
        <v>200</v>
      </c>
      <c r="AX299" s="4" t="s">
        <v>200</v>
      </c>
      <c r="AY299" s="8" t="s">
        <v>200</v>
      </c>
      <c r="AZ299" s="7" t="s">
        <v>200</v>
      </c>
      <c r="BA299" s="7" t="s">
        <v>200</v>
      </c>
      <c r="BB299" s="7"/>
      <c r="BC299" s="4" t="s">
        <v>200</v>
      </c>
      <c r="BD299" s="8" t="s">
        <v>200</v>
      </c>
      <c r="BE299" s="4" t="s">
        <v>200</v>
      </c>
      <c r="BF299" s="8" t="s">
        <v>200</v>
      </c>
      <c r="BG299" s="7" t="s">
        <v>200</v>
      </c>
      <c r="BH299" s="7" t="s">
        <v>200</v>
      </c>
      <c r="BI299" s="7"/>
      <c r="BJ299" s="4"/>
      <c r="BK299" s="8"/>
      <c r="BL299" s="2" t="s">
        <v>200</v>
      </c>
      <c r="BM299" s="7"/>
      <c r="BN299" s="7"/>
      <c r="BO299" s="4"/>
      <c r="BP299" s="8"/>
      <c r="BQ299" s="4"/>
      <c r="BR299" s="8"/>
      <c r="BS299" s="7"/>
      <c r="BT299" s="7"/>
      <c r="BU299" s="2" t="s">
        <v>210</v>
      </c>
      <c r="BV299" s="2" t="s">
        <v>200</v>
      </c>
      <c r="BW299" s="2" t="s">
        <v>200</v>
      </c>
      <c r="BX299" s="2" t="s">
        <v>210</v>
      </c>
      <c r="BY299" s="2" t="s">
        <v>211</v>
      </c>
      <c r="BZ299" s="2" t="s">
        <v>212</v>
      </c>
      <c r="CA299" s="2" t="s">
        <v>200</v>
      </c>
      <c r="CB299" s="2" t="s">
        <v>200</v>
      </c>
      <c r="CC299" s="2" t="s">
        <v>213</v>
      </c>
      <c r="CD299" s="2" t="s">
        <v>200</v>
      </c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>
        <v>190</v>
      </c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</row>
    <row r="300">
      <c r="A300" s="2" t="s">
        <v>2240</v>
      </c>
      <c r="B300" s="2" t="s">
        <v>903</v>
      </c>
      <c r="C300" s="2" t="s">
        <v>1759</v>
      </c>
      <c r="D300" s="2" t="s">
        <v>1818</v>
      </c>
      <c r="E300" s="2" t="s">
        <v>2020</v>
      </c>
      <c r="F300" s="2" t="s">
        <v>2222</v>
      </c>
      <c r="G300" s="2" t="s">
        <v>2222</v>
      </c>
      <c r="H300" s="2" t="s">
        <v>2222</v>
      </c>
      <c r="I300" s="2" t="s">
        <v>2223</v>
      </c>
      <c r="J300" s="2" t="s">
        <v>302</v>
      </c>
      <c r="K300" s="2" t="s">
        <v>257</v>
      </c>
      <c r="L300" s="3">
        <v>77.71</v>
      </c>
      <c r="M300" s="3">
        <v>81.6</v>
      </c>
      <c r="N300" s="3">
        <v>169.99</v>
      </c>
      <c r="O300" s="2" t="s">
        <v>212</v>
      </c>
      <c r="P300" s="2" t="s">
        <v>675</v>
      </c>
      <c r="Q300" s="2" t="s">
        <v>206</v>
      </c>
      <c r="R300" s="2" t="s">
        <v>200</v>
      </c>
      <c r="S300" s="2" t="s">
        <v>200</v>
      </c>
      <c r="T300" s="2" t="s">
        <v>312</v>
      </c>
      <c r="U300" s="2" t="s">
        <v>454</v>
      </c>
      <c r="V300" s="2" t="s">
        <v>208</v>
      </c>
      <c r="W300" s="2" t="s">
        <v>2224</v>
      </c>
      <c r="X300" s="2" t="s">
        <v>200</v>
      </c>
      <c r="Y300" s="2" t="s">
        <v>200</v>
      </c>
      <c r="Z300" s="4"/>
      <c r="AA300" s="4">
        <f>=ROUNDDOWN({0},0)</f>
      </c>
      <c r="AB300" s="5"/>
      <c r="AC300" s="2" t="s">
        <v>2225</v>
      </c>
      <c r="AD300" s="4">
        <v>210</v>
      </c>
      <c r="AE300" s="4">
        <v>210</v>
      </c>
      <c r="AF300" s="6">
        <v>69</v>
      </c>
      <c r="AG300" s="6"/>
      <c r="AH300" s="7"/>
      <c r="AI300" s="4"/>
      <c r="AJ300" s="4">
        <f>=ROUNDDOWN({0},0)</f>
      </c>
      <c r="AK300" s="5"/>
      <c r="AL300" s="2" t="s">
        <v>200</v>
      </c>
      <c r="AM300" s="4"/>
      <c r="AN300" s="4"/>
      <c r="AO300" s="7"/>
      <c r="AP300" s="4"/>
      <c r="AQ300" s="8"/>
      <c r="AR300" s="4"/>
      <c r="AS300" s="8"/>
      <c r="AT300" s="7"/>
      <c r="AU300" s="7"/>
      <c r="AV300" s="4" t="s">
        <v>200</v>
      </c>
      <c r="AW300" s="8" t="s">
        <v>200</v>
      </c>
      <c r="AX300" s="4" t="s">
        <v>200</v>
      </c>
      <c r="AY300" s="8" t="s">
        <v>200</v>
      </c>
      <c r="AZ300" s="7" t="s">
        <v>200</v>
      </c>
      <c r="BA300" s="7" t="s">
        <v>200</v>
      </c>
      <c r="BB300" s="7"/>
      <c r="BC300" s="4" t="s">
        <v>200</v>
      </c>
      <c r="BD300" s="8" t="s">
        <v>200</v>
      </c>
      <c r="BE300" s="4" t="s">
        <v>200</v>
      </c>
      <c r="BF300" s="8" t="s">
        <v>200</v>
      </c>
      <c r="BG300" s="7" t="s">
        <v>200</v>
      </c>
      <c r="BH300" s="7" t="s">
        <v>200</v>
      </c>
      <c r="BI300" s="7"/>
      <c r="BJ300" s="4"/>
      <c r="BK300" s="8"/>
      <c r="BL300" s="2" t="s">
        <v>200</v>
      </c>
      <c r="BM300" s="7"/>
      <c r="BN300" s="7"/>
      <c r="BO300" s="4"/>
      <c r="BP300" s="8"/>
      <c r="BQ300" s="4"/>
      <c r="BR300" s="8"/>
      <c r="BS300" s="7"/>
      <c r="BT300" s="7"/>
      <c r="BU300" s="2" t="s">
        <v>210</v>
      </c>
      <c r="BV300" s="2" t="s">
        <v>200</v>
      </c>
      <c r="BW300" s="2" t="s">
        <v>200</v>
      </c>
      <c r="BX300" s="2" t="s">
        <v>210</v>
      </c>
      <c r="BY300" s="2" t="s">
        <v>211</v>
      </c>
      <c r="BZ300" s="2" t="s">
        <v>212</v>
      </c>
      <c r="CA300" s="2" t="s">
        <v>200</v>
      </c>
      <c r="CB300" s="2" t="s">
        <v>200</v>
      </c>
      <c r="CC300" s="2" t="s">
        <v>213</v>
      </c>
      <c r="CD300" s="2" t="s">
        <v>200</v>
      </c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>
        <v>210</v>
      </c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</row>
    <row r="301">
      <c r="A301" s="2" t="s">
        <v>2241</v>
      </c>
      <c r="B301" s="2" t="s">
        <v>903</v>
      </c>
      <c r="C301" s="2" t="s">
        <v>1759</v>
      </c>
      <c r="D301" s="2" t="s">
        <v>2228</v>
      </c>
      <c r="E301" s="2" t="s">
        <v>2229</v>
      </c>
      <c r="F301" s="2" t="s">
        <v>2222</v>
      </c>
      <c r="G301" s="2" t="s">
        <v>2222</v>
      </c>
      <c r="H301" s="2" t="s">
        <v>2222</v>
      </c>
      <c r="I301" s="2" t="s">
        <v>2230</v>
      </c>
      <c r="J301" s="2" t="s">
        <v>2231</v>
      </c>
      <c r="K301" s="2" t="s">
        <v>257</v>
      </c>
      <c r="L301" s="3">
        <v>11.42</v>
      </c>
      <c r="M301" s="3">
        <v>11.99</v>
      </c>
      <c r="N301" s="3">
        <v>24.99</v>
      </c>
      <c r="O301" s="2" t="s">
        <v>212</v>
      </c>
      <c r="P301" s="2" t="s">
        <v>675</v>
      </c>
      <c r="Q301" s="2" t="s">
        <v>206</v>
      </c>
      <c r="R301" s="2" t="s">
        <v>200</v>
      </c>
      <c r="S301" s="2" t="s">
        <v>200</v>
      </c>
      <c r="T301" s="2" t="s">
        <v>312</v>
      </c>
      <c r="U301" s="2" t="s">
        <v>270</v>
      </c>
      <c r="V301" s="2" t="s">
        <v>208</v>
      </c>
      <c r="W301" s="2" t="s">
        <v>2224</v>
      </c>
      <c r="X301" s="2" t="s">
        <v>200</v>
      </c>
      <c r="Y301" s="2" t="s">
        <v>200</v>
      </c>
      <c r="Z301" s="4"/>
      <c r="AA301" s="4">
        <f>=ROUNDDOWN({0},0)</f>
      </c>
      <c r="AB301" s="5"/>
      <c r="AC301" s="2" t="s">
        <v>2225</v>
      </c>
      <c r="AD301" s="4">
        <v>210</v>
      </c>
      <c r="AE301" s="4">
        <v>210</v>
      </c>
      <c r="AF301" s="6">
        <v>69</v>
      </c>
      <c r="AG301" s="6"/>
      <c r="AH301" s="7"/>
      <c r="AI301" s="4"/>
      <c r="AJ301" s="4">
        <f>=ROUNDDOWN({0},0)</f>
      </c>
      <c r="AK301" s="5"/>
      <c r="AL301" s="2" t="s">
        <v>200</v>
      </c>
      <c r="AM301" s="4"/>
      <c r="AN301" s="4"/>
      <c r="AO301" s="7"/>
      <c r="AP301" s="4"/>
      <c r="AQ301" s="8"/>
      <c r="AR301" s="4"/>
      <c r="AS301" s="8"/>
      <c r="AT301" s="7"/>
      <c r="AU301" s="7"/>
      <c r="AV301" s="4" t="s">
        <v>200</v>
      </c>
      <c r="AW301" s="8" t="s">
        <v>200</v>
      </c>
      <c r="AX301" s="4" t="s">
        <v>200</v>
      </c>
      <c r="AY301" s="8" t="s">
        <v>200</v>
      </c>
      <c r="AZ301" s="7" t="s">
        <v>200</v>
      </c>
      <c r="BA301" s="7" t="s">
        <v>200</v>
      </c>
      <c r="BB301" s="7"/>
      <c r="BC301" s="4" t="s">
        <v>200</v>
      </c>
      <c r="BD301" s="8" t="s">
        <v>200</v>
      </c>
      <c r="BE301" s="4" t="s">
        <v>200</v>
      </c>
      <c r="BF301" s="8" t="s">
        <v>200</v>
      </c>
      <c r="BG301" s="7" t="s">
        <v>200</v>
      </c>
      <c r="BH301" s="7" t="s">
        <v>200</v>
      </c>
      <c r="BI301" s="7"/>
      <c r="BJ301" s="4"/>
      <c r="BK301" s="8"/>
      <c r="BL301" s="2" t="s">
        <v>200</v>
      </c>
      <c r="BM301" s="7"/>
      <c r="BN301" s="7"/>
      <c r="BO301" s="4"/>
      <c r="BP301" s="8"/>
      <c r="BQ301" s="4"/>
      <c r="BR301" s="8"/>
      <c r="BS301" s="7"/>
      <c r="BT301" s="7"/>
      <c r="BU301" s="2" t="s">
        <v>210</v>
      </c>
      <c r="BV301" s="2" t="s">
        <v>200</v>
      </c>
      <c r="BW301" s="2" t="s">
        <v>200</v>
      </c>
      <c r="BX301" s="2" t="s">
        <v>210</v>
      </c>
      <c r="BY301" s="2" t="s">
        <v>211</v>
      </c>
      <c r="BZ301" s="2" t="s">
        <v>212</v>
      </c>
      <c r="CA301" s="2" t="s">
        <v>200</v>
      </c>
      <c r="CB301" s="2" t="s">
        <v>200</v>
      </c>
      <c r="CC301" s="2" t="s">
        <v>213</v>
      </c>
      <c r="CD301" s="2" t="s">
        <v>200</v>
      </c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>
        <v>210</v>
      </c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</row>
    <row r="302">
      <c r="A302" s="2" t="s">
        <v>2242</v>
      </c>
      <c r="B302" s="2" t="s">
        <v>744</v>
      </c>
      <c r="C302" s="2" t="s">
        <v>231</v>
      </c>
      <c r="D302" s="2" t="s">
        <v>1275</v>
      </c>
      <c r="E302" s="2" t="s">
        <v>1276</v>
      </c>
      <c r="F302" s="2" t="s">
        <v>2243</v>
      </c>
      <c r="G302" s="2" t="s">
        <v>2244</v>
      </c>
      <c r="H302" s="2" t="s">
        <v>2245</v>
      </c>
      <c r="I302" s="2" t="s">
        <v>2246</v>
      </c>
      <c r="J302" s="2" t="s">
        <v>711</v>
      </c>
      <c r="K302" s="2" t="s">
        <v>1928</v>
      </c>
      <c r="L302" s="3">
        <v>171</v>
      </c>
      <c r="M302" s="3">
        <v>179.55</v>
      </c>
      <c r="N302" s="3">
        <v>359</v>
      </c>
      <c r="O302" s="2" t="s">
        <v>212</v>
      </c>
      <c r="P302" s="2" t="s">
        <v>258</v>
      </c>
      <c r="Q302" s="2" t="s">
        <v>206</v>
      </c>
      <c r="R302" s="2" t="s">
        <v>200</v>
      </c>
      <c r="S302" s="2" t="s">
        <v>2247</v>
      </c>
      <c r="T302" s="2" t="s">
        <v>200</v>
      </c>
      <c r="U302" s="2" t="s">
        <v>200</v>
      </c>
      <c r="V302" s="2" t="s">
        <v>208</v>
      </c>
      <c r="W302" s="2" t="s">
        <v>419</v>
      </c>
      <c r="X302" s="2" t="s">
        <v>200</v>
      </c>
      <c r="Y302" s="2" t="s">
        <v>2248</v>
      </c>
      <c r="Z302" s="4">
        <v>14</v>
      </c>
      <c r="AA302" s="4">
        <f>=ROUNDDOWN(1.55555555555556,0)</f>
      </c>
      <c r="AB302" s="5">
        <v>9</v>
      </c>
      <c r="AC302" s="2" t="s">
        <v>113</v>
      </c>
      <c r="AD302" s="4">
        <v>100</v>
      </c>
      <c r="AE302" s="4">
        <v>300</v>
      </c>
      <c r="AF302" s="6">
        <v>66</v>
      </c>
      <c r="AG302" s="6"/>
      <c r="AH302" s="7">
        <v>1</v>
      </c>
      <c r="AI302" s="4"/>
      <c r="AJ302" s="4">
        <f>=ROUNDDOWN({0},0)</f>
      </c>
      <c r="AK302" s="5"/>
      <c r="AL302" s="2" t="s">
        <v>200</v>
      </c>
      <c r="AM302" s="4"/>
      <c r="AN302" s="4"/>
      <c r="AO302" s="7"/>
      <c r="AP302" s="4"/>
      <c r="AQ302" s="8"/>
      <c r="AR302" s="4"/>
      <c r="AS302" s="8"/>
      <c r="AT302" s="7"/>
      <c r="AU302" s="7"/>
      <c r="AV302" s="4"/>
      <c r="AW302" s="8"/>
      <c r="AX302" s="4"/>
      <c r="AY302" s="8"/>
      <c r="AZ302" s="7"/>
      <c r="BA302" s="7"/>
      <c r="BB302" s="7"/>
      <c r="BC302" s="4"/>
      <c r="BD302" s="8"/>
      <c r="BE302" s="4"/>
      <c r="BF302" s="8"/>
      <c r="BG302" s="7"/>
      <c r="BH302" s="7"/>
      <c r="BI302" s="7"/>
      <c r="BJ302" s="4">
        <v>49</v>
      </c>
      <c r="BK302" s="8">
        <v>8877.57</v>
      </c>
      <c r="BL302" s="2" t="s">
        <v>2249</v>
      </c>
      <c r="BM302" s="7"/>
      <c r="BN302" s="7"/>
      <c r="BO302" s="4"/>
      <c r="BP302" s="8"/>
      <c r="BQ302" s="4"/>
      <c r="BR302" s="8"/>
      <c r="BS302" s="7"/>
      <c r="BT302" s="7"/>
      <c r="BU302" s="2" t="s">
        <v>2250</v>
      </c>
      <c r="BV302" s="2" t="s">
        <v>200</v>
      </c>
      <c r="BW302" s="2" t="s">
        <v>200</v>
      </c>
      <c r="BX302" s="2" t="s">
        <v>264</v>
      </c>
      <c r="BY302" s="2" t="s">
        <v>247</v>
      </c>
      <c r="BZ302" s="2" t="s">
        <v>212</v>
      </c>
      <c r="CA302" s="2" t="s">
        <v>2251</v>
      </c>
      <c r="CB302" s="2" t="s">
        <v>2252</v>
      </c>
      <c r="CC302" s="2" t="s">
        <v>213</v>
      </c>
      <c r="CD302" s="2" t="s">
        <v>200</v>
      </c>
      <c r="CE302" s="4"/>
      <c r="CF302" s="4">
        <v>14</v>
      </c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>
        <v>100</v>
      </c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>
        <v>100</v>
      </c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>
        <v>100</v>
      </c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</row>
    <row r="303">
      <c r="A303" s="2" t="s">
        <v>2253</v>
      </c>
      <c r="B303" s="2" t="s">
        <v>195</v>
      </c>
      <c r="C303" s="2" t="s">
        <v>231</v>
      </c>
      <c r="D303" s="2" t="s">
        <v>2254</v>
      </c>
      <c r="E303" s="2" t="s">
        <v>2255</v>
      </c>
      <c r="F303" s="2" t="s">
        <v>2256</v>
      </c>
      <c r="G303" s="2" t="s">
        <v>1357</v>
      </c>
      <c r="H303" s="2" t="s">
        <v>1357</v>
      </c>
      <c r="I303" s="2" t="s">
        <v>2257</v>
      </c>
      <c r="J303" s="2" t="s">
        <v>1173</v>
      </c>
      <c r="K303" s="2" t="s">
        <v>499</v>
      </c>
      <c r="L303" s="3">
        <v>17.86</v>
      </c>
      <c r="M303" s="3">
        <v>18.75</v>
      </c>
      <c r="N303" s="3">
        <v>37.99</v>
      </c>
      <c r="O303" s="2" t="s">
        <v>212</v>
      </c>
      <c r="P303" s="2" t="s">
        <v>285</v>
      </c>
      <c r="Q303" s="2" t="s">
        <v>206</v>
      </c>
      <c r="R303" s="2" t="s">
        <v>200</v>
      </c>
      <c r="S303" s="2" t="s">
        <v>2258</v>
      </c>
      <c r="T303" s="2" t="s">
        <v>312</v>
      </c>
      <c r="U303" s="2" t="s">
        <v>270</v>
      </c>
      <c r="V303" s="2" t="s">
        <v>885</v>
      </c>
      <c r="W303" s="2" t="s">
        <v>242</v>
      </c>
      <c r="X303" s="2" t="s">
        <v>419</v>
      </c>
      <c r="Y303" s="2" t="s">
        <v>2259</v>
      </c>
      <c r="Z303" s="4">
        <v>35</v>
      </c>
      <c r="AA303" s="4">
        <f>=ROUNDDOWN(14,0)</f>
      </c>
      <c r="AB303" s="5">
        <v>2.5</v>
      </c>
      <c r="AC303" s="2" t="s">
        <v>200</v>
      </c>
      <c r="AD303" s="4"/>
      <c r="AE303" s="4"/>
      <c r="AF303" s="6">
        <v>69</v>
      </c>
      <c r="AG303" s="6"/>
      <c r="AH303" s="7">
        <v>1</v>
      </c>
      <c r="AI303" s="4"/>
      <c r="AJ303" s="4">
        <f>=ROUNDDOWN({0},0)</f>
      </c>
      <c r="AK303" s="5"/>
      <c r="AL303" s="2" t="s">
        <v>200</v>
      </c>
      <c r="AM303" s="4"/>
      <c r="AN303" s="4"/>
      <c r="AO303" s="7"/>
      <c r="AP303" s="4"/>
      <c r="AQ303" s="8"/>
      <c r="AR303" s="4"/>
      <c r="AS303" s="8"/>
      <c r="AT303" s="7"/>
      <c r="AU303" s="7"/>
      <c r="AV303" s="4"/>
      <c r="AW303" s="8"/>
      <c r="AX303" s="4"/>
      <c r="AY303" s="8"/>
      <c r="AZ303" s="7"/>
      <c r="BA303" s="7"/>
      <c r="BB303" s="7"/>
      <c r="BC303" s="4" t="s">
        <v>200</v>
      </c>
      <c r="BD303" s="8" t="s">
        <v>200</v>
      </c>
      <c r="BE303" s="4" t="s">
        <v>200</v>
      </c>
      <c r="BF303" s="8" t="s">
        <v>200</v>
      </c>
      <c r="BG303" s="7" t="s">
        <v>200</v>
      </c>
      <c r="BH303" s="7" t="s">
        <v>200</v>
      </c>
      <c r="BI303" s="7"/>
      <c r="BJ303" s="4">
        <v>22</v>
      </c>
      <c r="BK303" s="8">
        <v>344.7</v>
      </c>
      <c r="BL303" s="2" t="s">
        <v>2260</v>
      </c>
      <c r="BM303" s="7"/>
      <c r="BN303" s="7"/>
      <c r="BO303" s="4"/>
      <c r="BP303" s="8"/>
      <c r="BQ303" s="4"/>
      <c r="BR303" s="8"/>
      <c r="BS303" s="7"/>
      <c r="BT303" s="7"/>
      <c r="BU303" s="2" t="s">
        <v>2261</v>
      </c>
      <c r="BV303" s="2" t="s">
        <v>200</v>
      </c>
      <c r="BW303" s="2" t="s">
        <v>200</v>
      </c>
      <c r="BX303" s="2" t="s">
        <v>289</v>
      </c>
      <c r="BY303" s="2" t="s">
        <v>247</v>
      </c>
      <c r="BZ303" s="2" t="s">
        <v>212</v>
      </c>
      <c r="CA303" s="2" t="s">
        <v>2262</v>
      </c>
      <c r="CB303" s="2" t="s">
        <v>2263</v>
      </c>
      <c r="CC303" s="2" t="s">
        <v>213</v>
      </c>
      <c r="CD303" s="2" t="s">
        <v>200</v>
      </c>
      <c r="CE303" s="4">
        <v>35</v>
      </c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</row>
    <row r="304">
      <c r="A304" s="2" t="s">
        <v>2264</v>
      </c>
      <c r="B304" s="2" t="s">
        <v>744</v>
      </c>
      <c r="C304" s="2" t="s">
        <v>231</v>
      </c>
      <c r="D304" s="2" t="s">
        <v>795</v>
      </c>
      <c r="E304" s="2" t="s">
        <v>796</v>
      </c>
      <c r="F304" s="2" t="s">
        <v>2256</v>
      </c>
      <c r="G304" s="2" t="s">
        <v>2265</v>
      </c>
      <c r="H304" s="2" t="s">
        <v>2266</v>
      </c>
      <c r="I304" s="2" t="s">
        <v>2267</v>
      </c>
      <c r="J304" s="2" t="s">
        <v>711</v>
      </c>
      <c r="K304" s="2" t="s">
        <v>733</v>
      </c>
      <c r="L304" s="3">
        <v>465.5</v>
      </c>
      <c r="M304" s="3">
        <v>488.78</v>
      </c>
      <c r="N304" s="3">
        <v>979</v>
      </c>
      <c r="O304" s="2" t="s">
        <v>212</v>
      </c>
      <c r="P304" s="2" t="s">
        <v>802</v>
      </c>
      <c r="Q304" s="2" t="s">
        <v>206</v>
      </c>
      <c r="R304" s="2" t="s">
        <v>16</v>
      </c>
      <c r="S304" s="2" t="s">
        <v>2268</v>
      </c>
      <c r="T304" s="2" t="s">
        <v>200</v>
      </c>
      <c r="U304" s="2" t="s">
        <v>677</v>
      </c>
      <c r="V304" s="2" t="s">
        <v>1695</v>
      </c>
      <c r="W304" s="2" t="s">
        <v>419</v>
      </c>
      <c r="X304" s="2" t="s">
        <v>200</v>
      </c>
      <c r="Y304" s="2" t="s">
        <v>1055</v>
      </c>
      <c r="Z304" s="4">
        <v>94</v>
      </c>
      <c r="AA304" s="4">
        <f>=ROUNDDOWN({0},0)</f>
      </c>
      <c r="AB304" s="5"/>
      <c r="AC304" s="2" t="s">
        <v>1088</v>
      </c>
      <c r="AD304" s="4">
        <v>50</v>
      </c>
      <c r="AE304" s="4">
        <v>101</v>
      </c>
      <c r="AF304" s="6"/>
      <c r="AG304" s="6"/>
      <c r="AH304" s="7">
        <v>1</v>
      </c>
      <c r="AI304" s="4"/>
      <c r="AJ304" s="4">
        <f>=ROUNDDOWN({0},0)</f>
      </c>
      <c r="AK304" s="5"/>
      <c r="AL304" s="2" t="s">
        <v>200</v>
      </c>
      <c r="AM304" s="4"/>
      <c r="AN304" s="4"/>
      <c r="AO304" s="7"/>
      <c r="AP304" s="4"/>
      <c r="AQ304" s="8"/>
      <c r="AR304" s="4"/>
      <c r="AS304" s="8"/>
      <c r="AT304" s="7"/>
      <c r="AU304" s="7"/>
      <c r="AV304" s="4"/>
      <c r="AW304" s="8"/>
      <c r="AX304" s="4"/>
      <c r="AY304" s="8"/>
      <c r="AZ304" s="7"/>
      <c r="BA304" s="7"/>
      <c r="BB304" s="7"/>
      <c r="BC304" s="4" t="s">
        <v>200</v>
      </c>
      <c r="BD304" s="8" t="s">
        <v>200</v>
      </c>
      <c r="BE304" s="4" t="s">
        <v>200</v>
      </c>
      <c r="BF304" s="8" t="s">
        <v>200</v>
      </c>
      <c r="BG304" s="7" t="s">
        <v>200</v>
      </c>
      <c r="BH304" s="7" t="s">
        <v>200</v>
      </c>
      <c r="BI304" s="7"/>
      <c r="BJ304" s="4"/>
      <c r="BK304" s="8"/>
      <c r="BL304" s="2" t="s">
        <v>200</v>
      </c>
      <c r="BM304" s="7"/>
      <c r="BN304" s="7"/>
      <c r="BO304" s="4"/>
      <c r="BP304" s="8"/>
      <c r="BQ304" s="4"/>
      <c r="BR304" s="8"/>
      <c r="BS304" s="7"/>
      <c r="BT304" s="7"/>
      <c r="BU304" s="2" t="s">
        <v>2269</v>
      </c>
      <c r="BV304" s="2" t="s">
        <v>200</v>
      </c>
      <c r="BW304" s="2" t="s">
        <v>200</v>
      </c>
      <c r="BX304" s="2" t="s">
        <v>620</v>
      </c>
      <c r="BY304" s="2" t="s">
        <v>247</v>
      </c>
      <c r="BZ304" s="2" t="s">
        <v>212</v>
      </c>
      <c r="CA304" s="2" t="s">
        <v>806</v>
      </c>
      <c r="CB304" s="2" t="s">
        <v>2270</v>
      </c>
      <c r="CC304" s="2" t="s">
        <v>213</v>
      </c>
      <c r="CD304" s="2" t="s">
        <v>200</v>
      </c>
      <c r="CE304" s="4"/>
      <c r="CF304" s="4">
        <v>94</v>
      </c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>
        <v>50</v>
      </c>
      <c r="FD304" s="4"/>
      <c r="FE304" s="4"/>
      <c r="FF304" s="4"/>
      <c r="FG304" s="4"/>
      <c r="FH304" s="4"/>
      <c r="FI304" s="4"/>
      <c r="FJ304" s="4"/>
      <c r="FK304" s="4"/>
      <c r="FL304" s="4"/>
      <c r="FM304" s="4">
        <v>51</v>
      </c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</row>
    <row r="305">
      <c r="A305" s="2" t="s">
        <v>2271</v>
      </c>
      <c r="B305" s="2" t="s">
        <v>705</v>
      </c>
      <c r="C305" s="2" t="s">
        <v>745</v>
      </c>
      <c r="D305" s="2" t="s">
        <v>1376</v>
      </c>
      <c r="E305" s="2" t="s">
        <v>1377</v>
      </c>
      <c r="F305" s="2" t="s">
        <v>2272</v>
      </c>
      <c r="G305" s="2" t="s">
        <v>2272</v>
      </c>
      <c r="H305" s="2" t="s">
        <v>2272</v>
      </c>
      <c r="I305" s="2" t="s">
        <v>2273</v>
      </c>
      <c r="J305" s="2" t="s">
        <v>711</v>
      </c>
      <c r="K305" s="2" t="s">
        <v>2274</v>
      </c>
      <c r="L305" s="3">
        <v>86</v>
      </c>
      <c r="M305" s="3">
        <v>90.3</v>
      </c>
      <c r="N305" s="3">
        <v>179.99</v>
      </c>
      <c r="O305" s="2" t="s">
        <v>212</v>
      </c>
      <c r="P305" s="2" t="s">
        <v>205</v>
      </c>
      <c r="Q305" s="2" t="s">
        <v>206</v>
      </c>
      <c r="R305" s="2" t="s">
        <v>200</v>
      </c>
      <c r="S305" s="2" t="s">
        <v>200</v>
      </c>
      <c r="T305" s="2" t="s">
        <v>200</v>
      </c>
      <c r="U305" s="2" t="s">
        <v>270</v>
      </c>
      <c r="V305" s="2" t="s">
        <v>616</v>
      </c>
      <c r="W305" s="2" t="s">
        <v>712</v>
      </c>
      <c r="X305" s="2" t="s">
        <v>379</v>
      </c>
      <c r="Y305" s="2" t="s">
        <v>858</v>
      </c>
      <c r="Z305" s="4">
        <v>92</v>
      </c>
      <c r="AA305" s="4">
        <f>=ROUNDDOWN(92,0)</f>
      </c>
      <c r="AB305" s="5">
        <v>1</v>
      </c>
      <c r="AC305" s="2" t="s">
        <v>200</v>
      </c>
      <c r="AD305" s="4"/>
      <c r="AE305" s="4"/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200</v>
      </c>
      <c r="AM305" s="4"/>
      <c r="AN305" s="4"/>
      <c r="AO305" s="7"/>
      <c r="AP305" s="4"/>
      <c r="AQ305" s="8"/>
      <c r="AR305" s="4"/>
      <c r="AS305" s="8"/>
      <c r="AT305" s="7"/>
      <c r="AU305" s="7"/>
      <c r="AV305" s="4"/>
      <c r="AW305" s="8"/>
      <c r="AX305" s="4"/>
      <c r="AY305" s="8"/>
      <c r="AZ305" s="7"/>
      <c r="BA305" s="7"/>
      <c r="BB305" s="7"/>
      <c r="BC305" s="4"/>
      <c r="BD305" s="8"/>
      <c r="BE305" s="4"/>
      <c r="BF305" s="8"/>
      <c r="BG305" s="7"/>
      <c r="BH305" s="7"/>
      <c r="BI305" s="7"/>
      <c r="BJ305" s="4"/>
      <c r="BK305" s="8"/>
      <c r="BL305" s="2" t="s">
        <v>200</v>
      </c>
      <c r="BM305" s="7"/>
      <c r="BN305" s="7"/>
      <c r="BO305" s="4"/>
      <c r="BP305" s="8"/>
      <c r="BQ305" s="4"/>
      <c r="BR305" s="8"/>
      <c r="BS305" s="7"/>
      <c r="BT305" s="7"/>
      <c r="BU305" s="2" t="s">
        <v>2275</v>
      </c>
      <c r="BV305" s="2" t="s">
        <v>200</v>
      </c>
      <c r="BW305" s="2" t="s">
        <v>200</v>
      </c>
      <c r="BX305" s="2" t="s">
        <v>264</v>
      </c>
      <c r="BY305" s="2" t="s">
        <v>247</v>
      </c>
      <c r="BZ305" s="2" t="s">
        <v>212</v>
      </c>
      <c r="CA305" s="2" t="s">
        <v>1294</v>
      </c>
      <c r="CB305" s="2" t="s">
        <v>200</v>
      </c>
      <c r="CC305" s="2" t="s">
        <v>213</v>
      </c>
      <c r="CD305" s="2" t="s">
        <v>200</v>
      </c>
      <c r="CE305" s="4"/>
      <c r="CF305" s="4">
        <v>92</v>
      </c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</row>
    <row r="306">
      <c r="A306" s="2" t="s">
        <v>2276</v>
      </c>
      <c r="B306" s="2" t="s">
        <v>705</v>
      </c>
      <c r="C306" s="2" t="s">
        <v>745</v>
      </c>
      <c r="D306" s="2" t="s">
        <v>1376</v>
      </c>
      <c r="E306" s="2" t="s">
        <v>1377</v>
      </c>
      <c r="F306" s="2" t="s">
        <v>2277</v>
      </c>
      <c r="G306" s="2" t="s">
        <v>2277</v>
      </c>
      <c r="H306" s="2" t="s">
        <v>2277</v>
      </c>
      <c r="I306" s="2" t="s">
        <v>2278</v>
      </c>
      <c r="J306" s="2" t="s">
        <v>711</v>
      </c>
      <c r="K306" s="2" t="s">
        <v>2279</v>
      </c>
      <c r="L306" s="3">
        <v>27.14</v>
      </c>
      <c r="M306" s="3">
        <v>28.5</v>
      </c>
      <c r="N306" s="3">
        <v>59.99</v>
      </c>
      <c r="O306" s="2" t="s">
        <v>460</v>
      </c>
      <c r="P306" s="2" t="s">
        <v>285</v>
      </c>
      <c r="Q306" s="2" t="s">
        <v>206</v>
      </c>
      <c r="R306" s="2" t="s">
        <v>200</v>
      </c>
      <c r="S306" s="2" t="s">
        <v>200</v>
      </c>
      <c r="T306" s="2" t="s">
        <v>200</v>
      </c>
      <c r="U306" s="2" t="s">
        <v>270</v>
      </c>
      <c r="V306" s="2" t="s">
        <v>616</v>
      </c>
      <c r="W306" s="2" t="s">
        <v>419</v>
      </c>
      <c r="X306" s="2" t="s">
        <v>200</v>
      </c>
      <c r="Y306" s="2" t="s">
        <v>1774</v>
      </c>
      <c r="Z306" s="4">
        <v>14</v>
      </c>
      <c r="AA306" s="4">
        <f>=ROUNDDOWN(8.75,0)</f>
      </c>
      <c r="AB306" s="5">
        <v>1.6</v>
      </c>
      <c r="AC306" s="2" t="s">
        <v>200</v>
      </c>
      <c r="AD306" s="4"/>
      <c r="AE306" s="4"/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200</v>
      </c>
      <c r="AM306" s="4"/>
      <c r="AN306" s="4"/>
      <c r="AO306" s="7"/>
      <c r="AP306" s="4"/>
      <c r="AQ306" s="8"/>
      <c r="AR306" s="4"/>
      <c r="AS306" s="8"/>
      <c r="AT306" s="7"/>
      <c r="AU306" s="7"/>
      <c r="AV306" s="4"/>
      <c r="AW306" s="8"/>
      <c r="AX306" s="4"/>
      <c r="AY306" s="8"/>
      <c r="AZ306" s="7"/>
      <c r="BA306" s="7"/>
      <c r="BB306" s="7"/>
      <c r="BC306" s="4"/>
      <c r="BD306" s="8"/>
      <c r="BE306" s="4"/>
      <c r="BF306" s="8"/>
      <c r="BG306" s="7"/>
      <c r="BH306" s="7"/>
      <c r="BI306" s="7"/>
      <c r="BJ306" s="4">
        <v>2</v>
      </c>
      <c r="BK306" s="8">
        <v>109.38</v>
      </c>
      <c r="BL306" s="2" t="s">
        <v>2280</v>
      </c>
      <c r="BM306" s="7"/>
      <c r="BN306" s="7"/>
      <c r="BO306" s="4"/>
      <c r="BP306" s="8"/>
      <c r="BQ306" s="4"/>
      <c r="BR306" s="8"/>
      <c r="BS306" s="7"/>
      <c r="BT306" s="7"/>
      <c r="BU306" s="2" t="s">
        <v>2281</v>
      </c>
      <c r="BV306" s="2" t="s">
        <v>200</v>
      </c>
      <c r="BW306" s="2" t="s">
        <v>200</v>
      </c>
      <c r="BX306" s="2" t="s">
        <v>289</v>
      </c>
      <c r="BY306" s="2" t="s">
        <v>247</v>
      </c>
      <c r="BZ306" s="2" t="s">
        <v>212</v>
      </c>
      <c r="CA306" s="2" t="s">
        <v>2282</v>
      </c>
      <c r="CB306" s="2" t="s">
        <v>2283</v>
      </c>
      <c r="CC306" s="2" t="s">
        <v>213</v>
      </c>
      <c r="CD306" s="2" t="s">
        <v>200</v>
      </c>
      <c r="CE306" s="4"/>
      <c r="CF306" s="4">
        <v>14</v>
      </c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</row>
    <row r="307">
      <c r="A307" s="2" t="s">
        <v>2284</v>
      </c>
      <c r="B307" s="2" t="s">
        <v>744</v>
      </c>
      <c r="C307" s="2" t="s">
        <v>231</v>
      </c>
      <c r="D307" s="2" t="s">
        <v>1275</v>
      </c>
      <c r="E307" s="2" t="s">
        <v>1276</v>
      </c>
      <c r="F307" s="2" t="s">
        <v>2285</v>
      </c>
      <c r="G307" s="2" t="s">
        <v>2286</v>
      </c>
      <c r="H307" s="2" t="s">
        <v>2287</v>
      </c>
      <c r="I307" s="2" t="s">
        <v>2288</v>
      </c>
      <c r="J307" s="2" t="s">
        <v>711</v>
      </c>
      <c r="K307" s="2" t="s">
        <v>221</v>
      </c>
      <c r="L307" s="3">
        <v>162.45</v>
      </c>
      <c r="M307" s="3">
        <v>170.57</v>
      </c>
      <c r="N307" s="3">
        <v>339</v>
      </c>
      <c r="O307" s="2" t="s">
        <v>212</v>
      </c>
      <c r="P307" s="2" t="s">
        <v>285</v>
      </c>
      <c r="Q307" s="2" t="s">
        <v>206</v>
      </c>
      <c r="R307" s="2" t="s">
        <v>200</v>
      </c>
      <c r="S307" s="2" t="s">
        <v>2289</v>
      </c>
      <c r="T307" s="2" t="s">
        <v>200</v>
      </c>
      <c r="U307" s="2" t="s">
        <v>200</v>
      </c>
      <c r="V307" s="2" t="s">
        <v>1695</v>
      </c>
      <c r="W307" s="2" t="s">
        <v>379</v>
      </c>
      <c r="X307" s="2" t="s">
        <v>200</v>
      </c>
      <c r="Y307" s="2" t="s">
        <v>261</v>
      </c>
      <c r="Z307" s="4">
        <v>90</v>
      </c>
      <c r="AA307" s="4">
        <f>=ROUNDDOWN(12.8571428571429,0)</f>
      </c>
      <c r="AB307" s="5">
        <v>7</v>
      </c>
      <c r="AC307" s="2" t="s">
        <v>200</v>
      </c>
      <c r="AD307" s="4"/>
      <c r="AE307" s="4"/>
      <c r="AF307" s="6">
        <v>74</v>
      </c>
      <c r="AG307" s="6"/>
      <c r="AH307" s="7">
        <v>1</v>
      </c>
      <c r="AI307" s="4"/>
      <c r="AJ307" s="4">
        <f>=ROUNDDOWN({0},0)</f>
      </c>
      <c r="AK307" s="5"/>
      <c r="AL307" s="2" t="s">
        <v>200</v>
      </c>
      <c r="AM307" s="4"/>
      <c r="AN307" s="4"/>
      <c r="AO307" s="7">
        <v>1</v>
      </c>
      <c r="AP307" s="4"/>
      <c r="AQ307" s="8"/>
      <c r="AR307" s="4"/>
      <c r="AS307" s="8"/>
      <c r="AT307" s="7"/>
      <c r="AU307" s="7"/>
      <c r="AV307" s="4"/>
      <c r="AW307" s="8"/>
      <c r="AX307" s="4"/>
      <c r="AY307" s="8"/>
      <c r="AZ307" s="7"/>
      <c r="BA307" s="7"/>
      <c r="BB307" s="7"/>
      <c r="BC307" s="4" t="s">
        <v>200</v>
      </c>
      <c r="BD307" s="8" t="s">
        <v>200</v>
      </c>
      <c r="BE307" s="4" t="s">
        <v>200</v>
      </c>
      <c r="BF307" s="8" t="s">
        <v>200</v>
      </c>
      <c r="BG307" s="7" t="s">
        <v>200</v>
      </c>
      <c r="BH307" s="7" t="s">
        <v>200</v>
      </c>
      <c r="BI307" s="7"/>
      <c r="BJ307" s="4">
        <v>86</v>
      </c>
      <c r="BK307" s="8">
        <v>9042.5</v>
      </c>
      <c r="BL307" s="2" t="s">
        <v>2290</v>
      </c>
      <c r="BM307" s="7"/>
      <c r="BN307" s="7"/>
      <c r="BO307" s="4"/>
      <c r="BP307" s="8"/>
      <c r="BQ307" s="4"/>
      <c r="BR307" s="8"/>
      <c r="BS307" s="7"/>
      <c r="BT307" s="7"/>
      <c r="BU307" s="2" t="s">
        <v>2291</v>
      </c>
      <c r="BV307" s="2" t="s">
        <v>200</v>
      </c>
      <c r="BW307" s="2" t="s">
        <v>200</v>
      </c>
      <c r="BX307" s="2" t="s">
        <v>289</v>
      </c>
      <c r="BY307" s="2" t="s">
        <v>247</v>
      </c>
      <c r="BZ307" s="2" t="s">
        <v>212</v>
      </c>
      <c r="CA307" s="2" t="s">
        <v>265</v>
      </c>
      <c r="CB307" s="2" t="s">
        <v>2292</v>
      </c>
      <c r="CC307" s="2" t="s">
        <v>213</v>
      </c>
      <c r="CD307" s="2" t="s">
        <v>200</v>
      </c>
      <c r="CE307" s="4"/>
      <c r="CF307" s="4">
        <v>90</v>
      </c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</row>
    <row r="308">
      <c r="A308" s="2" t="s">
        <v>2293</v>
      </c>
      <c r="B308" s="2" t="s">
        <v>744</v>
      </c>
      <c r="C308" s="2" t="s">
        <v>231</v>
      </c>
      <c r="D308" s="2" t="s">
        <v>1275</v>
      </c>
      <c r="E308" s="2" t="s">
        <v>1276</v>
      </c>
      <c r="F308" s="2" t="s">
        <v>2285</v>
      </c>
      <c r="G308" s="2" t="s">
        <v>2286</v>
      </c>
      <c r="H308" s="2" t="s">
        <v>2287</v>
      </c>
      <c r="I308" s="2" t="s">
        <v>2288</v>
      </c>
      <c r="J308" s="2" t="s">
        <v>711</v>
      </c>
      <c r="K308" s="2" t="s">
        <v>1135</v>
      </c>
      <c r="L308" s="3">
        <v>162.45</v>
      </c>
      <c r="M308" s="3">
        <v>170.57</v>
      </c>
      <c r="N308" s="3">
        <v>339</v>
      </c>
      <c r="O308" s="2" t="s">
        <v>212</v>
      </c>
      <c r="P308" s="2" t="s">
        <v>258</v>
      </c>
      <c r="Q308" s="2" t="s">
        <v>206</v>
      </c>
      <c r="R308" s="2" t="s">
        <v>200</v>
      </c>
      <c r="S308" s="2" t="s">
        <v>200</v>
      </c>
      <c r="T308" s="2" t="s">
        <v>200</v>
      </c>
      <c r="U308" s="2" t="s">
        <v>200</v>
      </c>
      <c r="V308" s="2" t="s">
        <v>885</v>
      </c>
      <c r="W308" s="2" t="s">
        <v>419</v>
      </c>
      <c r="X308" s="2" t="s">
        <v>200</v>
      </c>
      <c r="Y308" s="2" t="s">
        <v>2294</v>
      </c>
      <c r="Z308" s="4">
        <v>57</v>
      </c>
      <c r="AA308" s="4">
        <f>=ROUNDDOWN(19,0)</f>
      </c>
      <c r="AB308" s="5">
        <v>3</v>
      </c>
      <c r="AC308" s="2" t="s">
        <v>1435</v>
      </c>
      <c r="AD308" s="4">
        <v>100</v>
      </c>
      <c r="AE308" s="4">
        <v>100</v>
      </c>
      <c r="AF308" s="6">
        <v>74</v>
      </c>
      <c r="AG308" s="6"/>
      <c r="AH308" s="7">
        <v>1</v>
      </c>
      <c r="AI308" s="4"/>
      <c r="AJ308" s="4">
        <f>=ROUNDDOWN({0},0)</f>
      </c>
      <c r="AK308" s="5"/>
      <c r="AL308" s="2" t="s">
        <v>200</v>
      </c>
      <c r="AM308" s="4"/>
      <c r="AN308" s="4"/>
      <c r="AO308" s="7"/>
      <c r="AP308" s="4"/>
      <c r="AQ308" s="8"/>
      <c r="AR308" s="4"/>
      <c r="AS308" s="8"/>
      <c r="AT308" s="7"/>
      <c r="AU308" s="7"/>
      <c r="AV308" s="4"/>
      <c r="AW308" s="8"/>
      <c r="AX308" s="4"/>
      <c r="AY308" s="8"/>
      <c r="AZ308" s="7"/>
      <c r="BA308" s="7"/>
      <c r="BB308" s="7"/>
      <c r="BC308" s="4" t="s">
        <v>200</v>
      </c>
      <c r="BD308" s="8" t="s">
        <v>200</v>
      </c>
      <c r="BE308" s="4" t="s">
        <v>200</v>
      </c>
      <c r="BF308" s="8" t="s">
        <v>200</v>
      </c>
      <c r="BG308" s="7" t="s">
        <v>200</v>
      </c>
      <c r="BH308" s="7" t="s">
        <v>200</v>
      </c>
      <c r="BI308" s="7"/>
      <c r="BJ308" s="4">
        <v>72</v>
      </c>
      <c r="BK308" s="8">
        <v>12376.2</v>
      </c>
      <c r="BL308" s="2" t="s">
        <v>2295</v>
      </c>
      <c r="BM308" s="7"/>
      <c r="BN308" s="7"/>
      <c r="BO308" s="4"/>
      <c r="BP308" s="8"/>
      <c r="BQ308" s="4"/>
      <c r="BR308" s="8"/>
      <c r="BS308" s="7"/>
      <c r="BT308" s="7"/>
      <c r="BU308" s="2" t="s">
        <v>2296</v>
      </c>
      <c r="BV308" s="2" t="s">
        <v>200</v>
      </c>
      <c r="BW308" s="2" t="s">
        <v>200</v>
      </c>
      <c r="BX308" s="2" t="s">
        <v>264</v>
      </c>
      <c r="BY308" s="2" t="s">
        <v>247</v>
      </c>
      <c r="BZ308" s="2" t="s">
        <v>212</v>
      </c>
      <c r="CA308" s="2" t="s">
        <v>2297</v>
      </c>
      <c r="CB308" s="2" t="s">
        <v>2298</v>
      </c>
      <c r="CC308" s="2" t="s">
        <v>213</v>
      </c>
      <c r="CD308" s="2" t="s">
        <v>200</v>
      </c>
      <c r="CE308" s="4"/>
      <c r="CF308" s="4">
        <v>57</v>
      </c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>
        <v>100</v>
      </c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</row>
    <row r="309">
      <c r="A309" s="2" t="s">
        <v>2299</v>
      </c>
      <c r="B309" s="2" t="s">
        <v>932</v>
      </c>
      <c r="C309" s="2" t="s">
        <v>1839</v>
      </c>
      <c r="D309" s="2" t="s">
        <v>918</v>
      </c>
      <c r="E309" s="2" t="s">
        <v>934</v>
      </c>
      <c r="F309" s="2" t="s">
        <v>2300</v>
      </c>
      <c r="G309" s="2" t="s">
        <v>2301</v>
      </c>
      <c r="H309" s="2" t="s">
        <v>2302</v>
      </c>
      <c r="I309" s="2" t="s">
        <v>2303</v>
      </c>
      <c r="J309" s="2" t="s">
        <v>924</v>
      </c>
      <c r="K309" s="2" t="s">
        <v>387</v>
      </c>
      <c r="L309" s="3">
        <v>72</v>
      </c>
      <c r="M309" s="3">
        <v>75.6</v>
      </c>
      <c r="N309" s="3">
        <v>139.99</v>
      </c>
      <c r="O309" s="2" t="s">
        <v>212</v>
      </c>
      <c r="P309" s="2" t="s">
        <v>258</v>
      </c>
      <c r="Q309" s="2" t="s">
        <v>206</v>
      </c>
      <c r="R309" s="2" t="s">
        <v>200</v>
      </c>
      <c r="S309" s="2" t="s">
        <v>2304</v>
      </c>
      <c r="T309" s="2" t="s">
        <v>312</v>
      </c>
      <c r="U309" s="2" t="s">
        <v>1067</v>
      </c>
      <c r="V309" s="2" t="s">
        <v>208</v>
      </c>
      <c r="W309" s="2" t="s">
        <v>2087</v>
      </c>
      <c r="X309" s="2" t="s">
        <v>2305</v>
      </c>
      <c r="Y309" s="2" t="s">
        <v>2306</v>
      </c>
      <c r="Z309" s="4">
        <v>105</v>
      </c>
      <c r="AA309" s="4">
        <f>=ROUNDDOWN(52.5,0)</f>
      </c>
      <c r="AB309" s="5">
        <v>2</v>
      </c>
      <c r="AC309" s="2" t="s">
        <v>200</v>
      </c>
      <c r="AD309" s="4"/>
      <c r="AE309" s="4"/>
      <c r="AF309" s="6">
        <v>66</v>
      </c>
      <c r="AG309" s="6"/>
      <c r="AH309" s="7">
        <v>1</v>
      </c>
      <c r="AI309" s="4"/>
      <c r="AJ309" s="4">
        <f>=ROUNDDOWN({0},0)</f>
      </c>
      <c r="AK309" s="5"/>
      <c r="AL309" s="2" t="s">
        <v>200</v>
      </c>
      <c r="AM309" s="4"/>
      <c r="AN309" s="4"/>
      <c r="AO309" s="7"/>
      <c r="AP309" s="4"/>
      <c r="AQ309" s="8"/>
      <c r="AR309" s="4"/>
      <c r="AS309" s="8"/>
      <c r="AT309" s="7"/>
      <c r="AU309" s="7"/>
      <c r="AV309" s="4"/>
      <c r="AW309" s="8"/>
      <c r="AX309" s="4"/>
      <c r="AY309" s="8"/>
      <c r="AZ309" s="7"/>
      <c r="BA309" s="7"/>
      <c r="BB309" s="7"/>
      <c r="BC309" s="4" t="s">
        <v>200</v>
      </c>
      <c r="BD309" s="8" t="s">
        <v>200</v>
      </c>
      <c r="BE309" s="4" t="s">
        <v>200</v>
      </c>
      <c r="BF309" s="8" t="s">
        <v>200</v>
      </c>
      <c r="BG309" s="7" t="s">
        <v>200</v>
      </c>
      <c r="BH309" s="7" t="s">
        <v>200</v>
      </c>
      <c r="BI309" s="7"/>
      <c r="BJ309" s="4">
        <v>3</v>
      </c>
      <c r="BK309" s="8">
        <v>235.2</v>
      </c>
      <c r="BL309" s="2" t="s">
        <v>2307</v>
      </c>
      <c r="BM309" s="7"/>
      <c r="BN309" s="7"/>
      <c r="BO309" s="4"/>
      <c r="BP309" s="8"/>
      <c r="BQ309" s="4"/>
      <c r="BR309" s="8"/>
      <c r="BS309" s="7"/>
      <c r="BT309" s="7"/>
      <c r="BU309" s="2" t="s">
        <v>2308</v>
      </c>
      <c r="BV309" s="2" t="s">
        <v>200</v>
      </c>
      <c r="BW309" s="2" t="s">
        <v>200</v>
      </c>
      <c r="BX309" s="2" t="s">
        <v>620</v>
      </c>
      <c r="BY309" s="2" t="s">
        <v>247</v>
      </c>
      <c r="BZ309" s="2" t="s">
        <v>212</v>
      </c>
      <c r="CA309" s="2" t="s">
        <v>2309</v>
      </c>
      <c r="CB309" s="2" t="s">
        <v>2310</v>
      </c>
      <c r="CC309" s="2" t="s">
        <v>213</v>
      </c>
      <c r="CD309" s="2" t="s">
        <v>200</v>
      </c>
      <c r="CE309" s="4">
        <v>105</v>
      </c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</row>
    <row r="310">
      <c r="A310" s="2" t="s">
        <v>2311</v>
      </c>
      <c r="B310" s="2" t="s">
        <v>932</v>
      </c>
      <c r="C310" s="2" t="s">
        <v>1839</v>
      </c>
      <c r="D310" s="2" t="s">
        <v>608</v>
      </c>
      <c r="E310" s="2" t="s">
        <v>609</v>
      </c>
      <c r="F310" s="2" t="s">
        <v>2300</v>
      </c>
      <c r="G310" s="2" t="s">
        <v>2301</v>
      </c>
      <c r="H310" s="2" t="s">
        <v>2302</v>
      </c>
      <c r="I310" s="2" t="s">
        <v>2312</v>
      </c>
      <c r="J310" s="2" t="s">
        <v>1390</v>
      </c>
      <c r="K310" s="2" t="s">
        <v>1214</v>
      </c>
      <c r="L310" s="3">
        <v>52.88</v>
      </c>
      <c r="M310" s="3">
        <v>55.52</v>
      </c>
      <c r="N310" s="3">
        <v>109.99</v>
      </c>
      <c r="O310" s="2" t="s">
        <v>212</v>
      </c>
      <c r="P310" s="2" t="s">
        <v>258</v>
      </c>
      <c r="Q310" s="2" t="s">
        <v>206</v>
      </c>
      <c r="R310" s="2" t="s">
        <v>200</v>
      </c>
      <c r="S310" s="2" t="s">
        <v>2313</v>
      </c>
      <c r="T310" s="2" t="s">
        <v>312</v>
      </c>
      <c r="U310" s="2" t="s">
        <v>615</v>
      </c>
      <c r="V310" s="2" t="s">
        <v>208</v>
      </c>
      <c r="W310" s="2" t="s">
        <v>2087</v>
      </c>
      <c r="X310" s="2" t="s">
        <v>2305</v>
      </c>
      <c r="Y310" s="2" t="s">
        <v>2314</v>
      </c>
      <c r="Z310" s="4">
        <v>299</v>
      </c>
      <c r="AA310" s="4">
        <f>=ROUNDDOWN(99.6666666666667,0)</f>
      </c>
      <c r="AB310" s="5">
        <v>3</v>
      </c>
      <c r="AC310" s="2" t="s">
        <v>200</v>
      </c>
      <c r="AD310" s="4"/>
      <c r="AE310" s="4"/>
      <c r="AF310" s="6">
        <v>66</v>
      </c>
      <c r="AG310" s="6"/>
      <c r="AH310" s="7">
        <v>1</v>
      </c>
      <c r="AI310" s="4"/>
      <c r="AJ310" s="4">
        <f>=ROUNDDOWN({0},0)</f>
      </c>
      <c r="AK310" s="5"/>
      <c r="AL310" s="2" t="s">
        <v>200</v>
      </c>
      <c r="AM310" s="4"/>
      <c r="AN310" s="4"/>
      <c r="AO310" s="7"/>
      <c r="AP310" s="4"/>
      <c r="AQ310" s="8"/>
      <c r="AR310" s="4"/>
      <c r="AS310" s="8"/>
      <c r="AT310" s="7"/>
      <c r="AU310" s="7"/>
      <c r="AV310" s="4" t="s">
        <v>200</v>
      </c>
      <c r="AW310" s="8" t="s">
        <v>200</v>
      </c>
      <c r="AX310" s="4" t="s">
        <v>200</v>
      </c>
      <c r="AY310" s="8" t="s">
        <v>200</v>
      </c>
      <c r="AZ310" s="7" t="s">
        <v>200</v>
      </c>
      <c r="BA310" s="7" t="s">
        <v>200</v>
      </c>
      <c r="BB310" s="7" t="s">
        <v>200</v>
      </c>
      <c r="BC310" s="4" t="s">
        <v>200</v>
      </c>
      <c r="BD310" s="8" t="s">
        <v>200</v>
      </c>
      <c r="BE310" s="4" t="s">
        <v>200</v>
      </c>
      <c r="BF310" s="8" t="s">
        <v>200</v>
      </c>
      <c r="BG310" s="7" t="s">
        <v>200</v>
      </c>
      <c r="BH310" s="7" t="s">
        <v>200</v>
      </c>
      <c r="BI310" s="7"/>
      <c r="BJ310" s="4">
        <v>6</v>
      </c>
      <c r="BK310" s="8">
        <v>348.11</v>
      </c>
      <c r="BL310" s="2" t="s">
        <v>2315</v>
      </c>
      <c r="BM310" s="7"/>
      <c r="BN310" s="7"/>
      <c r="BO310" s="4"/>
      <c r="BP310" s="8"/>
      <c r="BQ310" s="4"/>
      <c r="BR310" s="8"/>
      <c r="BS310" s="7"/>
      <c r="BT310" s="7"/>
      <c r="BU310" s="2" t="s">
        <v>2316</v>
      </c>
      <c r="BV310" s="2" t="s">
        <v>200</v>
      </c>
      <c r="BW310" s="2" t="s">
        <v>200</v>
      </c>
      <c r="BX310" s="2" t="s">
        <v>620</v>
      </c>
      <c r="BY310" s="2" t="s">
        <v>247</v>
      </c>
      <c r="BZ310" s="2" t="s">
        <v>212</v>
      </c>
      <c r="CA310" s="2" t="s">
        <v>2317</v>
      </c>
      <c r="CB310" s="2" t="s">
        <v>1888</v>
      </c>
      <c r="CC310" s="2" t="s">
        <v>213</v>
      </c>
      <c r="CD310" s="2" t="s">
        <v>200</v>
      </c>
      <c r="CE310" s="4">
        <v>299</v>
      </c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</row>
    <row r="311">
      <c r="A311" s="2" t="s">
        <v>2318</v>
      </c>
      <c r="B311" s="2" t="s">
        <v>932</v>
      </c>
      <c r="C311" s="2" t="s">
        <v>1839</v>
      </c>
      <c r="D311" s="2" t="s">
        <v>918</v>
      </c>
      <c r="E311" s="2" t="s">
        <v>934</v>
      </c>
      <c r="F311" s="2" t="s">
        <v>2300</v>
      </c>
      <c r="G311" s="2" t="s">
        <v>2301</v>
      </c>
      <c r="H311" s="2" t="s">
        <v>2302</v>
      </c>
      <c r="I311" s="2" t="s">
        <v>2303</v>
      </c>
      <c r="J311" s="2" t="s">
        <v>1390</v>
      </c>
      <c r="K311" s="2" t="s">
        <v>1214</v>
      </c>
      <c r="L311" s="3">
        <v>46.53</v>
      </c>
      <c r="M311" s="3">
        <v>48.86</v>
      </c>
      <c r="N311" s="3">
        <v>89.99</v>
      </c>
      <c r="O311" s="2" t="s">
        <v>212</v>
      </c>
      <c r="P311" s="2" t="s">
        <v>258</v>
      </c>
      <c r="Q311" s="2" t="s">
        <v>206</v>
      </c>
      <c r="R311" s="2" t="s">
        <v>200</v>
      </c>
      <c r="S311" s="2" t="s">
        <v>2313</v>
      </c>
      <c r="T311" s="2" t="s">
        <v>312</v>
      </c>
      <c r="U311" s="2" t="s">
        <v>615</v>
      </c>
      <c r="V311" s="2" t="s">
        <v>208</v>
      </c>
      <c r="W311" s="2" t="s">
        <v>2087</v>
      </c>
      <c r="X311" s="2" t="s">
        <v>2305</v>
      </c>
      <c r="Y311" s="2" t="s">
        <v>2319</v>
      </c>
      <c r="Z311" s="4">
        <v>330</v>
      </c>
      <c r="AA311" s="4">
        <f>=ROUNDDOWN(165,0)</f>
      </c>
      <c r="AB311" s="5">
        <v>2</v>
      </c>
      <c r="AC311" s="2" t="s">
        <v>200</v>
      </c>
      <c r="AD311" s="4"/>
      <c r="AE311" s="4"/>
      <c r="AF311" s="6">
        <v>66</v>
      </c>
      <c r="AG311" s="6"/>
      <c r="AH311" s="7">
        <v>1</v>
      </c>
      <c r="AI311" s="4"/>
      <c r="AJ311" s="4">
        <f>=ROUNDDOWN({0},0)</f>
      </c>
      <c r="AK311" s="5"/>
      <c r="AL311" s="2" t="s">
        <v>200</v>
      </c>
      <c r="AM311" s="4"/>
      <c r="AN311" s="4"/>
      <c r="AO311" s="7"/>
      <c r="AP311" s="4"/>
      <c r="AQ311" s="8"/>
      <c r="AR311" s="4"/>
      <c r="AS311" s="8"/>
      <c r="AT311" s="7"/>
      <c r="AU311" s="7"/>
      <c r="AV311" s="4" t="s">
        <v>200</v>
      </c>
      <c r="AW311" s="8" t="s">
        <v>200</v>
      </c>
      <c r="AX311" s="4" t="s">
        <v>200</v>
      </c>
      <c r="AY311" s="8" t="s">
        <v>200</v>
      </c>
      <c r="AZ311" s="7" t="s">
        <v>200</v>
      </c>
      <c r="BA311" s="7" t="s">
        <v>200</v>
      </c>
      <c r="BB311" s="7" t="s">
        <v>200</v>
      </c>
      <c r="BC311" s="4" t="s">
        <v>200</v>
      </c>
      <c r="BD311" s="8" t="s">
        <v>200</v>
      </c>
      <c r="BE311" s="4" t="s">
        <v>200</v>
      </c>
      <c r="BF311" s="8" t="s">
        <v>200</v>
      </c>
      <c r="BG311" s="7" t="s">
        <v>200</v>
      </c>
      <c r="BH311" s="7" t="s">
        <v>200</v>
      </c>
      <c r="BI311" s="7"/>
      <c r="BJ311" s="4"/>
      <c r="BK311" s="8"/>
      <c r="BL311" s="2" t="s">
        <v>200</v>
      </c>
      <c r="BM311" s="7"/>
      <c r="BN311" s="7"/>
      <c r="BO311" s="4"/>
      <c r="BP311" s="8"/>
      <c r="BQ311" s="4"/>
      <c r="BR311" s="8"/>
      <c r="BS311" s="7"/>
      <c r="BT311" s="7"/>
      <c r="BU311" s="2" t="s">
        <v>2320</v>
      </c>
      <c r="BV311" s="2" t="s">
        <v>200</v>
      </c>
      <c r="BW311" s="2" t="s">
        <v>200</v>
      </c>
      <c r="BX311" s="2" t="s">
        <v>620</v>
      </c>
      <c r="BY311" s="2" t="s">
        <v>247</v>
      </c>
      <c r="BZ311" s="2" t="s">
        <v>212</v>
      </c>
      <c r="CA311" s="2" t="s">
        <v>2321</v>
      </c>
      <c r="CB311" s="2" t="s">
        <v>2322</v>
      </c>
      <c r="CC311" s="2" t="s">
        <v>213</v>
      </c>
      <c r="CD311" s="2" t="s">
        <v>200</v>
      </c>
      <c r="CE311" s="4">
        <v>330</v>
      </c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</row>
    <row r="312">
      <c r="A312" s="2" t="s">
        <v>2323</v>
      </c>
      <c r="B312" s="2" t="s">
        <v>827</v>
      </c>
      <c r="C312" s="2" t="s">
        <v>1839</v>
      </c>
      <c r="D312" s="2" t="s">
        <v>1524</v>
      </c>
      <c r="E312" s="2" t="s">
        <v>2324</v>
      </c>
      <c r="F312" s="2" t="s">
        <v>2300</v>
      </c>
      <c r="G312" s="2" t="s">
        <v>2301</v>
      </c>
      <c r="H312" s="2" t="s">
        <v>2302</v>
      </c>
      <c r="I312" s="2" t="s">
        <v>2325</v>
      </c>
      <c r="J312" s="2" t="s">
        <v>2326</v>
      </c>
      <c r="K312" s="2" t="s">
        <v>1214</v>
      </c>
      <c r="L312" s="3">
        <v>10.8</v>
      </c>
      <c r="M312" s="3">
        <v>11.34</v>
      </c>
      <c r="N312" s="3">
        <v>26.99</v>
      </c>
      <c r="O312" s="2" t="s">
        <v>417</v>
      </c>
      <c r="P312" s="2" t="s">
        <v>285</v>
      </c>
      <c r="Q312" s="2" t="s">
        <v>206</v>
      </c>
      <c r="R312" s="2" t="s">
        <v>200</v>
      </c>
      <c r="S312" s="2" t="s">
        <v>2313</v>
      </c>
      <c r="T312" s="2" t="s">
        <v>312</v>
      </c>
      <c r="U312" s="2" t="s">
        <v>270</v>
      </c>
      <c r="V312" s="2" t="s">
        <v>208</v>
      </c>
      <c r="W312" s="2" t="s">
        <v>241</v>
      </c>
      <c r="X312" s="2" t="s">
        <v>2087</v>
      </c>
      <c r="Y312" s="2" t="s">
        <v>2327</v>
      </c>
      <c r="Z312" s="4">
        <v>68</v>
      </c>
      <c r="AA312" s="4">
        <f>=ROUNDDOWN(52.3076923076923,0)</f>
      </c>
      <c r="AB312" s="5">
        <v>1.3</v>
      </c>
      <c r="AC312" s="2" t="s">
        <v>200</v>
      </c>
      <c r="AD312" s="4"/>
      <c r="AE312" s="4"/>
      <c r="AF312" s="6">
        <v>65</v>
      </c>
      <c r="AG312" s="6"/>
      <c r="AH312" s="7">
        <v>0.8667</v>
      </c>
      <c r="AI312" s="4"/>
      <c r="AJ312" s="4">
        <f>=ROUNDDOWN({0},0)</f>
      </c>
      <c r="AK312" s="5"/>
      <c r="AL312" s="2" t="s">
        <v>200</v>
      </c>
      <c r="AM312" s="4"/>
      <c r="AN312" s="4"/>
      <c r="AO312" s="7"/>
      <c r="AP312" s="4"/>
      <c r="AQ312" s="8"/>
      <c r="AR312" s="4"/>
      <c r="AS312" s="8"/>
      <c r="AT312" s="7"/>
      <c r="AU312" s="7"/>
      <c r="AV312" s="4" t="s">
        <v>200</v>
      </c>
      <c r="AW312" s="8" t="s">
        <v>200</v>
      </c>
      <c r="AX312" s="4" t="s">
        <v>200</v>
      </c>
      <c r="AY312" s="8" t="s">
        <v>200</v>
      </c>
      <c r="AZ312" s="7" t="s">
        <v>200</v>
      </c>
      <c r="BA312" s="7" t="s">
        <v>200</v>
      </c>
      <c r="BB312" s="7"/>
      <c r="BC312" s="4" t="s">
        <v>200</v>
      </c>
      <c r="BD312" s="8" t="s">
        <v>200</v>
      </c>
      <c r="BE312" s="4" t="s">
        <v>200</v>
      </c>
      <c r="BF312" s="8" t="s">
        <v>200</v>
      </c>
      <c r="BG312" s="7" t="s">
        <v>200</v>
      </c>
      <c r="BH312" s="7" t="s">
        <v>200</v>
      </c>
      <c r="BI312" s="7"/>
      <c r="BJ312" s="4"/>
      <c r="BK312" s="8"/>
      <c r="BL312" s="2" t="s">
        <v>287</v>
      </c>
      <c r="BM312" s="7"/>
      <c r="BN312" s="7"/>
      <c r="BO312" s="4"/>
      <c r="BP312" s="8"/>
      <c r="BQ312" s="4"/>
      <c r="BR312" s="8"/>
      <c r="BS312" s="7"/>
      <c r="BT312" s="7"/>
      <c r="BU312" s="2" t="s">
        <v>2328</v>
      </c>
      <c r="BV312" s="2" t="s">
        <v>200</v>
      </c>
      <c r="BW312" s="2" t="s">
        <v>200</v>
      </c>
      <c r="BX312" s="2" t="s">
        <v>289</v>
      </c>
      <c r="BY312" s="2" t="s">
        <v>247</v>
      </c>
      <c r="BZ312" s="2" t="s">
        <v>212</v>
      </c>
      <c r="CA312" s="2" t="s">
        <v>2329</v>
      </c>
      <c r="CB312" s="2" t="s">
        <v>2330</v>
      </c>
      <c r="CC312" s="2" t="s">
        <v>213</v>
      </c>
      <c r="CD312" s="2" t="s">
        <v>200</v>
      </c>
      <c r="CE312" s="4">
        <v>68</v>
      </c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</row>
    <row r="313">
      <c r="A313" s="2" t="s">
        <v>2331</v>
      </c>
      <c r="B313" s="2" t="s">
        <v>932</v>
      </c>
      <c r="C313" s="2" t="s">
        <v>1839</v>
      </c>
      <c r="D313" s="2" t="s">
        <v>608</v>
      </c>
      <c r="E313" s="2" t="s">
        <v>609</v>
      </c>
      <c r="F313" s="2" t="s">
        <v>2300</v>
      </c>
      <c r="G313" s="2" t="s">
        <v>2301</v>
      </c>
      <c r="H313" s="2" t="s">
        <v>2302</v>
      </c>
      <c r="I313" s="2" t="s">
        <v>2312</v>
      </c>
      <c r="J313" s="2" t="s">
        <v>924</v>
      </c>
      <c r="K313" s="2" t="s">
        <v>221</v>
      </c>
      <c r="L313" s="3">
        <v>75.6</v>
      </c>
      <c r="M313" s="3">
        <v>79.38</v>
      </c>
      <c r="N313" s="3">
        <v>159.99</v>
      </c>
      <c r="O313" s="2" t="s">
        <v>212</v>
      </c>
      <c r="P313" s="2" t="s">
        <v>258</v>
      </c>
      <c r="Q313" s="2" t="s">
        <v>206</v>
      </c>
      <c r="R313" s="2" t="s">
        <v>200</v>
      </c>
      <c r="S313" s="2" t="s">
        <v>2332</v>
      </c>
      <c r="T313" s="2" t="s">
        <v>312</v>
      </c>
      <c r="U313" s="2" t="s">
        <v>1067</v>
      </c>
      <c r="V313" s="2" t="s">
        <v>208</v>
      </c>
      <c r="W313" s="2" t="s">
        <v>2087</v>
      </c>
      <c r="X313" s="2" t="s">
        <v>2305</v>
      </c>
      <c r="Y313" s="2" t="s">
        <v>2306</v>
      </c>
      <c r="Z313" s="4">
        <v>248</v>
      </c>
      <c r="AA313" s="4">
        <f>=ROUNDDOWN(62,0)</f>
      </c>
      <c r="AB313" s="5">
        <v>4</v>
      </c>
      <c r="AC313" s="2" t="s">
        <v>200</v>
      </c>
      <c r="AD313" s="4"/>
      <c r="AE313" s="4"/>
      <c r="AF313" s="6">
        <v>66</v>
      </c>
      <c r="AG313" s="6">
        <v>49</v>
      </c>
      <c r="AH313" s="7">
        <v>1</v>
      </c>
      <c r="AI313" s="4"/>
      <c r="AJ313" s="4">
        <f>=ROUNDDOWN({0},0)</f>
      </c>
      <c r="AK313" s="5"/>
      <c r="AL313" s="2" t="s">
        <v>200</v>
      </c>
      <c r="AM313" s="4"/>
      <c r="AN313" s="4"/>
      <c r="AO313" s="7"/>
      <c r="AP313" s="4"/>
      <c r="AQ313" s="8"/>
      <c r="AR313" s="4"/>
      <c r="AS313" s="8"/>
      <c r="AT313" s="7"/>
      <c r="AU313" s="7"/>
      <c r="AV313" s="4" t="s">
        <v>200</v>
      </c>
      <c r="AW313" s="8" t="s">
        <v>200</v>
      </c>
      <c r="AX313" s="4" t="s">
        <v>200</v>
      </c>
      <c r="AY313" s="8" t="s">
        <v>200</v>
      </c>
      <c r="AZ313" s="7" t="s">
        <v>200</v>
      </c>
      <c r="BA313" s="7" t="s">
        <v>200</v>
      </c>
      <c r="BB313" s="7"/>
      <c r="BC313" s="4" t="s">
        <v>200</v>
      </c>
      <c r="BD313" s="8" t="s">
        <v>200</v>
      </c>
      <c r="BE313" s="4" t="s">
        <v>200</v>
      </c>
      <c r="BF313" s="8" t="s">
        <v>200</v>
      </c>
      <c r="BG313" s="7" t="s">
        <v>200</v>
      </c>
      <c r="BH313" s="7" t="s">
        <v>200</v>
      </c>
      <c r="BI313" s="7"/>
      <c r="BJ313" s="4">
        <v>5</v>
      </c>
      <c r="BK313" s="8">
        <v>438.14</v>
      </c>
      <c r="BL313" s="2" t="s">
        <v>2333</v>
      </c>
      <c r="BM313" s="7"/>
      <c r="BN313" s="7"/>
      <c r="BO313" s="4"/>
      <c r="BP313" s="8"/>
      <c r="BQ313" s="4"/>
      <c r="BR313" s="8"/>
      <c r="BS313" s="7"/>
      <c r="BT313" s="7"/>
      <c r="BU313" s="2" t="s">
        <v>2334</v>
      </c>
      <c r="BV313" s="2" t="s">
        <v>200</v>
      </c>
      <c r="BW313" s="2" t="s">
        <v>200</v>
      </c>
      <c r="BX313" s="2" t="s">
        <v>620</v>
      </c>
      <c r="BY313" s="2" t="s">
        <v>247</v>
      </c>
      <c r="BZ313" s="2" t="s">
        <v>212</v>
      </c>
      <c r="CA313" s="2" t="s">
        <v>2309</v>
      </c>
      <c r="CB313" s="2" t="s">
        <v>2335</v>
      </c>
      <c r="CC313" s="2" t="s">
        <v>213</v>
      </c>
      <c r="CD313" s="2" t="s">
        <v>200</v>
      </c>
      <c r="CE313" s="4">
        <v>162</v>
      </c>
      <c r="CF313" s="4"/>
      <c r="CG313" s="4"/>
      <c r="CH313" s="4">
        <v>86</v>
      </c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</row>
    <row r="314">
      <c r="A314" s="2" t="s">
        <v>2336</v>
      </c>
      <c r="B314" s="2" t="s">
        <v>827</v>
      </c>
      <c r="C314" s="2" t="s">
        <v>231</v>
      </c>
      <c r="D314" s="2" t="s">
        <v>828</v>
      </c>
      <c r="E314" s="2" t="s">
        <v>1011</v>
      </c>
      <c r="F314" s="2" t="s">
        <v>2300</v>
      </c>
      <c r="G314" s="2" t="s">
        <v>1342</v>
      </c>
      <c r="H314" s="2" t="s">
        <v>2337</v>
      </c>
      <c r="I314" s="2" t="s">
        <v>2338</v>
      </c>
      <c r="J314" s="2" t="s">
        <v>1016</v>
      </c>
      <c r="K314" s="2" t="s">
        <v>221</v>
      </c>
      <c r="L314" s="3">
        <v>16.65</v>
      </c>
      <c r="M314" s="3">
        <v>17.48</v>
      </c>
      <c r="N314" s="3">
        <v>36.99</v>
      </c>
      <c r="O314" s="2" t="s">
        <v>212</v>
      </c>
      <c r="P314" s="2" t="s">
        <v>285</v>
      </c>
      <c r="Q314" s="2" t="s">
        <v>206</v>
      </c>
      <c r="R314" s="2" t="s">
        <v>200</v>
      </c>
      <c r="S314" s="2" t="s">
        <v>2339</v>
      </c>
      <c r="T314" s="2" t="s">
        <v>200</v>
      </c>
      <c r="U314" s="2" t="s">
        <v>200</v>
      </c>
      <c r="V314" s="2" t="s">
        <v>885</v>
      </c>
      <c r="W314" s="2" t="s">
        <v>379</v>
      </c>
      <c r="X314" s="2" t="s">
        <v>1078</v>
      </c>
      <c r="Y314" s="2" t="s">
        <v>2340</v>
      </c>
      <c r="Z314" s="4">
        <v>125</v>
      </c>
      <c r="AA314" s="4">
        <f>=ROUNDDOWN(17.8571428571429,0)</f>
      </c>
      <c r="AB314" s="5">
        <v>7</v>
      </c>
      <c r="AC314" s="2" t="s">
        <v>200</v>
      </c>
      <c r="AD314" s="4"/>
      <c r="AE314" s="4"/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200</v>
      </c>
      <c r="AM314" s="4"/>
      <c r="AN314" s="4"/>
      <c r="AO314" s="7"/>
      <c r="AP314" s="4"/>
      <c r="AQ314" s="8"/>
      <c r="AR314" s="4"/>
      <c r="AS314" s="8"/>
      <c r="AT314" s="7"/>
      <c r="AU314" s="7"/>
      <c r="AV314" s="4" t="s">
        <v>200</v>
      </c>
      <c r="AW314" s="8" t="s">
        <v>200</v>
      </c>
      <c r="AX314" s="4" t="s">
        <v>200</v>
      </c>
      <c r="AY314" s="8" t="s">
        <v>200</v>
      </c>
      <c r="AZ314" s="7" t="s">
        <v>200</v>
      </c>
      <c r="BA314" s="7" t="s">
        <v>200</v>
      </c>
      <c r="BB314" s="7"/>
      <c r="BC314" s="4" t="s">
        <v>200</v>
      </c>
      <c r="BD314" s="8" t="s">
        <v>200</v>
      </c>
      <c r="BE314" s="4" t="s">
        <v>200</v>
      </c>
      <c r="BF314" s="8" t="s">
        <v>200</v>
      </c>
      <c r="BG314" s="7" t="s">
        <v>200</v>
      </c>
      <c r="BH314" s="7" t="s">
        <v>200</v>
      </c>
      <c r="BI314" s="7"/>
      <c r="BJ314" s="4">
        <v>19</v>
      </c>
      <c r="BK314" s="8">
        <v>325.54</v>
      </c>
      <c r="BL314" s="2" t="s">
        <v>2341</v>
      </c>
      <c r="BM314" s="7"/>
      <c r="BN314" s="7"/>
      <c r="BO314" s="4"/>
      <c r="BP314" s="8"/>
      <c r="BQ314" s="4"/>
      <c r="BR314" s="8"/>
      <c r="BS314" s="7"/>
      <c r="BT314" s="7"/>
      <c r="BU314" s="2" t="s">
        <v>2342</v>
      </c>
      <c r="BV314" s="2" t="s">
        <v>200</v>
      </c>
      <c r="BW314" s="2" t="s">
        <v>200</v>
      </c>
      <c r="BX314" s="2" t="s">
        <v>289</v>
      </c>
      <c r="BY314" s="2" t="s">
        <v>247</v>
      </c>
      <c r="BZ314" s="2" t="s">
        <v>212</v>
      </c>
      <c r="CA314" s="2" t="s">
        <v>1917</v>
      </c>
      <c r="CB314" s="2" t="s">
        <v>2343</v>
      </c>
      <c r="CC314" s="2" t="s">
        <v>213</v>
      </c>
      <c r="CD314" s="2" t="s">
        <v>200</v>
      </c>
      <c r="CE314" s="4">
        <v>125</v>
      </c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</row>
    <row r="315">
      <c r="A315" s="2" t="s">
        <v>2344</v>
      </c>
      <c r="B315" s="2" t="s">
        <v>827</v>
      </c>
      <c r="C315" s="2" t="s">
        <v>231</v>
      </c>
      <c r="D315" s="2" t="s">
        <v>828</v>
      </c>
      <c r="E315" s="2" t="s">
        <v>1011</v>
      </c>
      <c r="F315" s="2" t="s">
        <v>2300</v>
      </c>
      <c r="G315" s="2" t="s">
        <v>1342</v>
      </c>
      <c r="H315" s="2" t="s">
        <v>2337</v>
      </c>
      <c r="I315" s="2" t="s">
        <v>2338</v>
      </c>
      <c r="J315" s="2" t="s">
        <v>1242</v>
      </c>
      <c r="K315" s="2" t="s">
        <v>221</v>
      </c>
      <c r="L315" s="3">
        <v>18.8</v>
      </c>
      <c r="M315" s="3">
        <v>19.74</v>
      </c>
      <c r="N315" s="3">
        <v>39.99</v>
      </c>
      <c r="O315" s="2" t="s">
        <v>212</v>
      </c>
      <c r="P315" s="2" t="s">
        <v>285</v>
      </c>
      <c r="Q315" s="2" t="s">
        <v>206</v>
      </c>
      <c r="R315" s="2" t="s">
        <v>200</v>
      </c>
      <c r="S315" s="2" t="s">
        <v>2339</v>
      </c>
      <c r="T315" s="2" t="s">
        <v>200</v>
      </c>
      <c r="U315" s="2" t="s">
        <v>200</v>
      </c>
      <c r="V315" s="2" t="s">
        <v>885</v>
      </c>
      <c r="W315" s="2" t="s">
        <v>379</v>
      </c>
      <c r="X315" s="2" t="s">
        <v>1078</v>
      </c>
      <c r="Y315" s="2" t="s">
        <v>2340</v>
      </c>
      <c r="Z315" s="4">
        <v>5</v>
      </c>
      <c r="AA315" s="4">
        <f>=ROUNDDOWN(1,0)</f>
      </c>
      <c r="AB315" s="5">
        <v>5</v>
      </c>
      <c r="AC315" s="2" t="s">
        <v>200</v>
      </c>
      <c r="AD315" s="4"/>
      <c r="AE315" s="4"/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200</v>
      </c>
      <c r="AM315" s="4"/>
      <c r="AN315" s="4"/>
      <c r="AO315" s="7"/>
      <c r="AP315" s="4"/>
      <c r="AQ315" s="8"/>
      <c r="AR315" s="4"/>
      <c r="AS315" s="8"/>
      <c r="AT315" s="7"/>
      <c r="AU315" s="7"/>
      <c r="AV315" s="4" t="s">
        <v>200</v>
      </c>
      <c r="AW315" s="8" t="s">
        <v>200</v>
      </c>
      <c r="AX315" s="4" t="s">
        <v>200</v>
      </c>
      <c r="AY315" s="8" t="s">
        <v>200</v>
      </c>
      <c r="AZ315" s="7" t="s">
        <v>200</v>
      </c>
      <c r="BA315" s="7" t="s">
        <v>200</v>
      </c>
      <c r="BB315" s="7"/>
      <c r="BC315" s="4" t="s">
        <v>200</v>
      </c>
      <c r="BD315" s="8" t="s">
        <v>200</v>
      </c>
      <c r="BE315" s="4" t="s">
        <v>200</v>
      </c>
      <c r="BF315" s="8" t="s">
        <v>200</v>
      </c>
      <c r="BG315" s="7" t="s">
        <v>200</v>
      </c>
      <c r="BH315" s="7" t="s">
        <v>200</v>
      </c>
      <c r="BI315" s="7"/>
      <c r="BJ315" s="4">
        <v>13</v>
      </c>
      <c r="BK315" s="8">
        <v>244.84</v>
      </c>
      <c r="BL315" s="2" t="s">
        <v>2345</v>
      </c>
      <c r="BM315" s="7"/>
      <c r="BN315" s="7"/>
      <c r="BO315" s="4"/>
      <c r="BP315" s="8"/>
      <c r="BQ315" s="4"/>
      <c r="BR315" s="8"/>
      <c r="BS315" s="7"/>
      <c r="BT315" s="7"/>
      <c r="BU315" s="2" t="s">
        <v>2346</v>
      </c>
      <c r="BV315" s="2" t="s">
        <v>200</v>
      </c>
      <c r="BW315" s="2" t="s">
        <v>200</v>
      </c>
      <c r="BX315" s="2" t="s">
        <v>289</v>
      </c>
      <c r="BY315" s="2" t="s">
        <v>247</v>
      </c>
      <c r="BZ315" s="2" t="s">
        <v>212</v>
      </c>
      <c r="CA315" s="2" t="s">
        <v>1917</v>
      </c>
      <c r="CB315" s="2" t="s">
        <v>1228</v>
      </c>
      <c r="CC315" s="2" t="s">
        <v>213</v>
      </c>
      <c r="CD315" s="2" t="s">
        <v>200</v>
      </c>
      <c r="CE315" s="4">
        <v>5</v>
      </c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</row>
    <row r="316">
      <c r="A316" s="2" t="s">
        <v>2347</v>
      </c>
      <c r="B316" s="2" t="s">
        <v>932</v>
      </c>
      <c r="C316" s="2" t="s">
        <v>1839</v>
      </c>
      <c r="D316" s="2" t="s">
        <v>918</v>
      </c>
      <c r="E316" s="2" t="s">
        <v>934</v>
      </c>
      <c r="F316" s="2" t="s">
        <v>2300</v>
      </c>
      <c r="G316" s="2" t="s">
        <v>2301</v>
      </c>
      <c r="H316" s="2" t="s">
        <v>2302</v>
      </c>
      <c r="I316" s="2" t="s">
        <v>2303</v>
      </c>
      <c r="J316" s="2" t="s">
        <v>1390</v>
      </c>
      <c r="K316" s="2" t="s">
        <v>223</v>
      </c>
      <c r="L316" s="3">
        <v>46.53</v>
      </c>
      <c r="M316" s="3">
        <v>48.86</v>
      </c>
      <c r="N316" s="3">
        <v>89.99</v>
      </c>
      <c r="O316" s="2" t="s">
        <v>212</v>
      </c>
      <c r="P316" s="2" t="s">
        <v>258</v>
      </c>
      <c r="Q316" s="2" t="s">
        <v>206</v>
      </c>
      <c r="R316" s="2" t="s">
        <v>200</v>
      </c>
      <c r="S316" s="2" t="s">
        <v>2348</v>
      </c>
      <c r="T316" s="2" t="s">
        <v>312</v>
      </c>
      <c r="U316" s="2" t="s">
        <v>615</v>
      </c>
      <c r="V316" s="2" t="s">
        <v>208</v>
      </c>
      <c r="W316" s="2" t="s">
        <v>2087</v>
      </c>
      <c r="X316" s="2" t="s">
        <v>2305</v>
      </c>
      <c r="Y316" s="2" t="s">
        <v>2349</v>
      </c>
      <c r="Z316" s="4">
        <v>198</v>
      </c>
      <c r="AA316" s="4">
        <f>=ROUNDDOWN(99,0)</f>
      </c>
      <c r="AB316" s="5">
        <v>2</v>
      </c>
      <c r="AC316" s="2" t="s">
        <v>200</v>
      </c>
      <c r="AD316" s="4"/>
      <c r="AE316" s="4"/>
      <c r="AF316" s="6">
        <v>66</v>
      </c>
      <c r="AG316" s="6"/>
      <c r="AH316" s="7">
        <v>1</v>
      </c>
      <c r="AI316" s="4"/>
      <c r="AJ316" s="4">
        <f>=ROUNDDOWN({0},0)</f>
      </c>
      <c r="AK316" s="5"/>
      <c r="AL316" s="2" t="s">
        <v>200</v>
      </c>
      <c r="AM316" s="4"/>
      <c r="AN316" s="4"/>
      <c r="AO316" s="7"/>
      <c r="AP316" s="4"/>
      <c r="AQ316" s="8"/>
      <c r="AR316" s="4"/>
      <c r="AS316" s="8"/>
      <c r="AT316" s="7"/>
      <c r="AU316" s="7"/>
      <c r="AV316" s="4" t="s">
        <v>200</v>
      </c>
      <c r="AW316" s="8" t="s">
        <v>200</v>
      </c>
      <c r="AX316" s="4" t="s">
        <v>200</v>
      </c>
      <c r="AY316" s="8" t="s">
        <v>200</v>
      </c>
      <c r="AZ316" s="7" t="s">
        <v>200</v>
      </c>
      <c r="BA316" s="7" t="s">
        <v>200</v>
      </c>
      <c r="BB316" s="7"/>
      <c r="BC316" s="4" t="s">
        <v>200</v>
      </c>
      <c r="BD316" s="8" t="s">
        <v>200</v>
      </c>
      <c r="BE316" s="4" t="s">
        <v>200</v>
      </c>
      <c r="BF316" s="8" t="s">
        <v>200</v>
      </c>
      <c r="BG316" s="7" t="s">
        <v>200</v>
      </c>
      <c r="BH316" s="7" t="s">
        <v>200</v>
      </c>
      <c r="BI316" s="7"/>
      <c r="BJ316" s="4">
        <v>4</v>
      </c>
      <c r="BK316" s="8">
        <v>206</v>
      </c>
      <c r="BL316" s="2" t="s">
        <v>2212</v>
      </c>
      <c r="BM316" s="7"/>
      <c r="BN316" s="7"/>
      <c r="BO316" s="4"/>
      <c r="BP316" s="8"/>
      <c r="BQ316" s="4"/>
      <c r="BR316" s="8"/>
      <c r="BS316" s="7"/>
      <c r="BT316" s="7"/>
      <c r="BU316" s="2" t="s">
        <v>2350</v>
      </c>
      <c r="BV316" s="2" t="s">
        <v>200</v>
      </c>
      <c r="BW316" s="2" t="s">
        <v>200</v>
      </c>
      <c r="BX316" s="2" t="s">
        <v>620</v>
      </c>
      <c r="BY316" s="2" t="s">
        <v>247</v>
      </c>
      <c r="BZ316" s="2" t="s">
        <v>212</v>
      </c>
      <c r="CA316" s="2" t="s">
        <v>2351</v>
      </c>
      <c r="CB316" s="2" t="s">
        <v>1517</v>
      </c>
      <c r="CC316" s="2" t="s">
        <v>213</v>
      </c>
      <c r="CD316" s="2" t="s">
        <v>200</v>
      </c>
      <c r="CE316" s="4">
        <v>198</v>
      </c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</row>
    <row r="317">
      <c r="A317" s="2" t="s">
        <v>2352</v>
      </c>
      <c r="B317" s="2" t="s">
        <v>932</v>
      </c>
      <c r="C317" s="2" t="s">
        <v>1839</v>
      </c>
      <c r="D317" s="2" t="s">
        <v>918</v>
      </c>
      <c r="E317" s="2" t="s">
        <v>934</v>
      </c>
      <c r="F317" s="2" t="s">
        <v>2300</v>
      </c>
      <c r="G317" s="2" t="s">
        <v>2301</v>
      </c>
      <c r="H317" s="2" t="s">
        <v>2302</v>
      </c>
      <c r="I317" s="2" t="s">
        <v>2303</v>
      </c>
      <c r="J317" s="2" t="s">
        <v>612</v>
      </c>
      <c r="K317" s="2" t="s">
        <v>223</v>
      </c>
      <c r="L317" s="3">
        <v>63</v>
      </c>
      <c r="M317" s="3">
        <v>66.15</v>
      </c>
      <c r="N317" s="3">
        <v>119.99</v>
      </c>
      <c r="O317" s="2" t="s">
        <v>212</v>
      </c>
      <c r="P317" s="2" t="s">
        <v>258</v>
      </c>
      <c r="Q317" s="2" t="s">
        <v>206</v>
      </c>
      <c r="R317" s="2" t="s">
        <v>200</v>
      </c>
      <c r="S317" s="2" t="s">
        <v>2348</v>
      </c>
      <c r="T317" s="2" t="s">
        <v>312</v>
      </c>
      <c r="U317" s="2" t="s">
        <v>1067</v>
      </c>
      <c r="V317" s="2" t="s">
        <v>208</v>
      </c>
      <c r="W317" s="2" t="s">
        <v>2087</v>
      </c>
      <c r="X317" s="2" t="s">
        <v>2305</v>
      </c>
      <c r="Y317" s="2" t="s">
        <v>2319</v>
      </c>
      <c r="Z317" s="4">
        <v>148</v>
      </c>
      <c r="AA317" s="4">
        <f>=ROUNDDOWN(49.3333333333333,0)</f>
      </c>
      <c r="AB317" s="5">
        <v>3</v>
      </c>
      <c r="AC317" s="2" t="s">
        <v>200</v>
      </c>
      <c r="AD317" s="4"/>
      <c r="AE317" s="4"/>
      <c r="AF317" s="6">
        <v>66</v>
      </c>
      <c r="AG317" s="6"/>
      <c r="AH317" s="7">
        <v>1</v>
      </c>
      <c r="AI317" s="4"/>
      <c r="AJ317" s="4">
        <f>=ROUNDDOWN({0},0)</f>
      </c>
      <c r="AK317" s="5"/>
      <c r="AL317" s="2" t="s">
        <v>200</v>
      </c>
      <c r="AM317" s="4"/>
      <c r="AN317" s="4"/>
      <c r="AO317" s="7"/>
      <c r="AP317" s="4"/>
      <c r="AQ317" s="8"/>
      <c r="AR317" s="4"/>
      <c r="AS317" s="8"/>
      <c r="AT317" s="7"/>
      <c r="AU317" s="7"/>
      <c r="AV317" s="4" t="s">
        <v>200</v>
      </c>
      <c r="AW317" s="8" t="s">
        <v>200</v>
      </c>
      <c r="AX317" s="4" t="s">
        <v>200</v>
      </c>
      <c r="AY317" s="8" t="s">
        <v>200</v>
      </c>
      <c r="AZ317" s="7" t="s">
        <v>200</v>
      </c>
      <c r="BA317" s="7" t="s">
        <v>200</v>
      </c>
      <c r="BB317" s="7"/>
      <c r="BC317" s="4" t="s">
        <v>200</v>
      </c>
      <c r="BD317" s="8" t="s">
        <v>200</v>
      </c>
      <c r="BE317" s="4" t="s">
        <v>200</v>
      </c>
      <c r="BF317" s="8" t="s">
        <v>200</v>
      </c>
      <c r="BG317" s="7" t="s">
        <v>200</v>
      </c>
      <c r="BH317" s="7" t="s">
        <v>200</v>
      </c>
      <c r="BI317" s="7"/>
      <c r="BJ317" s="4">
        <v>14</v>
      </c>
      <c r="BK317" s="8">
        <v>930.36</v>
      </c>
      <c r="BL317" s="2" t="s">
        <v>2353</v>
      </c>
      <c r="BM317" s="7"/>
      <c r="BN317" s="7"/>
      <c r="BO317" s="4"/>
      <c r="BP317" s="8"/>
      <c r="BQ317" s="4"/>
      <c r="BR317" s="8"/>
      <c r="BS317" s="7"/>
      <c r="BT317" s="7"/>
      <c r="BU317" s="2" t="s">
        <v>2354</v>
      </c>
      <c r="BV317" s="2" t="s">
        <v>200</v>
      </c>
      <c r="BW317" s="2" t="s">
        <v>200</v>
      </c>
      <c r="BX317" s="2" t="s">
        <v>620</v>
      </c>
      <c r="BY317" s="2" t="s">
        <v>247</v>
      </c>
      <c r="BZ317" s="2" t="s">
        <v>212</v>
      </c>
      <c r="CA317" s="2" t="s">
        <v>2321</v>
      </c>
      <c r="CB317" s="2" t="s">
        <v>2355</v>
      </c>
      <c r="CC317" s="2" t="s">
        <v>213</v>
      </c>
      <c r="CD317" s="2" t="s">
        <v>200</v>
      </c>
      <c r="CE317" s="4">
        <v>148</v>
      </c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</row>
    <row r="318">
      <c r="A318" s="2" t="s">
        <v>2356</v>
      </c>
      <c r="B318" s="2" t="s">
        <v>1099</v>
      </c>
      <c r="C318" s="2" t="s">
        <v>1839</v>
      </c>
      <c r="D318" s="2" t="s">
        <v>1159</v>
      </c>
      <c r="E318" s="2" t="s">
        <v>1160</v>
      </c>
      <c r="F318" s="2" t="s">
        <v>2300</v>
      </c>
      <c r="G318" s="2" t="s">
        <v>2301</v>
      </c>
      <c r="H318" s="2" t="s">
        <v>2302</v>
      </c>
      <c r="I318" s="2" t="s">
        <v>2357</v>
      </c>
      <c r="J318" s="2" t="s">
        <v>2358</v>
      </c>
      <c r="K318" s="2" t="s">
        <v>2359</v>
      </c>
      <c r="L318" s="3">
        <v>19.8</v>
      </c>
      <c r="M318" s="3">
        <v>20.79</v>
      </c>
      <c r="N318" s="3">
        <v>44.99</v>
      </c>
      <c r="O318" s="2" t="s">
        <v>212</v>
      </c>
      <c r="P318" s="2" t="s">
        <v>258</v>
      </c>
      <c r="Q318" s="2" t="s">
        <v>206</v>
      </c>
      <c r="R318" s="2" t="s">
        <v>200</v>
      </c>
      <c r="S318" s="2" t="s">
        <v>2360</v>
      </c>
      <c r="T318" s="2" t="s">
        <v>312</v>
      </c>
      <c r="U318" s="2" t="s">
        <v>270</v>
      </c>
      <c r="V318" s="2" t="s">
        <v>208</v>
      </c>
      <c r="W318" s="2" t="s">
        <v>241</v>
      </c>
      <c r="X318" s="2" t="s">
        <v>2087</v>
      </c>
      <c r="Y318" s="2" t="s">
        <v>2361</v>
      </c>
      <c r="Z318" s="4">
        <v>189</v>
      </c>
      <c r="AA318" s="4">
        <f>=ROUNDDOWN(11.8125,0)</f>
      </c>
      <c r="AB318" s="5">
        <v>16</v>
      </c>
      <c r="AC318" s="2" t="s">
        <v>119</v>
      </c>
      <c r="AD318" s="4">
        <v>300</v>
      </c>
      <c r="AE318" s="4">
        <v>300</v>
      </c>
      <c r="AF318" s="6">
        <v>66</v>
      </c>
      <c r="AG318" s="6"/>
      <c r="AH318" s="7">
        <v>1</v>
      </c>
      <c r="AI318" s="4"/>
      <c r="AJ318" s="4">
        <f>=ROUNDDOWN({0},0)</f>
      </c>
      <c r="AK318" s="5"/>
      <c r="AL318" s="2" t="s">
        <v>200</v>
      </c>
      <c r="AM318" s="4"/>
      <c r="AN318" s="4"/>
      <c r="AO318" s="7"/>
      <c r="AP318" s="4"/>
      <c r="AQ318" s="8"/>
      <c r="AR318" s="4"/>
      <c r="AS318" s="8"/>
      <c r="AT318" s="7"/>
      <c r="AU318" s="7"/>
      <c r="AV318" s="4"/>
      <c r="AW318" s="8"/>
      <c r="AX318" s="4"/>
      <c r="AY318" s="8"/>
      <c r="AZ318" s="7"/>
      <c r="BA318" s="7"/>
      <c r="BB318" s="7"/>
      <c r="BC318" s="4" t="s">
        <v>200</v>
      </c>
      <c r="BD318" s="8" t="s">
        <v>200</v>
      </c>
      <c r="BE318" s="4" t="s">
        <v>200</v>
      </c>
      <c r="BF318" s="8" t="s">
        <v>200</v>
      </c>
      <c r="BG318" s="7" t="s">
        <v>200</v>
      </c>
      <c r="BH318" s="7" t="s">
        <v>200</v>
      </c>
      <c r="BI318" s="7"/>
      <c r="BJ318" s="4">
        <v>47</v>
      </c>
      <c r="BK318" s="8">
        <v>1048.48</v>
      </c>
      <c r="BL318" s="2" t="s">
        <v>2362</v>
      </c>
      <c r="BM318" s="7"/>
      <c r="BN318" s="7"/>
      <c r="BO318" s="4"/>
      <c r="BP318" s="8"/>
      <c r="BQ318" s="4"/>
      <c r="BR318" s="8"/>
      <c r="BS318" s="7"/>
      <c r="BT318" s="7"/>
      <c r="BU318" s="2" t="s">
        <v>2363</v>
      </c>
      <c r="BV318" s="2" t="s">
        <v>200</v>
      </c>
      <c r="BW318" s="2" t="s">
        <v>200</v>
      </c>
      <c r="BX318" s="2" t="s">
        <v>264</v>
      </c>
      <c r="BY318" s="2" t="s">
        <v>247</v>
      </c>
      <c r="BZ318" s="2" t="s">
        <v>212</v>
      </c>
      <c r="CA318" s="2" t="s">
        <v>2361</v>
      </c>
      <c r="CB318" s="2" t="s">
        <v>2364</v>
      </c>
      <c r="CC318" s="2" t="s">
        <v>213</v>
      </c>
      <c r="CD318" s="2" t="s">
        <v>200</v>
      </c>
      <c r="CE318" s="4">
        <v>189</v>
      </c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>
        <v>300</v>
      </c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</row>
    <row r="319">
      <c r="A319" s="2" t="s">
        <v>2365</v>
      </c>
      <c r="B319" s="2" t="s">
        <v>932</v>
      </c>
      <c r="C319" s="2" t="s">
        <v>1839</v>
      </c>
      <c r="D319" s="2" t="s">
        <v>608</v>
      </c>
      <c r="E319" s="2" t="s">
        <v>609</v>
      </c>
      <c r="F319" s="2" t="s">
        <v>2300</v>
      </c>
      <c r="G319" s="2" t="s">
        <v>2301</v>
      </c>
      <c r="H319" s="2" t="s">
        <v>2302</v>
      </c>
      <c r="I319" s="2" t="s">
        <v>2312</v>
      </c>
      <c r="J319" s="2" t="s">
        <v>1390</v>
      </c>
      <c r="K319" s="2" t="s">
        <v>2366</v>
      </c>
      <c r="L319" s="3">
        <v>52.88</v>
      </c>
      <c r="M319" s="3">
        <v>55.52</v>
      </c>
      <c r="N319" s="3">
        <v>109.99</v>
      </c>
      <c r="O319" s="2" t="s">
        <v>212</v>
      </c>
      <c r="P319" s="2" t="s">
        <v>258</v>
      </c>
      <c r="Q319" s="2" t="s">
        <v>206</v>
      </c>
      <c r="R319" s="2" t="s">
        <v>200</v>
      </c>
      <c r="S319" s="2" t="s">
        <v>2367</v>
      </c>
      <c r="T319" s="2" t="s">
        <v>312</v>
      </c>
      <c r="U319" s="2" t="s">
        <v>615</v>
      </c>
      <c r="V319" s="2" t="s">
        <v>208</v>
      </c>
      <c r="W319" s="2" t="s">
        <v>2087</v>
      </c>
      <c r="X319" s="2" t="s">
        <v>1271</v>
      </c>
      <c r="Y319" s="2" t="s">
        <v>2368</v>
      </c>
      <c r="Z319" s="4">
        <v>215</v>
      </c>
      <c r="AA319" s="4">
        <f>=ROUNDDOWN(71.6666666666667,0)</f>
      </c>
      <c r="AB319" s="5">
        <v>3</v>
      </c>
      <c r="AC319" s="2" t="s">
        <v>200</v>
      </c>
      <c r="AD319" s="4"/>
      <c r="AE319" s="4"/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200</v>
      </c>
      <c r="AM319" s="4"/>
      <c r="AN319" s="4"/>
      <c r="AO319" s="7"/>
      <c r="AP319" s="4"/>
      <c r="AQ319" s="8"/>
      <c r="AR319" s="4"/>
      <c r="AS319" s="8"/>
      <c r="AT319" s="7"/>
      <c r="AU319" s="7"/>
      <c r="AV319" s="4" t="s">
        <v>200</v>
      </c>
      <c r="AW319" s="8" t="s">
        <v>200</v>
      </c>
      <c r="AX319" s="4" t="s">
        <v>200</v>
      </c>
      <c r="AY319" s="8" t="s">
        <v>200</v>
      </c>
      <c r="AZ319" s="7" t="s">
        <v>200</v>
      </c>
      <c r="BA319" s="7" t="s">
        <v>200</v>
      </c>
      <c r="BB319" s="7" t="s">
        <v>200</v>
      </c>
      <c r="BC319" s="4" t="s">
        <v>200</v>
      </c>
      <c r="BD319" s="8" t="s">
        <v>200</v>
      </c>
      <c r="BE319" s="4" t="s">
        <v>200</v>
      </c>
      <c r="BF319" s="8" t="s">
        <v>200</v>
      </c>
      <c r="BG319" s="7" t="s">
        <v>200</v>
      </c>
      <c r="BH319" s="7" t="s">
        <v>200</v>
      </c>
      <c r="BI319" s="7"/>
      <c r="BJ319" s="4">
        <v>10</v>
      </c>
      <c r="BK319" s="8">
        <v>605.84</v>
      </c>
      <c r="BL319" s="2" t="s">
        <v>2168</v>
      </c>
      <c r="BM319" s="7"/>
      <c r="BN319" s="7"/>
      <c r="BO319" s="4"/>
      <c r="BP319" s="8"/>
      <c r="BQ319" s="4"/>
      <c r="BR319" s="8"/>
      <c r="BS319" s="7"/>
      <c r="BT319" s="7"/>
      <c r="BU319" s="2" t="s">
        <v>2369</v>
      </c>
      <c r="BV319" s="2" t="s">
        <v>200</v>
      </c>
      <c r="BW319" s="2" t="s">
        <v>200</v>
      </c>
      <c r="BX319" s="2" t="s">
        <v>620</v>
      </c>
      <c r="BY319" s="2" t="s">
        <v>247</v>
      </c>
      <c r="BZ319" s="2" t="s">
        <v>212</v>
      </c>
      <c r="CA319" s="2" t="s">
        <v>2370</v>
      </c>
      <c r="CB319" s="2" t="s">
        <v>200</v>
      </c>
      <c r="CC319" s="2" t="s">
        <v>213</v>
      </c>
      <c r="CD319" s="2" t="s">
        <v>200</v>
      </c>
      <c r="CE319" s="4">
        <v>215</v>
      </c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</row>
    <row r="320">
      <c r="A320" s="2" t="s">
        <v>2371</v>
      </c>
      <c r="B320" s="2" t="s">
        <v>932</v>
      </c>
      <c r="C320" s="2" t="s">
        <v>1839</v>
      </c>
      <c r="D320" s="2" t="s">
        <v>918</v>
      </c>
      <c r="E320" s="2" t="s">
        <v>934</v>
      </c>
      <c r="F320" s="2" t="s">
        <v>2300</v>
      </c>
      <c r="G320" s="2" t="s">
        <v>2301</v>
      </c>
      <c r="H320" s="2" t="s">
        <v>2302</v>
      </c>
      <c r="I320" s="2" t="s">
        <v>2303</v>
      </c>
      <c r="J320" s="2" t="s">
        <v>1390</v>
      </c>
      <c r="K320" s="2" t="s">
        <v>2366</v>
      </c>
      <c r="L320" s="3">
        <v>46.53</v>
      </c>
      <c r="M320" s="3">
        <v>48.86</v>
      </c>
      <c r="N320" s="3">
        <v>89.99</v>
      </c>
      <c r="O320" s="2" t="s">
        <v>212</v>
      </c>
      <c r="P320" s="2" t="s">
        <v>258</v>
      </c>
      <c r="Q320" s="2" t="s">
        <v>206</v>
      </c>
      <c r="R320" s="2" t="s">
        <v>200</v>
      </c>
      <c r="S320" s="2" t="s">
        <v>2367</v>
      </c>
      <c r="T320" s="2" t="s">
        <v>312</v>
      </c>
      <c r="U320" s="2" t="s">
        <v>615</v>
      </c>
      <c r="V320" s="2" t="s">
        <v>208</v>
      </c>
      <c r="W320" s="2" t="s">
        <v>2087</v>
      </c>
      <c r="X320" s="2" t="s">
        <v>1271</v>
      </c>
      <c r="Y320" s="2" t="s">
        <v>2368</v>
      </c>
      <c r="Z320" s="4">
        <v>112</v>
      </c>
      <c r="AA320" s="4">
        <f>=ROUNDDOWN(56,0)</f>
      </c>
      <c r="AB320" s="5">
        <v>2</v>
      </c>
      <c r="AC320" s="2" t="s">
        <v>200</v>
      </c>
      <c r="AD320" s="4"/>
      <c r="AE320" s="4"/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200</v>
      </c>
      <c r="AM320" s="4"/>
      <c r="AN320" s="4"/>
      <c r="AO320" s="7"/>
      <c r="AP320" s="4"/>
      <c r="AQ320" s="8"/>
      <c r="AR320" s="4"/>
      <c r="AS320" s="8"/>
      <c r="AT320" s="7"/>
      <c r="AU320" s="7"/>
      <c r="AV320" s="4" t="s">
        <v>200</v>
      </c>
      <c r="AW320" s="8" t="s">
        <v>200</v>
      </c>
      <c r="AX320" s="4" t="s">
        <v>200</v>
      </c>
      <c r="AY320" s="8" t="s">
        <v>200</v>
      </c>
      <c r="AZ320" s="7" t="s">
        <v>200</v>
      </c>
      <c r="BA320" s="7" t="s">
        <v>200</v>
      </c>
      <c r="BB320" s="7" t="s">
        <v>200</v>
      </c>
      <c r="BC320" s="4" t="s">
        <v>200</v>
      </c>
      <c r="BD320" s="8" t="s">
        <v>200</v>
      </c>
      <c r="BE320" s="4" t="s">
        <v>200</v>
      </c>
      <c r="BF320" s="8" t="s">
        <v>200</v>
      </c>
      <c r="BG320" s="7" t="s">
        <v>200</v>
      </c>
      <c r="BH320" s="7" t="s">
        <v>200</v>
      </c>
      <c r="BI320" s="7"/>
      <c r="BJ320" s="4">
        <v>2</v>
      </c>
      <c r="BK320" s="8">
        <v>130.28</v>
      </c>
      <c r="BL320" s="2" t="s">
        <v>813</v>
      </c>
      <c r="BM320" s="7"/>
      <c r="BN320" s="7"/>
      <c r="BO320" s="4"/>
      <c r="BP320" s="8"/>
      <c r="BQ320" s="4"/>
      <c r="BR320" s="8"/>
      <c r="BS320" s="7"/>
      <c r="BT320" s="7"/>
      <c r="BU320" s="2" t="s">
        <v>2372</v>
      </c>
      <c r="BV320" s="2" t="s">
        <v>200</v>
      </c>
      <c r="BW320" s="2" t="s">
        <v>200</v>
      </c>
      <c r="BX320" s="2" t="s">
        <v>620</v>
      </c>
      <c r="BY320" s="2" t="s">
        <v>247</v>
      </c>
      <c r="BZ320" s="2" t="s">
        <v>212</v>
      </c>
      <c r="CA320" s="2" t="s">
        <v>2373</v>
      </c>
      <c r="CB320" s="2" t="s">
        <v>2374</v>
      </c>
      <c r="CC320" s="2" t="s">
        <v>213</v>
      </c>
      <c r="CD320" s="2" t="s">
        <v>200</v>
      </c>
      <c r="CE320" s="4">
        <v>112</v>
      </c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</row>
    <row r="321">
      <c r="A321" s="2" t="s">
        <v>2375</v>
      </c>
      <c r="B321" s="2" t="s">
        <v>932</v>
      </c>
      <c r="C321" s="2" t="s">
        <v>1839</v>
      </c>
      <c r="D321" s="2" t="s">
        <v>918</v>
      </c>
      <c r="E321" s="2" t="s">
        <v>934</v>
      </c>
      <c r="F321" s="2" t="s">
        <v>2300</v>
      </c>
      <c r="G321" s="2" t="s">
        <v>2301</v>
      </c>
      <c r="H321" s="2" t="s">
        <v>2302</v>
      </c>
      <c r="I321" s="2" t="s">
        <v>2303</v>
      </c>
      <c r="J321" s="2" t="s">
        <v>612</v>
      </c>
      <c r="K321" s="2" t="s">
        <v>2366</v>
      </c>
      <c r="L321" s="3">
        <v>63</v>
      </c>
      <c r="M321" s="3">
        <v>66.15</v>
      </c>
      <c r="N321" s="3">
        <v>119.99</v>
      </c>
      <c r="O321" s="2" t="s">
        <v>212</v>
      </c>
      <c r="P321" s="2" t="s">
        <v>258</v>
      </c>
      <c r="Q321" s="2" t="s">
        <v>206</v>
      </c>
      <c r="R321" s="2" t="s">
        <v>200</v>
      </c>
      <c r="S321" s="2" t="s">
        <v>2367</v>
      </c>
      <c r="T321" s="2" t="s">
        <v>312</v>
      </c>
      <c r="U321" s="2" t="s">
        <v>1067</v>
      </c>
      <c r="V321" s="2" t="s">
        <v>208</v>
      </c>
      <c r="W321" s="2" t="s">
        <v>2087</v>
      </c>
      <c r="X321" s="2" t="s">
        <v>1271</v>
      </c>
      <c r="Y321" s="2" t="s">
        <v>2368</v>
      </c>
      <c r="Z321" s="4">
        <v>198</v>
      </c>
      <c r="AA321" s="4">
        <f>=ROUNDDOWN(49.5,0)</f>
      </c>
      <c r="AB321" s="5">
        <v>4</v>
      </c>
      <c r="AC321" s="2" t="s">
        <v>200</v>
      </c>
      <c r="AD321" s="4"/>
      <c r="AE321" s="4"/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200</v>
      </c>
      <c r="AM321" s="4"/>
      <c r="AN321" s="4"/>
      <c r="AO321" s="7"/>
      <c r="AP321" s="4"/>
      <c r="AQ321" s="8"/>
      <c r="AR321" s="4"/>
      <c r="AS321" s="8"/>
      <c r="AT321" s="7"/>
      <c r="AU321" s="7"/>
      <c r="AV321" s="4" t="s">
        <v>200</v>
      </c>
      <c r="AW321" s="8" t="s">
        <v>200</v>
      </c>
      <c r="AX321" s="4" t="s">
        <v>200</v>
      </c>
      <c r="AY321" s="8" t="s">
        <v>200</v>
      </c>
      <c r="AZ321" s="7" t="s">
        <v>200</v>
      </c>
      <c r="BA321" s="7" t="s">
        <v>200</v>
      </c>
      <c r="BB321" s="7"/>
      <c r="BC321" s="4" t="s">
        <v>200</v>
      </c>
      <c r="BD321" s="8" t="s">
        <v>200</v>
      </c>
      <c r="BE321" s="4" t="s">
        <v>200</v>
      </c>
      <c r="BF321" s="8" t="s">
        <v>200</v>
      </c>
      <c r="BG321" s="7" t="s">
        <v>200</v>
      </c>
      <c r="BH321" s="7" t="s">
        <v>200</v>
      </c>
      <c r="BI321" s="7"/>
      <c r="BJ321" s="4">
        <v>5</v>
      </c>
      <c r="BK321" s="8">
        <v>309.39</v>
      </c>
      <c r="BL321" s="2" t="s">
        <v>2376</v>
      </c>
      <c r="BM321" s="7"/>
      <c r="BN321" s="7"/>
      <c r="BO321" s="4"/>
      <c r="BP321" s="8"/>
      <c r="BQ321" s="4"/>
      <c r="BR321" s="8"/>
      <c r="BS321" s="7"/>
      <c r="BT321" s="7"/>
      <c r="BU321" s="2" t="s">
        <v>2377</v>
      </c>
      <c r="BV321" s="2" t="s">
        <v>200</v>
      </c>
      <c r="BW321" s="2" t="s">
        <v>200</v>
      </c>
      <c r="BX321" s="2" t="s">
        <v>620</v>
      </c>
      <c r="BY321" s="2" t="s">
        <v>247</v>
      </c>
      <c r="BZ321" s="2" t="s">
        <v>212</v>
      </c>
      <c r="CA321" s="2" t="s">
        <v>2373</v>
      </c>
      <c r="CB321" s="2" t="s">
        <v>2132</v>
      </c>
      <c r="CC321" s="2" t="s">
        <v>213</v>
      </c>
      <c r="CD321" s="2" t="s">
        <v>200</v>
      </c>
      <c r="CE321" s="4">
        <v>198</v>
      </c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</row>
    <row r="322">
      <c r="A322" s="2" t="s">
        <v>2378</v>
      </c>
      <c r="B322" s="2" t="s">
        <v>932</v>
      </c>
      <c r="C322" s="2" t="s">
        <v>1839</v>
      </c>
      <c r="D322" s="2" t="s">
        <v>608</v>
      </c>
      <c r="E322" s="2" t="s">
        <v>609</v>
      </c>
      <c r="F322" s="2" t="s">
        <v>2300</v>
      </c>
      <c r="G322" s="2" t="s">
        <v>2301</v>
      </c>
      <c r="H322" s="2" t="s">
        <v>2302</v>
      </c>
      <c r="I322" s="2" t="s">
        <v>2312</v>
      </c>
      <c r="J322" s="2" t="s">
        <v>924</v>
      </c>
      <c r="K322" s="2" t="s">
        <v>2366</v>
      </c>
      <c r="L322" s="3">
        <v>75.6</v>
      </c>
      <c r="M322" s="3">
        <v>79.38</v>
      </c>
      <c r="N322" s="3">
        <v>159.99</v>
      </c>
      <c r="O322" s="2" t="s">
        <v>212</v>
      </c>
      <c r="P322" s="2" t="s">
        <v>258</v>
      </c>
      <c r="Q322" s="2" t="s">
        <v>206</v>
      </c>
      <c r="R322" s="2" t="s">
        <v>200</v>
      </c>
      <c r="S322" s="2" t="s">
        <v>2367</v>
      </c>
      <c r="T322" s="2" t="s">
        <v>312</v>
      </c>
      <c r="U322" s="2" t="s">
        <v>1067</v>
      </c>
      <c r="V322" s="2" t="s">
        <v>208</v>
      </c>
      <c r="W322" s="2" t="s">
        <v>2087</v>
      </c>
      <c r="X322" s="2" t="s">
        <v>1271</v>
      </c>
      <c r="Y322" s="2" t="s">
        <v>2368</v>
      </c>
      <c r="Z322" s="4">
        <v>177</v>
      </c>
      <c r="AA322" s="4">
        <f>=ROUNDDOWN(59,0)</f>
      </c>
      <c r="AB322" s="5">
        <v>3</v>
      </c>
      <c r="AC322" s="2" t="s">
        <v>200</v>
      </c>
      <c r="AD322" s="4"/>
      <c r="AE322" s="4"/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200</v>
      </c>
      <c r="AM322" s="4"/>
      <c r="AN322" s="4"/>
      <c r="AO322" s="7"/>
      <c r="AP322" s="4"/>
      <c r="AQ322" s="8"/>
      <c r="AR322" s="4"/>
      <c r="AS322" s="8"/>
      <c r="AT322" s="7"/>
      <c r="AU322" s="7"/>
      <c r="AV322" s="4" t="s">
        <v>200</v>
      </c>
      <c r="AW322" s="8" t="s">
        <v>200</v>
      </c>
      <c r="AX322" s="4" t="s">
        <v>200</v>
      </c>
      <c r="AY322" s="8" t="s">
        <v>200</v>
      </c>
      <c r="AZ322" s="7" t="s">
        <v>200</v>
      </c>
      <c r="BA322" s="7" t="s">
        <v>200</v>
      </c>
      <c r="BB322" s="7"/>
      <c r="BC322" s="4" t="s">
        <v>200</v>
      </c>
      <c r="BD322" s="8" t="s">
        <v>200</v>
      </c>
      <c r="BE322" s="4" t="s">
        <v>200</v>
      </c>
      <c r="BF322" s="8" t="s">
        <v>200</v>
      </c>
      <c r="BG322" s="7" t="s">
        <v>200</v>
      </c>
      <c r="BH322" s="7" t="s">
        <v>200</v>
      </c>
      <c r="BI322" s="7"/>
      <c r="BJ322" s="4">
        <v>4</v>
      </c>
      <c r="BK322" s="8">
        <v>351.92</v>
      </c>
      <c r="BL322" s="2" t="s">
        <v>2379</v>
      </c>
      <c r="BM322" s="7"/>
      <c r="BN322" s="7"/>
      <c r="BO322" s="4"/>
      <c r="BP322" s="8"/>
      <c r="BQ322" s="4"/>
      <c r="BR322" s="8"/>
      <c r="BS322" s="7"/>
      <c r="BT322" s="7"/>
      <c r="BU322" s="2" t="s">
        <v>2380</v>
      </c>
      <c r="BV322" s="2" t="s">
        <v>200</v>
      </c>
      <c r="BW322" s="2" t="s">
        <v>200</v>
      </c>
      <c r="BX322" s="2" t="s">
        <v>620</v>
      </c>
      <c r="BY322" s="2" t="s">
        <v>247</v>
      </c>
      <c r="BZ322" s="2" t="s">
        <v>212</v>
      </c>
      <c r="CA322" s="2" t="s">
        <v>2370</v>
      </c>
      <c r="CB322" s="2" t="s">
        <v>2381</v>
      </c>
      <c r="CC322" s="2" t="s">
        <v>213</v>
      </c>
      <c r="CD322" s="2" t="s">
        <v>200</v>
      </c>
      <c r="CE322" s="4">
        <v>177</v>
      </c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</row>
    <row r="323">
      <c r="A323" s="2" t="s">
        <v>2382</v>
      </c>
      <c r="B323" s="2" t="s">
        <v>827</v>
      </c>
      <c r="C323" s="2" t="s">
        <v>231</v>
      </c>
      <c r="D323" s="2" t="s">
        <v>828</v>
      </c>
      <c r="E323" s="2" t="s">
        <v>1011</v>
      </c>
      <c r="F323" s="2" t="s">
        <v>2300</v>
      </c>
      <c r="G323" s="2" t="s">
        <v>1342</v>
      </c>
      <c r="H323" s="2" t="s">
        <v>2337</v>
      </c>
      <c r="I323" s="2" t="s">
        <v>2338</v>
      </c>
      <c r="J323" s="2" t="s">
        <v>1016</v>
      </c>
      <c r="K323" s="2" t="s">
        <v>801</v>
      </c>
      <c r="L323" s="3">
        <v>16.65</v>
      </c>
      <c r="M323" s="3">
        <v>17.48</v>
      </c>
      <c r="N323" s="3">
        <v>36.99</v>
      </c>
      <c r="O323" s="2" t="s">
        <v>212</v>
      </c>
      <c r="P323" s="2" t="s">
        <v>285</v>
      </c>
      <c r="Q323" s="2" t="s">
        <v>206</v>
      </c>
      <c r="R323" s="2" t="s">
        <v>200</v>
      </c>
      <c r="S323" s="2" t="s">
        <v>2383</v>
      </c>
      <c r="T323" s="2" t="s">
        <v>200</v>
      </c>
      <c r="U323" s="2" t="s">
        <v>200</v>
      </c>
      <c r="V323" s="2" t="s">
        <v>885</v>
      </c>
      <c r="W323" s="2" t="s">
        <v>379</v>
      </c>
      <c r="X323" s="2" t="s">
        <v>1078</v>
      </c>
      <c r="Y323" s="2" t="s">
        <v>2340</v>
      </c>
      <c r="Z323" s="4">
        <v>287</v>
      </c>
      <c r="AA323" s="4">
        <f>=ROUNDDOWN(23.1451612903226,0)</f>
      </c>
      <c r="AB323" s="5">
        <v>12.4</v>
      </c>
      <c r="AC323" s="2" t="s">
        <v>200</v>
      </c>
      <c r="AD323" s="4"/>
      <c r="AE323" s="4"/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200</v>
      </c>
      <c r="AM323" s="4"/>
      <c r="AN323" s="4"/>
      <c r="AO323" s="7"/>
      <c r="AP323" s="4"/>
      <c r="AQ323" s="8"/>
      <c r="AR323" s="4"/>
      <c r="AS323" s="8"/>
      <c r="AT323" s="7"/>
      <c r="AU323" s="7"/>
      <c r="AV323" s="4" t="s">
        <v>200</v>
      </c>
      <c r="AW323" s="8" t="s">
        <v>200</v>
      </c>
      <c r="AX323" s="4" t="s">
        <v>200</v>
      </c>
      <c r="AY323" s="8" t="s">
        <v>200</v>
      </c>
      <c r="AZ323" s="7" t="s">
        <v>200</v>
      </c>
      <c r="BA323" s="7" t="s">
        <v>200</v>
      </c>
      <c r="BB323" s="7"/>
      <c r="BC323" s="4" t="s">
        <v>200</v>
      </c>
      <c r="BD323" s="8" t="s">
        <v>200</v>
      </c>
      <c r="BE323" s="4" t="s">
        <v>200</v>
      </c>
      <c r="BF323" s="8" t="s">
        <v>200</v>
      </c>
      <c r="BG323" s="7" t="s">
        <v>200</v>
      </c>
      <c r="BH323" s="7" t="s">
        <v>200</v>
      </c>
      <c r="BI323" s="7"/>
      <c r="BJ323" s="4">
        <v>46</v>
      </c>
      <c r="BK323" s="8">
        <v>768.78</v>
      </c>
      <c r="BL323" s="2" t="s">
        <v>2384</v>
      </c>
      <c r="BM323" s="7"/>
      <c r="BN323" s="7"/>
      <c r="BO323" s="4"/>
      <c r="BP323" s="8"/>
      <c r="BQ323" s="4"/>
      <c r="BR323" s="8"/>
      <c r="BS323" s="7"/>
      <c r="BT323" s="7"/>
      <c r="BU323" s="2" t="s">
        <v>2385</v>
      </c>
      <c r="BV323" s="2" t="s">
        <v>200</v>
      </c>
      <c r="BW323" s="2" t="s">
        <v>200</v>
      </c>
      <c r="BX323" s="2" t="s">
        <v>289</v>
      </c>
      <c r="BY323" s="2" t="s">
        <v>247</v>
      </c>
      <c r="BZ323" s="2" t="s">
        <v>212</v>
      </c>
      <c r="CA323" s="2" t="s">
        <v>1917</v>
      </c>
      <c r="CB323" s="2" t="s">
        <v>2386</v>
      </c>
      <c r="CC323" s="2" t="s">
        <v>213</v>
      </c>
      <c r="CD323" s="2" t="s">
        <v>200</v>
      </c>
      <c r="CE323" s="4">
        <v>287</v>
      </c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</row>
    <row r="324">
      <c r="A324" s="2" t="s">
        <v>2387</v>
      </c>
      <c r="B324" s="2" t="s">
        <v>827</v>
      </c>
      <c r="C324" s="2" t="s">
        <v>231</v>
      </c>
      <c r="D324" s="2" t="s">
        <v>828</v>
      </c>
      <c r="E324" s="2" t="s">
        <v>1011</v>
      </c>
      <c r="F324" s="2" t="s">
        <v>2300</v>
      </c>
      <c r="G324" s="2" t="s">
        <v>1342</v>
      </c>
      <c r="H324" s="2" t="s">
        <v>2337</v>
      </c>
      <c r="I324" s="2" t="s">
        <v>2338</v>
      </c>
      <c r="J324" s="2" t="s">
        <v>1242</v>
      </c>
      <c r="K324" s="2" t="s">
        <v>801</v>
      </c>
      <c r="L324" s="3">
        <v>18.8</v>
      </c>
      <c r="M324" s="3">
        <v>19.74</v>
      </c>
      <c r="N324" s="3">
        <v>39.99</v>
      </c>
      <c r="O324" s="2" t="s">
        <v>212</v>
      </c>
      <c r="P324" s="2" t="s">
        <v>285</v>
      </c>
      <c r="Q324" s="2" t="s">
        <v>206</v>
      </c>
      <c r="R324" s="2" t="s">
        <v>200</v>
      </c>
      <c r="S324" s="2" t="s">
        <v>2383</v>
      </c>
      <c r="T324" s="2" t="s">
        <v>200</v>
      </c>
      <c r="U324" s="2" t="s">
        <v>200</v>
      </c>
      <c r="V324" s="2" t="s">
        <v>885</v>
      </c>
      <c r="W324" s="2" t="s">
        <v>379</v>
      </c>
      <c r="X324" s="2" t="s">
        <v>1078</v>
      </c>
      <c r="Y324" s="2" t="s">
        <v>2340</v>
      </c>
      <c r="Z324" s="4">
        <v>66</v>
      </c>
      <c r="AA324" s="4">
        <f>=ROUNDDOWN(12,0)</f>
      </c>
      <c r="AB324" s="5">
        <v>5.5</v>
      </c>
      <c r="AC324" s="2" t="s">
        <v>200</v>
      </c>
      <c r="AD324" s="4"/>
      <c r="AE324" s="4"/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200</v>
      </c>
      <c r="AM324" s="4"/>
      <c r="AN324" s="4"/>
      <c r="AO324" s="7"/>
      <c r="AP324" s="4"/>
      <c r="AQ324" s="8"/>
      <c r="AR324" s="4"/>
      <c r="AS324" s="8"/>
      <c r="AT324" s="7"/>
      <c r="AU324" s="7"/>
      <c r="AV324" s="4" t="s">
        <v>200</v>
      </c>
      <c r="AW324" s="8" t="s">
        <v>200</v>
      </c>
      <c r="AX324" s="4" t="s">
        <v>200</v>
      </c>
      <c r="AY324" s="8" t="s">
        <v>200</v>
      </c>
      <c r="AZ324" s="7" t="s">
        <v>200</v>
      </c>
      <c r="BA324" s="7" t="s">
        <v>200</v>
      </c>
      <c r="BB324" s="7"/>
      <c r="BC324" s="4" t="s">
        <v>200</v>
      </c>
      <c r="BD324" s="8" t="s">
        <v>200</v>
      </c>
      <c r="BE324" s="4" t="s">
        <v>200</v>
      </c>
      <c r="BF324" s="8" t="s">
        <v>200</v>
      </c>
      <c r="BG324" s="7" t="s">
        <v>200</v>
      </c>
      <c r="BH324" s="7" t="s">
        <v>200</v>
      </c>
      <c r="BI324" s="7"/>
      <c r="BJ324" s="4">
        <v>16</v>
      </c>
      <c r="BK324" s="8">
        <v>306.36</v>
      </c>
      <c r="BL324" s="2" t="s">
        <v>2388</v>
      </c>
      <c r="BM324" s="7"/>
      <c r="BN324" s="7"/>
      <c r="BO324" s="4"/>
      <c r="BP324" s="8"/>
      <c r="BQ324" s="4"/>
      <c r="BR324" s="8"/>
      <c r="BS324" s="7"/>
      <c r="BT324" s="7"/>
      <c r="BU324" s="2" t="s">
        <v>2389</v>
      </c>
      <c r="BV324" s="2" t="s">
        <v>200</v>
      </c>
      <c r="BW324" s="2" t="s">
        <v>200</v>
      </c>
      <c r="BX324" s="2" t="s">
        <v>289</v>
      </c>
      <c r="BY324" s="2" t="s">
        <v>247</v>
      </c>
      <c r="BZ324" s="2" t="s">
        <v>212</v>
      </c>
      <c r="CA324" s="2" t="s">
        <v>1917</v>
      </c>
      <c r="CB324" s="2" t="s">
        <v>1228</v>
      </c>
      <c r="CC324" s="2" t="s">
        <v>213</v>
      </c>
      <c r="CD324" s="2" t="s">
        <v>200</v>
      </c>
      <c r="CE324" s="4">
        <v>66</v>
      </c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</row>
    <row r="325">
      <c r="A325" s="2" t="s">
        <v>2390</v>
      </c>
      <c r="B325" s="2" t="s">
        <v>2391</v>
      </c>
      <c r="C325" s="2" t="s">
        <v>946</v>
      </c>
      <c r="D325" s="2" t="s">
        <v>2392</v>
      </c>
      <c r="E325" s="2" t="s">
        <v>2393</v>
      </c>
      <c r="F325" s="2" t="s">
        <v>2394</v>
      </c>
      <c r="G325" s="2" t="s">
        <v>2394</v>
      </c>
      <c r="H325" s="2" t="s">
        <v>2394</v>
      </c>
      <c r="I325" s="2" t="s">
        <v>2395</v>
      </c>
      <c r="J325" s="2" t="s">
        <v>210</v>
      </c>
      <c r="K325" s="2" t="s">
        <v>2395</v>
      </c>
      <c r="L325" s="3">
        <v>7.42</v>
      </c>
      <c r="M325" s="3">
        <v>7.79</v>
      </c>
      <c r="N325" s="3">
        <v>15.99</v>
      </c>
      <c r="O325" s="2" t="s">
        <v>212</v>
      </c>
      <c r="P325" s="2" t="s">
        <v>258</v>
      </c>
      <c r="Q325" s="2" t="s">
        <v>206</v>
      </c>
      <c r="R325" s="2" t="s">
        <v>200</v>
      </c>
      <c r="S325" s="2" t="s">
        <v>200</v>
      </c>
      <c r="T325" s="2" t="s">
        <v>200</v>
      </c>
      <c r="U325" s="2" t="s">
        <v>270</v>
      </c>
      <c r="V325" s="2" t="s">
        <v>616</v>
      </c>
      <c r="W325" s="2" t="s">
        <v>241</v>
      </c>
      <c r="X325" s="2" t="s">
        <v>200</v>
      </c>
      <c r="Y325" s="2" t="s">
        <v>343</v>
      </c>
      <c r="Z325" s="4">
        <v>158</v>
      </c>
      <c r="AA325" s="4">
        <f>=ROUNDDOWN(7.9,0)</f>
      </c>
      <c r="AB325" s="5">
        <v>20</v>
      </c>
      <c r="AC325" s="2" t="s">
        <v>109</v>
      </c>
      <c r="AD325" s="4">
        <v>1200</v>
      </c>
      <c r="AE325" s="4">
        <v>1200</v>
      </c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200</v>
      </c>
      <c r="AM325" s="4"/>
      <c r="AN325" s="4"/>
      <c r="AO325" s="7"/>
      <c r="AP325" s="4"/>
      <c r="AQ325" s="8"/>
      <c r="AR325" s="4"/>
      <c r="AS325" s="8"/>
      <c r="AT325" s="7"/>
      <c r="AU325" s="7"/>
      <c r="AV325" s="4"/>
      <c r="AW325" s="8"/>
      <c r="AX325" s="4"/>
      <c r="AY325" s="8"/>
      <c r="AZ325" s="7"/>
      <c r="BA325" s="7"/>
      <c r="BB325" s="7"/>
      <c r="BC325" s="4" t="s">
        <v>200</v>
      </c>
      <c r="BD325" s="8" t="s">
        <v>200</v>
      </c>
      <c r="BE325" s="4" t="s">
        <v>200</v>
      </c>
      <c r="BF325" s="8" t="s">
        <v>200</v>
      </c>
      <c r="BG325" s="7" t="s">
        <v>200</v>
      </c>
      <c r="BH325" s="7" t="s">
        <v>200</v>
      </c>
      <c r="BI325" s="7"/>
      <c r="BJ325" s="4">
        <v>120</v>
      </c>
      <c r="BK325" s="8">
        <v>1324.8</v>
      </c>
      <c r="BL325" s="2" t="s">
        <v>1261</v>
      </c>
      <c r="BM325" s="7"/>
      <c r="BN325" s="7"/>
      <c r="BO325" s="4"/>
      <c r="BP325" s="8"/>
      <c r="BQ325" s="4"/>
      <c r="BR325" s="8"/>
      <c r="BS325" s="7"/>
      <c r="BT325" s="7"/>
      <c r="BU325" s="2" t="s">
        <v>2396</v>
      </c>
      <c r="BV325" s="2" t="s">
        <v>200</v>
      </c>
      <c r="BW325" s="2" t="s">
        <v>200</v>
      </c>
      <c r="BX325" s="2" t="s">
        <v>264</v>
      </c>
      <c r="BY325" s="2" t="s">
        <v>247</v>
      </c>
      <c r="BZ325" s="2" t="s">
        <v>212</v>
      </c>
      <c r="CA325" s="2" t="s">
        <v>200</v>
      </c>
      <c r="CB325" s="2" t="s">
        <v>200</v>
      </c>
      <c r="CC325" s="2" t="s">
        <v>213</v>
      </c>
      <c r="CD325" s="2" t="s">
        <v>200</v>
      </c>
      <c r="CE325" s="4">
        <v>158</v>
      </c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>
        <v>1200</v>
      </c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</row>
    <row r="326">
      <c r="A326" s="2" t="s">
        <v>2397</v>
      </c>
      <c r="B326" s="2" t="s">
        <v>2391</v>
      </c>
      <c r="C326" s="2" t="s">
        <v>946</v>
      </c>
      <c r="D326" s="2" t="s">
        <v>2392</v>
      </c>
      <c r="E326" s="2" t="s">
        <v>2393</v>
      </c>
      <c r="F326" s="2" t="s">
        <v>2394</v>
      </c>
      <c r="G326" s="2" t="s">
        <v>2394</v>
      </c>
      <c r="H326" s="2" t="s">
        <v>2394</v>
      </c>
      <c r="I326" s="2" t="s">
        <v>2398</v>
      </c>
      <c r="J326" s="2" t="s">
        <v>711</v>
      </c>
      <c r="K326" s="2" t="s">
        <v>2399</v>
      </c>
      <c r="L326" s="3">
        <v>10.39</v>
      </c>
      <c r="M326" s="3">
        <v>10.91</v>
      </c>
      <c r="N326" s="3">
        <v>18.99</v>
      </c>
      <c r="O326" s="2" t="s">
        <v>212</v>
      </c>
      <c r="P326" s="2" t="s">
        <v>258</v>
      </c>
      <c r="Q326" s="2" t="s">
        <v>206</v>
      </c>
      <c r="R326" s="2" t="s">
        <v>200</v>
      </c>
      <c r="S326" s="2" t="s">
        <v>200</v>
      </c>
      <c r="T326" s="2" t="s">
        <v>200</v>
      </c>
      <c r="U326" s="2" t="s">
        <v>677</v>
      </c>
      <c r="V326" s="2" t="s">
        <v>616</v>
      </c>
      <c r="W326" s="2" t="s">
        <v>241</v>
      </c>
      <c r="X326" s="2" t="s">
        <v>200</v>
      </c>
      <c r="Y326" s="2" t="s">
        <v>2400</v>
      </c>
      <c r="Z326" s="4">
        <v>605</v>
      </c>
      <c r="AA326" s="4">
        <f>=ROUNDDOWN(302.5,0)</f>
      </c>
      <c r="AB326" s="5">
        <v>2</v>
      </c>
      <c r="AC326" s="2" t="s">
        <v>200</v>
      </c>
      <c r="AD326" s="4"/>
      <c r="AE326" s="4"/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200</v>
      </c>
      <c r="AM326" s="4"/>
      <c r="AN326" s="4"/>
      <c r="AO326" s="7"/>
      <c r="AP326" s="4"/>
      <c r="AQ326" s="8"/>
      <c r="AR326" s="4"/>
      <c r="AS326" s="8"/>
      <c r="AT326" s="7"/>
      <c r="AU326" s="7"/>
      <c r="AV326" s="4"/>
      <c r="AW326" s="8"/>
      <c r="AX326" s="4"/>
      <c r="AY326" s="8"/>
      <c r="AZ326" s="7"/>
      <c r="BA326" s="7"/>
      <c r="BB326" s="7"/>
      <c r="BC326" s="4" t="s">
        <v>200</v>
      </c>
      <c r="BD326" s="8" t="s">
        <v>200</v>
      </c>
      <c r="BE326" s="4" t="s">
        <v>200</v>
      </c>
      <c r="BF326" s="8" t="s">
        <v>200</v>
      </c>
      <c r="BG326" s="7" t="s">
        <v>200</v>
      </c>
      <c r="BH326" s="7" t="s">
        <v>200</v>
      </c>
      <c r="BI326" s="7"/>
      <c r="BJ326" s="4">
        <v>2</v>
      </c>
      <c r="BK326" s="8">
        <v>23.9</v>
      </c>
      <c r="BL326" s="2" t="s">
        <v>1029</v>
      </c>
      <c r="BM326" s="7"/>
      <c r="BN326" s="7"/>
      <c r="BO326" s="4"/>
      <c r="BP326" s="8"/>
      <c r="BQ326" s="4"/>
      <c r="BR326" s="8"/>
      <c r="BS326" s="7"/>
      <c r="BT326" s="7"/>
      <c r="BU326" s="2" t="s">
        <v>2401</v>
      </c>
      <c r="BV326" s="2" t="s">
        <v>200</v>
      </c>
      <c r="BW326" s="2" t="s">
        <v>200</v>
      </c>
      <c r="BX326" s="2" t="s">
        <v>264</v>
      </c>
      <c r="BY326" s="2" t="s">
        <v>247</v>
      </c>
      <c r="BZ326" s="2" t="s">
        <v>212</v>
      </c>
      <c r="CA326" s="2" t="s">
        <v>473</v>
      </c>
      <c r="CB326" s="2" t="s">
        <v>1353</v>
      </c>
      <c r="CC326" s="2" t="s">
        <v>213</v>
      </c>
      <c r="CD326" s="2" t="s">
        <v>200</v>
      </c>
      <c r="CE326" s="4"/>
      <c r="CF326" s="4">
        <v>304</v>
      </c>
      <c r="CG326" s="4"/>
      <c r="CH326" s="4">
        <v>301</v>
      </c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</row>
    <row r="327">
      <c r="A327" s="2" t="s">
        <v>2402</v>
      </c>
      <c r="B327" s="2" t="s">
        <v>2391</v>
      </c>
      <c r="C327" s="2" t="s">
        <v>946</v>
      </c>
      <c r="D327" s="2" t="s">
        <v>2392</v>
      </c>
      <c r="E327" s="2" t="s">
        <v>2393</v>
      </c>
      <c r="F327" s="2" t="s">
        <v>2394</v>
      </c>
      <c r="G327" s="2" t="s">
        <v>2394</v>
      </c>
      <c r="H327" s="2" t="s">
        <v>2394</v>
      </c>
      <c r="I327" s="2" t="s">
        <v>2403</v>
      </c>
      <c r="J327" s="2" t="s">
        <v>711</v>
      </c>
      <c r="K327" s="2" t="s">
        <v>2404</v>
      </c>
      <c r="L327" s="3">
        <v>6.36</v>
      </c>
      <c r="M327" s="3">
        <v>6.68</v>
      </c>
      <c r="N327" s="3">
        <v>12.99</v>
      </c>
      <c r="O327" s="2" t="s">
        <v>212</v>
      </c>
      <c r="P327" s="2" t="s">
        <v>258</v>
      </c>
      <c r="Q327" s="2" t="s">
        <v>206</v>
      </c>
      <c r="R327" s="2" t="s">
        <v>200</v>
      </c>
      <c r="S327" s="2" t="s">
        <v>200</v>
      </c>
      <c r="T327" s="2" t="s">
        <v>200</v>
      </c>
      <c r="U327" s="2" t="s">
        <v>270</v>
      </c>
      <c r="V327" s="2" t="s">
        <v>616</v>
      </c>
      <c r="W327" s="2" t="s">
        <v>241</v>
      </c>
      <c r="X327" s="2" t="s">
        <v>200</v>
      </c>
      <c r="Y327" s="2" t="s">
        <v>2400</v>
      </c>
      <c r="Z327" s="4">
        <v>201</v>
      </c>
      <c r="AA327" s="4">
        <f>=ROUNDDOWN(40.2,0)</f>
      </c>
      <c r="AB327" s="5">
        <v>5</v>
      </c>
      <c r="AC327" s="2" t="s">
        <v>200</v>
      </c>
      <c r="AD327" s="4"/>
      <c r="AE327" s="4"/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200</v>
      </c>
      <c r="AM327" s="4"/>
      <c r="AN327" s="4"/>
      <c r="AO327" s="7"/>
      <c r="AP327" s="4"/>
      <c r="AQ327" s="8"/>
      <c r="AR327" s="4"/>
      <c r="AS327" s="8"/>
      <c r="AT327" s="7"/>
      <c r="AU327" s="7"/>
      <c r="AV327" s="4"/>
      <c r="AW327" s="8"/>
      <c r="AX327" s="4"/>
      <c r="AY327" s="8"/>
      <c r="AZ327" s="7"/>
      <c r="BA327" s="7"/>
      <c r="BB327" s="7"/>
      <c r="BC327" s="4" t="s">
        <v>200</v>
      </c>
      <c r="BD327" s="8" t="s">
        <v>200</v>
      </c>
      <c r="BE327" s="4" t="s">
        <v>200</v>
      </c>
      <c r="BF327" s="8" t="s">
        <v>200</v>
      </c>
      <c r="BG327" s="7" t="s">
        <v>200</v>
      </c>
      <c r="BH327" s="7" t="s">
        <v>200</v>
      </c>
      <c r="BI327" s="7"/>
      <c r="BJ327" s="4"/>
      <c r="BK327" s="8"/>
      <c r="BL327" s="2" t="s">
        <v>1261</v>
      </c>
      <c r="BM327" s="7"/>
      <c r="BN327" s="7"/>
      <c r="BO327" s="4"/>
      <c r="BP327" s="8"/>
      <c r="BQ327" s="4"/>
      <c r="BR327" s="8"/>
      <c r="BS327" s="7"/>
      <c r="BT327" s="7"/>
      <c r="BU327" s="2" t="s">
        <v>2405</v>
      </c>
      <c r="BV327" s="2" t="s">
        <v>200</v>
      </c>
      <c r="BW327" s="2" t="s">
        <v>200</v>
      </c>
      <c r="BX327" s="2" t="s">
        <v>264</v>
      </c>
      <c r="BY327" s="2" t="s">
        <v>247</v>
      </c>
      <c r="BZ327" s="2" t="s">
        <v>212</v>
      </c>
      <c r="CA327" s="2" t="s">
        <v>473</v>
      </c>
      <c r="CB327" s="2" t="s">
        <v>2406</v>
      </c>
      <c r="CC327" s="2" t="s">
        <v>213</v>
      </c>
      <c r="CD327" s="2" t="s">
        <v>200</v>
      </c>
      <c r="CE327" s="4"/>
      <c r="CF327" s="4">
        <v>111</v>
      </c>
      <c r="CG327" s="4"/>
      <c r="CH327" s="4">
        <v>90</v>
      </c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</row>
    <row r="328">
      <c r="A328" s="2" t="s">
        <v>2407</v>
      </c>
      <c r="B328" s="2" t="s">
        <v>2391</v>
      </c>
      <c r="C328" s="2" t="s">
        <v>946</v>
      </c>
      <c r="D328" s="2" t="s">
        <v>2392</v>
      </c>
      <c r="E328" s="2" t="s">
        <v>2393</v>
      </c>
      <c r="F328" s="2" t="s">
        <v>2394</v>
      </c>
      <c r="G328" s="2" t="s">
        <v>2394</v>
      </c>
      <c r="H328" s="2" t="s">
        <v>2394</v>
      </c>
      <c r="I328" s="2" t="s">
        <v>2408</v>
      </c>
      <c r="J328" s="2" t="s">
        <v>711</v>
      </c>
      <c r="K328" s="2" t="s">
        <v>2409</v>
      </c>
      <c r="L328" s="3">
        <v>9.54</v>
      </c>
      <c r="M328" s="3">
        <v>10.02</v>
      </c>
      <c r="N328" s="3">
        <v>18.99</v>
      </c>
      <c r="O328" s="2" t="s">
        <v>212</v>
      </c>
      <c r="P328" s="2" t="s">
        <v>285</v>
      </c>
      <c r="Q328" s="2" t="s">
        <v>206</v>
      </c>
      <c r="R328" s="2" t="s">
        <v>200</v>
      </c>
      <c r="S328" s="2" t="s">
        <v>200</v>
      </c>
      <c r="T328" s="2" t="s">
        <v>200</v>
      </c>
      <c r="U328" s="2" t="s">
        <v>677</v>
      </c>
      <c r="V328" s="2" t="s">
        <v>616</v>
      </c>
      <c r="W328" s="2" t="s">
        <v>241</v>
      </c>
      <c r="X328" s="2" t="s">
        <v>200</v>
      </c>
      <c r="Y328" s="2" t="s">
        <v>2400</v>
      </c>
      <c r="Z328" s="4">
        <v>575</v>
      </c>
      <c r="AA328" s="4">
        <f>=ROUNDDOWN(821.428571428571,0)</f>
      </c>
      <c r="AB328" s="5">
        <v>0.7</v>
      </c>
      <c r="AC328" s="2" t="s">
        <v>200</v>
      </c>
      <c r="AD328" s="4"/>
      <c r="AE328" s="4"/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200</v>
      </c>
      <c r="AM328" s="4"/>
      <c r="AN328" s="4"/>
      <c r="AO328" s="7"/>
      <c r="AP328" s="4"/>
      <c r="AQ328" s="8"/>
      <c r="AR328" s="4"/>
      <c r="AS328" s="8"/>
      <c r="AT328" s="7"/>
      <c r="AU328" s="7"/>
      <c r="AV328" s="4"/>
      <c r="AW328" s="8"/>
      <c r="AX328" s="4"/>
      <c r="AY328" s="8"/>
      <c r="AZ328" s="7"/>
      <c r="BA328" s="7"/>
      <c r="BB328" s="7"/>
      <c r="BC328" s="4" t="s">
        <v>200</v>
      </c>
      <c r="BD328" s="8" t="s">
        <v>200</v>
      </c>
      <c r="BE328" s="4" t="s">
        <v>200</v>
      </c>
      <c r="BF328" s="8" t="s">
        <v>200</v>
      </c>
      <c r="BG328" s="7" t="s">
        <v>200</v>
      </c>
      <c r="BH328" s="7" t="s">
        <v>200</v>
      </c>
      <c r="BI328" s="7"/>
      <c r="BJ328" s="4">
        <v>6</v>
      </c>
      <c r="BK328" s="8">
        <v>65.82</v>
      </c>
      <c r="BL328" s="2" t="s">
        <v>1029</v>
      </c>
      <c r="BM328" s="7"/>
      <c r="BN328" s="7"/>
      <c r="BO328" s="4"/>
      <c r="BP328" s="8"/>
      <c r="BQ328" s="4"/>
      <c r="BR328" s="8"/>
      <c r="BS328" s="7"/>
      <c r="BT328" s="7"/>
      <c r="BU328" s="2" t="s">
        <v>2410</v>
      </c>
      <c r="BV328" s="2" t="s">
        <v>200</v>
      </c>
      <c r="BW328" s="2" t="s">
        <v>200</v>
      </c>
      <c r="BX328" s="2" t="s">
        <v>289</v>
      </c>
      <c r="BY328" s="2" t="s">
        <v>247</v>
      </c>
      <c r="BZ328" s="2" t="s">
        <v>212</v>
      </c>
      <c r="CA328" s="2" t="s">
        <v>473</v>
      </c>
      <c r="CB328" s="2" t="s">
        <v>200</v>
      </c>
      <c r="CC328" s="2" t="s">
        <v>213</v>
      </c>
      <c r="CD328" s="2" t="s">
        <v>200</v>
      </c>
      <c r="CE328" s="4"/>
      <c r="CF328" s="4">
        <v>293</v>
      </c>
      <c r="CG328" s="4"/>
      <c r="CH328" s="4">
        <v>282</v>
      </c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</row>
    <row r="329">
      <c r="A329" s="2" t="s">
        <v>2411</v>
      </c>
      <c r="B329" s="2" t="s">
        <v>2391</v>
      </c>
      <c r="C329" s="2" t="s">
        <v>946</v>
      </c>
      <c r="D329" s="2" t="s">
        <v>2392</v>
      </c>
      <c r="E329" s="2" t="s">
        <v>2393</v>
      </c>
      <c r="F329" s="2" t="s">
        <v>2394</v>
      </c>
      <c r="G329" s="2" t="s">
        <v>2394</v>
      </c>
      <c r="H329" s="2" t="s">
        <v>2394</v>
      </c>
      <c r="I329" s="2" t="s">
        <v>2412</v>
      </c>
      <c r="J329" s="2" t="s">
        <v>711</v>
      </c>
      <c r="K329" s="2" t="s">
        <v>2413</v>
      </c>
      <c r="L329" s="3">
        <v>9.92</v>
      </c>
      <c r="M329" s="3">
        <v>10.42</v>
      </c>
      <c r="N329" s="3">
        <v>18.99</v>
      </c>
      <c r="O329" s="2" t="s">
        <v>212</v>
      </c>
      <c r="P329" s="2" t="s">
        <v>258</v>
      </c>
      <c r="Q329" s="2" t="s">
        <v>206</v>
      </c>
      <c r="R329" s="2" t="s">
        <v>200</v>
      </c>
      <c r="S329" s="2" t="s">
        <v>200</v>
      </c>
      <c r="T329" s="2" t="s">
        <v>200</v>
      </c>
      <c r="U329" s="2" t="s">
        <v>677</v>
      </c>
      <c r="V329" s="2" t="s">
        <v>616</v>
      </c>
      <c r="W329" s="2" t="s">
        <v>241</v>
      </c>
      <c r="X329" s="2" t="s">
        <v>200</v>
      </c>
      <c r="Y329" s="2" t="s">
        <v>2400</v>
      </c>
      <c r="Z329" s="4">
        <v>433</v>
      </c>
      <c r="AA329" s="4">
        <f>=ROUNDDOWN(108.25,0)</f>
      </c>
      <c r="AB329" s="5">
        <v>4</v>
      </c>
      <c r="AC329" s="2" t="s">
        <v>200</v>
      </c>
      <c r="AD329" s="4"/>
      <c r="AE329" s="4"/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200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/>
      <c r="AW329" s="8"/>
      <c r="AX329" s="4"/>
      <c r="AY329" s="8"/>
      <c r="AZ329" s="7"/>
      <c r="BA329" s="7"/>
      <c r="BB329" s="7"/>
      <c r="BC329" s="4" t="s">
        <v>200</v>
      </c>
      <c r="BD329" s="8" t="s">
        <v>200</v>
      </c>
      <c r="BE329" s="4" t="s">
        <v>200</v>
      </c>
      <c r="BF329" s="8" t="s">
        <v>200</v>
      </c>
      <c r="BG329" s="7" t="s">
        <v>200</v>
      </c>
      <c r="BH329" s="7" t="s">
        <v>200</v>
      </c>
      <c r="BI329" s="7"/>
      <c r="BJ329" s="4"/>
      <c r="BK329" s="8"/>
      <c r="BL329" s="2" t="s">
        <v>200</v>
      </c>
      <c r="BM329" s="7"/>
      <c r="BN329" s="7"/>
      <c r="BO329" s="4"/>
      <c r="BP329" s="8"/>
      <c r="BQ329" s="4"/>
      <c r="BR329" s="8"/>
      <c r="BS329" s="7"/>
      <c r="BT329" s="7"/>
      <c r="BU329" s="2" t="s">
        <v>2414</v>
      </c>
      <c r="BV329" s="2" t="s">
        <v>200</v>
      </c>
      <c r="BW329" s="2" t="s">
        <v>200</v>
      </c>
      <c r="BX329" s="2" t="s">
        <v>264</v>
      </c>
      <c r="BY329" s="2" t="s">
        <v>247</v>
      </c>
      <c r="BZ329" s="2" t="s">
        <v>212</v>
      </c>
      <c r="CA329" s="2" t="s">
        <v>473</v>
      </c>
      <c r="CB329" s="2" t="s">
        <v>915</v>
      </c>
      <c r="CC329" s="2" t="s">
        <v>213</v>
      </c>
      <c r="CD329" s="2" t="s">
        <v>200</v>
      </c>
      <c r="CE329" s="4"/>
      <c r="CF329" s="4">
        <v>223</v>
      </c>
      <c r="CG329" s="4"/>
      <c r="CH329" s="4">
        <v>210</v>
      </c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</row>
    <row r="330">
      <c r="A330" s="2" t="s">
        <v>2415</v>
      </c>
      <c r="B330" s="2" t="s">
        <v>2391</v>
      </c>
      <c r="C330" s="2" t="s">
        <v>946</v>
      </c>
      <c r="D330" s="2" t="s">
        <v>2392</v>
      </c>
      <c r="E330" s="2" t="s">
        <v>2393</v>
      </c>
      <c r="F330" s="2" t="s">
        <v>2394</v>
      </c>
      <c r="G330" s="2" t="s">
        <v>2394</v>
      </c>
      <c r="H330" s="2" t="s">
        <v>2394</v>
      </c>
      <c r="I330" s="2" t="s">
        <v>2416</v>
      </c>
      <c r="J330" s="2" t="s">
        <v>210</v>
      </c>
      <c r="K330" s="2" t="s">
        <v>2417</v>
      </c>
      <c r="L330" s="3">
        <v>7.37</v>
      </c>
      <c r="M330" s="3">
        <v>7.74</v>
      </c>
      <c r="N330" s="3">
        <v>15.99</v>
      </c>
      <c r="O330" s="2" t="s">
        <v>212</v>
      </c>
      <c r="P330" s="2" t="s">
        <v>258</v>
      </c>
      <c r="Q330" s="2" t="s">
        <v>206</v>
      </c>
      <c r="R330" s="2" t="s">
        <v>200</v>
      </c>
      <c r="S330" s="2" t="s">
        <v>200</v>
      </c>
      <c r="T330" s="2" t="s">
        <v>200</v>
      </c>
      <c r="U330" s="2" t="s">
        <v>270</v>
      </c>
      <c r="V330" s="2" t="s">
        <v>616</v>
      </c>
      <c r="W330" s="2" t="s">
        <v>241</v>
      </c>
      <c r="X330" s="2" t="s">
        <v>200</v>
      </c>
      <c r="Y330" s="2" t="s">
        <v>343</v>
      </c>
      <c r="Z330" s="4">
        <v>616</v>
      </c>
      <c r="AA330" s="4">
        <f>=ROUNDDOWN(205.333333333333,0)</f>
      </c>
      <c r="AB330" s="5">
        <v>3</v>
      </c>
      <c r="AC330" s="2" t="s">
        <v>200</v>
      </c>
      <c r="AD330" s="4"/>
      <c r="AE330" s="4"/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200</v>
      </c>
      <c r="AM330" s="4"/>
      <c r="AN330" s="4"/>
      <c r="AO330" s="7"/>
      <c r="AP330" s="4"/>
      <c r="AQ330" s="8"/>
      <c r="AR330" s="4"/>
      <c r="AS330" s="8"/>
      <c r="AT330" s="7"/>
      <c r="AU330" s="7"/>
      <c r="AV330" s="4"/>
      <c r="AW330" s="8"/>
      <c r="AX330" s="4"/>
      <c r="AY330" s="8"/>
      <c r="AZ330" s="7"/>
      <c r="BA330" s="7"/>
      <c r="BB330" s="7"/>
      <c r="BC330" s="4" t="s">
        <v>200</v>
      </c>
      <c r="BD330" s="8" t="s">
        <v>200</v>
      </c>
      <c r="BE330" s="4" t="s">
        <v>200</v>
      </c>
      <c r="BF330" s="8" t="s">
        <v>200</v>
      </c>
      <c r="BG330" s="7" t="s">
        <v>200</v>
      </c>
      <c r="BH330" s="7" t="s">
        <v>200</v>
      </c>
      <c r="BI330" s="7"/>
      <c r="BJ330" s="4">
        <v>24</v>
      </c>
      <c r="BK330" s="8">
        <v>200.64</v>
      </c>
      <c r="BL330" s="2" t="s">
        <v>953</v>
      </c>
      <c r="BM330" s="7"/>
      <c r="BN330" s="7"/>
      <c r="BO330" s="4"/>
      <c r="BP330" s="8"/>
      <c r="BQ330" s="4"/>
      <c r="BR330" s="8"/>
      <c r="BS330" s="7"/>
      <c r="BT330" s="7"/>
      <c r="BU330" s="2" t="s">
        <v>2418</v>
      </c>
      <c r="BV330" s="2" t="s">
        <v>200</v>
      </c>
      <c r="BW330" s="2" t="s">
        <v>200</v>
      </c>
      <c r="BX330" s="2" t="s">
        <v>264</v>
      </c>
      <c r="BY330" s="2" t="s">
        <v>247</v>
      </c>
      <c r="BZ330" s="2" t="s">
        <v>212</v>
      </c>
      <c r="CA330" s="2" t="s">
        <v>200</v>
      </c>
      <c r="CB330" s="2" t="s">
        <v>200</v>
      </c>
      <c r="CC330" s="2" t="s">
        <v>213</v>
      </c>
      <c r="CD330" s="2" t="s">
        <v>200</v>
      </c>
      <c r="CE330" s="4">
        <v>616</v>
      </c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</row>
    <row r="331">
      <c r="A331" s="2" t="s">
        <v>2419</v>
      </c>
      <c r="B331" s="2" t="s">
        <v>2391</v>
      </c>
      <c r="C331" s="2" t="s">
        <v>946</v>
      </c>
      <c r="D331" s="2" t="s">
        <v>2392</v>
      </c>
      <c r="E331" s="2" t="s">
        <v>2393</v>
      </c>
      <c r="F331" s="2" t="s">
        <v>2394</v>
      </c>
      <c r="G331" s="2" t="s">
        <v>2394</v>
      </c>
      <c r="H331" s="2" t="s">
        <v>2394</v>
      </c>
      <c r="I331" s="2" t="s">
        <v>2416</v>
      </c>
      <c r="J331" s="2" t="s">
        <v>210</v>
      </c>
      <c r="K331" s="2" t="s">
        <v>2420</v>
      </c>
      <c r="L331" s="3">
        <v>7.37</v>
      </c>
      <c r="M331" s="3">
        <v>7.74</v>
      </c>
      <c r="N331" s="3">
        <v>15.99</v>
      </c>
      <c r="O331" s="2" t="s">
        <v>212</v>
      </c>
      <c r="P331" s="2" t="s">
        <v>258</v>
      </c>
      <c r="Q331" s="2" t="s">
        <v>206</v>
      </c>
      <c r="R331" s="2" t="s">
        <v>200</v>
      </c>
      <c r="S331" s="2" t="s">
        <v>200</v>
      </c>
      <c r="T331" s="2" t="s">
        <v>200</v>
      </c>
      <c r="U331" s="2" t="s">
        <v>270</v>
      </c>
      <c r="V331" s="2" t="s">
        <v>616</v>
      </c>
      <c r="W331" s="2" t="s">
        <v>241</v>
      </c>
      <c r="X331" s="2" t="s">
        <v>200</v>
      </c>
      <c r="Y331" s="2" t="s">
        <v>343</v>
      </c>
      <c r="Z331" s="4">
        <v>398</v>
      </c>
      <c r="AA331" s="4">
        <f>=ROUNDDOWN(33.1666666666667,0)</f>
      </c>
      <c r="AB331" s="5">
        <v>12</v>
      </c>
      <c r="AC331" s="2" t="s">
        <v>109</v>
      </c>
      <c r="AD331" s="4">
        <v>1200</v>
      </c>
      <c r="AE331" s="4">
        <v>1200</v>
      </c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200</v>
      </c>
      <c r="AM331" s="4"/>
      <c r="AN331" s="4"/>
      <c r="AO331" s="7"/>
      <c r="AP331" s="4"/>
      <c r="AQ331" s="8"/>
      <c r="AR331" s="4"/>
      <c r="AS331" s="8"/>
      <c r="AT331" s="7"/>
      <c r="AU331" s="7"/>
      <c r="AV331" s="4"/>
      <c r="AW331" s="8"/>
      <c r="AX331" s="4"/>
      <c r="AY331" s="8"/>
      <c r="AZ331" s="7"/>
      <c r="BA331" s="7"/>
      <c r="BB331" s="7"/>
      <c r="BC331" s="4" t="s">
        <v>200</v>
      </c>
      <c r="BD331" s="8" t="s">
        <v>200</v>
      </c>
      <c r="BE331" s="4" t="s">
        <v>200</v>
      </c>
      <c r="BF331" s="8" t="s">
        <v>200</v>
      </c>
      <c r="BG331" s="7" t="s">
        <v>200</v>
      </c>
      <c r="BH331" s="7" t="s">
        <v>200</v>
      </c>
      <c r="BI331" s="7"/>
      <c r="BJ331" s="4">
        <v>57</v>
      </c>
      <c r="BK331" s="8">
        <v>476.52</v>
      </c>
      <c r="BL331" s="2" t="s">
        <v>1656</v>
      </c>
      <c r="BM331" s="7"/>
      <c r="BN331" s="7"/>
      <c r="BO331" s="4"/>
      <c r="BP331" s="8"/>
      <c r="BQ331" s="4"/>
      <c r="BR331" s="8"/>
      <c r="BS331" s="7"/>
      <c r="BT331" s="7"/>
      <c r="BU331" s="2" t="s">
        <v>2421</v>
      </c>
      <c r="BV331" s="2" t="s">
        <v>200</v>
      </c>
      <c r="BW331" s="2" t="s">
        <v>200</v>
      </c>
      <c r="BX331" s="2" t="s">
        <v>264</v>
      </c>
      <c r="BY331" s="2" t="s">
        <v>247</v>
      </c>
      <c r="BZ331" s="2" t="s">
        <v>212</v>
      </c>
      <c r="CA331" s="2" t="s">
        <v>200</v>
      </c>
      <c r="CB331" s="2" t="s">
        <v>200</v>
      </c>
      <c r="CC331" s="2" t="s">
        <v>213</v>
      </c>
      <c r="CD331" s="2" t="s">
        <v>200</v>
      </c>
      <c r="CE331" s="4">
        <v>398</v>
      </c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>
        <v>1200</v>
      </c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</row>
    <row r="332">
      <c r="A332" s="2" t="s">
        <v>2422</v>
      </c>
      <c r="B332" s="2" t="s">
        <v>2391</v>
      </c>
      <c r="C332" s="2" t="s">
        <v>946</v>
      </c>
      <c r="D332" s="2" t="s">
        <v>2392</v>
      </c>
      <c r="E332" s="2" t="s">
        <v>2393</v>
      </c>
      <c r="F332" s="2" t="s">
        <v>2394</v>
      </c>
      <c r="G332" s="2" t="s">
        <v>2394</v>
      </c>
      <c r="H332" s="2" t="s">
        <v>2394</v>
      </c>
      <c r="I332" s="2" t="s">
        <v>2423</v>
      </c>
      <c r="J332" s="2" t="s">
        <v>210</v>
      </c>
      <c r="K332" s="2" t="s">
        <v>2424</v>
      </c>
      <c r="L332" s="3">
        <v>7.08</v>
      </c>
      <c r="M332" s="3">
        <v>7.43</v>
      </c>
      <c r="N332" s="3">
        <v>15.99</v>
      </c>
      <c r="O332" s="2" t="s">
        <v>212</v>
      </c>
      <c r="P332" s="2" t="s">
        <v>258</v>
      </c>
      <c r="Q332" s="2" t="s">
        <v>206</v>
      </c>
      <c r="R332" s="2" t="s">
        <v>200</v>
      </c>
      <c r="S332" s="2" t="s">
        <v>200</v>
      </c>
      <c r="T332" s="2" t="s">
        <v>200</v>
      </c>
      <c r="U332" s="2" t="s">
        <v>270</v>
      </c>
      <c r="V332" s="2" t="s">
        <v>616</v>
      </c>
      <c r="W332" s="2" t="s">
        <v>241</v>
      </c>
      <c r="X332" s="2" t="s">
        <v>200</v>
      </c>
      <c r="Y332" s="2" t="s">
        <v>2425</v>
      </c>
      <c r="Z332" s="4">
        <v>524</v>
      </c>
      <c r="AA332" s="4">
        <f>=ROUNDDOWN(43.6666666666667,0)</f>
      </c>
      <c r="AB332" s="5">
        <v>12</v>
      </c>
      <c r="AC332" s="2" t="s">
        <v>200</v>
      </c>
      <c r="AD332" s="4"/>
      <c r="AE332" s="4"/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200</v>
      </c>
      <c r="AM332" s="4"/>
      <c r="AN332" s="4"/>
      <c r="AO332" s="7"/>
      <c r="AP332" s="4"/>
      <c r="AQ332" s="8"/>
      <c r="AR332" s="4"/>
      <c r="AS332" s="8"/>
      <c r="AT332" s="7"/>
      <c r="AU332" s="7"/>
      <c r="AV332" s="4"/>
      <c r="AW332" s="8"/>
      <c r="AX332" s="4"/>
      <c r="AY332" s="8"/>
      <c r="AZ332" s="7"/>
      <c r="BA332" s="7"/>
      <c r="BB332" s="7"/>
      <c r="BC332" s="4" t="s">
        <v>200</v>
      </c>
      <c r="BD332" s="8" t="s">
        <v>200</v>
      </c>
      <c r="BE332" s="4" t="s">
        <v>200</v>
      </c>
      <c r="BF332" s="8" t="s">
        <v>200</v>
      </c>
      <c r="BG332" s="7" t="s">
        <v>200</v>
      </c>
      <c r="BH332" s="7" t="s">
        <v>200</v>
      </c>
      <c r="BI332" s="7"/>
      <c r="BJ332" s="4">
        <v>178</v>
      </c>
      <c r="BK332" s="8">
        <v>1649.07</v>
      </c>
      <c r="BL332" s="2" t="s">
        <v>953</v>
      </c>
      <c r="BM332" s="7"/>
      <c r="BN332" s="7"/>
      <c r="BO332" s="4"/>
      <c r="BP332" s="8"/>
      <c r="BQ332" s="4"/>
      <c r="BR332" s="8"/>
      <c r="BS332" s="7"/>
      <c r="BT332" s="7"/>
      <c r="BU332" s="2" t="s">
        <v>2426</v>
      </c>
      <c r="BV332" s="2" t="s">
        <v>200</v>
      </c>
      <c r="BW332" s="2" t="s">
        <v>200</v>
      </c>
      <c r="BX332" s="2" t="s">
        <v>264</v>
      </c>
      <c r="BY332" s="2" t="s">
        <v>247</v>
      </c>
      <c r="BZ332" s="2" t="s">
        <v>212</v>
      </c>
      <c r="CA332" s="2" t="s">
        <v>200</v>
      </c>
      <c r="CB332" s="2" t="s">
        <v>200</v>
      </c>
      <c r="CC332" s="2" t="s">
        <v>213</v>
      </c>
      <c r="CD332" s="2" t="s">
        <v>200</v>
      </c>
      <c r="CE332" s="4">
        <v>524</v>
      </c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</row>
    <row r="333">
      <c r="A333" s="2" t="s">
        <v>2427</v>
      </c>
      <c r="B333" s="2" t="s">
        <v>2391</v>
      </c>
      <c r="C333" s="2" t="s">
        <v>946</v>
      </c>
      <c r="D333" s="2" t="s">
        <v>2392</v>
      </c>
      <c r="E333" s="2" t="s">
        <v>2393</v>
      </c>
      <c r="F333" s="2" t="s">
        <v>2394</v>
      </c>
      <c r="G333" s="2" t="s">
        <v>2394</v>
      </c>
      <c r="H333" s="2" t="s">
        <v>2394</v>
      </c>
      <c r="I333" s="2" t="s">
        <v>2428</v>
      </c>
      <c r="J333" s="2" t="s">
        <v>711</v>
      </c>
      <c r="K333" s="2" t="s">
        <v>890</v>
      </c>
      <c r="L333" s="3">
        <v>8.06</v>
      </c>
      <c r="M333" s="3">
        <v>8.46</v>
      </c>
      <c r="N333" s="3">
        <v>14.99</v>
      </c>
      <c r="O333" s="2" t="s">
        <v>212</v>
      </c>
      <c r="P333" s="2" t="s">
        <v>258</v>
      </c>
      <c r="Q333" s="2" t="s">
        <v>206</v>
      </c>
      <c r="R333" s="2" t="s">
        <v>200</v>
      </c>
      <c r="S333" s="2" t="s">
        <v>200</v>
      </c>
      <c r="T333" s="2" t="s">
        <v>200</v>
      </c>
      <c r="U333" s="2" t="s">
        <v>270</v>
      </c>
      <c r="V333" s="2" t="s">
        <v>616</v>
      </c>
      <c r="W333" s="2" t="s">
        <v>241</v>
      </c>
      <c r="X333" s="2" t="s">
        <v>200</v>
      </c>
      <c r="Y333" s="2" t="s">
        <v>2400</v>
      </c>
      <c r="Z333" s="4">
        <v>154</v>
      </c>
      <c r="AA333" s="4">
        <f>=ROUNDDOWN(27.0175438596491,0)</f>
      </c>
      <c r="AB333" s="5">
        <v>5.7</v>
      </c>
      <c r="AC333" s="2" t="s">
        <v>200</v>
      </c>
      <c r="AD333" s="4"/>
      <c r="AE333" s="4"/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200</v>
      </c>
      <c r="AM333" s="4"/>
      <c r="AN333" s="4"/>
      <c r="AO333" s="7"/>
      <c r="AP333" s="4"/>
      <c r="AQ333" s="8"/>
      <c r="AR333" s="4"/>
      <c r="AS333" s="8"/>
      <c r="AT333" s="7"/>
      <c r="AU333" s="7"/>
      <c r="AV333" s="4"/>
      <c r="AW333" s="8"/>
      <c r="AX333" s="4"/>
      <c r="AY333" s="8"/>
      <c r="AZ333" s="7"/>
      <c r="BA333" s="7"/>
      <c r="BB333" s="7"/>
      <c r="BC333" s="4" t="s">
        <v>200</v>
      </c>
      <c r="BD333" s="8" t="s">
        <v>200</v>
      </c>
      <c r="BE333" s="4" t="s">
        <v>200</v>
      </c>
      <c r="BF333" s="8" t="s">
        <v>200</v>
      </c>
      <c r="BG333" s="7" t="s">
        <v>200</v>
      </c>
      <c r="BH333" s="7" t="s">
        <v>200</v>
      </c>
      <c r="BI333" s="7"/>
      <c r="BJ333" s="4">
        <v>24</v>
      </c>
      <c r="BK333" s="8">
        <v>222.48</v>
      </c>
      <c r="BL333" s="2" t="s">
        <v>1261</v>
      </c>
      <c r="BM333" s="7"/>
      <c r="BN333" s="7"/>
      <c r="BO333" s="4"/>
      <c r="BP333" s="8"/>
      <c r="BQ333" s="4"/>
      <c r="BR333" s="8"/>
      <c r="BS333" s="7"/>
      <c r="BT333" s="7"/>
      <c r="BU333" s="2" t="s">
        <v>2429</v>
      </c>
      <c r="BV333" s="2" t="s">
        <v>200</v>
      </c>
      <c r="BW333" s="2" t="s">
        <v>200</v>
      </c>
      <c r="BX333" s="2" t="s">
        <v>264</v>
      </c>
      <c r="BY333" s="2" t="s">
        <v>247</v>
      </c>
      <c r="BZ333" s="2" t="s">
        <v>212</v>
      </c>
      <c r="CA333" s="2" t="s">
        <v>473</v>
      </c>
      <c r="CB333" s="2" t="s">
        <v>2430</v>
      </c>
      <c r="CC333" s="2" t="s">
        <v>213</v>
      </c>
      <c r="CD333" s="2" t="s">
        <v>200</v>
      </c>
      <c r="CE333" s="4"/>
      <c r="CF333" s="4">
        <v>78</v>
      </c>
      <c r="CG333" s="4"/>
      <c r="CH333" s="4">
        <v>76</v>
      </c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</row>
    <row r="334">
      <c r="A334" s="2" t="s">
        <v>2431</v>
      </c>
      <c r="B334" s="2" t="s">
        <v>903</v>
      </c>
      <c r="C334" s="2" t="s">
        <v>745</v>
      </c>
      <c r="D334" s="2" t="s">
        <v>608</v>
      </c>
      <c r="E334" s="2" t="s">
        <v>1324</v>
      </c>
      <c r="F334" s="2" t="s">
        <v>2432</v>
      </c>
      <c r="G334" s="2" t="s">
        <v>2432</v>
      </c>
      <c r="H334" s="2" t="s">
        <v>2432</v>
      </c>
      <c r="I334" s="2" t="s">
        <v>2433</v>
      </c>
      <c r="J334" s="2" t="s">
        <v>612</v>
      </c>
      <c r="K334" s="2" t="s">
        <v>436</v>
      </c>
      <c r="L334" s="3">
        <v>59.42</v>
      </c>
      <c r="M334" s="3">
        <v>62.39</v>
      </c>
      <c r="N334" s="3">
        <v>129.99</v>
      </c>
      <c r="O334" s="2" t="s">
        <v>212</v>
      </c>
      <c r="P334" s="2" t="s">
        <v>205</v>
      </c>
      <c r="Q334" s="2" t="s">
        <v>206</v>
      </c>
      <c r="R334" s="2" t="s">
        <v>200</v>
      </c>
      <c r="S334" s="2" t="s">
        <v>2434</v>
      </c>
      <c r="T334" s="2" t="s">
        <v>1833</v>
      </c>
      <c r="U334" s="2" t="s">
        <v>454</v>
      </c>
      <c r="V334" s="2" t="s">
        <v>1198</v>
      </c>
      <c r="W334" s="2" t="s">
        <v>379</v>
      </c>
      <c r="X334" s="2" t="s">
        <v>200</v>
      </c>
      <c r="Y334" s="2" t="s">
        <v>2435</v>
      </c>
      <c r="Z334" s="4">
        <v>254</v>
      </c>
      <c r="AA334" s="4">
        <f>=ROUNDDOWN(282.222222222222,0)</f>
      </c>
      <c r="AB334" s="5">
        <v>0.9</v>
      </c>
      <c r="AC334" s="2" t="s">
        <v>200</v>
      </c>
      <c r="AD334" s="4"/>
      <c r="AE334" s="4"/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200</v>
      </c>
      <c r="AM334" s="4"/>
      <c r="AN334" s="4"/>
      <c r="AO334" s="7"/>
      <c r="AP334" s="4"/>
      <c r="AQ334" s="8"/>
      <c r="AR334" s="4"/>
      <c r="AS334" s="8"/>
      <c r="AT334" s="7"/>
      <c r="AU334" s="7"/>
      <c r="AV334" s="4" t="s">
        <v>200</v>
      </c>
      <c r="AW334" s="8" t="s">
        <v>200</v>
      </c>
      <c r="AX334" s="4" t="s">
        <v>200</v>
      </c>
      <c r="AY334" s="8" t="s">
        <v>200</v>
      </c>
      <c r="AZ334" s="7" t="s">
        <v>200</v>
      </c>
      <c r="BA334" s="7" t="s">
        <v>200</v>
      </c>
      <c r="BB334" s="7"/>
      <c r="BC334" s="4" t="s">
        <v>200</v>
      </c>
      <c r="BD334" s="8" t="s">
        <v>200</v>
      </c>
      <c r="BE334" s="4" t="s">
        <v>200</v>
      </c>
      <c r="BF334" s="8" t="s">
        <v>200</v>
      </c>
      <c r="BG334" s="7" t="s">
        <v>200</v>
      </c>
      <c r="BH334" s="7" t="s">
        <v>200</v>
      </c>
      <c r="BI334" s="7"/>
      <c r="BJ334" s="4">
        <v>69</v>
      </c>
      <c r="BK334" s="8">
        <v>4816.72</v>
      </c>
      <c r="BL334" s="2" t="s">
        <v>2436</v>
      </c>
      <c r="BM334" s="7"/>
      <c r="BN334" s="7"/>
      <c r="BO334" s="4"/>
      <c r="BP334" s="8"/>
      <c r="BQ334" s="4"/>
      <c r="BR334" s="8"/>
      <c r="BS334" s="7"/>
      <c r="BT334" s="7"/>
      <c r="BU334" s="2" t="s">
        <v>2437</v>
      </c>
      <c r="BV334" s="2" t="s">
        <v>200</v>
      </c>
      <c r="BW334" s="2" t="s">
        <v>200</v>
      </c>
      <c r="BX334" s="2" t="s">
        <v>264</v>
      </c>
      <c r="BY334" s="2" t="s">
        <v>247</v>
      </c>
      <c r="BZ334" s="2" t="s">
        <v>212</v>
      </c>
      <c r="CA334" s="2" t="s">
        <v>2406</v>
      </c>
      <c r="CB334" s="2" t="s">
        <v>2438</v>
      </c>
      <c r="CC334" s="2" t="s">
        <v>213</v>
      </c>
      <c r="CD334" s="2" t="s">
        <v>200</v>
      </c>
      <c r="CE334" s="4">
        <v>254</v>
      </c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</row>
    <row r="335">
      <c r="A335" s="2" t="s">
        <v>2439</v>
      </c>
      <c r="B335" s="2" t="s">
        <v>903</v>
      </c>
      <c r="C335" s="2" t="s">
        <v>745</v>
      </c>
      <c r="D335" s="2" t="s">
        <v>608</v>
      </c>
      <c r="E335" s="2" t="s">
        <v>1324</v>
      </c>
      <c r="F335" s="2" t="s">
        <v>2432</v>
      </c>
      <c r="G335" s="2" t="s">
        <v>2432</v>
      </c>
      <c r="H335" s="2" t="s">
        <v>2432</v>
      </c>
      <c r="I335" s="2" t="s">
        <v>2433</v>
      </c>
      <c r="J335" s="2" t="s">
        <v>924</v>
      </c>
      <c r="K335" s="2" t="s">
        <v>436</v>
      </c>
      <c r="L335" s="3">
        <v>68.57</v>
      </c>
      <c r="M335" s="3">
        <v>72</v>
      </c>
      <c r="N335" s="3">
        <v>149.99</v>
      </c>
      <c r="O335" s="2" t="s">
        <v>212</v>
      </c>
      <c r="P335" s="2" t="s">
        <v>205</v>
      </c>
      <c r="Q335" s="2" t="s">
        <v>206</v>
      </c>
      <c r="R335" s="2" t="s">
        <v>200</v>
      </c>
      <c r="S335" s="2" t="s">
        <v>2434</v>
      </c>
      <c r="T335" s="2" t="s">
        <v>1833</v>
      </c>
      <c r="U335" s="2" t="s">
        <v>454</v>
      </c>
      <c r="V335" s="2" t="s">
        <v>1198</v>
      </c>
      <c r="W335" s="2" t="s">
        <v>379</v>
      </c>
      <c r="X335" s="2" t="s">
        <v>200</v>
      </c>
      <c r="Y335" s="2" t="s">
        <v>2435</v>
      </c>
      <c r="Z335" s="4">
        <v>35</v>
      </c>
      <c r="AA335" s="4">
        <f>=ROUNDDOWN(11.6666666666667,0)</f>
      </c>
      <c r="AB335" s="5">
        <v>3</v>
      </c>
      <c r="AC335" s="2" t="s">
        <v>200</v>
      </c>
      <c r="AD335" s="4"/>
      <c r="AE335" s="4"/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200</v>
      </c>
      <c r="AM335" s="4"/>
      <c r="AN335" s="4"/>
      <c r="AO335" s="7"/>
      <c r="AP335" s="4"/>
      <c r="AQ335" s="8"/>
      <c r="AR335" s="4"/>
      <c r="AS335" s="8"/>
      <c r="AT335" s="7"/>
      <c r="AU335" s="7"/>
      <c r="AV335" s="4" t="s">
        <v>200</v>
      </c>
      <c r="AW335" s="8" t="s">
        <v>200</v>
      </c>
      <c r="AX335" s="4" t="s">
        <v>200</v>
      </c>
      <c r="AY335" s="8" t="s">
        <v>200</v>
      </c>
      <c r="AZ335" s="7" t="s">
        <v>200</v>
      </c>
      <c r="BA335" s="7" t="s">
        <v>200</v>
      </c>
      <c r="BB335" s="7"/>
      <c r="BC335" s="4" t="s">
        <v>200</v>
      </c>
      <c r="BD335" s="8" t="s">
        <v>200</v>
      </c>
      <c r="BE335" s="4" t="s">
        <v>200</v>
      </c>
      <c r="BF335" s="8" t="s">
        <v>200</v>
      </c>
      <c r="BG335" s="7" t="s">
        <v>200</v>
      </c>
      <c r="BH335" s="7" t="s">
        <v>200</v>
      </c>
      <c r="BI335" s="7"/>
      <c r="BJ335" s="4">
        <v>83</v>
      </c>
      <c r="BK335" s="8">
        <v>6676.08</v>
      </c>
      <c r="BL335" s="2" t="s">
        <v>2440</v>
      </c>
      <c r="BM335" s="7"/>
      <c r="BN335" s="7"/>
      <c r="BO335" s="4"/>
      <c r="BP335" s="8"/>
      <c r="BQ335" s="4"/>
      <c r="BR335" s="8"/>
      <c r="BS335" s="7"/>
      <c r="BT335" s="7"/>
      <c r="BU335" s="2" t="s">
        <v>2441</v>
      </c>
      <c r="BV335" s="2" t="s">
        <v>200</v>
      </c>
      <c r="BW335" s="2" t="s">
        <v>200</v>
      </c>
      <c r="BX335" s="2" t="s">
        <v>264</v>
      </c>
      <c r="BY335" s="2" t="s">
        <v>247</v>
      </c>
      <c r="BZ335" s="2" t="s">
        <v>212</v>
      </c>
      <c r="CA335" s="2" t="s">
        <v>2406</v>
      </c>
      <c r="CB335" s="2" t="s">
        <v>2442</v>
      </c>
      <c r="CC335" s="2" t="s">
        <v>213</v>
      </c>
      <c r="CD335" s="2" t="s">
        <v>200</v>
      </c>
      <c r="CE335" s="4">
        <v>35</v>
      </c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</row>
    <row r="336">
      <c r="A336" s="2" t="s">
        <v>2443</v>
      </c>
      <c r="B336" s="2" t="s">
        <v>705</v>
      </c>
      <c r="C336" s="2" t="s">
        <v>745</v>
      </c>
      <c r="D336" s="2" t="s">
        <v>707</v>
      </c>
      <c r="E336" s="2" t="s">
        <v>708</v>
      </c>
      <c r="F336" s="2" t="s">
        <v>831</v>
      </c>
      <c r="G336" s="2" t="s">
        <v>831</v>
      </c>
      <c r="H336" s="2" t="s">
        <v>831</v>
      </c>
      <c r="I336" s="2" t="s">
        <v>2444</v>
      </c>
      <c r="J336" s="2" t="s">
        <v>711</v>
      </c>
      <c r="K336" s="2" t="s">
        <v>1498</v>
      </c>
      <c r="L336" s="3">
        <v>145</v>
      </c>
      <c r="M336" s="3">
        <v>152.25</v>
      </c>
      <c r="N336" s="3">
        <v>299</v>
      </c>
      <c r="O336" s="2" t="s">
        <v>212</v>
      </c>
      <c r="P336" s="2" t="s">
        <v>750</v>
      </c>
      <c r="Q336" s="2" t="s">
        <v>206</v>
      </c>
      <c r="R336" s="2" t="s">
        <v>200</v>
      </c>
      <c r="S336" s="2" t="s">
        <v>200</v>
      </c>
      <c r="T336" s="2" t="s">
        <v>200</v>
      </c>
      <c r="U336" s="2" t="s">
        <v>270</v>
      </c>
      <c r="V336" s="2" t="s">
        <v>616</v>
      </c>
      <c r="W336" s="2" t="s">
        <v>379</v>
      </c>
      <c r="X336" s="2" t="s">
        <v>712</v>
      </c>
      <c r="Y336" s="2" t="s">
        <v>1499</v>
      </c>
      <c r="Z336" s="4">
        <v>88</v>
      </c>
      <c r="AA336" s="4">
        <f>=ROUNDDOWN(88,0)</f>
      </c>
      <c r="AB336" s="5">
        <v>1</v>
      </c>
      <c r="AC336" s="2" t="s">
        <v>200</v>
      </c>
      <c r="AD336" s="4"/>
      <c r="AE336" s="4"/>
      <c r="AF336" s="6">
        <v>63</v>
      </c>
      <c r="AG336" s="6"/>
      <c r="AH336" s="7">
        <v>1</v>
      </c>
      <c r="AI336" s="4"/>
      <c r="AJ336" s="4">
        <f>=ROUNDDOWN({0},0)</f>
      </c>
      <c r="AK336" s="5"/>
      <c r="AL336" s="2" t="s">
        <v>200</v>
      </c>
      <c r="AM336" s="4"/>
      <c r="AN336" s="4"/>
      <c r="AO336" s="7"/>
      <c r="AP336" s="4"/>
      <c r="AQ336" s="8"/>
      <c r="AR336" s="4"/>
      <c r="AS336" s="8"/>
      <c r="AT336" s="7"/>
      <c r="AU336" s="7"/>
      <c r="AV336" s="4"/>
      <c r="AW336" s="8"/>
      <c r="AX336" s="4"/>
      <c r="AY336" s="8"/>
      <c r="AZ336" s="7"/>
      <c r="BA336" s="7"/>
      <c r="BB336" s="7"/>
      <c r="BC336" s="4"/>
      <c r="BD336" s="8"/>
      <c r="BE336" s="4"/>
      <c r="BF336" s="8"/>
      <c r="BG336" s="7"/>
      <c r="BH336" s="7"/>
      <c r="BI336" s="7"/>
      <c r="BJ336" s="4"/>
      <c r="BK336" s="8"/>
      <c r="BL336" s="2" t="s">
        <v>200</v>
      </c>
      <c r="BM336" s="7"/>
      <c r="BN336" s="7"/>
      <c r="BO336" s="4"/>
      <c r="BP336" s="8"/>
      <c r="BQ336" s="4"/>
      <c r="BR336" s="8"/>
      <c r="BS336" s="7"/>
      <c r="BT336" s="7"/>
      <c r="BU336" s="2" t="s">
        <v>2445</v>
      </c>
      <c r="BV336" s="2" t="s">
        <v>200</v>
      </c>
      <c r="BW336" s="2" t="s">
        <v>200</v>
      </c>
      <c r="BX336" s="2" t="s">
        <v>264</v>
      </c>
      <c r="BY336" s="2" t="s">
        <v>247</v>
      </c>
      <c r="BZ336" s="2" t="s">
        <v>212</v>
      </c>
      <c r="CA336" s="2" t="s">
        <v>1501</v>
      </c>
      <c r="CB336" s="2" t="s">
        <v>200</v>
      </c>
      <c r="CC336" s="2" t="s">
        <v>213</v>
      </c>
      <c r="CD336" s="2" t="s">
        <v>200</v>
      </c>
      <c r="CE336" s="4"/>
      <c r="CF336" s="4">
        <v>88</v>
      </c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</row>
    <row r="337">
      <c r="A337" s="2" t="s">
        <v>2446</v>
      </c>
      <c r="B337" s="2" t="s">
        <v>1099</v>
      </c>
      <c r="C337" s="2" t="s">
        <v>1211</v>
      </c>
      <c r="D337" s="2" t="s">
        <v>1159</v>
      </c>
      <c r="E337" s="2" t="s">
        <v>1160</v>
      </c>
      <c r="F337" s="2" t="s">
        <v>2447</v>
      </c>
      <c r="G337" s="2" t="s">
        <v>2447</v>
      </c>
      <c r="H337" s="2" t="s">
        <v>2447</v>
      </c>
      <c r="I337" s="2" t="s">
        <v>2448</v>
      </c>
      <c r="J337" s="2" t="s">
        <v>2449</v>
      </c>
      <c r="K337" s="2" t="s">
        <v>203</v>
      </c>
      <c r="L337" s="3">
        <v>27.23</v>
      </c>
      <c r="M337" s="3">
        <v>28.59</v>
      </c>
      <c r="N337" s="3">
        <v>79.99</v>
      </c>
      <c r="O337" s="2" t="s">
        <v>212</v>
      </c>
      <c r="P337" s="2" t="s">
        <v>285</v>
      </c>
      <c r="Q337" s="2" t="s">
        <v>206</v>
      </c>
      <c r="R337" s="2" t="s">
        <v>200</v>
      </c>
      <c r="S337" s="2" t="s">
        <v>200</v>
      </c>
      <c r="T337" s="2" t="s">
        <v>200</v>
      </c>
      <c r="U337" s="2" t="s">
        <v>200</v>
      </c>
      <c r="V337" s="2" t="s">
        <v>208</v>
      </c>
      <c r="W337" s="2" t="s">
        <v>241</v>
      </c>
      <c r="X337" s="2" t="s">
        <v>200</v>
      </c>
      <c r="Y337" s="2" t="s">
        <v>2017</v>
      </c>
      <c r="Z337" s="4">
        <v>467</v>
      </c>
      <c r="AA337" s="4">
        <f>=ROUNDDOWN(467,0)</f>
      </c>
      <c r="AB337" s="5">
        <v>1</v>
      </c>
      <c r="AC337" s="2" t="s">
        <v>200</v>
      </c>
      <c r="AD337" s="4"/>
      <c r="AE337" s="4"/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200</v>
      </c>
      <c r="AM337" s="4"/>
      <c r="AN337" s="4"/>
      <c r="AO337" s="7"/>
      <c r="AP337" s="4"/>
      <c r="AQ337" s="8"/>
      <c r="AR337" s="4"/>
      <c r="AS337" s="8"/>
      <c r="AT337" s="7"/>
      <c r="AU337" s="7"/>
      <c r="AV337" s="4"/>
      <c r="AW337" s="8"/>
      <c r="AX337" s="4"/>
      <c r="AY337" s="8"/>
      <c r="AZ337" s="7"/>
      <c r="BA337" s="7"/>
      <c r="BB337" s="7"/>
      <c r="BC337" s="4"/>
      <c r="BD337" s="8"/>
      <c r="BE337" s="4"/>
      <c r="BF337" s="8"/>
      <c r="BG337" s="7"/>
      <c r="BH337" s="7"/>
      <c r="BI337" s="7"/>
      <c r="BJ337" s="4"/>
      <c r="BK337" s="8"/>
      <c r="BL337" s="2" t="s">
        <v>200</v>
      </c>
      <c r="BM337" s="7"/>
      <c r="BN337" s="7"/>
      <c r="BO337" s="4"/>
      <c r="BP337" s="8"/>
      <c r="BQ337" s="4"/>
      <c r="BR337" s="8"/>
      <c r="BS337" s="7"/>
      <c r="BT337" s="7"/>
      <c r="BU337" s="2" t="s">
        <v>2450</v>
      </c>
      <c r="BV337" s="2" t="s">
        <v>200</v>
      </c>
      <c r="BW337" s="2" t="s">
        <v>200</v>
      </c>
      <c r="BX337" s="2" t="s">
        <v>289</v>
      </c>
      <c r="BY337" s="2" t="s">
        <v>247</v>
      </c>
      <c r="BZ337" s="2" t="s">
        <v>212</v>
      </c>
      <c r="CA337" s="2" t="s">
        <v>2451</v>
      </c>
      <c r="CB337" s="2" t="s">
        <v>2452</v>
      </c>
      <c r="CC337" s="2" t="s">
        <v>213</v>
      </c>
      <c r="CD337" s="2" t="s">
        <v>200</v>
      </c>
      <c r="CE337" s="4">
        <v>467</v>
      </c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</row>
    <row r="338">
      <c r="A338" s="2" t="s">
        <v>2453</v>
      </c>
      <c r="B338" s="2" t="s">
        <v>932</v>
      </c>
      <c r="C338" s="2" t="s">
        <v>1839</v>
      </c>
      <c r="D338" s="2" t="s">
        <v>918</v>
      </c>
      <c r="E338" s="2" t="s">
        <v>934</v>
      </c>
      <c r="F338" s="2" t="s">
        <v>2454</v>
      </c>
      <c r="G338" s="2" t="s">
        <v>2455</v>
      </c>
      <c r="H338" s="2" t="s">
        <v>2456</v>
      </c>
      <c r="I338" s="2" t="s">
        <v>2457</v>
      </c>
      <c r="J338" s="2" t="s">
        <v>1390</v>
      </c>
      <c r="K338" s="2" t="s">
        <v>221</v>
      </c>
      <c r="L338" s="3">
        <v>51.7</v>
      </c>
      <c r="M338" s="3">
        <v>54.29</v>
      </c>
      <c r="N338" s="3">
        <v>109.99</v>
      </c>
      <c r="O338" s="2" t="s">
        <v>460</v>
      </c>
      <c r="P338" s="2" t="s">
        <v>285</v>
      </c>
      <c r="Q338" s="2" t="s">
        <v>206</v>
      </c>
      <c r="R338" s="2" t="s">
        <v>200</v>
      </c>
      <c r="S338" s="2" t="s">
        <v>2458</v>
      </c>
      <c r="T338" s="2" t="s">
        <v>312</v>
      </c>
      <c r="U338" s="2" t="s">
        <v>240</v>
      </c>
      <c r="V338" s="2" t="s">
        <v>339</v>
      </c>
      <c r="W338" s="2" t="s">
        <v>379</v>
      </c>
      <c r="X338" s="2" t="s">
        <v>241</v>
      </c>
      <c r="Y338" s="2" t="s">
        <v>2459</v>
      </c>
      <c r="Z338" s="4">
        <v>72</v>
      </c>
      <c r="AA338" s="4">
        <f>=ROUNDDOWN(72,0)</f>
      </c>
      <c r="AB338" s="5">
        <v>1</v>
      </c>
      <c r="AC338" s="2" t="s">
        <v>200</v>
      </c>
      <c r="AD338" s="4"/>
      <c r="AE338" s="4"/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200</v>
      </c>
      <c r="AM338" s="4"/>
      <c r="AN338" s="4"/>
      <c r="AO338" s="7"/>
      <c r="AP338" s="4"/>
      <c r="AQ338" s="8"/>
      <c r="AR338" s="4"/>
      <c r="AS338" s="8"/>
      <c r="AT338" s="7"/>
      <c r="AU338" s="7"/>
      <c r="AV338" s="4" t="s">
        <v>200</v>
      </c>
      <c r="AW338" s="8" t="s">
        <v>200</v>
      </c>
      <c r="AX338" s="4" t="s">
        <v>200</v>
      </c>
      <c r="AY338" s="8" t="s">
        <v>200</v>
      </c>
      <c r="AZ338" s="7" t="s">
        <v>200</v>
      </c>
      <c r="BA338" s="7" t="s">
        <v>200</v>
      </c>
      <c r="BB338" s="7"/>
      <c r="BC338" s="4" t="s">
        <v>200</v>
      </c>
      <c r="BD338" s="8" t="s">
        <v>200</v>
      </c>
      <c r="BE338" s="4" t="s">
        <v>200</v>
      </c>
      <c r="BF338" s="8" t="s">
        <v>200</v>
      </c>
      <c r="BG338" s="7" t="s">
        <v>200</v>
      </c>
      <c r="BH338" s="7" t="s">
        <v>200</v>
      </c>
      <c r="BI338" s="7"/>
      <c r="BJ338" s="4">
        <v>2</v>
      </c>
      <c r="BK338" s="8">
        <v>107.11</v>
      </c>
      <c r="BL338" s="2" t="s">
        <v>2460</v>
      </c>
      <c r="BM338" s="7"/>
      <c r="BN338" s="7"/>
      <c r="BO338" s="4"/>
      <c r="BP338" s="8"/>
      <c r="BQ338" s="4"/>
      <c r="BR338" s="8"/>
      <c r="BS338" s="7"/>
      <c r="BT338" s="7"/>
      <c r="BU338" s="2" t="s">
        <v>2461</v>
      </c>
      <c r="BV338" s="2" t="s">
        <v>200</v>
      </c>
      <c r="BW338" s="2" t="s">
        <v>200</v>
      </c>
      <c r="BX338" s="2" t="s">
        <v>289</v>
      </c>
      <c r="BY338" s="2" t="s">
        <v>247</v>
      </c>
      <c r="BZ338" s="2" t="s">
        <v>212</v>
      </c>
      <c r="CA338" s="2" t="s">
        <v>2462</v>
      </c>
      <c r="CB338" s="2" t="s">
        <v>2463</v>
      </c>
      <c r="CC338" s="2" t="s">
        <v>213</v>
      </c>
      <c r="CD338" s="2" t="s">
        <v>200</v>
      </c>
      <c r="CE338" s="4">
        <v>72</v>
      </c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</row>
    <row r="339">
      <c r="A339" s="2" t="s">
        <v>2464</v>
      </c>
      <c r="B339" s="2" t="s">
        <v>932</v>
      </c>
      <c r="C339" s="2" t="s">
        <v>1839</v>
      </c>
      <c r="D339" s="2" t="s">
        <v>608</v>
      </c>
      <c r="E339" s="2" t="s">
        <v>609</v>
      </c>
      <c r="F339" s="2" t="s">
        <v>2454</v>
      </c>
      <c r="G339" s="2" t="s">
        <v>2455</v>
      </c>
      <c r="H339" s="2" t="s">
        <v>2456</v>
      </c>
      <c r="I339" s="2" t="s">
        <v>2465</v>
      </c>
      <c r="J339" s="2" t="s">
        <v>612</v>
      </c>
      <c r="K339" s="2" t="s">
        <v>221</v>
      </c>
      <c r="L339" s="3">
        <v>66.96</v>
      </c>
      <c r="M339" s="3">
        <v>70.31</v>
      </c>
      <c r="N339" s="3">
        <v>129.99</v>
      </c>
      <c r="O339" s="2" t="s">
        <v>460</v>
      </c>
      <c r="P339" s="2" t="s">
        <v>285</v>
      </c>
      <c r="Q339" s="2" t="s">
        <v>206</v>
      </c>
      <c r="R339" s="2" t="s">
        <v>200</v>
      </c>
      <c r="S339" s="2" t="s">
        <v>2458</v>
      </c>
      <c r="T339" s="2" t="s">
        <v>312</v>
      </c>
      <c r="U339" s="2" t="s">
        <v>615</v>
      </c>
      <c r="V339" s="2" t="s">
        <v>339</v>
      </c>
      <c r="W339" s="2" t="s">
        <v>379</v>
      </c>
      <c r="X339" s="2" t="s">
        <v>241</v>
      </c>
      <c r="Y339" s="2" t="s">
        <v>2459</v>
      </c>
      <c r="Z339" s="4">
        <v>73</v>
      </c>
      <c r="AA339" s="4">
        <f>=ROUNDDOWN(14.8979591836735,0)</f>
      </c>
      <c r="AB339" s="5">
        <v>4.9</v>
      </c>
      <c r="AC339" s="2" t="s">
        <v>200</v>
      </c>
      <c r="AD339" s="4"/>
      <c r="AE339" s="4"/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200</v>
      </c>
      <c r="AM339" s="4"/>
      <c r="AN339" s="4"/>
      <c r="AO339" s="7"/>
      <c r="AP339" s="4"/>
      <c r="AQ339" s="8"/>
      <c r="AR339" s="4"/>
      <c r="AS339" s="8"/>
      <c r="AT339" s="7"/>
      <c r="AU339" s="7"/>
      <c r="AV339" s="4" t="s">
        <v>200</v>
      </c>
      <c r="AW339" s="8" t="s">
        <v>200</v>
      </c>
      <c r="AX339" s="4" t="s">
        <v>200</v>
      </c>
      <c r="AY339" s="8" t="s">
        <v>200</v>
      </c>
      <c r="AZ339" s="7" t="s">
        <v>200</v>
      </c>
      <c r="BA339" s="7" t="s">
        <v>200</v>
      </c>
      <c r="BB339" s="7"/>
      <c r="BC339" s="4" t="s">
        <v>200</v>
      </c>
      <c r="BD339" s="8" t="s">
        <v>200</v>
      </c>
      <c r="BE339" s="4" t="s">
        <v>200</v>
      </c>
      <c r="BF339" s="8" t="s">
        <v>200</v>
      </c>
      <c r="BG339" s="7" t="s">
        <v>200</v>
      </c>
      <c r="BH339" s="7" t="s">
        <v>200</v>
      </c>
      <c r="BI339" s="7"/>
      <c r="BJ339" s="4">
        <v>15</v>
      </c>
      <c r="BK339" s="8">
        <v>820.44</v>
      </c>
      <c r="BL339" s="2" t="s">
        <v>2466</v>
      </c>
      <c r="BM339" s="7"/>
      <c r="BN339" s="7"/>
      <c r="BO339" s="4"/>
      <c r="BP339" s="8"/>
      <c r="BQ339" s="4"/>
      <c r="BR339" s="8"/>
      <c r="BS339" s="7"/>
      <c r="BT339" s="7"/>
      <c r="BU339" s="2" t="s">
        <v>2467</v>
      </c>
      <c r="BV339" s="2" t="s">
        <v>200</v>
      </c>
      <c r="BW339" s="2" t="s">
        <v>200</v>
      </c>
      <c r="BX339" s="2" t="s">
        <v>289</v>
      </c>
      <c r="BY339" s="2" t="s">
        <v>247</v>
      </c>
      <c r="BZ339" s="2" t="s">
        <v>212</v>
      </c>
      <c r="CA339" s="2" t="s">
        <v>2462</v>
      </c>
      <c r="CB339" s="2" t="s">
        <v>2468</v>
      </c>
      <c r="CC339" s="2" t="s">
        <v>213</v>
      </c>
      <c r="CD339" s="2" t="s">
        <v>200</v>
      </c>
      <c r="CE339" s="4">
        <v>73</v>
      </c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</row>
    <row r="340">
      <c r="A340" s="2" t="s">
        <v>2469</v>
      </c>
      <c r="B340" s="2" t="s">
        <v>932</v>
      </c>
      <c r="C340" s="2" t="s">
        <v>1839</v>
      </c>
      <c r="D340" s="2" t="s">
        <v>918</v>
      </c>
      <c r="E340" s="2" t="s">
        <v>934</v>
      </c>
      <c r="F340" s="2" t="s">
        <v>2454</v>
      </c>
      <c r="G340" s="2" t="s">
        <v>2455</v>
      </c>
      <c r="H340" s="2" t="s">
        <v>2456</v>
      </c>
      <c r="I340" s="2" t="s">
        <v>2470</v>
      </c>
      <c r="J340" s="2" t="s">
        <v>1390</v>
      </c>
      <c r="K340" s="2" t="s">
        <v>223</v>
      </c>
      <c r="L340" s="3">
        <v>51.7</v>
      </c>
      <c r="M340" s="3">
        <v>54.29</v>
      </c>
      <c r="N340" s="3">
        <v>109.99</v>
      </c>
      <c r="O340" s="2" t="s">
        <v>417</v>
      </c>
      <c r="P340" s="2" t="s">
        <v>285</v>
      </c>
      <c r="Q340" s="2" t="s">
        <v>206</v>
      </c>
      <c r="R340" s="2" t="s">
        <v>200</v>
      </c>
      <c r="S340" s="2" t="s">
        <v>2471</v>
      </c>
      <c r="T340" s="2" t="s">
        <v>312</v>
      </c>
      <c r="U340" s="2" t="s">
        <v>240</v>
      </c>
      <c r="V340" s="2" t="s">
        <v>339</v>
      </c>
      <c r="W340" s="2" t="s">
        <v>379</v>
      </c>
      <c r="X340" s="2" t="s">
        <v>241</v>
      </c>
      <c r="Y340" s="2" t="s">
        <v>2472</v>
      </c>
      <c r="Z340" s="4">
        <v>8</v>
      </c>
      <c r="AA340" s="4">
        <f>=ROUNDDOWN(6.66666666666667,0)</f>
      </c>
      <c r="AB340" s="5">
        <v>1.2</v>
      </c>
      <c r="AC340" s="2" t="s">
        <v>200</v>
      </c>
      <c r="AD340" s="4"/>
      <c r="AE340" s="4"/>
      <c r="AF340" s="6">
        <v>65</v>
      </c>
      <c r="AG340" s="6"/>
      <c r="AH340" s="7">
        <v>0.8667</v>
      </c>
      <c r="AI340" s="4"/>
      <c r="AJ340" s="4">
        <f>=ROUNDDOWN({0},0)</f>
      </c>
      <c r="AK340" s="5"/>
      <c r="AL340" s="2" t="s">
        <v>200</v>
      </c>
      <c r="AM340" s="4"/>
      <c r="AN340" s="4"/>
      <c r="AO340" s="7"/>
      <c r="AP340" s="4"/>
      <c r="AQ340" s="8"/>
      <c r="AR340" s="4"/>
      <c r="AS340" s="8"/>
      <c r="AT340" s="7"/>
      <c r="AU340" s="7"/>
      <c r="AV340" s="4"/>
      <c r="AW340" s="8"/>
      <c r="AX340" s="4"/>
      <c r="AY340" s="8"/>
      <c r="AZ340" s="7"/>
      <c r="BA340" s="7"/>
      <c r="BB340" s="7"/>
      <c r="BC340" s="4" t="s">
        <v>200</v>
      </c>
      <c r="BD340" s="8" t="s">
        <v>200</v>
      </c>
      <c r="BE340" s="4" t="s">
        <v>200</v>
      </c>
      <c r="BF340" s="8" t="s">
        <v>200</v>
      </c>
      <c r="BG340" s="7" t="s">
        <v>200</v>
      </c>
      <c r="BH340" s="7" t="s">
        <v>200</v>
      </c>
      <c r="BI340" s="7"/>
      <c r="BJ340" s="4">
        <v>1</v>
      </c>
      <c r="BK340" s="8">
        <v>57.6</v>
      </c>
      <c r="BL340" s="2" t="s">
        <v>2473</v>
      </c>
      <c r="BM340" s="7"/>
      <c r="BN340" s="7"/>
      <c r="BO340" s="4"/>
      <c r="BP340" s="8"/>
      <c r="BQ340" s="4"/>
      <c r="BR340" s="8"/>
      <c r="BS340" s="7"/>
      <c r="BT340" s="7"/>
      <c r="BU340" s="2" t="s">
        <v>2474</v>
      </c>
      <c r="BV340" s="2" t="s">
        <v>200</v>
      </c>
      <c r="BW340" s="2" t="s">
        <v>200</v>
      </c>
      <c r="BX340" s="2" t="s">
        <v>289</v>
      </c>
      <c r="BY340" s="2" t="s">
        <v>247</v>
      </c>
      <c r="BZ340" s="2" t="s">
        <v>212</v>
      </c>
      <c r="CA340" s="2" t="s">
        <v>2472</v>
      </c>
      <c r="CB340" s="2" t="s">
        <v>2475</v>
      </c>
      <c r="CC340" s="2" t="s">
        <v>213</v>
      </c>
      <c r="CD340" s="2" t="s">
        <v>200</v>
      </c>
      <c r="CE340" s="4">
        <v>8</v>
      </c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</row>
    <row r="341">
      <c r="A341" s="2" t="s">
        <v>2476</v>
      </c>
      <c r="B341" s="2" t="s">
        <v>250</v>
      </c>
      <c r="C341" s="2" t="s">
        <v>231</v>
      </c>
      <c r="D341" s="2" t="s">
        <v>197</v>
      </c>
      <c r="E341" s="2" t="s">
        <v>2477</v>
      </c>
      <c r="F341" s="2" t="s">
        <v>2478</v>
      </c>
      <c r="G341" s="2" t="s">
        <v>2479</v>
      </c>
      <c r="H341" s="2" t="s">
        <v>2479</v>
      </c>
      <c r="I341" s="2" t="s">
        <v>2480</v>
      </c>
      <c r="J341" s="2" t="s">
        <v>302</v>
      </c>
      <c r="K341" s="2" t="s">
        <v>660</v>
      </c>
      <c r="L341" s="3">
        <v>28.98</v>
      </c>
      <c r="M341" s="3">
        <v>30.43</v>
      </c>
      <c r="N341" s="3">
        <v>64.99</v>
      </c>
      <c r="O341" s="2" t="s">
        <v>212</v>
      </c>
      <c r="P341" s="2" t="s">
        <v>285</v>
      </c>
      <c r="Q341" s="2" t="s">
        <v>206</v>
      </c>
      <c r="R341" s="2" t="s">
        <v>200</v>
      </c>
      <c r="S341" s="2" t="s">
        <v>2481</v>
      </c>
      <c r="T341" s="2" t="s">
        <v>378</v>
      </c>
      <c r="U341" s="2" t="s">
        <v>200</v>
      </c>
      <c r="V341" s="2" t="s">
        <v>208</v>
      </c>
      <c r="W341" s="2" t="s">
        <v>241</v>
      </c>
      <c r="X341" s="2" t="s">
        <v>200</v>
      </c>
      <c r="Y341" s="2" t="s">
        <v>261</v>
      </c>
      <c r="Z341" s="4"/>
      <c r="AA341" s="4">
        <f>=ROUNDDOWN({0},0)</f>
      </c>
      <c r="AB341" s="5">
        <v>13</v>
      </c>
      <c r="AC341" s="2" t="s">
        <v>200</v>
      </c>
      <c r="AD341" s="4"/>
      <c r="AE341" s="4"/>
      <c r="AF341" s="6">
        <v>65</v>
      </c>
      <c r="AG341" s="6"/>
      <c r="AH341" s="7">
        <v>0.5</v>
      </c>
      <c r="AI341" s="4"/>
      <c r="AJ341" s="4">
        <f>=ROUNDDOWN({0},0)</f>
      </c>
      <c r="AK341" s="5"/>
      <c r="AL341" s="2" t="s">
        <v>200</v>
      </c>
      <c r="AM341" s="4"/>
      <c r="AN341" s="4"/>
      <c r="AO341" s="7"/>
      <c r="AP341" s="4"/>
      <c r="AQ341" s="8"/>
      <c r="AR341" s="4"/>
      <c r="AS341" s="8"/>
      <c r="AT341" s="7"/>
      <c r="AU341" s="7"/>
      <c r="AV341" s="4"/>
      <c r="AW341" s="8"/>
      <c r="AX341" s="4"/>
      <c r="AY341" s="8"/>
      <c r="AZ341" s="7"/>
      <c r="BA341" s="7"/>
      <c r="BB341" s="7"/>
      <c r="BC341" s="4" t="s">
        <v>200</v>
      </c>
      <c r="BD341" s="8" t="s">
        <v>200</v>
      </c>
      <c r="BE341" s="4" t="s">
        <v>200</v>
      </c>
      <c r="BF341" s="8" t="s">
        <v>200</v>
      </c>
      <c r="BG341" s="7" t="s">
        <v>200</v>
      </c>
      <c r="BH341" s="7" t="s">
        <v>200</v>
      </c>
      <c r="BI341" s="7"/>
      <c r="BJ341" s="4">
        <v>6</v>
      </c>
      <c r="BK341" s="8">
        <v>163.08</v>
      </c>
      <c r="BL341" s="2" t="s">
        <v>1259</v>
      </c>
      <c r="BM341" s="7"/>
      <c r="BN341" s="7"/>
      <c r="BO341" s="4"/>
      <c r="BP341" s="8"/>
      <c r="BQ341" s="4"/>
      <c r="BR341" s="8"/>
      <c r="BS341" s="7"/>
      <c r="BT341" s="7"/>
      <c r="BU341" s="2" t="s">
        <v>2482</v>
      </c>
      <c r="BV341" s="2" t="s">
        <v>200</v>
      </c>
      <c r="BW341" s="2" t="s">
        <v>200</v>
      </c>
      <c r="BX341" s="2" t="s">
        <v>289</v>
      </c>
      <c r="BY341" s="2" t="s">
        <v>247</v>
      </c>
      <c r="BZ341" s="2" t="s">
        <v>212</v>
      </c>
      <c r="CA341" s="2" t="s">
        <v>265</v>
      </c>
      <c r="CB341" s="2" t="s">
        <v>2483</v>
      </c>
      <c r="CC341" s="2" t="s">
        <v>213</v>
      </c>
      <c r="CD341" s="2" t="s">
        <v>200</v>
      </c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</row>
    <row r="342">
      <c r="A342" s="2" t="s">
        <v>2484</v>
      </c>
      <c r="B342" s="2" t="s">
        <v>250</v>
      </c>
      <c r="C342" s="2" t="s">
        <v>231</v>
      </c>
      <c r="D342" s="2" t="s">
        <v>197</v>
      </c>
      <c r="E342" s="2" t="s">
        <v>2477</v>
      </c>
      <c r="F342" s="2" t="s">
        <v>2478</v>
      </c>
      <c r="G342" s="2" t="s">
        <v>2479</v>
      </c>
      <c r="H342" s="2" t="s">
        <v>2479</v>
      </c>
      <c r="I342" s="2" t="s">
        <v>2480</v>
      </c>
      <c r="J342" s="2" t="s">
        <v>302</v>
      </c>
      <c r="K342" s="2" t="s">
        <v>2485</v>
      </c>
      <c r="L342" s="3">
        <v>28.98</v>
      </c>
      <c r="M342" s="3">
        <v>30.43</v>
      </c>
      <c r="N342" s="3">
        <v>64.99</v>
      </c>
      <c r="O342" s="2" t="s">
        <v>417</v>
      </c>
      <c r="P342" s="2" t="s">
        <v>285</v>
      </c>
      <c r="Q342" s="2" t="s">
        <v>206</v>
      </c>
      <c r="R342" s="2" t="s">
        <v>200</v>
      </c>
      <c r="S342" s="2" t="s">
        <v>2486</v>
      </c>
      <c r="T342" s="2" t="s">
        <v>378</v>
      </c>
      <c r="U342" s="2" t="s">
        <v>270</v>
      </c>
      <c r="V342" s="2" t="s">
        <v>208</v>
      </c>
      <c r="W342" s="2" t="s">
        <v>241</v>
      </c>
      <c r="X342" s="2" t="s">
        <v>200</v>
      </c>
      <c r="Y342" s="2" t="s">
        <v>2487</v>
      </c>
      <c r="Z342" s="4">
        <v>120</v>
      </c>
      <c r="AA342" s="4">
        <f>=ROUNDDOWN(17.1428571428571,0)</f>
      </c>
      <c r="AB342" s="5">
        <v>7</v>
      </c>
      <c r="AC342" s="2" t="s">
        <v>200</v>
      </c>
      <c r="AD342" s="4"/>
      <c r="AE342" s="4"/>
      <c r="AF342" s="6">
        <v>65</v>
      </c>
      <c r="AG342" s="6"/>
      <c r="AH342" s="7">
        <v>0.8667</v>
      </c>
      <c r="AI342" s="4"/>
      <c r="AJ342" s="4">
        <f>=ROUNDDOWN({0},0)</f>
      </c>
      <c r="AK342" s="5"/>
      <c r="AL342" s="2" t="s">
        <v>200</v>
      </c>
      <c r="AM342" s="4"/>
      <c r="AN342" s="4"/>
      <c r="AO342" s="7"/>
      <c r="AP342" s="4"/>
      <c r="AQ342" s="8"/>
      <c r="AR342" s="4"/>
      <c r="AS342" s="8"/>
      <c r="AT342" s="7"/>
      <c r="AU342" s="7"/>
      <c r="AV342" s="4"/>
      <c r="AW342" s="8"/>
      <c r="AX342" s="4"/>
      <c r="AY342" s="8"/>
      <c r="AZ342" s="7"/>
      <c r="BA342" s="7"/>
      <c r="BB342" s="7"/>
      <c r="BC342" s="4" t="s">
        <v>200</v>
      </c>
      <c r="BD342" s="8" t="s">
        <v>200</v>
      </c>
      <c r="BE342" s="4" t="s">
        <v>200</v>
      </c>
      <c r="BF342" s="8" t="s">
        <v>200</v>
      </c>
      <c r="BG342" s="7" t="s">
        <v>200</v>
      </c>
      <c r="BH342" s="7" t="s">
        <v>200</v>
      </c>
      <c r="BI342" s="7"/>
      <c r="BJ342" s="4">
        <v>16</v>
      </c>
      <c r="BK342" s="8">
        <v>382.67</v>
      </c>
      <c r="BL342" s="2" t="s">
        <v>2488</v>
      </c>
      <c r="BM342" s="7"/>
      <c r="BN342" s="7"/>
      <c r="BO342" s="4"/>
      <c r="BP342" s="8"/>
      <c r="BQ342" s="4"/>
      <c r="BR342" s="8"/>
      <c r="BS342" s="7"/>
      <c r="BT342" s="7"/>
      <c r="BU342" s="2" t="s">
        <v>2489</v>
      </c>
      <c r="BV342" s="2" t="s">
        <v>200</v>
      </c>
      <c r="BW342" s="2" t="s">
        <v>200</v>
      </c>
      <c r="BX342" s="2" t="s">
        <v>289</v>
      </c>
      <c r="BY342" s="2" t="s">
        <v>247</v>
      </c>
      <c r="BZ342" s="2" t="s">
        <v>212</v>
      </c>
      <c r="CA342" s="2" t="s">
        <v>2490</v>
      </c>
      <c r="CB342" s="2" t="s">
        <v>2491</v>
      </c>
      <c r="CC342" s="2" t="s">
        <v>213</v>
      </c>
      <c r="CD342" s="2" t="s">
        <v>200</v>
      </c>
      <c r="CE342" s="4">
        <v>120</v>
      </c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</row>
    <row r="343">
      <c r="A343" s="2" t="s">
        <v>2492</v>
      </c>
      <c r="B343" s="2" t="s">
        <v>250</v>
      </c>
      <c r="C343" s="2" t="s">
        <v>231</v>
      </c>
      <c r="D343" s="2" t="s">
        <v>197</v>
      </c>
      <c r="E343" s="2" t="s">
        <v>2477</v>
      </c>
      <c r="F343" s="2" t="s">
        <v>2478</v>
      </c>
      <c r="G343" s="2" t="s">
        <v>2479</v>
      </c>
      <c r="H343" s="2" t="s">
        <v>2479</v>
      </c>
      <c r="I343" s="2" t="s">
        <v>2480</v>
      </c>
      <c r="J343" s="2" t="s">
        <v>256</v>
      </c>
      <c r="K343" s="2" t="s">
        <v>1700</v>
      </c>
      <c r="L343" s="3">
        <v>21.16</v>
      </c>
      <c r="M343" s="3">
        <v>22.22</v>
      </c>
      <c r="N343" s="3">
        <v>44.99</v>
      </c>
      <c r="O343" s="2" t="s">
        <v>212</v>
      </c>
      <c r="P343" s="2" t="s">
        <v>285</v>
      </c>
      <c r="Q343" s="2" t="s">
        <v>206</v>
      </c>
      <c r="R343" s="2" t="s">
        <v>200</v>
      </c>
      <c r="S343" s="2" t="s">
        <v>2493</v>
      </c>
      <c r="T343" s="2" t="s">
        <v>378</v>
      </c>
      <c r="U343" s="2" t="s">
        <v>200</v>
      </c>
      <c r="V343" s="2" t="s">
        <v>208</v>
      </c>
      <c r="W343" s="2" t="s">
        <v>241</v>
      </c>
      <c r="X343" s="2" t="s">
        <v>200</v>
      </c>
      <c r="Y343" s="2" t="s">
        <v>261</v>
      </c>
      <c r="Z343" s="4">
        <v>92</v>
      </c>
      <c r="AA343" s="4">
        <f>=ROUNDDOWN(13.1428571428571,0)</f>
      </c>
      <c r="AB343" s="5">
        <v>7</v>
      </c>
      <c r="AC343" s="2" t="s">
        <v>200</v>
      </c>
      <c r="AD343" s="4"/>
      <c r="AE343" s="4"/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200</v>
      </c>
      <c r="AM343" s="4"/>
      <c r="AN343" s="4"/>
      <c r="AO343" s="7"/>
      <c r="AP343" s="4"/>
      <c r="AQ343" s="8"/>
      <c r="AR343" s="4"/>
      <c r="AS343" s="8"/>
      <c r="AT343" s="7"/>
      <c r="AU343" s="7"/>
      <c r="AV343" s="4"/>
      <c r="AW343" s="8"/>
      <c r="AX343" s="4"/>
      <c r="AY343" s="8"/>
      <c r="AZ343" s="7"/>
      <c r="BA343" s="7"/>
      <c r="BB343" s="7"/>
      <c r="BC343" s="4" t="s">
        <v>200</v>
      </c>
      <c r="BD343" s="8" t="s">
        <v>200</v>
      </c>
      <c r="BE343" s="4" t="s">
        <v>200</v>
      </c>
      <c r="BF343" s="8" t="s">
        <v>200</v>
      </c>
      <c r="BG343" s="7" t="s">
        <v>200</v>
      </c>
      <c r="BH343" s="7" t="s">
        <v>200</v>
      </c>
      <c r="BI343" s="7"/>
      <c r="BJ343" s="4">
        <v>45</v>
      </c>
      <c r="BK343" s="8">
        <v>822.71</v>
      </c>
      <c r="BL343" s="2" t="s">
        <v>2494</v>
      </c>
      <c r="BM343" s="7"/>
      <c r="BN343" s="7"/>
      <c r="BO343" s="4"/>
      <c r="BP343" s="8"/>
      <c r="BQ343" s="4"/>
      <c r="BR343" s="8"/>
      <c r="BS343" s="7"/>
      <c r="BT343" s="7"/>
      <c r="BU343" s="2" t="s">
        <v>2495</v>
      </c>
      <c r="BV343" s="2" t="s">
        <v>200</v>
      </c>
      <c r="BW343" s="2" t="s">
        <v>200</v>
      </c>
      <c r="BX343" s="2" t="s">
        <v>289</v>
      </c>
      <c r="BY343" s="2" t="s">
        <v>247</v>
      </c>
      <c r="BZ343" s="2" t="s">
        <v>212</v>
      </c>
      <c r="CA343" s="2" t="s">
        <v>265</v>
      </c>
      <c r="CB343" s="2" t="s">
        <v>2496</v>
      </c>
      <c r="CC343" s="2" t="s">
        <v>213</v>
      </c>
      <c r="CD343" s="2" t="s">
        <v>200</v>
      </c>
      <c r="CE343" s="4">
        <v>92</v>
      </c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</row>
    <row r="344">
      <c r="A344" s="2" t="s">
        <v>2497</v>
      </c>
      <c r="B344" s="2" t="s">
        <v>705</v>
      </c>
      <c r="C344" s="2" t="s">
        <v>730</v>
      </c>
      <c r="D344" s="2" t="s">
        <v>707</v>
      </c>
      <c r="E344" s="2" t="s">
        <v>708</v>
      </c>
      <c r="F344" s="2" t="s">
        <v>2498</v>
      </c>
      <c r="G344" s="2" t="s">
        <v>2498</v>
      </c>
      <c r="H344" s="2" t="s">
        <v>2498</v>
      </c>
      <c r="I344" s="2" t="s">
        <v>2499</v>
      </c>
      <c r="J344" s="2" t="s">
        <v>711</v>
      </c>
      <c r="K344" s="2" t="s">
        <v>2500</v>
      </c>
      <c r="L344" s="3">
        <v>44.55</v>
      </c>
      <c r="M344" s="3">
        <v>46.78</v>
      </c>
      <c r="N344" s="3">
        <v>104.99</v>
      </c>
      <c r="O344" s="2" t="s">
        <v>460</v>
      </c>
      <c r="P344" s="2" t="s">
        <v>285</v>
      </c>
      <c r="Q344" s="2" t="s">
        <v>206</v>
      </c>
      <c r="R344" s="2" t="s">
        <v>200</v>
      </c>
      <c r="S344" s="2" t="s">
        <v>200</v>
      </c>
      <c r="T344" s="2" t="s">
        <v>200</v>
      </c>
      <c r="U344" s="2" t="s">
        <v>270</v>
      </c>
      <c r="V344" s="2" t="s">
        <v>616</v>
      </c>
      <c r="W344" s="2" t="s">
        <v>419</v>
      </c>
      <c r="X344" s="2" t="s">
        <v>737</v>
      </c>
      <c r="Y344" s="2" t="s">
        <v>1028</v>
      </c>
      <c r="Z344" s="4">
        <v>40</v>
      </c>
      <c r="AA344" s="4">
        <f>=ROUNDDOWN(20,0)</f>
      </c>
      <c r="AB344" s="5">
        <v>2</v>
      </c>
      <c r="AC344" s="2" t="s">
        <v>200</v>
      </c>
      <c r="AD344" s="4"/>
      <c r="AE344" s="4"/>
      <c r="AF344" s="6">
        <v>63</v>
      </c>
      <c r="AG344" s="6"/>
      <c r="AH344" s="7">
        <v>1</v>
      </c>
      <c r="AI344" s="4"/>
      <c r="AJ344" s="4">
        <f>=ROUNDDOWN({0},0)</f>
      </c>
      <c r="AK344" s="5"/>
      <c r="AL344" s="2" t="s">
        <v>200</v>
      </c>
      <c r="AM344" s="4"/>
      <c r="AN344" s="4"/>
      <c r="AO344" s="7"/>
      <c r="AP344" s="4"/>
      <c r="AQ344" s="8"/>
      <c r="AR344" s="4"/>
      <c r="AS344" s="8"/>
      <c r="AT344" s="7"/>
      <c r="AU344" s="7"/>
      <c r="AV344" s="4"/>
      <c r="AW344" s="8"/>
      <c r="AX344" s="4"/>
      <c r="AY344" s="8"/>
      <c r="AZ344" s="7"/>
      <c r="BA344" s="7"/>
      <c r="BB344" s="7"/>
      <c r="BC344" s="4"/>
      <c r="BD344" s="8"/>
      <c r="BE344" s="4"/>
      <c r="BF344" s="8"/>
      <c r="BG344" s="7"/>
      <c r="BH344" s="7"/>
      <c r="BI344" s="7"/>
      <c r="BJ344" s="4"/>
      <c r="BK344" s="8"/>
      <c r="BL344" s="2" t="s">
        <v>303</v>
      </c>
      <c r="BM344" s="7"/>
      <c r="BN344" s="7"/>
      <c r="BO344" s="4"/>
      <c r="BP344" s="8"/>
      <c r="BQ344" s="4"/>
      <c r="BR344" s="8"/>
      <c r="BS344" s="7"/>
      <c r="BT344" s="7"/>
      <c r="BU344" s="2" t="s">
        <v>2501</v>
      </c>
      <c r="BV344" s="2" t="s">
        <v>200</v>
      </c>
      <c r="BW344" s="2" t="s">
        <v>200</v>
      </c>
      <c r="BX344" s="2" t="s">
        <v>289</v>
      </c>
      <c r="BY344" s="2" t="s">
        <v>247</v>
      </c>
      <c r="BZ344" s="2" t="s">
        <v>212</v>
      </c>
      <c r="CA344" s="2" t="s">
        <v>1031</v>
      </c>
      <c r="CB344" s="2" t="s">
        <v>1381</v>
      </c>
      <c r="CC344" s="2" t="s">
        <v>213</v>
      </c>
      <c r="CD344" s="2" t="s">
        <v>200</v>
      </c>
      <c r="CE344" s="4"/>
      <c r="CF344" s="4">
        <v>40</v>
      </c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</row>
    <row r="345">
      <c r="A345" s="2" t="s">
        <v>2502</v>
      </c>
      <c r="B345" s="2" t="s">
        <v>992</v>
      </c>
      <c r="C345" s="2" t="s">
        <v>231</v>
      </c>
      <c r="D345" s="2" t="s">
        <v>992</v>
      </c>
      <c r="E345" s="2" t="s">
        <v>992</v>
      </c>
      <c r="F345" s="2" t="s">
        <v>2503</v>
      </c>
      <c r="G345" s="2" t="s">
        <v>2504</v>
      </c>
      <c r="H345" s="2" t="s">
        <v>2505</v>
      </c>
      <c r="I345" s="2" t="s">
        <v>2506</v>
      </c>
      <c r="J345" s="2" t="s">
        <v>2507</v>
      </c>
      <c r="K345" s="2" t="s">
        <v>857</v>
      </c>
      <c r="L345" s="3">
        <v>45.2</v>
      </c>
      <c r="M345" s="3">
        <v>47.46</v>
      </c>
      <c r="N345" s="3">
        <v>104.99</v>
      </c>
      <c r="O345" s="2" t="s">
        <v>460</v>
      </c>
      <c r="P345" s="2" t="s">
        <v>285</v>
      </c>
      <c r="Q345" s="2" t="s">
        <v>206</v>
      </c>
      <c r="R345" s="2" t="s">
        <v>200</v>
      </c>
      <c r="S345" s="2" t="s">
        <v>200</v>
      </c>
      <c r="T345" s="2" t="s">
        <v>200</v>
      </c>
      <c r="U345" s="2" t="s">
        <v>270</v>
      </c>
      <c r="V345" s="2" t="s">
        <v>208</v>
      </c>
      <c r="W345" s="2" t="s">
        <v>379</v>
      </c>
      <c r="X345" s="2" t="s">
        <v>200</v>
      </c>
      <c r="Y345" s="2" t="s">
        <v>2508</v>
      </c>
      <c r="Z345" s="4">
        <v>112</v>
      </c>
      <c r="AA345" s="4">
        <f>=ROUNDDOWN(58.9473684210526,0)</f>
      </c>
      <c r="AB345" s="5">
        <v>1.9</v>
      </c>
      <c r="AC345" s="2" t="s">
        <v>200</v>
      </c>
      <c r="AD345" s="4"/>
      <c r="AE345" s="4"/>
      <c r="AF345" s="6">
        <v>63</v>
      </c>
      <c r="AG345" s="6"/>
      <c r="AH345" s="7">
        <v>1</v>
      </c>
      <c r="AI345" s="4"/>
      <c r="AJ345" s="4">
        <f>=ROUNDDOWN({0},0)</f>
      </c>
      <c r="AK345" s="5"/>
      <c r="AL345" s="2" t="s">
        <v>200</v>
      </c>
      <c r="AM345" s="4"/>
      <c r="AN345" s="4"/>
      <c r="AO345" s="7"/>
      <c r="AP345" s="4"/>
      <c r="AQ345" s="8"/>
      <c r="AR345" s="4"/>
      <c r="AS345" s="8"/>
      <c r="AT345" s="7"/>
      <c r="AU345" s="7"/>
      <c r="AV345" s="4" t="s">
        <v>200</v>
      </c>
      <c r="AW345" s="8" t="s">
        <v>200</v>
      </c>
      <c r="AX345" s="4" t="s">
        <v>200</v>
      </c>
      <c r="AY345" s="8" t="s">
        <v>200</v>
      </c>
      <c r="AZ345" s="7" t="s">
        <v>200</v>
      </c>
      <c r="BA345" s="7" t="s">
        <v>200</v>
      </c>
      <c r="BB345" s="7"/>
      <c r="BC345" s="4" t="s">
        <v>200</v>
      </c>
      <c r="BD345" s="8" t="s">
        <v>200</v>
      </c>
      <c r="BE345" s="4" t="s">
        <v>200</v>
      </c>
      <c r="BF345" s="8" t="s">
        <v>200</v>
      </c>
      <c r="BG345" s="7" t="s">
        <v>200</v>
      </c>
      <c r="BH345" s="7" t="s">
        <v>200</v>
      </c>
      <c r="BI345" s="7"/>
      <c r="BJ345" s="4">
        <v>1</v>
      </c>
      <c r="BK345" s="8">
        <v>24.86</v>
      </c>
      <c r="BL345" s="2" t="s">
        <v>2509</v>
      </c>
      <c r="BM345" s="7"/>
      <c r="BN345" s="7"/>
      <c r="BO345" s="4"/>
      <c r="BP345" s="8"/>
      <c r="BQ345" s="4"/>
      <c r="BR345" s="8"/>
      <c r="BS345" s="7"/>
      <c r="BT345" s="7"/>
      <c r="BU345" s="2" t="s">
        <v>2510</v>
      </c>
      <c r="BV345" s="2" t="s">
        <v>200</v>
      </c>
      <c r="BW345" s="2" t="s">
        <v>200</v>
      </c>
      <c r="BX345" s="2" t="s">
        <v>289</v>
      </c>
      <c r="BY345" s="2" t="s">
        <v>247</v>
      </c>
      <c r="BZ345" s="2" t="s">
        <v>212</v>
      </c>
      <c r="CA345" s="2" t="s">
        <v>2511</v>
      </c>
      <c r="CB345" s="2" t="s">
        <v>2512</v>
      </c>
      <c r="CC345" s="2" t="s">
        <v>213</v>
      </c>
      <c r="CD345" s="2" t="s">
        <v>200</v>
      </c>
      <c r="CE345" s="4"/>
      <c r="CF345" s="4">
        <v>112</v>
      </c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</row>
    <row r="346">
      <c r="A346" s="2" t="s">
        <v>2513</v>
      </c>
      <c r="B346" s="2" t="s">
        <v>992</v>
      </c>
      <c r="C346" s="2" t="s">
        <v>231</v>
      </c>
      <c r="D346" s="2" t="s">
        <v>992</v>
      </c>
      <c r="E346" s="2" t="s">
        <v>992</v>
      </c>
      <c r="F346" s="2" t="s">
        <v>2503</v>
      </c>
      <c r="G346" s="2" t="s">
        <v>2504</v>
      </c>
      <c r="H346" s="2" t="s">
        <v>2505</v>
      </c>
      <c r="I346" s="2" t="s">
        <v>2506</v>
      </c>
      <c r="J346" s="2" t="s">
        <v>1005</v>
      </c>
      <c r="K346" s="2" t="s">
        <v>857</v>
      </c>
      <c r="L346" s="3">
        <v>109.14</v>
      </c>
      <c r="M346" s="3">
        <v>114.6</v>
      </c>
      <c r="N346" s="3">
        <v>244.99</v>
      </c>
      <c r="O346" s="2" t="s">
        <v>460</v>
      </c>
      <c r="P346" s="2" t="s">
        <v>285</v>
      </c>
      <c r="Q346" s="2" t="s">
        <v>206</v>
      </c>
      <c r="R346" s="2" t="s">
        <v>200</v>
      </c>
      <c r="S346" s="2" t="s">
        <v>200</v>
      </c>
      <c r="T346" s="2" t="s">
        <v>200</v>
      </c>
      <c r="U346" s="2" t="s">
        <v>270</v>
      </c>
      <c r="V346" s="2" t="s">
        <v>208</v>
      </c>
      <c r="W346" s="2" t="s">
        <v>379</v>
      </c>
      <c r="X346" s="2" t="s">
        <v>200</v>
      </c>
      <c r="Y346" s="2" t="s">
        <v>2508</v>
      </c>
      <c r="Z346" s="4">
        <v>274</v>
      </c>
      <c r="AA346" s="4">
        <f>=ROUNDDOWN(130.47619047619,0)</f>
      </c>
      <c r="AB346" s="5">
        <v>2.1</v>
      </c>
      <c r="AC346" s="2" t="s">
        <v>200</v>
      </c>
      <c r="AD346" s="4"/>
      <c r="AE346" s="4"/>
      <c r="AF346" s="6">
        <v>63</v>
      </c>
      <c r="AG346" s="6"/>
      <c r="AH346" s="7">
        <v>1</v>
      </c>
      <c r="AI346" s="4"/>
      <c r="AJ346" s="4">
        <f>=ROUNDDOWN({0},0)</f>
      </c>
      <c r="AK346" s="5"/>
      <c r="AL346" s="2" t="s">
        <v>200</v>
      </c>
      <c r="AM346" s="4"/>
      <c r="AN346" s="4"/>
      <c r="AO346" s="7"/>
      <c r="AP346" s="4"/>
      <c r="AQ346" s="8"/>
      <c r="AR346" s="4"/>
      <c r="AS346" s="8"/>
      <c r="AT346" s="7"/>
      <c r="AU346" s="7"/>
      <c r="AV346" s="4" t="s">
        <v>200</v>
      </c>
      <c r="AW346" s="8" t="s">
        <v>200</v>
      </c>
      <c r="AX346" s="4" t="s">
        <v>200</v>
      </c>
      <c r="AY346" s="8" t="s">
        <v>200</v>
      </c>
      <c r="AZ346" s="7" t="s">
        <v>200</v>
      </c>
      <c r="BA346" s="7" t="s">
        <v>200</v>
      </c>
      <c r="BB346" s="7"/>
      <c r="BC346" s="4" t="s">
        <v>200</v>
      </c>
      <c r="BD346" s="8" t="s">
        <v>200</v>
      </c>
      <c r="BE346" s="4" t="s">
        <v>200</v>
      </c>
      <c r="BF346" s="8" t="s">
        <v>200</v>
      </c>
      <c r="BG346" s="7" t="s">
        <v>200</v>
      </c>
      <c r="BH346" s="7" t="s">
        <v>200</v>
      </c>
      <c r="BI346" s="7"/>
      <c r="BJ346" s="4">
        <v>1</v>
      </c>
      <c r="BK346" s="8">
        <v>64.18</v>
      </c>
      <c r="BL346" s="2" t="s">
        <v>2514</v>
      </c>
      <c r="BM346" s="7"/>
      <c r="BN346" s="7"/>
      <c r="BO346" s="4"/>
      <c r="BP346" s="8"/>
      <c r="BQ346" s="4"/>
      <c r="BR346" s="8"/>
      <c r="BS346" s="7"/>
      <c r="BT346" s="7"/>
      <c r="BU346" s="2" t="s">
        <v>2515</v>
      </c>
      <c r="BV346" s="2" t="s">
        <v>200</v>
      </c>
      <c r="BW346" s="2" t="s">
        <v>200</v>
      </c>
      <c r="BX346" s="2" t="s">
        <v>289</v>
      </c>
      <c r="BY346" s="2" t="s">
        <v>247</v>
      </c>
      <c r="BZ346" s="2" t="s">
        <v>212</v>
      </c>
      <c r="CA346" s="2" t="s">
        <v>2511</v>
      </c>
      <c r="CB346" s="2" t="s">
        <v>2516</v>
      </c>
      <c r="CC346" s="2" t="s">
        <v>213</v>
      </c>
      <c r="CD346" s="2" t="s">
        <v>200</v>
      </c>
      <c r="CE346" s="4"/>
      <c r="CF346" s="4">
        <v>274</v>
      </c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</row>
    <row r="347">
      <c r="A347" s="2" t="s">
        <v>2517</v>
      </c>
      <c r="B347" s="2" t="s">
        <v>992</v>
      </c>
      <c r="C347" s="2" t="s">
        <v>231</v>
      </c>
      <c r="D347" s="2" t="s">
        <v>992</v>
      </c>
      <c r="E347" s="2" t="s">
        <v>992</v>
      </c>
      <c r="F347" s="2" t="s">
        <v>2503</v>
      </c>
      <c r="G347" s="2" t="s">
        <v>2504</v>
      </c>
      <c r="H347" s="2" t="s">
        <v>2505</v>
      </c>
      <c r="I347" s="2" t="s">
        <v>2506</v>
      </c>
      <c r="J347" s="2" t="s">
        <v>2518</v>
      </c>
      <c r="K347" s="2" t="s">
        <v>857</v>
      </c>
      <c r="L347" s="3">
        <v>23.53</v>
      </c>
      <c r="M347" s="3">
        <v>24.71</v>
      </c>
      <c r="N347" s="3">
        <v>54.99</v>
      </c>
      <c r="O347" s="2" t="s">
        <v>460</v>
      </c>
      <c r="P347" s="2" t="s">
        <v>285</v>
      </c>
      <c r="Q347" s="2" t="s">
        <v>206</v>
      </c>
      <c r="R347" s="2" t="s">
        <v>200</v>
      </c>
      <c r="S347" s="2" t="s">
        <v>200</v>
      </c>
      <c r="T347" s="2" t="s">
        <v>200</v>
      </c>
      <c r="U347" s="2" t="s">
        <v>270</v>
      </c>
      <c r="V347" s="2" t="s">
        <v>208</v>
      </c>
      <c r="W347" s="2" t="s">
        <v>379</v>
      </c>
      <c r="X347" s="2" t="s">
        <v>200</v>
      </c>
      <c r="Y347" s="2" t="s">
        <v>2508</v>
      </c>
      <c r="Z347" s="4">
        <v>156</v>
      </c>
      <c r="AA347" s="4">
        <f>=ROUNDDOWN(520,0)</f>
      </c>
      <c r="AB347" s="5">
        <v>0.3</v>
      </c>
      <c r="AC347" s="2" t="s">
        <v>200</v>
      </c>
      <c r="AD347" s="4"/>
      <c r="AE347" s="4"/>
      <c r="AF347" s="6">
        <v>63</v>
      </c>
      <c r="AG347" s="6"/>
      <c r="AH347" s="7">
        <v>0.9</v>
      </c>
      <c r="AI347" s="4"/>
      <c r="AJ347" s="4">
        <f>=ROUNDDOWN({0},0)</f>
      </c>
      <c r="AK347" s="5"/>
      <c r="AL347" s="2" t="s">
        <v>200</v>
      </c>
      <c r="AM347" s="4"/>
      <c r="AN347" s="4"/>
      <c r="AO347" s="7"/>
      <c r="AP347" s="4"/>
      <c r="AQ347" s="8"/>
      <c r="AR347" s="4"/>
      <c r="AS347" s="8"/>
      <c r="AT347" s="7"/>
      <c r="AU347" s="7"/>
      <c r="AV347" s="4" t="s">
        <v>200</v>
      </c>
      <c r="AW347" s="8" t="s">
        <v>200</v>
      </c>
      <c r="AX347" s="4" t="s">
        <v>200</v>
      </c>
      <c r="AY347" s="8" t="s">
        <v>200</v>
      </c>
      <c r="AZ347" s="7" t="s">
        <v>200</v>
      </c>
      <c r="BA347" s="7" t="s">
        <v>200</v>
      </c>
      <c r="BB347" s="7"/>
      <c r="BC347" s="4" t="s">
        <v>200</v>
      </c>
      <c r="BD347" s="8" t="s">
        <v>200</v>
      </c>
      <c r="BE347" s="4" t="s">
        <v>200</v>
      </c>
      <c r="BF347" s="8" t="s">
        <v>200</v>
      </c>
      <c r="BG347" s="7" t="s">
        <v>200</v>
      </c>
      <c r="BH347" s="7" t="s">
        <v>200</v>
      </c>
      <c r="BI347" s="7"/>
      <c r="BJ347" s="4"/>
      <c r="BK347" s="8"/>
      <c r="BL347" s="2" t="s">
        <v>303</v>
      </c>
      <c r="BM347" s="7"/>
      <c r="BN347" s="7"/>
      <c r="BO347" s="4"/>
      <c r="BP347" s="8"/>
      <c r="BQ347" s="4"/>
      <c r="BR347" s="8"/>
      <c r="BS347" s="7"/>
      <c r="BT347" s="7"/>
      <c r="BU347" s="2" t="s">
        <v>2519</v>
      </c>
      <c r="BV347" s="2" t="s">
        <v>200</v>
      </c>
      <c r="BW347" s="2" t="s">
        <v>200</v>
      </c>
      <c r="BX347" s="2" t="s">
        <v>289</v>
      </c>
      <c r="BY347" s="2" t="s">
        <v>247</v>
      </c>
      <c r="BZ347" s="2" t="s">
        <v>212</v>
      </c>
      <c r="CA347" s="2" t="s">
        <v>2511</v>
      </c>
      <c r="CB347" s="2" t="s">
        <v>200</v>
      </c>
      <c r="CC347" s="2" t="s">
        <v>213</v>
      </c>
      <c r="CD347" s="2" t="s">
        <v>200</v>
      </c>
      <c r="CE347" s="4"/>
      <c r="CF347" s="4">
        <v>156</v>
      </c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</row>
    <row r="348">
      <c r="A348" s="2" t="s">
        <v>2520</v>
      </c>
      <c r="B348" s="2" t="s">
        <v>992</v>
      </c>
      <c r="C348" s="2" t="s">
        <v>231</v>
      </c>
      <c r="D348" s="2" t="s">
        <v>992</v>
      </c>
      <c r="E348" s="2" t="s">
        <v>992</v>
      </c>
      <c r="F348" s="2" t="s">
        <v>2503</v>
      </c>
      <c r="G348" s="2" t="s">
        <v>2504</v>
      </c>
      <c r="H348" s="2" t="s">
        <v>2505</v>
      </c>
      <c r="I348" s="2" t="s">
        <v>2506</v>
      </c>
      <c r="J348" s="2" t="s">
        <v>2507</v>
      </c>
      <c r="K348" s="2" t="s">
        <v>221</v>
      </c>
      <c r="L348" s="3">
        <v>45.2</v>
      </c>
      <c r="M348" s="3">
        <v>47.46</v>
      </c>
      <c r="N348" s="3">
        <v>104.99</v>
      </c>
      <c r="O348" s="2" t="s">
        <v>460</v>
      </c>
      <c r="P348" s="2" t="s">
        <v>285</v>
      </c>
      <c r="Q348" s="2" t="s">
        <v>206</v>
      </c>
      <c r="R348" s="2" t="s">
        <v>200</v>
      </c>
      <c r="S348" s="2" t="s">
        <v>200</v>
      </c>
      <c r="T348" s="2" t="s">
        <v>200</v>
      </c>
      <c r="U348" s="2" t="s">
        <v>270</v>
      </c>
      <c r="V348" s="2" t="s">
        <v>208</v>
      </c>
      <c r="W348" s="2" t="s">
        <v>379</v>
      </c>
      <c r="X348" s="2" t="s">
        <v>200</v>
      </c>
      <c r="Y348" s="2" t="s">
        <v>2508</v>
      </c>
      <c r="Z348" s="4">
        <v>122</v>
      </c>
      <c r="AA348" s="4">
        <f>=ROUNDDOWN(610,0)</f>
      </c>
      <c r="AB348" s="5">
        <v>0.2</v>
      </c>
      <c r="AC348" s="2" t="s">
        <v>200</v>
      </c>
      <c r="AD348" s="4"/>
      <c r="AE348" s="4"/>
      <c r="AF348" s="6">
        <v>63</v>
      </c>
      <c r="AG348" s="6"/>
      <c r="AH348" s="7">
        <v>1</v>
      </c>
      <c r="AI348" s="4"/>
      <c r="AJ348" s="4">
        <f>=ROUNDDOWN({0},0)</f>
      </c>
      <c r="AK348" s="5"/>
      <c r="AL348" s="2" t="s">
        <v>200</v>
      </c>
      <c r="AM348" s="4"/>
      <c r="AN348" s="4"/>
      <c r="AO348" s="7"/>
      <c r="AP348" s="4"/>
      <c r="AQ348" s="8"/>
      <c r="AR348" s="4"/>
      <c r="AS348" s="8"/>
      <c r="AT348" s="7"/>
      <c r="AU348" s="7"/>
      <c r="AV348" s="4" t="s">
        <v>200</v>
      </c>
      <c r="AW348" s="8" t="s">
        <v>200</v>
      </c>
      <c r="AX348" s="4" t="s">
        <v>200</v>
      </c>
      <c r="AY348" s="8" t="s">
        <v>200</v>
      </c>
      <c r="AZ348" s="7" t="s">
        <v>200</v>
      </c>
      <c r="BA348" s="7" t="s">
        <v>200</v>
      </c>
      <c r="BB348" s="7"/>
      <c r="BC348" s="4" t="s">
        <v>200</v>
      </c>
      <c r="BD348" s="8" t="s">
        <v>200</v>
      </c>
      <c r="BE348" s="4" t="s">
        <v>200</v>
      </c>
      <c r="BF348" s="8" t="s">
        <v>200</v>
      </c>
      <c r="BG348" s="7" t="s">
        <v>200</v>
      </c>
      <c r="BH348" s="7" t="s">
        <v>200</v>
      </c>
      <c r="BI348" s="7"/>
      <c r="BJ348" s="4"/>
      <c r="BK348" s="8"/>
      <c r="BL348" s="2" t="s">
        <v>752</v>
      </c>
      <c r="BM348" s="7"/>
      <c r="BN348" s="7"/>
      <c r="BO348" s="4"/>
      <c r="BP348" s="8"/>
      <c r="BQ348" s="4"/>
      <c r="BR348" s="8"/>
      <c r="BS348" s="7"/>
      <c r="BT348" s="7"/>
      <c r="BU348" s="2" t="s">
        <v>2521</v>
      </c>
      <c r="BV348" s="2" t="s">
        <v>200</v>
      </c>
      <c r="BW348" s="2" t="s">
        <v>200</v>
      </c>
      <c r="BX348" s="2" t="s">
        <v>289</v>
      </c>
      <c r="BY348" s="2" t="s">
        <v>247</v>
      </c>
      <c r="BZ348" s="2" t="s">
        <v>212</v>
      </c>
      <c r="CA348" s="2" t="s">
        <v>2511</v>
      </c>
      <c r="CB348" s="2" t="s">
        <v>2522</v>
      </c>
      <c r="CC348" s="2" t="s">
        <v>213</v>
      </c>
      <c r="CD348" s="2" t="s">
        <v>200</v>
      </c>
      <c r="CE348" s="4"/>
      <c r="CF348" s="4">
        <v>122</v>
      </c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</row>
    <row r="349">
      <c r="A349" s="2" t="s">
        <v>2523</v>
      </c>
      <c r="B349" s="2" t="s">
        <v>992</v>
      </c>
      <c r="C349" s="2" t="s">
        <v>231</v>
      </c>
      <c r="D349" s="2" t="s">
        <v>992</v>
      </c>
      <c r="E349" s="2" t="s">
        <v>992</v>
      </c>
      <c r="F349" s="2" t="s">
        <v>2503</v>
      </c>
      <c r="G349" s="2" t="s">
        <v>2504</v>
      </c>
      <c r="H349" s="2" t="s">
        <v>2505</v>
      </c>
      <c r="I349" s="2" t="s">
        <v>2506</v>
      </c>
      <c r="J349" s="2" t="s">
        <v>997</v>
      </c>
      <c r="K349" s="2" t="s">
        <v>221</v>
      </c>
      <c r="L349" s="3">
        <v>69.98</v>
      </c>
      <c r="M349" s="3">
        <v>73.48</v>
      </c>
      <c r="N349" s="3">
        <v>159.99</v>
      </c>
      <c r="O349" s="2" t="s">
        <v>460</v>
      </c>
      <c r="P349" s="2" t="s">
        <v>285</v>
      </c>
      <c r="Q349" s="2" t="s">
        <v>206</v>
      </c>
      <c r="R349" s="2" t="s">
        <v>200</v>
      </c>
      <c r="S349" s="2" t="s">
        <v>200</v>
      </c>
      <c r="T349" s="2" t="s">
        <v>200</v>
      </c>
      <c r="U349" s="2" t="s">
        <v>270</v>
      </c>
      <c r="V349" s="2" t="s">
        <v>208</v>
      </c>
      <c r="W349" s="2" t="s">
        <v>379</v>
      </c>
      <c r="X349" s="2" t="s">
        <v>200</v>
      </c>
      <c r="Y349" s="2" t="s">
        <v>2508</v>
      </c>
      <c r="Z349" s="4">
        <v>269</v>
      </c>
      <c r="AA349" s="4">
        <f>=ROUNDDOWN(1345,0)</f>
      </c>
      <c r="AB349" s="5">
        <v>0.2</v>
      </c>
      <c r="AC349" s="2" t="s">
        <v>200</v>
      </c>
      <c r="AD349" s="4"/>
      <c r="AE349" s="4"/>
      <c r="AF349" s="6">
        <v>63</v>
      </c>
      <c r="AG349" s="6"/>
      <c r="AH349" s="7">
        <v>1</v>
      </c>
      <c r="AI349" s="4"/>
      <c r="AJ349" s="4">
        <f>=ROUNDDOWN({0},0)</f>
      </c>
      <c r="AK349" s="5"/>
      <c r="AL349" s="2" t="s">
        <v>200</v>
      </c>
      <c r="AM349" s="4"/>
      <c r="AN349" s="4"/>
      <c r="AO349" s="7"/>
      <c r="AP349" s="4"/>
      <c r="AQ349" s="8"/>
      <c r="AR349" s="4"/>
      <c r="AS349" s="8"/>
      <c r="AT349" s="7"/>
      <c r="AU349" s="7"/>
      <c r="AV349" s="4" t="s">
        <v>200</v>
      </c>
      <c r="AW349" s="8" t="s">
        <v>200</v>
      </c>
      <c r="AX349" s="4" t="s">
        <v>200</v>
      </c>
      <c r="AY349" s="8" t="s">
        <v>200</v>
      </c>
      <c r="AZ349" s="7" t="s">
        <v>200</v>
      </c>
      <c r="BA349" s="7" t="s">
        <v>200</v>
      </c>
      <c r="BB349" s="7"/>
      <c r="BC349" s="4" t="s">
        <v>200</v>
      </c>
      <c r="BD349" s="8" t="s">
        <v>200</v>
      </c>
      <c r="BE349" s="4" t="s">
        <v>200</v>
      </c>
      <c r="BF349" s="8" t="s">
        <v>200</v>
      </c>
      <c r="BG349" s="7" t="s">
        <v>200</v>
      </c>
      <c r="BH349" s="7" t="s">
        <v>200</v>
      </c>
      <c r="BI349" s="7"/>
      <c r="BJ349" s="4"/>
      <c r="BK349" s="8"/>
      <c r="BL349" s="2" t="s">
        <v>2524</v>
      </c>
      <c r="BM349" s="7"/>
      <c r="BN349" s="7"/>
      <c r="BO349" s="4"/>
      <c r="BP349" s="8"/>
      <c r="BQ349" s="4"/>
      <c r="BR349" s="8"/>
      <c r="BS349" s="7"/>
      <c r="BT349" s="7"/>
      <c r="BU349" s="2" t="s">
        <v>2525</v>
      </c>
      <c r="BV349" s="2" t="s">
        <v>200</v>
      </c>
      <c r="BW349" s="2" t="s">
        <v>200</v>
      </c>
      <c r="BX349" s="2" t="s">
        <v>289</v>
      </c>
      <c r="BY349" s="2" t="s">
        <v>247</v>
      </c>
      <c r="BZ349" s="2" t="s">
        <v>212</v>
      </c>
      <c r="CA349" s="2" t="s">
        <v>2511</v>
      </c>
      <c r="CB349" s="2" t="s">
        <v>2370</v>
      </c>
      <c r="CC349" s="2" t="s">
        <v>213</v>
      </c>
      <c r="CD349" s="2" t="s">
        <v>200</v>
      </c>
      <c r="CE349" s="4"/>
      <c r="CF349" s="4">
        <v>269</v>
      </c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</row>
    <row r="350">
      <c r="A350" s="2" t="s">
        <v>2526</v>
      </c>
      <c r="B350" s="2" t="s">
        <v>992</v>
      </c>
      <c r="C350" s="2" t="s">
        <v>231</v>
      </c>
      <c r="D350" s="2" t="s">
        <v>992</v>
      </c>
      <c r="E350" s="2" t="s">
        <v>992</v>
      </c>
      <c r="F350" s="2" t="s">
        <v>2503</v>
      </c>
      <c r="G350" s="2" t="s">
        <v>2504</v>
      </c>
      <c r="H350" s="2" t="s">
        <v>2505</v>
      </c>
      <c r="I350" s="2" t="s">
        <v>2506</v>
      </c>
      <c r="J350" s="2" t="s">
        <v>1005</v>
      </c>
      <c r="K350" s="2" t="s">
        <v>221</v>
      </c>
      <c r="L350" s="3">
        <v>109.14</v>
      </c>
      <c r="M350" s="3">
        <v>114.6</v>
      </c>
      <c r="N350" s="3">
        <v>244.99</v>
      </c>
      <c r="O350" s="2" t="s">
        <v>460</v>
      </c>
      <c r="P350" s="2" t="s">
        <v>285</v>
      </c>
      <c r="Q350" s="2" t="s">
        <v>206</v>
      </c>
      <c r="R350" s="2" t="s">
        <v>200</v>
      </c>
      <c r="S350" s="2" t="s">
        <v>200</v>
      </c>
      <c r="T350" s="2" t="s">
        <v>200</v>
      </c>
      <c r="U350" s="2" t="s">
        <v>270</v>
      </c>
      <c r="V350" s="2" t="s">
        <v>208</v>
      </c>
      <c r="W350" s="2" t="s">
        <v>379</v>
      </c>
      <c r="X350" s="2" t="s">
        <v>200</v>
      </c>
      <c r="Y350" s="2" t="s">
        <v>2508</v>
      </c>
      <c r="Z350" s="4">
        <v>270</v>
      </c>
      <c r="AA350" s="4">
        <f>=ROUNDDOWN(540,0)</f>
      </c>
      <c r="AB350" s="5">
        <v>0.5</v>
      </c>
      <c r="AC350" s="2" t="s">
        <v>200</v>
      </c>
      <c r="AD350" s="4"/>
      <c r="AE350" s="4"/>
      <c r="AF350" s="6">
        <v>63</v>
      </c>
      <c r="AG350" s="6"/>
      <c r="AH350" s="7">
        <v>1</v>
      </c>
      <c r="AI350" s="4"/>
      <c r="AJ350" s="4">
        <f>=ROUNDDOWN({0},0)</f>
      </c>
      <c r="AK350" s="5"/>
      <c r="AL350" s="2" t="s">
        <v>200</v>
      </c>
      <c r="AM350" s="4"/>
      <c r="AN350" s="4"/>
      <c r="AO350" s="7"/>
      <c r="AP350" s="4"/>
      <c r="AQ350" s="8"/>
      <c r="AR350" s="4"/>
      <c r="AS350" s="8"/>
      <c r="AT350" s="7"/>
      <c r="AU350" s="7"/>
      <c r="AV350" s="4" t="s">
        <v>200</v>
      </c>
      <c r="AW350" s="8" t="s">
        <v>200</v>
      </c>
      <c r="AX350" s="4" t="s">
        <v>200</v>
      </c>
      <c r="AY350" s="8" t="s">
        <v>200</v>
      </c>
      <c r="AZ350" s="7" t="s">
        <v>200</v>
      </c>
      <c r="BA350" s="7" t="s">
        <v>200</v>
      </c>
      <c r="BB350" s="7"/>
      <c r="BC350" s="4" t="s">
        <v>200</v>
      </c>
      <c r="BD350" s="8" t="s">
        <v>200</v>
      </c>
      <c r="BE350" s="4" t="s">
        <v>200</v>
      </c>
      <c r="BF350" s="8" t="s">
        <v>200</v>
      </c>
      <c r="BG350" s="7" t="s">
        <v>200</v>
      </c>
      <c r="BH350" s="7" t="s">
        <v>200</v>
      </c>
      <c r="BI350" s="7"/>
      <c r="BJ350" s="4"/>
      <c r="BK350" s="8"/>
      <c r="BL350" s="2" t="s">
        <v>2527</v>
      </c>
      <c r="BM350" s="7"/>
      <c r="BN350" s="7"/>
      <c r="BO350" s="4"/>
      <c r="BP350" s="8"/>
      <c r="BQ350" s="4"/>
      <c r="BR350" s="8"/>
      <c r="BS350" s="7"/>
      <c r="BT350" s="7"/>
      <c r="BU350" s="2" t="s">
        <v>2528</v>
      </c>
      <c r="BV350" s="2" t="s">
        <v>200</v>
      </c>
      <c r="BW350" s="2" t="s">
        <v>200</v>
      </c>
      <c r="BX350" s="2" t="s">
        <v>289</v>
      </c>
      <c r="BY350" s="2" t="s">
        <v>247</v>
      </c>
      <c r="BZ350" s="2" t="s">
        <v>212</v>
      </c>
      <c r="CA350" s="2" t="s">
        <v>2511</v>
      </c>
      <c r="CB350" s="2" t="s">
        <v>2529</v>
      </c>
      <c r="CC350" s="2" t="s">
        <v>213</v>
      </c>
      <c r="CD350" s="2" t="s">
        <v>200</v>
      </c>
      <c r="CE350" s="4"/>
      <c r="CF350" s="4">
        <v>270</v>
      </c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</row>
    <row r="351">
      <c r="A351" s="2" t="s">
        <v>2530</v>
      </c>
      <c r="B351" s="2" t="s">
        <v>992</v>
      </c>
      <c r="C351" s="2" t="s">
        <v>231</v>
      </c>
      <c r="D351" s="2" t="s">
        <v>992</v>
      </c>
      <c r="E351" s="2" t="s">
        <v>992</v>
      </c>
      <c r="F351" s="2" t="s">
        <v>2503</v>
      </c>
      <c r="G351" s="2" t="s">
        <v>2504</v>
      </c>
      <c r="H351" s="2" t="s">
        <v>2505</v>
      </c>
      <c r="I351" s="2" t="s">
        <v>2506</v>
      </c>
      <c r="J351" s="2" t="s">
        <v>2518</v>
      </c>
      <c r="K351" s="2" t="s">
        <v>221</v>
      </c>
      <c r="L351" s="3">
        <v>23.53</v>
      </c>
      <c r="M351" s="3">
        <v>24.71</v>
      </c>
      <c r="N351" s="3">
        <v>54.99</v>
      </c>
      <c r="O351" s="2" t="s">
        <v>460</v>
      </c>
      <c r="P351" s="2" t="s">
        <v>285</v>
      </c>
      <c r="Q351" s="2" t="s">
        <v>206</v>
      </c>
      <c r="R351" s="2" t="s">
        <v>200</v>
      </c>
      <c r="S351" s="2" t="s">
        <v>200</v>
      </c>
      <c r="T351" s="2" t="s">
        <v>200</v>
      </c>
      <c r="U351" s="2" t="s">
        <v>270</v>
      </c>
      <c r="V351" s="2" t="s">
        <v>208</v>
      </c>
      <c r="W351" s="2" t="s">
        <v>379</v>
      </c>
      <c r="X351" s="2" t="s">
        <v>200</v>
      </c>
      <c r="Y351" s="2" t="s">
        <v>2508</v>
      </c>
      <c r="Z351" s="4">
        <v>153</v>
      </c>
      <c r="AA351" s="4">
        <f>=ROUNDDOWN(139.090909090909,0)</f>
      </c>
      <c r="AB351" s="5">
        <v>1.1</v>
      </c>
      <c r="AC351" s="2" t="s">
        <v>200</v>
      </c>
      <c r="AD351" s="4"/>
      <c r="AE351" s="4"/>
      <c r="AF351" s="6">
        <v>63</v>
      </c>
      <c r="AG351" s="6"/>
      <c r="AH351" s="7">
        <v>0.9</v>
      </c>
      <c r="AI351" s="4"/>
      <c r="AJ351" s="4">
        <f>=ROUNDDOWN({0},0)</f>
      </c>
      <c r="AK351" s="5"/>
      <c r="AL351" s="2" t="s">
        <v>200</v>
      </c>
      <c r="AM351" s="4"/>
      <c r="AN351" s="4"/>
      <c r="AO351" s="7"/>
      <c r="AP351" s="4"/>
      <c r="AQ351" s="8"/>
      <c r="AR351" s="4"/>
      <c r="AS351" s="8"/>
      <c r="AT351" s="7"/>
      <c r="AU351" s="7"/>
      <c r="AV351" s="4" t="s">
        <v>200</v>
      </c>
      <c r="AW351" s="8" t="s">
        <v>200</v>
      </c>
      <c r="AX351" s="4" t="s">
        <v>200</v>
      </c>
      <c r="AY351" s="8" t="s">
        <v>200</v>
      </c>
      <c r="AZ351" s="7" t="s">
        <v>200</v>
      </c>
      <c r="BA351" s="7" t="s">
        <v>200</v>
      </c>
      <c r="BB351" s="7"/>
      <c r="BC351" s="4" t="s">
        <v>200</v>
      </c>
      <c r="BD351" s="8" t="s">
        <v>200</v>
      </c>
      <c r="BE351" s="4" t="s">
        <v>200</v>
      </c>
      <c r="BF351" s="8" t="s">
        <v>200</v>
      </c>
      <c r="BG351" s="7" t="s">
        <v>200</v>
      </c>
      <c r="BH351" s="7" t="s">
        <v>200</v>
      </c>
      <c r="BI351" s="7"/>
      <c r="BJ351" s="4">
        <v>1</v>
      </c>
      <c r="BK351" s="8">
        <v>109.99</v>
      </c>
      <c r="BL351" s="2" t="s">
        <v>2531</v>
      </c>
      <c r="BM351" s="7"/>
      <c r="BN351" s="7"/>
      <c r="BO351" s="4"/>
      <c r="BP351" s="8"/>
      <c r="BQ351" s="4"/>
      <c r="BR351" s="8"/>
      <c r="BS351" s="7"/>
      <c r="BT351" s="7"/>
      <c r="BU351" s="2" t="s">
        <v>2532</v>
      </c>
      <c r="BV351" s="2" t="s">
        <v>200</v>
      </c>
      <c r="BW351" s="2" t="s">
        <v>200</v>
      </c>
      <c r="BX351" s="2" t="s">
        <v>289</v>
      </c>
      <c r="BY351" s="2" t="s">
        <v>247</v>
      </c>
      <c r="BZ351" s="2" t="s">
        <v>212</v>
      </c>
      <c r="CA351" s="2" t="s">
        <v>2511</v>
      </c>
      <c r="CB351" s="2" t="s">
        <v>200</v>
      </c>
      <c r="CC351" s="2" t="s">
        <v>213</v>
      </c>
      <c r="CD351" s="2" t="s">
        <v>200</v>
      </c>
      <c r="CE351" s="4"/>
      <c r="CF351" s="4">
        <v>153</v>
      </c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</row>
    <row r="352">
      <c r="A352" s="2" t="s">
        <v>2533</v>
      </c>
      <c r="B352" s="2" t="s">
        <v>744</v>
      </c>
      <c r="C352" s="2" t="s">
        <v>231</v>
      </c>
      <c r="D352" s="2" t="s">
        <v>795</v>
      </c>
      <c r="E352" s="2" t="s">
        <v>796</v>
      </c>
      <c r="F352" s="2" t="s">
        <v>2534</v>
      </c>
      <c r="G352" s="2" t="s">
        <v>2535</v>
      </c>
      <c r="H352" s="2" t="s">
        <v>2536</v>
      </c>
      <c r="I352" s="2" t="s">
        <v>2537</v>
      </c>
      <c r="J352" s="2" t="s">
        <v>711</v>
      </c>
      <c r="K352" s="2" t="s">
        <v>2538</v>
      </c>
      <c r="L352" s="3">
        <v>202.3</v>
      </c>
      <c r="M352" s="3">
        <v>212.42</v>
      </c>
      <c r="N352" s="3">
        <v>429</v>
      </c>
      <c r="O352" s="2" t="s">
        <v>212</v>
      </c>
      <c r="P352" s="2" t="s">
        <v>750</v>
      </c>
      <c r="Q352" s="2" t="s">
        <v>206</v>
      </c>
      <c r="R352" s="2" t="s">
        <v>200</v>
      </c>
      <c r="S352" s="2" t="s">
        <v>2539</v>
      </c>
      <c r="T352" s="2" t="s">
        <v>200</v>
      </c>
      <c r="U352" s="2" t="s">
        <v>200</v>
      </c>
      <c r="V352" s="2" t="s">
        <v>208</v>
      </c>
      <c r="W352" s="2" t="s">
        <v>419</v>
      </c>
      <c r="X352" s="2" t="s">
        <v>200</v>
      </c>
      <c r="Y352" s="2" t="s">
        <v>2540</v>
      </c>
      <c r="Z352" s="4">
        <v>84</v>
      </c>
      <c r="AA352" s="4">
        <f>=ROUNDDOWN(52.5,0)</f>
      </c>
      <c r="AB352" s="5">
        <v>1.6</v>
      </c>
      <c r="AC352" s="2" t="s">
        <v>200</v>
      </c>
      <c r="AD352" s="4"/>
      <c r="AE352" s="4"/>
      <c r="AF352" s="6">
        <v>74</v>
      </c>
      <c r="AG352" s="6">
        <v>60</v>
      </c>
      <c r="AH352" s="7">
        <v>1</v>
      </c>
      <c r="AI352" s="4"/>
      <c r="AJ352" s="4">
        <f>=ROUNDDOWN({0},0)</f>
      </c>
      <c r="AK352" s="5">
        <v>4.9</v>
      </c>
      <c r="AL352" s="2" t="s">
        <v>200</v>
      </c>
      <c r="AM352" s="4"/>
      <c r="AN352" s="4"/>
      <c r="AO352" s="7">
        <v>1</v>
      </c>
      <c r="AP352" s="4"/>
      <c r="AQ352" s="8"/>
      <c r="AR352" s="4"/>
      <c r="AS352" s="8"/>
      <c r="AT352" s="7"/>
      <c r="AU352" s="7"/>
      <c r="AV352" s="4"/>
      <c r="AW352" s="8"/>
      <c r="AX352" s="4"/>
      <c r="AY352" s="8"/>
      <c r="AZ352" s="7"/>
      <c r="BA352" s="7"/>
      <c r="BB352" s="7"/>
      <c r="BC352" s="4"/>
      <c r="BD352" s="8"/>
      <c r="BE352" s="4"/>
      <c r="BF352" s="8"/>
      <c r="BG352" s="7"/>
      <c r="BH352" s="7"/>
      <c r="BI352" s="7"/>
      <c r="BJ352" s="4">
        <v>30</v>
      </c>
      <c r="BK352" s="8">
        <v>5102.23</v>
      </c>
      <c r="BL352" s="2" t="s">
        <v>2541</v>
      </c>
      <c r="BM352" s="7"/>
      <c r="BN352" s="7"/>
      <c r="BO352" s="4"/>
      <c r="BP352" s="8"/>
      <c r="BQ352" s="4"/>
      <c r="BR352" s="8"/>
      <c r="BS352" s="7"/>
      <c r="BT352" s="7"/>
      <c r="BU352" s="2" t="s">
        <v>2542</v>
      </c>
      <c r="BV352" s="2" t="s">
        <v>200</v>
      </c>
      <c r="BW352" s="2" t="s">
        <v>200</v>
      </c>
      <c r="BX352" s="2" t="s">
        <v>264</v>
      </c>
      <c r="BY352" s="2" t="s">
        <v>247</v>
      </c>
      <c r="BZ352" s="2" t="s">
        <v>212</v>
      </c>
      <c r="CA352" s="2" t="s">
        <v>1237</v>
      </c>
      <c r="CB352" s="2" t="s">
        <v>2543</v>
      </c>
      <c r="CC352" s="2" t="s">
        <v>213</v>
      </c>
      <c r="CD352" s="2" t="s">
        <v>200</v>
      </c>
      <c r="CE352" s="4"/>
      <c r="CF352" s="4">
        <v>84</v>
      </c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</row>
    <row r="353">
      <c r="A353" s="2" t="s">
        <v>2544</v>
      </c>
      <c r="B353" s="2" t="s">
        <v>903</v>
      </c>
      <c r="C353" s="2" t="s">
        <v>745</v>
      </c>
      <c r="D353" s="2" t="s">
        <v>1524</v>
      </c>
      <c r="E353" s="2" t="s">
        <v>2324</v>
      </c>
      <c r="F353" s="2" t="s">
        <v>2545</v>
      </c>
      <c r="G353" s="2" t="s">
        <v>200</v>
      </c>
      <c r="H353" s="2" t="s">
        <v>200</v>
      </c>
      <c r="I353" s="2" t="s">
        <v>2546</v>
      </c>
      <c r="J353" s="2" t="s">
        <v>2547</v>
      </c>
      <c r="K353" s="2" t="s">
        <v>1700</v>
      </c>
      <c r="L353" s="3">
        <v>14.4</v>
      </c>
      <c r="M353" s="3">
        <v>15.12</v>
      </c>
      <c r="N353" s="3">
        <v>34.99</v>
      </c>
      <c r="O353" s="2" t="s">
        <v>460</v>
      </c>
      <c r="P353" s="2" t="s">
        <v>285</v>
      </c>
      <c r="Q353" s="2" t="s">
        <v>206</v>
      </c>
      <c r="R353" s="2" t="s">
        <v>200</v>
      </c>
      <c r="S353" s="2" t="s">
        <v>2548</v>
      </c>
      <c r="T353" s="2" t="s">
        <v>200</v>
      </c>
      <c r="U353" s="2" t="s">
        <v>200</v>
      </c>
      <c r="V353" s="2" t="s">
        <v>885</v>
      </c>
      <c r="W353" s="2" t="s">
        <v>241</v>
      </c>
      <c r="X353" s="2" t="s">
        <v>712</v>
      </c>
      <c r="Y353" s="2" t="s">
        <v>261</v>
      </c>
      <c r="Z353" s="4">
        <v>92</v>
      </c>
      <c r="AA353" s="4">
        <f>=ROUNDDOWN(20,0)</f>
      </c>
      <c r="AB353" s="5">
        <v>4.6</v>
      </c>
      <c r="AC353" s="2" t="s">
        <v>200</v>
      </c>
      <c r="AD353" s="4"/>
      <c r="AE353" s="4"/>
      <c r="AF353" s="6">
        <v>65</v>
      </c>
      <c r="AG353" s="6"/>
      <c r="AH353" s="7">
        <v>1</v>
      </c>
      <c r="AI353" s="4"/>
      <c r="AJ353" s="4">
        <f>=ROUNDDOWN({0},0)</f>
      </c>
      <c r="AK353" s="5"/>
      <c r="AL353" s="2" t="s">
        <v>200</v>
      </c>
      <c r="AM353" s="4"/>
      <c r="AN353" s="4"/>
      <c r="AO353" s="7"/>
      <c r="AP353" s="4"/>
      <c r="AQ353" s="8"/>
      <c r="AR353" s="4"/>
      <c r="AS353" s="8"/>
      <c r="AT353" s="7"/>
      <c r="AU353" s="7"/>
      <c r="AV353" s="4"/>
      <c r="AW353" s="8"/>
      <c r="AX353" s="4"/>
      <c r="AY353" s="8"/>
      <c r="AZ353" s="7"/>
      <c r="BA353" s="7"/>
      <c r="BB353" s="7"/>
      <c r="BC353" s="4"/>
      <c r="BD353" s="8"/>
      <c r="BE353" s="4"/>
      <c r="BF353" s="8"/>
      <c r="BG353" s="7"/>
      <c r="BH353" s="7"/>
      <c r="BI353" s="7"/>
      <c r="BJ353" s="4">
        <v>23</v>
      </c>
      <c r="BK353" s="8">
        <v>279.33</v>
      </c>
      <c r="BL353" s="2" t="s">
        <v>2549</v>
      </c>
      <c r="BM353" s="7"/>
      <c r="BN353" s="7"/>
      <c r="BO353" s="4"/>
      <c r="BP353" s="8"/>
      <c r="BQ353" s="4"/>
      <c r="BR353" s="8"/>
      <c r="BS353" s="7"/>
      <c r="BT353" s="7"/>
      <c r="BU353" s="2" t="s">
        <v>2550</v>
      </c>
      <c r="BV353" s="2" t="s">
        <v>200</v>
      </c>
      <c r="BW353" s="2" t="s">
        <v>200</v>
      </c>
      <c r="BX353" s="2" t="s">
        <v>289</v>
      </c>
      <c r="BY353" s="2" t="s">
        <v>247</v>
      </c>
      <c r="BZ353" s="2" t="s">
        <v>212</v>
      </c>
      <c r="CA353" s="2" t="s">
        <v>265</v>
      </c>
      <c r="CB353" s="2" t="s">
        <v>2551</v>
      </c>
      <c r="CC353" s="2" t="s">
        <v>213</v>
      </c>
      <c r="CD353" s="2" t="s">
        <v>200</v>
      </c>
      <c r="CE353" s="4">
        <v>92</v>
      </c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</row>
    <row r="354">
      <c r="A354" s="2" t="s">
        <v>2552</v>
      </c>
      <c r="B354" s="2" t="s">
        <v>744</v>
      </c>
      <c r="C354" s="2" t="s">
        <v>1375</v>
      </c>
      <c r="D354" s="2" t="s">
        <v>783</v>
      </c>
      <c r="E354" s="2" t="s">
        <v>784</v>
      </c>
      <c r="F354" s="2" t="s">
        <v>2553</v>
      </c>
      <c r="G354" s="2" t="s">
        <v>2553</v>
      </c>
      <c r="H354" s="2" t="s">
        <v>2553</v>
      </c>
      <c r="I354" s="2" t="s">
        <v>2554</v>
      </c>
      <c r="J354" s="2" t="s">
        <v>711</v>
      </c>
      <c r="K354" s="2" t="s">
        <v>2555</v>
      </c>
      <c r="L354" s="3">
        <v>95.64</v>
      </c>
      <c r="M354" s="3">
        <v>100.42</v>
      </c>
      <c r="N354" s="3">
        <v>189.99</v>
      </c>
      <c r="O354" s="2" t="s">
        <v>460</v>
      </c>
      <c r="P354" s="2" t="s">
        <v>285</v>
      </c>
      <c r="Q354" s="2" t="s">
        <v>206</v>
      </c>
      <c r="R354" s="2" t="s">
        <v>200</v>
      </c>
      <c r="S354" s="2" t="s">
        <v>200</v>
      </c>
      <c r="T354" s="2" t="s">
        <v>200</v>
      </c>
      <c r="U354" s="2" t="s">
        <v>200</v>
      </c>
      <c r="V354" s="2" t="s">
        <v>616</v>
      </c>
      <c r="W354" s="2" t="s">
        <v>2095</v>
      </c>
      <c r="X354" s="2" t="s">
        <v>419</v>
      </c>
      <c r="Y354" s="2" t="s">
        <v>2556</v>
      </c>
      <c r="Z354" s="4">
        <v>267</v>
      </c>
      <c r="AA354" s="4">
        <f>=ROUNDDOWN(111.25,0)</f>
      </c>
      <c r="AB354" s="5">
        <v>2.4</v>
      </c>
      <c r="AC354" s="2" t="s">
        <v>200</v>
      </c>
      <c r="AD354" s="4"/>
      <c r="AE354" s="4"/>
      <c r="AF354" s="6">
        <v>74</v>
      </c>
      <c r="AG354" s="6"/>
      <c r="AH354" s="7">
        <v>1</v>
      </c>
      <c r="AI354" s="4"/>
      <c r="AJ354" s="4">
        <f>=ROUNDDOWN({0},0)</f>
      </c>
      <c r="AK354" s="5"/>
      <c r="AL354" s="2" t="s">
        <v>200</v>
      </c>
      <c r="AM354" s="4"/>
      <c r="AN354" s="4"/>
      <c r="AO354" s="7"/>
      <c r="AP354" s="4"/>
      <c r="AQ354" s="8"/>
      <c r="AR354" s="4"/>
      <c r="AS354" s="8"/>
      <c r="AT354" s="7"/>
      <c r="AU354" s="7"/>
      <c r="AV354" s="4"/>
      <c r="AW354" s="8"/>
      <c r="AX354" s="4"/>
      <c r="AY354" s="8"/>
      <c r="AZ354" s="7"/>
      <c r="BA354" s="7"/>
      <c r="BB354" s="7"/>
      <c r="BC354" s="4"/>
      <c r="BD354" s="8"/>
      <c r="BE354" s="4"/>
      <c r="BF354" s="8"/>
      <c r="BG354" s="7"/>
      <c r="BH354" s="7"/>
      <c r="BI354" s="7"/>
      <c r="BJ354" s="4">
        <v>3</v>
      </c>
      <c r="BK354" s="8">
        <v>305.67</v>
      </c>
      <c r="BL354" s="2" t="s">
        <v>2557</v>
      </c>
      <c r="BM354" s="7"/>
      <c r="BN354" s="7"/>
      <c r="BO354" s="4"/>
      <c r="BP354" s="8"/>
      <c r="BQ354" s="4"/>
      <c r="BR354" s="8"/>
      <c r="BS354" s="7"/>
      <c r="BT354" s="7"/>
      <c r="BU354" s="2" t="s">
        <v>2558</v>
      </c>
      <c r="BV354" s="2" t="s">
        <v>200</v>
      </c>
      <c r="BW354" s="2" t="s">
        <v>200</v>
      </c>
      <c r="BX354" s="2" t="s">
        <v>289</v>
      </c>
      <c r="BY354" s="2" t="s">
        <v>247</v>
      </c>
      <c r="BZ354" s="2" t="s">
        <v>212</v>
      </c>
      <c r="CA354" s="2" t="s">
        <v>2559</v>
      </c>
      <c r="CB354" s="2" t="s">
        <v>899</v>
      </c>
      <c r="CC354" s="2" t="s">
        <v>213</v>
      </c>
      <c r="CD354" s="2" t="s">
        <v>200</v>
      </c>
      <c r="CE354" s="4"/>
      <c r="CF354" s="4">
        <v>267</v>
      </c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</row>
    <row r="355">
      <c r="A355" s="2" t="s">
        <v>2560</v>
      </c>
      <c r="B355" s="2" t="s">
        <v>903</v>
      </c>
      <c r="C355" s="2" t="s">
        <v>231</v>
      </c>
      <c r="D355" s="2" t="s">
        <v>608</v>
      </c>
      <c r="E355" s="2" t="s">
        <v>609</v>
      </c>
      <c r="F355" s="2" t="s">
        <v>2561</v>
      </c>
      <c r="G355" s="2" t="s">
        <v>1575</v>
      </c>
      <c r="H355" s="2" t="s">
        <v>2562</v>
      </c>
      <c r="I355" s="2" t="s">
        <v>2563</v>
      </c>
      <c r="J355" s="2" t="s">
        <v>612</v>
      </c>
      <c r="K355" s="2" t="s">
        <v>1700</v>
      </c>
      <c r="L355" s="3">
        <v>45.71</v>
      </c>
      <c r="M355" s="3">
        <v>48</v>
      </c>
      <c r="N355" s="3">
        <v>99.99</v>
      </c>
      <c r="O355" s="2" t="s">
        <v>212</v>
      </c>
      <c r="P355" s="2" t="s">
        <v>205</v>
      </c>
      <c r="Q355" s="2" t="s">
        <v>206</v>
      </c>
      <c r="R355" s="2" t="s">
        <v>200</v>
      </c>
      <c r="S355" s="2" t="s">
        <v>2564</v>
      </c>
      <c r="T355" s="2" t="s">
        <v>378</v>
      </c>
      <c r="U355" s="2" t="s">
        <v>1067</v>
      </c>
      <c r="V355" s="2" t="s">
        <v>339</v>
      </c>
      <c r="W355" s="2" t="s">
        <v>379</v>
      </c>
      <c r="X355" s="2" t="s">
        <v>2565</v>
      </c>
      <c r="Y355" s="2" t="s">
        <v>1190</v>
      </c>
      <c r="Z355" s="4">
        <v>574</v>
      </c>
      <c r="AA355" s="4">
        <f>=ROUNDDOWN(478.333333333333,0)</f>
      </c>
      <c r="AB355" s="5">
        <v>1.2</v>
      </c>
      <c r="AC355" s="2" t="s">
        <v>200</v>
      </c>
      <c r="AD355" s="4"/>
      <c r="AE355" s="4"/>
      <c r="AF355" s="6">
        <v>64</v>
      </c>
      <c r="AG355" s="6"/>
      <c r="AH355" s="7">
        <v>1</v>
      </c>
      <c r="AI355" s="4"/>
      <c r="AJ355" s="4">
        <f>=ROUNDDOWN({0},0)</f>
      </c>
      <c r="AK355" s="5"/>
      <c r="AL355" s="2" t="s">
        <v>200</v>
      </c>
      <c r="AM355" s="4"/>
      <c r="AN355" s="4"/>
      <c r="AO355" s="7"/>
      <c r="AP355" s="4"/>
      <c r="AQ355" s="8"/>
      <c r="AR355" s="4"/>
      <c r="AS355" s="8"/>
      <c r="AT355" s="7"/>
      <c r="AU355" s="7"/>
      <c r="AV355" s="4"/>
      <c r="AW355" s="8"/>
      <c r="AX355" s="4"/>
      <c r="AY355" s="8"/>
      <c r="AZ355" s="7"/>
      <c r="BA355" s="7"/>
      <c r="BB355" s="7"/>
      <c r="BC355" s="4"/>
      <c r="BD355" s="8"/>
      <c r="BE355" s="4"/>
      <c r="BF355" s="8"/>
      <c r="BG355" s="7"/>
      <c r="BH355" s="7"/>
      <c r="BI355" s="7"/>
      <c r="BJ355" s="4">
        <v>15</v>
      </c>
      <c r="BK355" s="8">
        <v>757.9</v>
      </c>
      <c r="BL355" s="2" t="s">
        <v>2440</v>
      </c>
      <c r="BM355" s="7"/>
      <c r="BN355" s="7"/>
      <c r="BO355" s="4"/>
      <c r="BP355" s="8"/>
      <c r="BQ355" s="4"/>
      <c r="BR355" s="8"/>
      <c r="BS355" s="7"/>
      <c r="BT355" s="7"/>
      <c r="BU355" s="2" t="s">
        <v>2566</v>
      </c>
      <c r="BV355" s="2" t="s">
        <v>200</v>
      </c>
      <c r="BW355" s="2" t="s">
        <v>200</v>
      </c>
      <c r="BX355" s="2" t="s">
        <v>264</v>
      </c>
      <c r="BY355" s="2" t="s">
        <v>247</v>
      </c>
      <c r="BZ355" s="2" t="s">
        <v>212</v>
      </c>
      <c r="CA355" s="2" t="s">
        <v>2567</v>
      </c>
      <c r="CB355" s="2" t="s">
        <v>200</v>
      </c>
      <c r="CC355" s="2" t="s">
        <v>213</v>
      </c>
      <c r="CD355" s="2" t="s">
        <v>200</v>
      </c>
      <c r="CE355" s="4">
        <v>574</v>
      </c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</row>
    <row r="356">
      <c r="A356" s="2" t="s">
        <v>2568</v>
      </c>
      <c r="B356" s="2" t="s">
        <v>744</v>
      </c>
      <c r="C356" s="2" t="s">
        <v>730</v>
      </c>
      <c r="D356" s="2" t="s">
        <v>1806</v>
      </c>
      <c r="E356" s="2" t="s">
        <v>2569</v>
      </c>
      <c r="F356" s="2" t="s">
        <v>1343</v>
      </c>
      <c r="G356" s="2" t="s">
        <v>1343</v>
      </c>
      <c r="H356" s="2" t="s">
        <v>1343</v>
      </c>
      <c r="I356" s="2" t="s">
        <v>2570</v>
      </c>
      <c r="J356" s="2" t="s">
        <v>711</v>
      </c>
      <c r="K356" s="2" t="s">
        <v>237</v>
      </c>
      <c r="L356" s="3">
        <v>160</v>
      </c>
      <c r="M356" s="3">
        <v>168</v>
      </c>
      <c r="N356" s="3">
        <v>339</v>
      </c>
      <c r="O356" s="2" t="s">
        <v>460</v>
      </c>
      <c r="P356" s="2" t="s">
        <v>285</v>
      </c>
      <c r="Q356" s="2" t="s">
        <v>206</v>
      </c>
      <c r="R356" s="2" t="s">
        <v>200</v>
      </c>
      <c r="S356" s="2" t="s">
        <v>200</v>
      </c>
      <c r="T356" s="2" t="s">
        <v>200</v>
      </c>
      <c r="U356" s="2" t="s">
        <v>270</v>
      </c>
      <c r="V356" s="2" t="s">
        <v>208</v>
      </c>
      <c r="W356" s="2" t="s">
        <v>379</v>
      </c>
      <c r="X356" s="2" t="s">
        <v>2053</v>
      </c>
      <c r="Y356" s="2" t="s">
        <v>2571</v>
      </c>
      <c r="Z356" s="4">
        <v>169</v>
      </c>
      <c r="AA356" s="4">
        <f>=ROUNDDOWN(130,0)</f>
      </c>
      <c r="AB356" s="5">
        <v>1.3</v>
      </c>
      <c r="AC356" s="2" t="s">
        <v>200</v>
      </c>
      <c r="AD356" s="4"/>
      <c r="AE356" s="4"/>
      <c r="AF356" s="6">
        <v>74</v>
      </c>
      <c r="AG356" s="6">
        <v>60</v>
      </c>
      <c r="AH356" s="7">
        <v>1</v>
      </c>
      <c r="AI356" s="4"/>
      <c r="AJ356" s="4">
        <f>=ROUNDDOWN({0},0)</f>
      </c>
      <c r="AK356" s="5"/>
      <c r="AL356" s="2" t="s">
        <v>200</v>
      </c>
      <c r="AM356" s="4"/>
      <c r="AN356" s="4"/>
      <c r="AO356" s="7"/>
      <c r="AP356" s="4"/>
      <c r="AQ356" s="8"/>
      <c r="AR356" s="4"/>
      <c r="AS356" s="8"/>
      <c r="AT356" s="7"/>
      <c r="AU356" s="7"/>
      <c r="AV356" s="4"/>
      <c r="AW356" s="8"/>
      <c r="AX356" s="4"/>
      <c r="AY356" s="8"/>
      <c r="AZ356" s="7"/>
      <c r="BA356" s="7"/>
      <c r="BB356" s="7"/>
      <c r="BC356" s="4"/>
      <c r="BD356" s="8"/>
      <c r="BE356" s="4"/>
      <c r="BF356" s="8"/>
      <c r="BG356" s="7"/>
      <c r="BH356" s="7"/>
      <c r="BI356" s="7"/>
      <c r="BJ356" s="4">
        <v>2</v>
      </c>
      <c r="BK356" s="8">
        <v>183.61</v>
      </c>
      <c r="BL356" s="2" t="s">
        <v>752</v>
      </c>
      <c r="BM356" s="7"/>
      <c r="BN356" s="7"/>
      <c r="BO356" s="4"/>
      <c r="BP356" s="8"/>
      <c r="BQ356" s="4"/>
      <c r="BR356" s="8"/>
      <c r="BS356" s="7"/>
      <c r="BT356" s="7"/>
      <c r="BU356" s="2" t="s">
        <v>2572</v>
      </c>
      <c r="BV356" s="2" t="s">
        <v>200</v>
      </c>
      <c r="BW356" s="2" t="s">
        <v>200</v>
      </c>
      <c r="BX356" s="2" t="s">
        <v>289</v>
      </c>
      <c r="BY356" s="2" t="s">
        <v>247</v>
      </c>
      <c r="BZ356" s="2" t="s">
        <v>212</v>
      </c>
      <c r="CA356" s="2" t="s">
        <v>2573</v>
      </c>
      <c r="CB356" s="2" t="s">
        <v>2574</v>
      </c>
      <c r="CC356" s="2" t="s">
        <v>213</v>
      </c>
      <c r="CD356" s="2" t="s">
        <v>200</v>
      </c>
      <c r="CE356" s="4"/>
      <c r="CF356" s="4">
        <v>128</v>
      </c>
      <c r="CG356" s="4"/>
      <c r="CH356" s="4">
        <v>41</v>
      </c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</row>
    <row r="357">
      <c r="A357" s="2" t="s">
        <v>2575</v>
      </c>
      <c r="B357" s="2" t="s">
        <v>903</v>
      </c>
      <c r="C357" s="2" t="s">
        <v>607</v>
      </c>
      <c r="D357" s="2" t="s">
        <v>608</v>
      </c>
      <c r="E357" s="2" t="s">
        <v>609</v>
      </c>
      <c r="F357" s="2" t="s">
        <v>2576</v>
      </c>
      <c r="G357" s="2" t="s">
        <v>2576</v>
      </c>
      <c r="H357" s="2" t="s">
        <v>2576</v>
      </c>
      <c r="I357" s="2" t="s">
        <v>2577</v>
      </c>
      <c r="J357" s="2" t="s">
        <v>302</v>
      </c>
      <c r="K357" s="2" t="s">
        <v>436</v>
      </c>
      <c r="L357" s="3">
        <v>216</v>
      </c>
      <c r="M357" s="3">
        <v>226.8</v>
      </c>
      <c r="N357" s="3">
        <v>479.99</v>
      </c>
      <c r="O357" s="2" t="s">
        <v>460</v>
      </c>
      <c r="P357" s="2" t="s">
        <v>285</v>
      </c>
      <c r="Q357" s="2" t="s">
        <v>206</v>
      </c>
      <c r="R357" s="2" t="s">
        <v>200</v>
      </c>
      <c r="S357" s="2" t="s">
        <v>2578</v>
      </c>
      <c r="T357" s="2" t="s">
        <v>200</v>
      </c>
      <c r="U357" s="2" t="s">
        <v>909</v>
      </c>
      <c r="V357" s="2" t="s">
        <v>940</v>
      </c>
      <c r="W357" s="2" t="s">
        <v>1271</v>
      </c>
      <c r="X357" s="2" t="s">
        <v>2579</v>
      </c>
      <c r="Y357" s="2" t="s">
        <v>2580</v>
      </c>
      <c r="Z357" s="4">
        <v>164</v>
      </c>
      <c r="AA357" s="4">
        <f>=ROUNDDOWN(164,0)</f>
      </c>
      <c r="AB357" s="5">
        <v>1</v>
      </c>
      <c r="AC357" s="2" t="s">
        <v>200</v>
      </c>
      <c r="AD357" s="4"/>
      <c r="AE357" s="4"/>
      <c r="AF357" s="6">
        <v>65</v>
      </c>
      <c r="AG357" s="6"/>
      <c r="AH357" s="7">
        <v>0.8667</v>
      </c>
      <c r="AI357" s="4"/>
      <c r="AJ357" s="4">
        <f>=ROUNDDOWN({0},0)</f>
      </c>
      <c r="AK357" s="5"/>
      <c r="AL357" s="2" t="s">
        <v>200</v>
      </c>
      <c r="AM357" s="4"/>
      <c r="AN357" s="4"/>
      <c r="AO357" s="7"/>
      <c r="AP357" s="4"/>
      <c r="AQ357" s="8"/>
      <c r="AR357" s="4"/>
      <c r="AS357" s="8"/>
      <c r="AT357" s="7"/>
      <c r="AU357" s="7"/>
      <c r="AV357" s="4"/>
      <c r="AW357" s="8"/>
      <c r="AX357" s="4"/>
      <c r="AY357" s="8"/>
      <c r="AZ357" s="7"/>
      <c r="BA357" s="7"/>
      <c r="BB357" s="7"/>
      <c r="BC357" s="4"/>
      <c r="BD357" s="8"/>
      <c r="BE357" s="4"/>
      <c r="BF357" s="8"/>
      <c r="BG357" s="7"/>
      <c r="BH357" s="7"/>
      <c r="BI357" s="7"/>
      <c r="BJ357" s="4"/>
      <c r="BK357" s="8"/>
      <c r="BL357" s="2" t="s">
        <v>1614</v>
      </c>
      <c r="BM357" s="7"/>
      <c r="BN357" s="7"/>
      <c r="BO357" s="4"/>
      <c r="BP357" s="8"/>
      <c r="BQ357" s="4"/>
      <c r="BR357" s="8"/>
      <c r="BS357" s="7"/>
      <c r="BT357" s="7"/>
      <c r="BU357" s="2" t="s">
        <v>2581</v>
      </c>
      <c r="BV357" s="2" t="s">
        <v>200</v>
      </c>
      <c r="BW357" s="2" t="s">
        <v>200</v>
      </c>
      <c r="BX357" s="2" t="s">
        <v>289</v>
      </c>
      <c r="BY357" s="2" t="s">
        <v>247</v>
      </c>
      <c r="BZ357" s="2" t="s">
        <v>212</v>
      </c>
      <c r="CA357" s="2" t="s">
        <v>2582</v>
      </c>
      <c r="CB357" s="2" t="s">
        <v>2583</v>
      </c>
      <c r="CC357" s="2" t="s">
        <v>213</v>
      </c>
      <c r="CD357" s="2" t="s">
        <v>200</v>
      </c>
      <c r="CE357" s="4">
        <v>164</v>
      </c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</row>
    <row r="358">
      <c r="A358" s="2" t="s">
        <v>2584</v>
      </c>
      <c r="B358" s="2" t="s">
        <v>744</v>
      </c>
      <c r="C358" s="2" t="s">
        <v>231</v>
      </c>
      <c r="D358" s="2" t="s">
        <v>746</v>
      </c>
      <c r="E358" s="2" t="s">
        <v>747</v>
      </c>
      <c r="F358" s="2" t="s">
        <v>2585</v>
      </c>
      <c r="G358" s="2" t="s">
        <v>2586</v>
      </c>
      <c r="H358" s="2" t="s">
        <v>2587</v>
      </c>
      <c r="I358" s="2" t="s">
        <v>2588</v>
      </c>
      <c r="J358" s="2" t="s">
        <v>711</v>
      </c>
      <c r="K358" s="2" t="s">
        <v>2589</v>
      </c>
      <c r="L358" s="3">
        <v>379.26</v>
      </c>
      <c r="M358" s="3">
        <v>398.22</v>
      </c>
      <c r="N358" s="3">
        <v>799</v>
      </c>
      <c r="O358" s="2" t="s">
        <v>212</v>
      </c>
      <c r="P358" s="2" t="s">
        <v>802</v>
      </c>
      <c r="Q358" s="2" t="s">
        <v>206</v>
      </c>
      <c r="R358" s="2" t="s">
        <v>200</v>
      </c>
      <c r="S358" s="2" t="s">
        <v>200</v>
      </c>
      <c r="T358" s="2" t="s">
        <v>200</v>
      </c>
      <c r="U358" s="2" t="s">
        <v>677</v>
      </c>
      <c r="V358" s="2" t="s">
        <v>208</v>
      </c>
      <c r="W358" s="2" t="s">
        <v>419</v>
      </c>
      <c r="X358" s="2" t="s">
        <v>200</v>
      </c>
      <c r="Y358" s="2" t="s">
        <v>2590</v>
      </c>
      <c r="Z358" s="4">
        <v>38</v>
      </c>
      <c r="AA358" s="4">
        <f>=ROUNDDOWN({0},0)</f>
      </c>
      <c r="AB358" s="5"/>
      <c r="AC358" s="2" t="s">
        <v>2591</v>
      </c>
      <c r="AD358" s="4"/>
      <c r="AE358" s="4">
        <v>49</v>
      </c>
      <c r="AF358" s="6"/>
      <c r="AG358" s="6"/>
      <c r="AH358" s="7">
        <v>1</v>
      </c>
      <c r="AI358" s="4"/>
      <c r="AJ358" s="4">
        <f>=ROUNDDOWN({0},0)</f>
      </c>
      <c r="AK358" s="5"/>
      <c r="AL358" s="2" t="s">
        <v>200</v>
      </c>
      <c r="AM358" s="4"/>
      <c r="AN358" s="4"/>
      <c r="AO358" s="7">
        <v>1</v>
      </c>
      <c r="AP358" s="4"/>
      <c r="AQ358" s="8"/>
      <c r="AR358" s="4"/>
      <c r="AS358" s="8"/>
      <c r="AT358" s="7"/>
      <c r="AU358" s="7"/>
      <c r="AV358" s="4" t="s">
        <v>200</v>
      </c>
      <c r="AW358" s="8" t="s">
        <v>200</v>
      </c>
      <c r="AX358" s="4" t="s">
        <v>200</v>
      </c>
      <c r="AY358" s="8" t="s">
        <v>200</v>
      </c>
      <c r="AZ358" s="7" t="s">
        <v>200</v>
      </c>
      <c r="BA358" s="7" t="s">
        <v>200</v>
      </c>
      <c r="BB358" s="7" t="s">
        <v>200</v>
      </c>
      <c r="BC358" s="4" t="s">
        <v>200</v>
      </c>
      <c r="BD358" s="8" t="s">
        <v>200</v>
      </c>
      <c r="BE358" s="4" t="s">
        <v>200</v>
      </c>
      <c r="BF358" s="8" t="s">
        <v>200</v>
      </c>
      <c r="BG358" s="7" t="s">
        <v>200</v>
      </c>
      <c r="BH358" s="7" t="s">
        <v>200</v>
      </c>
      <c r="BI358" s="7"/>
      <c r="BJ358" s="4"/>
      <c r="BK358" s="8"/>
      <c r="BL358" s="2" t="s">
        <v>200</v>
      </c>
      <c r="BM358" s="7"/>
      <c r="BN358" s="7"/>
      <c r="BO358" s="4"/>
      <c r="BP358" s="8"/>
      <c r="BQ358" s="4"/>
      <c r="BR358" s="8"/>
      <c r="BS358" s="7"/>
      <c r="BT358" s="7"/>
      <c r="BU358" s="2" t="s">
        <v>2592</v>
      </c>
      <c r="BV358" s="2" t="s">
        <v>200</v>
      </c>
      <c r="BW358" s="2" t="s">
        <v>200</v>
      </c>
      <c r="BX358" s="2" t="s">
        <v>629</v>
      </c>
      <c r="BY358" s="2" t="s">
        <v>247</v>
      </c>
      <c r="BZ358" s="2" t="s">
        <v>212</v>
      </c>
      <c r="CA358" s="2" t="s">
        <v>2593</v>
      </c>
      <c r="CB358" s="2" t="s">
        <v>2594</v>
      </c>
      <c r="CC358" s="2" t="s">
        <v>213</v>
      </c>
      <c r="CD358" s="2" t="s">
        <v>200</v>
      </c>
      <c r="CE358" s="4"/>
      <c r="CF358" s="4">
        <v>38</v>
      </c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>
        <v>49</v>
      </c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</row>
    <row r="359">
      <c r="A359" s="2" t="s">
        <v>2595</v>
      </c>
      <c r="B359" s="2" t="s">
        <v>744</v>
      </c>
      <c r="C359" s="2" t="s">
        <v>231</v>
      </c>
      <c r="D359" s="2" t="s">
        <v>1462</v>
      </c>
      <c r="E359" s="2" t="s">
        <v>1463</v>
      </c>
      <c r="F359" s="2" t="s">
        <v>2585</v>
      </c>
      <c r="G359" s="2" t="s">
        <v>2586</v>
      </c>
      <c r="H359" s="2" t="s">
        <v>2587</v>
      </c>
      <c r="I359" s="2" t="s">
        <v>2596</v>
      </c>
      <c r="J359" s="2" t="s">
        <v>711</v>
      </c>
      <c r="K359" s="2" t="s">
        <v>2589</v>
      </c>
      <c r="L359" s="3">
        <v>171</v>
      </c>
      <c r="M359" s="3">
        <v>179.55</v>
      </c>
      <c r="N359" s="3">
        <v>359</v>
      </c>
      <c r="O359" s="2" t="s">
        <v>212</v>
      </c>
      <c r="P359" s="2" t="s">
        <v>750</v>
      </c>
      <c r="Q359" s="2" t="s">
        <v>206</v>
      </c>
      <c r="R359" s="2" t="s">
        <v>200</v>
      </c>
      <c r="S359" s="2" t="s">
        <v>200</v>
      </c>
      <c r="T359" s="2" t="s">
        <v>200</v>
      </c>
      <c r="U359" s="2" t="s">
        <v>270</v>
      </c>
      <c r="V359" s="2" t="s">
        <v>208</v>
      </c>
      <c r="W359" s="2" t="s">
        <v>419</v>
      </c>
      <c r="X359" s="2" t="s">
        <v>200</v>
      </c>
      <c r="Y359" s="2" t="s">
        <v>2597</v>
      </c>
      <c r="Z359" s="4">
        <v>213</v>
      </c>
      <c r="AA359" s="4">
        <f>=ROUNDDOWN(53.25,0)</f>
      </c>
      <c r="AB359" s="5">
        <v>4</v>
      </c>
      <c r="AC359" s="2" t="s">
        <v>200</v>
      </c>
      <c r="AD359" s="4"/>
      <c r="AE359" s="4"/>
      <c r="AF359" s="6">
        <v>69</v>
      </c>
      <c r="AG359" s="6">
        <v>52</v>
      </c>
      <c r="AH359" s="7">
        <v>1</v>
      </c>
      <c r="AI359" s="4"/>
      <c r="AJ359" s="4">
        <f>=ROUNDDOWN({0},0)</f>
      </c>
      <c r="AK359" s="5"/>
      <c r="AL359" s="2" t="s">
        <v>200</v>
      </c>
      <c r="AM359" s="4"/>
      <c r="AN359" s="4"/>
      <c r="AO359" s="7"/>
      <c r="AP359" s="4"/>
      <c r="AQ359" s="8"/>
      <c r="AR359" s="4"/>
      <c r="AS359" s="8"/>
      <c r="AT359" s="7"/>
      <c r="AU359" s="7"/>
      <c r="AV359" s="4" t="s">
        <v>200</v>
      </c>
      <c r="AW359" s="8" t="s">
        <v>200</v>
      </c>
      <c r="AX359" s="4" t="s">
        <v>200</v>
      </c>
      <c r="AY359" s="8" t="s">
        <v>200</v>
      </c>
      <c r="AZ359" s="7" t="s">
        <v>200</v>
      </c>
      <c r="BA359" s="7" t="s">
        <v>200</v>
      </c>
      <c r="BB359" s="7" t="s">
        <v>200</v>
      </c>
      <c r="BC359" s="4" t="s">
        <v>200</v>
      </c>
      <c r="BD359" s="8" t="s">
        <v>200</v>
      </c>
      <c r="BE359" s="4" t="s">
        <v>200</v>
      </c>
      <c r="BF359" s="8" t="s">
        <v>200</v>
      </c>
      <c r="BG359" s="7" t="s">
        <v>200</v>
      </c>
      <c r="BH359" s="7" t="s">
        <v>200</v>
      </c>
      <c r="BI359" s="7"/>
      <c r="BJ359" s="4">
        <v>20</v>
      </c>
      <c r="BK359" s="8">
        <v>3007.12</v>
      </c>
      <c r="BL359" s="2" t="s">
        <v>2598</v>
      </c>
      <c r="BM359" s="7"/>
      <c r="BN359" s="7"/>
      <c r="BO359" s="4"/>
      <c r="BP359" s="8"/>
      <c r="BQ359" s="4"/>
      <c r="BR359" s="8"/>
      <c r="BS359" s="7"/>
      <c r="BT359" s="7"/>
      <c r="BU359" s="2" t="s">
        <v>2599</v>
      </c>
      <c r="BV359" s="2" t="s">
        <v>200</v>
      </c>
      <c r="BW359" s="2" t="s">
        <v>200</v>
      </c>
      <c r="BX359" s="2" t="s">
        <v>620</v>
      </c>
      <c r="BY359" s="2" t="s">
        <v>247</v>
      </c>
      <c r="BZ359" s="2" t="s">
        <v>212</v>
      </c>
      <c r="CA359" s="2" t="s">
        <v>2600</v>
      </c>
      <c r="CB359" s="2" t="s">
        <v>2294</v>
      </c>
      <c r="CC359" s="2" t="s">
        <v>213</v>
      </c>
      <c r="CD359" s="2" t="s">
        <v>200</v>
      </c>
      <c r="CE359" s="4"/>
      <c r="CF359" s="4">
        <v>213</v>
      </c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</row>
    <row r="360">
      <c r="A360" s="2" t="s">
        <v>2601</v>
      </c>
      <c r="B360" s="2" t="s">
        <v>195</v>
      </c>
      <c r="C360" s="2" t="s">
        <v>231</v>
      </c>
      <c r="D360" s="2" t="s">
        <v>197</v>
      </c>
      <c r="E360" s="2" t="s">
        <v>198</v>
      </c>
      <c r="F360" s="2" t="s">
        <v>2602</v>
      </c>
      <c r="G360" s="2" t="s">
        <v>2602</v>
      </c>
      <c r="H360" s="2" t="s">
        <v>2602</v>
      </c>
      <c r="I360" s="2" t="s">
        <v>198</v>
      </c>
      <c r="J360" s="2" t="s">
        <v>302</v>
      </c>
      <c r="K360" s="2" t="s">
        <v>387</v>
      </c>
      <c r="L360" s="3">
        <v>18.28</v>
      </c>
      <c r="M360" s="3">
        <v>19.19</v>
      </c>
      <c r="N360" s="3">
        <v>39.99</v>
      </c>
      <c r="O360" s="2" t="s">
        <v>212</v>
      </c>
      <c r="P360" s="2" t="s">
        <v>258</v>
      </c>
      <c r="Q360" s="2" t="s">
        <v>206</v>
      </c>
      <c r="R360" s="2" t="s">
        <v>200</v>
      </c>
      <c r="S360" s="2" t="s">
        <v>2603</v>
      </c>
      <c r="T360" s="2" t="s">
        <v>2604</v>
      </c>
      <c r="U360" s="2" t="s">
        <v>270</v>
      </c>
      <c r="V360" s="2" t="s">
        <v>885</v>
      </c>
      <c r="W360" s="2" t="s">
        <v>736</v>
      </c>
      <c r="X360" s="2" t="s">
        <v>419</v>
      </c>
      <c r="Y360" s="2" t="s">
        <v>2516</v>
      </c>
      <c r="Z360" s="4">
        <v>264</v>
      </c>
      <c r="AA360" s="4">
        <f>=ROUNDDOWN(38.8235294117647,0)</f>
      </c>
      <c r="AB360" s="5">
        <v>6.8</v>
      </c>
      <c r="AC360" s="2" t="s">
        <v>116</v>
      </c>
      <c r="AD360" s="4">
        <v>40</v>
      </c>
      <c r="AE360" s="4">
        <v>130</v>
      </c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200</v>
      </c>
      <c r="AM360" s="4"/>
      <c r="AN360" s="4"/>
      <c r="AO360" s="7"/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 t="s">
        <v>200</v>
      </c>
      <c r="BD360" s="8" t="s">
        <v>200</v>
      </c>
      <c r="BE360" s="4" t="s">
        <v>200</v>
      </c>
      <c r="BF360" s="8" t="s">
        <v>200</v>
      </c>
      <c r="BG360" s="7" t="s">
        <v>200</v>
      </c>
      <c r="BH360" s="7" t="s">
        <v>200</v>
      </c>
      <c r="BI360" s="7"/>
      <c r="BJ360" s="4">
        <v>68</v>
      </c>
      <c r="BK360" s="8">
        <v>1402.19</v>
      </c>
      <c r="BL360" s="2" t="s">
        <v>633</v>
      </c>
      <c r="BM360" s="7"/>
      <c r="BN360" s="7"/>
      <c r="BO360" s="4"/>
      <c r="BP360" s="8"/>
      <c r="BQ360" s="4"/>
      <c r="BR360" s="8"/>
      <c r="BS360" s="7"/>
      <c r="BT360" s="7"/>
      <c r="BU360" s="2" t="s">
        <v>2605</v>
      </c>
      <c r="BV360" s="2" t="s">
        <v>200</v>
      </c>
      <c r="BW360" s="2" t="s">
        <v>200</v>
      </c>
      <c r="BX360" s="2" t="s">
        <v>264</v>
      </c>
      <c r="BY360" s="2" t="s">
        <v>247</v>
      </c>
      <c r="BZ360" s="2" t="s">
        <v>212</v>
      </c>
      <c r="CA360" s="2" t="s">
        <v>2516</v>
      </c>
      <c r="CB360" s="2" t="s">
        <v>2606</v>
      </c>
      <c r="CC360" s="2" t="s">
        <v>213</v>
      </c>
      <c r="CD360" s="2" t="s">
        <v>200</v>
      </c>
      <c r="CE360" s="4">
        <v>264</v>
      </c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>
        <v>40</v>
      </c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>
        <v>90</v>
      </c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</row>
    <row r="361">
      <c r="A361" s="2" t="s">
        <v>2607</v>
      </c>
      <c r="B361" s="2" t="s">
        <v>195</v>
      </c>
      <c r="C361" s="2" t="s">
        <v>231</v>
      </c>
      <c r="D361" s="2" t="s">
        <v>197</v>
      </c>
      <c r="E361" s="2" t="s">
        <v>198</v>
      </c>
      <c r="F361" s="2" t="s">
        <v>2602</v>
      </c>
      <c r="G361" s="2" t="s">
        <v>2602</v>
      </c>
      <c r="H361" s="2" t="s">
        <v>2602</v>
      </c>
      <c r="I361" s="2" t="s">
        <v>198</v>
      </c>
      <c r="J361" s="2" t="s">
        <v>256</v>
      </c>
      <c r="K361" s="2" t="s">
        <v>1174</v>
      </c>
      <c r="L361" s="3">
        <v>12.85</v>
      </c>
      <c r="M361" s="3">
        <v>13.49</v>
      </c>
      <c r="N361" s="3">
        <v>29.99</v>
      </c>
      <c r="O361" s="2" t="s">
        <v>212</v>
      </c>
      <c r="P361" s="2" t="s">
        <v>258</v>
      </c>
      <c r="Q361" s="2" t="s">
        <v>206</v>
      </c>
      <c r="R361" s="2" t="s">
        <v>200</v>
      </c>
      <c r="S361" s="2" t="s">
        <v>2608</v>
      </c>
      <c r="T361" s="2" t="s">
        <v>2604</v>
      </c>
      <c r="U361" s="2" t="s">
        <v>270</v>
      </c>
      <c r="V361" s="2" t="s">
        <v>885</v>
      </c>
      <c r="W361" s="2" t="s">
        <v>736</v>
      </c>
      <c r="X361" s="2" t="s">
        <v>419</v>
      </c>
      <c r="Y361" s="2" t="s">
        <v>2609</v>
      </c>
      <c r="Z361" s="4">
        <v>285</v>
      </c>
      <c r="AA361" s="4">
        <f>=ROUNDDOWN(47.5,0)</f>
      </c>
      <c r="AB361" s="5">
        <v>6</v>
      </c>
      <c r="AC361" s="2" t="s">
        <v>117</v>
      </c>
      <c r="AD361" s="4">
        <v>90</v>
      </c>
      <c r="AE361" s="4">
        <v>90</v>
      </c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200</v>
      </c>
      <c r="AM361" s="4"/>
      <c r="AN361" s="4"/>
      <c r="AO361" s="7"/>
      <c r="AP361" s="4"/>
      <c r="AQ361" s="8"/>
      <c r="AR361" s="4"/>
      <c r="AS361" s="8"/>
      <c r="AT361" s="7"/>
      <c r="AU361" s="7"/>
      <c r="AV361" s="4" t="s">
        <v>200</v>
      </c>
      <c r="AW361" s="8" t="s">
        <v>200</v>
      </c>
      <c r="AX361" s="4" t="s">
        <v>200</v>
      </c>
      <c r="AY361" s="8" t="s">
        <v>200</v>
      </c>
      <c r="AZ361" s="7" t="s">
        <v>200</v>
      </c>
      <c r="BA361" s="7" t="s">
        <v>200</v>
      </c>
      <c r="BB361" s="7"/>
      <c r="BC361" s="4" t="s">
        <v>200</v>
      </c>
      <c r="BD361" s="8" t="s">
        <v>200</v>
      </c>
      <c r="BE361" s="4" t="s">
        <v>200</v>
      </c>
      <c r="BF361" s="8" t="s">
        <v>200</v>
      </c>
      <c r="BG361" s="7" t="s">
        <v>200</v>
      </c>
      <c r="BH361" s="7" t="s">
        <v>200</v>
      </c>
      <c r="BI361" s="7"/>
      <c r="BJ361" s="4">
        <v>22</v>
      </c>
      <c r="BK361" s="8">
        <v>317.34</v>
      </c>
      <c r="BL361" s="2" t="s">
        <v>2610</v>
      </c>
      <c r="BM361" s="7"/>
      <c r="BN361" s="7"/>
      <c r="BO361" s="4"/>
      <c r="BP361" s="8"/>
      <c r="BQ361" s="4"/>
      <c r="BR361" s="8"/>
      <c r="BS361" s="7"/>
      <c r="BT361" s="7"/>
      <c r="BU361" s="2" t="s">
        <v>2611</v>
      </c>
      <c r="BV361" s="2" t="s">
        <v>200</v>
      </c>
      <c r="BW361" s="2" t="s">
        <v>200</v>
      </c>
      <c r="BX361" s="2" t="s">
        <v>264</v>
      </c>
      <c r="BY361" s="2" t="s">
        <v>247</v>
      </c>
      <c r="BZ361" s="2" t="s">
        <v>212</v>
      </c>
      <c r="CA361" s="2" t="s">
        <v>2516</v>
      </c>
      <c r="CB361" s="2" t="s">
        <v>2612</v>
      </c>
      <c r="CC361" s="2" t="s">
        <v>213</v>
      </c>
      <c r="CD361" s="2" t="s">
        <v>200</v>
      </c>
      <c r="CE361" s="4">
        <v>285</v>
      </c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>
        <v>90</v>
      </c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</row>
    <row r="362">
      <c r="A362" s="2" t="s">
        <v>2613</v>
      </c>
      <c r="B362" s="2" t="s">
        <v>195</v>
      </c>
      <c r="C362" s="2" t="s">
        <v>231</v>
      </c>
      <c r="D362" s="2" t="s">
        <v>197</v>
      </c>
      <c r="E362" s="2" t="s">
        <v>198</v>
      </c>
      <c r="F362" s="2" t="s">
        <v>2602</v>
      </c>
      <c r="G362" s="2" t="s">
        <v>2602</v>
      </c>
      <c r="H362" s="2" t="s">
        <v>2602</v>
      </c>
      <c r="I362" s="2" t="s">
        <v>198</v>
      </c>
      <c r="J362" s="2" t="s">
        <v>612</v>
      </c>
      <c r="K362" s="2" t="s">
        <v>1174</v>
      </c>
      <c r="L362" s="3">
        <v>16</v>
      </c>
      <c r="M362" s="3">
        <v>16.8</v>
      </c>
      <c r="N362" s="3">
        <v>34.99</v>
      </c>
      <c r="O362" s="2" t="s">
        <v>212</v>
      </c>
      <c r="P362" s="2" t="s">
        <v>258</v>
      </c>
      <c r="Q362" s="2" t="s">
        <v>206</v>
      </c>
      <c r="R362" s="2" t="s">
        <v>200</v>
      </c>
      <c r="S362" s="2" t="s">
        <v>2608</v>
      </c>
      <c r="T362" s="2" t="s">
        <v>2604</v>
      </c>
      <c r="U362" s="2" t="s">
        <v>270</v>
      </c>
      <c r="V362" s="2" t="s">
        <v>885</v>
      </c>
      <c r="W362" s="2" t="s">
        <v>736</v>
      </c>
      <c r="X362" s="2" t="s">
        <v>419</v>
      </c>
      <c r="Y362" s="2" t="s">
        <v>2516</v>
      </c>
      <c r="Z362" s="4">
        <v>293</v>
      </c>
      <c r="AA362" s="4">
        <f>=ROUNDDOWN(32.5555555555556,0)</f>
      </c>
      <c r="AB362" s="5">
        <v>9</v>
      </c>
      <c r="AC362" s="2" t="s">
        <v>117</v>
      </c>
      <c r="AD362" s="4">
        <v>210</v>
      </c>
      <c r="AE362" s="4">
        <v>210</v>
      </c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200</v>
      </c>
      <c r="AM362" s="4"/>
      <c r="AN362" s="4"/>
      <c r="AO362" s="7"/>
      <c r="AP362" s="4"/>
      <c r="AQ362" s="8"/>
      <c r="AR362" s="4"/>
      <c r="AS362" s="8"/>
      <c r="AT362" s="7"/>
      <c r="AU362" s="7"/>
      <c r="AV362" s="4" t="s">
        <v>200</v>
      </c>
      <c r="AW362" s="8" t="s">
        <v>200</v>
      </c>
      <c r="AX362" s="4" t="s">
        <v>200</v>
      </c>
      <c r="AY362" s="8" t="s">
        <v>200</v>
      </c>
      <c r="AZ362" s="7" t="s">
        <v>200</v>
      </c>
      <c r="BA362" s="7" t="s">
        <v>200</v>
      </c>
      <c r="BB362" s="7"/>
      <c r="BC362" s="4" t="s">
        <v>200</v>
      </c>
      <c r="BD362" s="8" t="s">
        <v>200</v>
      </c>
      <c r="BE362" s="4" t="s">
        <v>200</v>
      </c>
      <c r="BF362" s="8" t="s">
        <v>200</v>
      </c>
      <c r="BG362" s="7" t="s">
        <v>200</v>
      </c>
      <c r="BH362" s="7" t="s">
        <v>200</v>
      </c>
      <c r="BI362" s="7"/>
      <c r="BJ362" s="4">
        <v>45</v>
      </c>
      <c r="BK362" s="8">
        <v>810.84</v>
      </c>
      <c r="BL362" s="2" t="s">
        <v>1111</v>
      </c>
      <c r="BM362" s="7"/>
      <c r="BN362" s="7"/>
      <c r="BO362" s="4"/>
      <c r="BP362" s="8"/>
      <c r="BQ362" s="4"/>
      <c r="BR362" s="8"/>
      <c r="BS362" s="7"/>
      <c r="BT362" s="7"/>
      <c r="BU362" s="2" t="s">
        <v>2614</v>
      </c>
      <c r="BV362" s="2" t="s">
        <v>200</v>
      </c>
      <c r="BW362" s="2" t="s">
        <v>200</v>
      </c>
      <c r="BX362" s="2" t="s">
        <v>264</v>
      </c>
      <c r="BY362" s="2" t="s">
        <v>247</v>
      </c>
      <c r="BZ362" s="2" t="s">
        <v>212</v>
      </c>
      <c r="CA362" s="2" t="s">
        <v>2516</v>
      </c>
      <c r="CB362" s="2" t="s">
        <v>2615</v>
      </c>
      <c r="CC362" s="2" t="s">
        <v>213</v>
      </c>
      <c r="CD362" s="2" t="s">
        <v>200</v>
      </c>
      <c r="CE362" s="4">
        <v>293</v>
      </c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>
        <v>210</v>
      </c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</row>
    <row r="363">
      <c r="A363" s="2" t="s">
        <v>2616</v>
      </c>
      <c r="B363" s="2" t="s">
        <v>195</v>
      </c>
      <c r="C363" s="2" t="s">
        <v>231</v>
      </c>
      <c r="D363" s="2" t="s">
        <v>197</v>
      </c>
      <c r="E363" s="2" t="s">
        <v>198</v>
      </c>
      <c r="F363" s="2" t="s">
        <v>2602</v>
      </c>
      <c r="G363" s="2" t="s">
        <v>2602</v>
      </c>
      <c r="H363" s="2" t="s">
        <v>2602</v>
      </c>
      <c r="I363" s="2" t="s">
        <v>198</v>
      </c>
      <c r="J363" s="2" t="s">
        <v>302</v>
      </c>
      <c r="K363" s="2" t="s">
        <v>221</v>
      </c>
      <c r="L363" s="3">
        <v>18.28</v>
      </c>
      <c r="M363" s="3">
        <v>19.19</v>
      </c>
      <c r="N363" s="3">
        <v>39.99</v>
      </c>
      <c r="O363" s="2" t="s">
        <v>212</v>
      </c>
      <c r="P363" s="2" t="s">
        <v>258</v>
      </c>
      <c r="Q363" s="2" t="s">
        <v>206</v>
      </c>
      <c r="R363" s="2" t="s">
        <v>200</v>
      </c>
      <c r="S363" s="2" t="s">
        <v>2617</v>
      </c>
      <c r="T363" s="2" t="s">
        <v>2604</v>
      </c>
      <c r="U363" s="2" t="s">
        <v>270</v>
      </c>
      <c r="V363" s="2" t="s">
        <v>885</v>
      </c>
      <c r="W363" s="2" t="s">
        <v>736</v>
      </c>
      <c r="X363" s="2" t="s">
        <v>419</v>
      </c>
      <c r="Y363" s="2" t="s">
        <v>2609</v>
      </c>
      <c r="Z363" s="4">
        <v>206</v>
      </c>
      <c r="AA363" s="4">
        <f>=ROUNDDOWN(15.4887218045113,0)</f>
      </c>
      <c r="AB363" s="5">
        <v>13.3</v>
      </c>
      <c r="AC363" s="2" t="s">
        <v>482</v>
      </c>
      <c r="AD363" s="4">
        <v>234</v>
      </c>
      <c r="AE363" s="4">
        <v>234</v>
      </c>
      <c r="AF363" s="6">
        <v>65</v>
      </c>
      <c r="AG363" s="6"/>
      <c r="AH363" s="7">
        <v>1</v>
      </c>
      <c r="AI363" s="4"/>
      <c r="AJ363" s="4">
        <f>=ROUNDDOWN({0},0)</f>
      </c>
      <c r="AK363" s="5"/>
      <c r="AL363" s="2" t="s">
        <v>200</v>
      </c>
      <c r="AM363" s="4"/>
      <c r="AN363" s="4"/>
      <c r="AO363" s="7"/>
      <c r="AP363" s="4"/>
      <c r="AQ363" s="8"/>
      <c r="AR363" s="4"/>
      <c r="AS363" s="8"/>
      <c r="AT363" s="7"/>
      <c r="AU363" s="7"/>
      <c r="AV363" s="4"/>
      <c r="AW363" s="8"/>
      <c r="AX363" s="4"/>
      <c r="AY363" s="8"/>
      <c r="AZ363" s="7"/>
      <c r="BA363" s="7"/>
      <c r="BB363" s="7"/>
      <c r="BC363" s="4" t="s">
        <v>200</v>
      </c>
      <c r="BD363" s="8" t="s">
        <v>200</v>
      </c>
      <c r="BE363" s="4" t="s">
        <v>200</v>
      </c>
      <c r="BF363" s="8" t="s">
        <v>200</v>
      </c>
      <c r="BG363" s="7" t="s">
        <v>200</v>
      </c>
      <c r="BH363" s="7" t="s">
        <v>200</v>
      </c>
      <c r="BI363" s="7"/>
      <c r="BJ363" s="4">
        <v>131</v>
      </c>
      <c r="BK363" s="8">
        <v>2722.89</v>
      </c>
      <c r="BL363" s="2" t="s">
        <v>2618</v>
      </c>
      <c r="BM363" s="7"/>
      <c r="BN363" s="7"/>
      <c r="BO363" s="4"/>
      <c r="BP363" s="8"/>
      <c r="BQ363" s="4"/>
      <c r="BR363" s="8"/>
      <c r="BS363" s="7"/>
      <c r="BT363" s="7"/>
      <c r="BU363" s="2" t="s">
        <v>2619</v>
      </c>
      <c r="BV363" s="2" t="s">
        <v>200</v>
      </c>
      <c r="BW363" s="2" t="s">
        <v>200</v>
      </c>
      <c r="BX363" s="2" t="s">
        <v>264</v>
      </c>
      <c r="BY363" s="2" t="s">
        <v>247</v>
      </c>
      <c r="BZ363" s="2" t="s">
        <v>212</v>
      </c>
      <c r="CA363" s="2" t="s">
        <v>2516</v>
      </c>
      <c r="CB363" s="2" t="s">
        <v>2620</v>
      </c>
      <c r="CC363" s="2" t="s">
        <v>213</v>
      </c>
      <c r="CD363" s="2" t="s">
        <v>200</v>
      </c>
      <c r="CE363" s="4">
        <v>206</v>
      </c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>
        <v>234</v>
      </c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</row>
    <row r="364">
      <c r="A364" s="2" t="s">
        <v>2621</v>
      </c>
      <c r="B364" s="2" t="s">
        <v>195</v>
      </c>
      <c r="C364" s="2" t="s">
        <v>231</v>
      </c>
      <c r="D364" s="2" t="s">
        <v>197</v>
      </c>
      <c r="E364" s="2" t="s">
        <v>198</v>
      </c>
      <c r="F364" s="2" t="s">
        <v>2602</v>
      </c>
      <c r="G364" s="2" t="s">
        <v>2602</v>
      </c>
      <c r="H364" s="2" t="s">
        <v>2602</v>
      </c>
      <c r="I364" s="2" t="s">
        <v>198</v>
      </c>
      <c r="J364" s="2" t="s">
        <v>256</v>
      </c>
      <c r="K364" s="2" t="s">
        <v>1153</v>
      </c>
      <c r="L364" s="3">
        <v>12.85</v>
      </c>
      <c r="M364" s="3">
        <v>13.49</v>
      </c>
      <c r="N364" s="3">
        <v>29.99</v>
      </c>
      <c r="O364" s="2" t="s">
        <v>212</v>
      </c>
      <c r="P364" s="2" t="s">
        <v>258</v>
      </c>
      <c r="Q364" s="2" t="s">
        <v>206</v>
      </c>
      <c r="R364" s="2" t="s">
        <v>200</v>
      </c>
      <c r="S364" s="2" t="s">
        <v>2622</v>
      </c>
      <c r="T364" s="2" t="s">
        <v>2604</v>
      </c>
      <c r="U364" s="2" t="s">
        <v>270</v>
      </c>
      <c r="V364" s="2" t="s">
        <v>885</v>
      </c>
      <c r="W364" s="2" t="s">
        <v>736</v>
      </c>
      <c r="X364" s="2" t="s">
        <v>419</v>
      </c>
      <c r="Y364" s="2" t="s">
        <v>2516</v>
      </c>
      <c r="Z364" s="4">
        <v>253</v>
      </c>
      <c r="AA364" s="4">
        <f>=ROUNDDOWN(84.3333333333333,0)</f>
      </c>
      <c r="AB364" s="5">
        <v>3</v>
      </c>
      <c r="AC364" s="2" t="s">
        <v>1435</v>
      </c>
      <c r="AD364" s="4">
        <v>170</v>
      </c>
      <c r="AE364" s="4">
        <v>170</v>
      </c>
      <c r="AF364" s="6">
        <v>65</v>
      </c>
      <c r="AG364" s="6"/>
      <c r="AH364" s="7">
        <v>1</v>
      </c>
      <c r="AI364" s="4"/>
      <c r="AJ364" s="4">
        <f>=ROUNDDOWN({0},0)</f>
      </c>
      <c r="AK364" s="5"/>
      <c r="AL364" s="2" t="s">
        <v>200</v>
      </c>
      <c r="AM364" s="4"/>
      <c r="AN364" s="4"/>
      <c r="AO364" s="7"/>
      <c r="AP364" s="4"/>
      <c r="AQ364" s="8"/>
      <c r="AR364" s="4"/>
      <c r="AS364" s="8"/>
      <c r="AT364" s="7"/>
      <c r="AU364" s="7"/>
      <c r="AV364" s="4" t="s">
        <v>200</v>
      </c>
      <c r="AW364" s="8" t="s">
        <v>200</v>
      </c>
      <c r="AX364" s="4" t="s">
        <v>200</v>
      </c>
      <c r="AY364" s="8" t="s">
        <v>200</v>
      </c>
      <c r="AZ364" s="7" t="s">
        <v>200</v>
      </c>
      <c r="BA364" s="7" t="s">
        <v>200</v>
      </c>
      <c r="BB364" s="7"/>
      <c r="BC364" s="4" t="s">
        <v>200</v>
      </c>
      <c r="BD364" s="8" t="s">
        <v>200</v>
      </c>
      <c r="BE364" s="4" t="s">
        <v>200</v>
      </c>
      <c r="BF364" s="8" t="s">
        <v>200</v>
      </c>
      <c r="BG364" s="7" t="s">
        <v>200</v>
      </c>
      <c r="BH364" s="7" t="s">
        <v>200</v>
      </c>
      <c r="BI364" s="7"/>
      <c r="BJ364" s="4">
        <v>20</v>
      </c>
      <c r="BK364" s="8">
        <v>287.92</v>
      </c>
      <c r="BL364" s="2" t="s">
        <v>448</v>
      </c>
      <c r="BM364" s="7"/>
      <c r="BN364" s="7"/>
      <c r="BO364" s="4"/>
      <c r="BP364" s="8"/>
      <c r="BQ364" s="4"/>
      <c r="BR364" s="8"/>
      <c r="BS364" s="7"/>
      <c r="BT364" s="7"/>
      <c r="BU364" s="2" t="s">
        <v>2623</v>
      </c>
      <c r="BV364" s="2" t="s">
        <v>200</v>
      </c>
      <c r="BW364" s="2" t="s">
        <v>200</v>
      </c>
      <c r="BX364" s="2" t="s">
        <v>264</v>
      </c>
      <c r="BY364" s="2" t="s">
        <v>247</v>
      </c>
      <c r="BZ364" s="2" t="s">
        <v>212</v>
      </c>
      <c r="CA364" s="2" t="s">
        <v>2516</v>
      </c>
      <c r="CB364" s="2" t="s">
        <v>200</v>
      </c>
      <c r="CC364" s="2" t="s">
        <v>213</v>
      </c>
      <c r="CD364" s="2" t="s">
        <v>200</v>
      </c>
      <c r="CE364" s="4">
        <v>253</v>
      </c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>
        <v>170</v>
      </c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</row>
    <row r="365">
      <c r="A365" s="2" t="s">
        <v>2624</v>
      </c>
      <c r="B365" s="2" t="s">
        <v>195</v>
      </c>
      <c r="C365" s="2" t="s">
        <v>231</v>
      </c>
      <c r="D365" s="2" t="s">
        <v>197</v>
      </c>
      <c r="E365" s="2" t="s">
        <v>198</v>
      </c>
      <c r="F365" s="2" t="s">
        <v>2602</v>
      </c>
      <c r="G365" s="2" t="s">
        <v>2602</v>
      </c>
      <c r="H365" s="2" t="s">
        <v>2602</v>
      </c>
      <c r="I365" s="2" t="s">
        <v>198</v>
      </c>
      <c r="J365" s="2" t="s">
        <v>612</v>
      </c>
      <c r="K365" s="2" t="s">
        <v>1153</v>
      </c>
      <c r="L365" s="3">
        <v>16</v>
      </c>
      <c r="M365" s="3">
        <v>16.8</v>
      </c>
      <c r="N365" s="3">
        <v>34.99</v>
      </c>
      <c r="O365" s="2" t="s">
        <v>212</v>
      </c>
      <c r="P365" s="2" t="s">
        <v>258</v>
      </c>
      <c r="Q365" s="2" t="s">
        <v>206</v>
      </c>
      <c r="R365" s="2" t="s">
        <v>200</v>
      </c>
      <c r="S365" s="2" t="s">
        <v>2622</v>
      </c>
      <c r="T365" s="2" t="s">
        <v>2604</v>
      </c>
      <c r="U365" s="2" t="s">
        <v>270</v>
      </c>
      <c r="V365" s="2" t="s">
        <v>885</v>
      </c>
      <c r="W365" s="2" t="s">
        <v>736</v>
      </c>
      <c r="X365" s="2" t="s">
        <v>419</v>
      </c>
      <c r="Y365" s="2" t="s">
        <v>2609</v>
      </c>
      <c r="Z365" s="4">
        <v>247</v>
      </c>
      <c r="AA365" s="4">
        <f>=ROUNDDOWN(61.75,0)</f>
      </c>
      <c r="AB365" s="5">
        <v>4</v>
      </c>
      <c r="AC365" s="2" t="s">
        <v>1435</v>
      </c>
      <c r="AD365" s="4">
        <v>190</v>
      </c>
      <c r="AE365" s="4">
        <v>190</v>
      </c>
      <c r="AF365" s="6">
        <v>65</v>
      </c>
      <c r="AG365" s="6"/>
      <c r="AH365" s="7">
        <v>1</v>
      </c>
      <c r="AI365" s="4"/>
      <c r="AJ365" s="4">
        <f>=ROUNDDOWN({0},0)</f>
      </c>
      <c r="AK365" s="5"/>
      <c r="AL365" s="2" t="s">
        <v>200</v>
      </c>
      <c r="AM365" s="4"/>
      <c r="AN365" s="4"/>
      <c r="AO365" s="7"/>
      <c r="AP365" s="4"/>
      <c r="AQ365" s="8"/>
      <c r="AR365" s="4"/>
      <c r="AS365" s="8"/>
      <c r="AT365" s="7"/>
      <c r="AU365" s="7"/>
      <c r="AV365" s="4" t="s">
        <v>200</v>
      </c>
      <c r="AW365" s="8" t="s">
        <v>200</v>
      </c>
      <c r="AX365" s="4" t="s">
        <v>200</v>
      </c>
      <c r="AY365" s="8" t="s">
        <v>200</v>
      </c>
      <c r="AZ365" s="7" t="s">
        <v>200</v>
      </c>
      <c r="BA365" s="7" t="s">
        <v>200</v>
      </c>
      <c r="BB365" s="7"/>
      <c r="BC365" s="4" t="s">
        <v>200</v>
      </c>
      <c r="BD365" s="8" t="s">
        <v>200</v>
      </c>
      <c r="BE365" s="4" t="s">
        <v>200</v>
      </c>
      <c r="BF365" s="8" t="s">
        <v>200</v>
      </c>
      <c r="BG365" s="7" t="s">
        <v>200</v>
      </c>
      <c r="BH365" s="7" t="s">
        <v>200</v>
      </c>
      <c r="BI365" s="7"/>
      <c r="BJ365" s="4">
        <v>41</v>
      </c>
      <c r="BK365" s="8">
        <v>734.58</v>
      </c>
      <c r="BL365" s="2" t="s">
        <v>272</v>
      </c>
      <c r="BM365" s="7"/>
      <c r="BN365" s="7"/>
      <c r="BO365" s="4"/>
      <c r="BP365" s="8"/>
      <c r="BQ365" s="4"/>
      <c r="BR365" s="8"/>
      <c r="BS365" s="7"/>
      <c r="BT365" s="7"/>
      <c r="BU365" s="2" t="s">
        <v>2625</v>
      </c>
      <c r="BV365" s="2" t="s">
        <v>200</v>
      </c>
      <c r="BW365" s="2" t="s">
        <v>200</v>
      </c>
      <c r="BX365" s="2" t="s">
        <v>264</v>
      </c>
      <c r="BY365" s="2" t="s">
        <v>247</v>
      </c>
      <c r="BZ365" s="2" t="s">
        <v>212</v>
      </c>
      <c r="CA365" s="2" t="s">
        <v>2516</v>
      </c>
      <c r="CB365" s="2" t="s">
        <v>2626</v>
      </c>
      <c r="CC365" s="2" t="s">
        <v>213</v>
      </c>
      <c r="CD365" s="2" t="s">
        <v>200</v>
      </c>
      <c r="CE365" s="4">
        <v>247</v>
      </c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>
        <v>190</v>
      </c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</row>
    <row r="366">
      <c r="A366" s="2" t="s">
        <v>2627</v>
      </c>
      <c r="B366" s="2" t="s">
        <v>932</v>
      </c>
      <c r="C366" s="2" t="s">
        <v>877</v>
      </c>
      <c r="D366" s="2" t="s">
        <v>918</v>
      </c>
      <c r="E366" s="2" t="s">
        <v>934</v>
      </c>
      <c r="F366" s="2" t="s">
        <v>2628</v>
      </c>
      <c r="G366" s="2" t="s">
        <v>906</v>
      </c>
      <c r="H366" s="2" t="s">
        <v>2629</v>
      </c>
      <c r="I366" s="2" t="s">
        <v>2630</v>
      </c>
      <c r="J366" s="2" t="s">
        <v>924</v>
      </c>
      <c r="K366" s="2" t="s">
        <v>660</v>
      </c>
      <c r="L366" s="3">
        <v>31.5</v>
      </c>
      <c r="M366" s="3">
        <v>33.08</v>
      </c>
      <c r="N366" s="3">
        <v>74.99</v>
      </c>
      <c r="O366" s="2" t="s">
        <v>212</v>
      </c>
      <c r="P366" s="2" t="s">
        <v>258</v>
      </c>
      <c r="Q366" s="2" t="s">
        <v>206</v>
      </c>
      <c r="R366" s="2" t="s">
        <v>200</v>
      </c>
      <c r="S366" s="2" t="s">
        <v>2631</v>
      </c>
      <c r="T366" s="2" t="s">
        <v>378</v>
      </c>
      <c r="U366" s="2" t="s">
        <v>240</v>
      </c>
      <c r="V366" s="2" t="s">
        <v>724</v>
      </c>
      <c r="W366" s="2" t="s">
        <v>379</v>
      </c>
      <c r="X366" s="2" t="s">
        <v>241</v>
      </c>
      <c r="Y366" s="2" t="s">
        <v>2632</v>
      </c>
      <c r="Z366" s="4">
        <v>285</v>
      </c>
      <c r="AA366" s="4">
        <f>=ROUNDDOWN(71.25,0)</f>
      </c>
      <c r="AB366" s="5">
        <v>4</v>
      </c>
      <c r="AC366" s="2" t="s">
        <v>200</v>
      </c>
      <c r="AD366" s="4"/>
      <c r="AE366" s="4"/>
      <c r="AF366" s="6">
        <v>65</v>
      </c>
      <c r="AG366" s="6"/>
      <c r="AH366" s="7">
        <v>1</v>
      </c>
      <c r="AI366" s="4"/>
      <c r="AJ366" s="4">
        <f>=ROUNDDOWN({0},0)</f>
      </c>
      <c r="AK366" s="5"/>
      <c r="AL366" s="2" t="s">
        <v>200</v>
      </c>
      <c r="AM366" s="4"/>
      <c r="AN366" s="4"/>
      <c r="AO366" s="7"/>
      <c r="AP366" s="4"/>
      <c r="AQ366" s="8"/>
      <c r="AR366" s="4"/>
      <c r="AS366" s="8"/>
      <c r="AT366" s="7"/>
      <c r="AU366" s="7"/>
      <c r="AV366" s="4"/>
      <c r="AW366" s="8"/>
      <c r="AX366" s="4"/>
      <c r="AY366" s="8"/>
      <c r="AZ366" s="7"/>
      <c r="BA366" s="7"/>
      <c r="BB366" s="7"/>
      <c r="BC366" s="4" t="s">
        <v>200</v>
      </c>
      <c r="BD366" s="8" t="s">
        <v>200</v>
      </c>
      <c r="BE366" s="4" t="s">
        <v>200</v>
      </c>
      <c r="BF366" s="8" t="s">
        <v>200</v>
      </c>
      <c r="BG366" s="7" t="s">
        <v>200</v>
      </c>
      <c r="BH366" s="7" t="s">
        <v>200</v>
      </c>
      <c r="BI366" s="7"/>
      <c r="BJ366" s="4">
        <v>4</v>
      </c>
      <c r="BK366" s="8">
        <v>131.64</v>
      </c>
      <c r="BL366" s="2" t="s">
        <v>2633</v>
      </c>
      <c r="BM366" s="7"/>
      <c r="BN366" s="7"/>
      <c r="BO366" s="4"/>
      <c r="BP366" s="8"/>
      <c r="BQ366" s="4"/>
      <c r="BR366" s="8"/>
      <c r="BS366" s="7"/>
      <c r="BT366" s="7"/>
      <c r="BU366" s="2" t="s">
        <v>2634</v>
      </c>
      <c r="BV366" s="2" t="s">
        <v>200</v>
      </c>
      <c r="BW366" s="2" t="s">
        <v>200</v>
      </c>
      <c r="BX366" s="2" t="s">
        <v>264</v>
      </c>
      <c r="BY366" s="2" t="s">
        <v>247</v>
      </c>
      <c r="BZ366" s="2" t="s">
        <v>212</v>
      </c>
      <c r="CA366" s="2" t="s">
        <v>2632</v>
      </c>
      <c r="CB366" s="2" t="s">
        <v>468</v>
      </c>
      <c r="CC366" s="2" t="s">
        <v>213</v>
      </c>
      <c r="CD366" s="2" t="s">
        <v>200</v>
      </c>
      <c r="CE366" s="4">
        <v>285</v>
      </c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</row>
    <row r="367">
      <c r="A367" s="2" t="s">
        <v>2635</v>
      </c>
      <c r="B367" s="2" t="s">
        <v>932</v>
      </c>
      <c r="C367" s="2" t="s">
        <v>877</v>
      </c>
      <c r="D367" s="2" t="s">
        <v>608</v>
      </c>
      <c r="E367" s="2" t="s">
        <v>609</v>
      </c>
      <c r="F367" s="2" t="s">
        <v>2628</v>
      </c>
      <c r="G367" s="2" t="s">
        <v>906</v>
      </c>
      <c r="H367" s="2" t="s">
        <v>2629</v>
      </c>
      <c r="I367" s="2" t="s">
        <v>2636</v>
      </c>
      <c r="J367" s="2" t="s">
        <v>1390</v>
      </c>
      <c r="K367" s="2" t="s">
        <v>1214</v>
      </c>
      <c r="L367" s="3">
        <v>31.25</v>
      </c>
      <c r="M367" s="3">
        <v>32.81</v>
      </c>
      <c r="N367" s="3">
        <v>69.99</v>
      </c>
      <c r="O367" s="2" t="s">
        <v>212</v>
      </c>
      <c r="P367" s="2" t="s">
        <v>258</v>
      </c>
      <c r="Q367" s="2" t="s">
        <v>206</v>
      </c>
      <c r="R367" s="2" t="s">
        <v>200</v>
      </c>
      <c r="S367" s="2" t="s">
        <v>2637</v>
      </c>
      <c r="T367" s="2" t="s">
        <v>378</v>
      </c>
      <c r="U367" s="2" t="s">
        <v>454</v>
      </c>
      <c r="V367" s="2" t="s">
        <v>724</v>
      </c>
      <c r="W367" s="2" t="s">
        <v>379</v>
      </c>
      <c r="X367" s="2" t="s">
        <v>241</v>
      </c>
      <c r="Y367" s="2" t="s">
        <v>2638</v>
      </c>
      <c r="Z367" s="4">
        <v>207</v>
      </c>
      <c r="AA367" s="4">
        <f>=ROUNDDOWN(76.6666666666667,0)</f>
      </c>
      <c r="AB367" s="5">
        <v>2.7</v>
      </c>
      <c r="AC367" s="2" t="s">
        <v>200</v>
      </c>
      <c r="AD367" s="4"/>
      <c r="AE367" s="4"/>
      <c r="AF367" s="6">
        <v>65</v>
      </c>
      <c r="AG367" s="6"/>
      <c r="AH367" s="7">
        <v>1</v>
      </c>
      <c r="AI367" s="4"/>
      <c r="AJ367" s="4">
        <f>=ROUNDDOWN({0},0)</f>
      </c>
      <c r="AK367" s="5"/>
      <c r="AL367" s="2" t="s">
        <v>200</v>
      </c>
      <c r="AM367" s="4"/>
      <c r="AN367" s="4"/>
      <c r="AO367" s="7"/>
      <c r="AP367" s="4"/>
      <c r="AQ367" s="8"/>
      <c r="AR367" s="4"/>
      <c r="AS367" s="8"/>
      <c r="AT367" s="7"/>
      <c r="AU367" s="7"/>
      <c r="AV367" s="4" t="s">
        <v>200</v>
      </c>
      <c r="AW367" s="8" t="s">
        <v>200</v>
      </c>
      <c r="AX367" s="4" t="s">
        <v>200</v>
      </c>
      <c r="AY367" s="8" t="s">
        <v>200</v>
      </c>
      <c r="AZ367" s="7" t="s">
        <v>200</v>
      </c>
      <c r="BA367" s="7" t="s">
        <v>200</v>
      </c>
      <c r="BB367" s="7" t="s">
        <v>200</v>
      </c>
      <c r="BC367" s="4" t="s">
        <v>200</v>
      </c>
      <c r="BD367" s="8" t="s">
        <v>200</v>
      </c>
      <c r="BE367" s="4" t="s">
        <v>200</v>
      </c>
      <c r="BF367" s="8" t="s">
        <v>200</v>
      </c>
      <c r="BG367" s="7" t="s">
        <v>200</v>
      </c>
      <c r="BH367" s="7" t="s">
        <v>200</v>
      </c>
      <c r="BI367" s="7"/>
      <c r="BJ367" s="4">
        <v>23</v>
      </c>
      <c r="BK367" s="8">
        <v>738.49</v>
      </c>
      <c r="BL367" s="2" t="s">
        <v>2639</v>
      </c>
      <c r="BM367" s="7"/>
      <c r="BN367" s="7"/>
      <c r="BO367" s="4"/>
      <c r="BP367" s="8"/>
      <c r="BQ367" s="4"/>
      <c r="BR367" s="8"/>
      <c r="BS367" s="7"/>
      <c r="BT367" s="7"/>
      <c r="BU367" s="2" t="s">
        <v>2640</v>
      </c>
      <c r="BV367" s="2" t="s">
        <v>200</v>
      </c>
      <c r="BW367" s="2" t="s">
        <v>200</v>
      </c>
      <c r="BX367" s="2" t="s">
        <v>629</v>
      </c>
      <c r="BY367" s="2" t="s">
        <v>247</v>
      </c>
      <c r="BZ367" s="2" t="s">
        <v>212</v>
      </c>
      <c r="CA367" s="2" t="s">
        <v>2641</v>
      </c>
      <c r="CB367" s="2" t="s">
        <v>1373</v>
      </c>
      <c r="CC367" s="2" t="s">
        <v>213</v>
      </c>
      <c r="CD367" s="2" t="s">
        <v>200</v>
      </c>
      <c r="CE367" s="4">
        <v>207</v>
      </c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</row>
    <row r="368">
      <c r="A368" s="2" t="s">
        <v>2642</v>
      </c>
      <c r="B368" s="2" t="s">
        <v>932</v>
      </c>
      <c r="C368" s="2" t="s">
        <v>877</v>
      </c>
      <c r="D368" s="2" t="s">
        <v>918</v>
      </c>
      <c r="E368" s="2" t="s">
        <v>934</v>
      </c>
      <c r="F368" s="2" t="s">
        <v>2628</v>
      </c>
      <c r="G368" s="2" t="s">
        <v>906</v>
      </c>
      <c r="H368" s="2" t="s">
        <v>2629</v>
      </c>
      <c r="I368" s="2" t="s">
        <v>2630</v>
      </c>
      <c r="J368" s="2" t="s">
        <v>1390</v>
      </c>
      <c r="K368" s="2" t="s">
        <v>1214</v>
      </c>
      <c r="L368" s="3">
        <v>23.96</v>
      </c>
      <c r="M368" s="3">
        <v>25.16</v>
      </c>
      <c r="N368" s="3">
        <v>54.99</v>
      </c>
      <c r="O368" s="2" t="s">
        <v>212</v>
      </c>
      <c r="P368" s="2" t="s">
        <v>205</v>
      </c>
      <c r="Q368" s="2" t="s">
        <v>206</v>
      </c>
      <c r="R368" s="2" t="s">
        <v>200</v>
      </c>
      <c r="S368" s="2" t="s">
        <v>2637</v>
      </c>
      <c r="T368" s="2" t="s">
        <v>378</v>
      </c>
      <c r="U368" s="2" t="s">
        <v>454</v>
      </c>
      <c r="V368" s="2" t="s">
        <v>724</v>
      </c>
      <c r="W368" s="2" t="s">
        <v>379</v>
      </c>
      <c r="X368" s="2" t="s">
        <v>241</v>
      </c>
      <c r="Y368" s="2" t="s">
        <v>2643</v>
      </c>
      <c r="Z368" s="4">
        <v>22</v>
      </c>
      <c r="AA368" s="4">
        <f>=ROUNDDOWN(22,0)</f>
      </c>
      <c r="AB368" s="5">
        <v>1</v>
      </c>
      <c r="AC368" s="2" t="s">
        <v>200</v>
      </c>
      <c r="AD368" s="4"/>
      <c r="AE368" s="4"/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200</v>
      </c>
      <c r="AM368" s="4"/>
      <c r="AN368" s="4"/>
      <c r="AO368" s="7"/>
      <c r="AP368" s="4"/>
      <c r="AQ368" s="8"/>
      <c r="AR368" s="4"/>
      <c r="AS368" s="8"/>
      <c r="AT368" s="7"/>
      <c r="AU368" s="7"/>
      <c r="AV368" s="4" t="s">
        <v>200</v>
      </c>
      <c r="AW368" s="8" t="s">
        <v>200</v>
      </c>
      <c r="AX368" s="4" t="s">
        <v>200</v>
      </c>
      <c r="AY368" s="8" t="s">
        <v>200</v>
      </c>
      <c r="AZ368" s="7" t="s">
        <v>200</v>
      </c>
      <c r="BA368" s="7" t="s">
        <v>200</v>
      </c>
      <c r="BB368" s="7" t="s">
        <v>200</v>
      </c>
      <c r="BC368" s="4" t="s">
        <v>200</v>
      </c>
      <c r="BD368" s="8" t="s">
        <v>200</v>
      </c>
      <c r="BE368" s="4" t="s">
        <v>200</v>
      </c>
      <c r="BF368" s="8" t="s">
        <v>200</v>
      </c>
      <c r="BG368" s="7" t="s">
        <v>200</v>
      </c>
      <c r="BH368" s="7" t="s">
        <v>200</v>
      </c>
      <c r="BI368" s="7"/>
      <c r="BJ368" s="4">
        <v>2</v>
      </c>
      <c r="BK368" s="8">
        <v>51.52</v>
      </c>
      <c r="BL368" s="2" t="s">
        <v>2436</v>
      </c>
      <c r="BM368" s="7"/>
      <c r="BN368" s="7"/>
      <c r="BO368" s="4"/>
      <c r="BP368" s="8"/>
      <c r="BQ368" s="4"/>
      <c r="BR368" s="8"/>
      <c r="BS368" s="7"/>
      <c r="BT368" s="7"/>
      <c r="BU368" s="2" t="s">
        <v>2644</v>
      </c>
      <c r="BV368" s="2" t="s">
        <v>200</v>
      </c>
      <c r="BW368" s="2" t="s">
        <v>200</v>
      </c>
      <c r="BX368" s="2" t="s">
        <v>264</v>
      </c>
      <c r="BY368" s="2" t="s">
        <v>247</v>
      </c>
      <c r="BZ368" s="2" t="s">
        <v>212</v>
      </c>
      <c r="CA368" s="2" t="s">
        <v>2641</v>
      </c>
      <c r="CB368" s="2" t="s">
        <v>200</v>
      </c>
      <c r="CC368" s="2" t="s">
        <v>213</v>
      </c>
      <c r="CD368" s="2" t="s">
        <v>200</v>
      </c>
      <c r="CE368" s="4">
        <v>22</v>
      </c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</row>
    <row r="369">
      <c r="A369" s="2" t="s">
        <v>2645</v>
      </c>
      <c r="B369" s="2" t="s">
        <v>932</v>
      </c>
      <c r="C369" s="2" t="s">
        <v>877</v>
      </c>
      <c r="D369" s="2" t="s">
        <v>918</v>
      </c>
      <c r="E369" s="2" t="s">
        <v>934</v>
      </c>
      <c r="F369" s="2" t="s">
        <v>2628</v>
      </c>
      <c r="G369" s="2" t="s">
        <v>906</v>
      </c>
      <c r="H369" s="2" t="s">
        <v>2629</v>
      </c>
      <c r="I369" s="2" t="s">
        <v>2630</v>
      </c>
      <c r="J369" s="2" t="s">
        <v>612</v>
      </c>
      <c r="K369" s="2" t="s">
        <v>1214</v>
      </c>
      <c r="L369" s="3">
        <v>28.76</v>
      </c>
      <c r="M369" s="3">
        <v>30.2</v>
      </c>
      <c r="N369" s="3">
        <v>64.99</v>
      </c>
      <c r="O369" s="2" t="s">
        <v>212</v>
      </c>
      <c r="P369" s="2" t="s">
        <v>205</v>
      </c>
      <c r="Q369" s="2" t="s">
        <v>206</v>
      </c>
      <c r="R369" s="2" t="s">
        <v>200</v>
      </c>
      <c r="S369" s="2" t="s">
        <v>2637</v>
      </c>
      <c r="T369" s="2" t="s">
        <v>378</v>
      </c>
      <c r="U369" s="2" t="s">
        <v>240</v>
      </c>
      <c r="V369" s="2" t="s">
        <v>724</v>
      </c>
      <c r="W369" s="2" t="s">
        <v>379</v>
      </c>
      <c r="X369" s="2" t="s">
        <v>241</v>
      </c>
      <c r="Y369" s="2" t="s">
        <v>2643</v>
      </c>
      <c r="Z369" s="4">
        <v>38</v>
      </c>
      <c r="AA369" s="4">
        <f>=ROUNDDOWN(20,0)</f>
      </c>
      <c r="AB369" s="5">
        <v>1.9</v>
      </c>
      <c r="AC369" s="2" t="s">
        <v>200</v>
      </c>
      <c r="AD369" s="4"/>
      <c r="AE369" s="4"/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200</v>
      </c>
      <c r="AM369" s="4"/>
      <c r="AN369" s="4"/>
      <c r="AO369" s="7"/>
      <c r="AP369" s="4"/>
      <c r="AQ369" s="8"/>
      <c r="AR369" s="4"/>
      <c r="AS369" s="8"/>
      <c r="AT369" s="7"/>
      <c r="AU369" s="7"/>
      <c r="AV369" s="4" t="s">
        <v>200</v>
      </c>
      <c r="AW369" s="8" t="s">
        <v>200</v>
      </c>
      <c r="AX369" s="4" t="s">
        <v>200</v>
      </c>
      <c r="AY369" s="8" t="s">
        <v>200</v>
      </c>
      <c r="AZ369" s="7" t="s">
        <v>200</v>
      </c>
      <c r="BA369" s="7" t="s">
        <v>200</v>
      </c>
      <c r="BB369" s="7"/>
      <c r="BC369" s="4" t="s">
        <v>200</v>
      </c>
      <c r="BD369" s="8" t="s">
        <v>200</v>
      </c>
      <c r="BE369" s="4" t="s">
        <v>200</v>
      </c>
      <c r="BF369" s="8" t="s">
        <v>200</v>
      </c>
      <c r="BG369" s="7" t="s">
        <v>200</v>
      </c>
      <c r="BH369" s="7" t="s">
        <v>200</v>
      </c>
      <c r="BI369" s="7"/>
      <c r="BJ369" s="4">
        <v>5</v>
      </c>
      <c r="BK369" s="8">
        <v>159.17</v>
      </c>
      <c r="BL369" s="2" t="s">
        <v>2202</v>
      </c>
      <c r="BM369" s="7"/>
      <c r="BN369" s="7"/>
      <c r="BO369" s="4"/>
      <c r="BP369" s="8"/>
      <c r="BQ369" s="4"/>
      <c r="BR369" s="8"/>
      <c r="BS369" s="7"/>
      <c r="BT369" s="7"/>
      <c r="BU369" s="2" t="s">
        <v>2646</v>
      </c>
      <c r="BV369" s="2" t="s">
        <v>200</v>
      </c>
      <c r="BW369" s="2" t="s">
        <v>200</v>
      </c>
      <c r="BX369" s="2" t="s">
        <v>264</v>
      </c>
      <c r="BY369" s="2" t="s">
        <v>247</v>
      </c>
      <c r="BZ369" s="2" t="s">
        <v>212</v>
      </c>
      <c r="CA369" s="2" t="s">
        <v>2641</v>
      </c>
      <c r="CB369" s="2" t="s">
        <v>916</v>
      </c>
      <c r="CC369" s="2" t="s">
        <v>213</v>
      </c>
      <c r="CD369" s="2" t="s">
        <v>200</v>
      </c>
      <c r="CE369" s="4">
        <v>38</v>
      </c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</row>
    <row r="370">
      <c r="A370" s="2" t="s">
        <v>2647</v>
      </c>
      <c r="B370" s="2" t="s">
        <v>932</v>
      </c>
      <c r="C370" s="2" t="s">
        <v>877</v>
      </c>
      <c r="D370" s="2" t="s">
        <v>918</v>
      </c>
      <c r="E370" s="2" t="s">
        <v>934</v>
      </c>
      <c r="F370" s="2" t="s">
        <v>2628</v>
      </c>
      <c r="G370" s="2" t="s">
        <v>906</v>
      </c>
      <c r="H370" s="2" t="s">
        <v>2629</v>
      </c>
      <c r="I370" s="2" t="s">
        <v>2630</v>
      </c>
      <c r="J370" s="2" t="s">
        <v>924</v>
      </c>
      <c r="K370" s="2" t="s">
        <v>1214</v>
      </c>
      <c r="L370" s="3">
        <v>31.5</v>
      </c>
      <c r="M370" s="3">
        <v>33.08</v>
      </c>
      <c r="N370" s="3">
        <v>74.99</v>
      </c>
      <c r="O370" s="2" t="s">
        <v>212</v>
      </c>
      <c r="P370" s="2" t="s">
        <v>205</v>
      </c>
      <c r="Q370" s="2" t="s">
        <v>206</v>
      </c>
      <c r="R370" s="2" t="s">
        <v>200</v>
      </c>
      <c r="S370" s="2" t="s">
        <v>2637</v>
      </c>
      <c r="T370" s="2" t="s">
        <v>378</v>
      </c>
      <c r="U370" s="2" t="s">
        <v>240</v>
      </c>
      <c r="V370" s="2" t="s">
        <v>724</v>
      </c>
      <c r="W370" s="2" t="s">
        <v>379</v>
      </c>
      <c r="X370" s="2" t="s">
        <v>241</v>
      </c>
      <c r="Y370" s="2" t="s">
        <v>2643</v>
      </c>
      <c r="Z370" s="4">
        <v>32</v>
      </c>
      <c r="AA370" s="4">
        <f>=ROUNDDOWN(16,0)</f>
      </c>
      <c r="AB370" s="5">
        <v>2</v>
      </c>
      <c r="AC370" s="2" t="s">
        <v>200</v>
      </c>
      <c r="AD370" s="4"/>
      <c r="AE370" s="4"/>
      <c r="AF370" s="6">
        <v>65</v>
      </c>
      <c r="AG370" s="6"/>
      <c r="AH370" s="7">
        <v>1</v>
      </c>
      <c r="AI370" s="4"/>
      <c r="AJ370" s="4">
        <f>=ROUNDDOWN({0},0)</f>
      </c>
      <c r="AK370" s="5"/>
      <c r="AL370" s="2" t="s">
        <v>200</v>
      </c>
      <c r="AM370" s="4"/>
      <c r="AN370" s="4"/>
      <c r="AO370" s="7"/>
      <c r="AP370" s="4"/>
      <c r="AQ370" s="8"/>
      <c r="AR370" s="4"/>
      <c r="AS370" s="8"/>
      <c r="AT370" s="7"/>
      <c r="AU370" s="7"/>
      <c r="AV370" s="4" t="s">
        <v>200</v>
      </c>
      <c r="AW370" s="8" t="s">
        <v>200</v>
      </c>
      <c r="AX370" s="4" t="s">
        <v>200</v>
      </c>
      <c r="AY370" s="8" t="s">
        <v>200</v>
      </c>
      <c r="AZ370" s="7" t="s">
        <v>200</v>
      </c>
      <c r="BA370" s="7" t="s">
        <v>200</v>
      </c>
      <c r="BB370" s="7"/>
      <c r="BC370" s="4" t="s">
        <v>200</v>
      </c>
      <c r="BD370" s="8" t="s">
        <v>200</v>
      </c>
      <c r="BE370" s="4" t="s">
        <v>200</v>
      </c>
      <c r="BF370" s="8" t="s">
        <v>200</v>
      </c>
      <c r="BG370" s="7" t="s">
        <v>200</v>
      </c>
      <c r="BH370" s="7" t="s">
        <v>200</v>
      </c>
      <c r="BI370" s="7"/>
      <c r="BJ370" s="4">
        <v>1</v>
      </c>
      <c r="BK370" s="8">
        <v>35.72</v>
      </c>
      <c r="BL370" s="2" t="s">
        <v>1292</v>
      </c>
      <c r="BM370" s="7"/>
      <c r="BN370" s="7"/>
      <c r="BO370" s="4"/>
      <c r="BP370" s="8"/>
      <c r="BQ370" s="4"/>
      <c r="BR370" s="8"/>
      <c r="BS370" s="7"/>
      <c r="BT370" s="7"/>
      <c r="BU370" s="2" t="s">
        <v>2648</v>
      </c>
      <c r="BV370" s="2" t="s">
        <v>200</v>
      </c>
      <c r="BW370" s="2" t="s">
        <v>200</v>
      </c>
      <c r="BX370" s="2" t="s">
        <v>264</v>
      </c>
      <c r="BY370" s="2" t="s">
        <v>247</v>
      </c>
      <c r="BZ370" s="2" t="s">
        <v>212</v>
      </c>
      <c r="CA370" s="2" t="s">
        <v>2641</v>
      </c>
      <c r="CB370" s="2" t="s">
        <v>200</v>
      </c>
      <c r="CC370" s="2" t="s">
        <v>213</v>
      </c>
      <c r="CD370" s="2" t="s">
        <v>200</v>
      </c>
      <c r="CE370" s="4">
        <v>32</v>
      </c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</row>
    <row r="371">
      <c r="A371" s="2" t="s">
        <v>2649</v>
      </c>
      <c r="B371" s="2" t="s">
        <v>932</v>
      </c>
      <c r="C371" s="2" t="s">
        <v>877</v>
      </c>
      <c r="D371" s="2" t="s">
        <v>918</v>
      </c>
      <c r="E371" s="2" t="s">
        <v>934</v>
      </c>
      <c r="F371" s="2" t="s">
        <v>2628</v>
      </c>
      <c r="G371" s="2" t="s">
        <v>906</v>
      </c>
      <c r="H371" s="2" t="s">
        <v>2629</v>
      </c>
      <c r="I371" s="2" t="s">
        <v>2630</v>
      </c>
      <c r="J371" s="2" t="s">
        <v>924</v>
      </c>
      <c r="K371" s="2" t="s">
        <v>1257</v>
      </c>
      <c r="L371" s="3">
        <v>31.5</v>
      </c>
      <c r="M371" s="3">
        <v>33.08</v>
      </c>
      <c r="N371" s="3">
        <v>74.99</v>
      </c>
      <c r="O371" s="2" t="s">
        <v>212</v>
      </c>
      <c r="P371" s="2" t="s">
        <v>258</v>
      </c>
      <c r="Q371" s="2" t="s">
        <v>206</v>
      </c>
      <c r="R371" s="2" t="s">
        <v>200</v>
      </c>
      <c r="S371" s="2" t="s">
        <v>2650</v>
      </c>
      <c r="T371" s="2" t="s">
        <v>378</v>
      </c>
      <c r="U371" s="2" t="s">
        <v>240</v>
      </c>
      <c r="V371" s="2" t="s">
        <v>724</v>
      </c>
      <c r="W371" s="2" t="s">
        <v>379</v>
      </c>
      <c r="X371" s="2" t="s">
        <v>241</v>
      </c>
      <c r="Y371" s="2" t="s">
        <v>1384</v>
      </c>
      <c r="Z371" s="4">
        <v>213</v>
      </c>
      <c r="AA371" s="4">
        <f>=ROUNDDOWN(71,0)</f>
      </c>
      <c r="AB371" s="5">
        <v>3</v>
      </c>
      <c r="AC371" s="2" t="s">
        <v>200</v>
      </c>
      <c r="AD371" s="4"/>
      <c r="AE371" s="4"/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200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/>
      <c r="AW371" s="8"/>
      <c r="AX371" s="4"/>
      <c r="AY371" s="8"/>
      <c r="AZ371" s="7"/>
      <c r="BA371" s="7"/>
      <c r="BB371" s="7"/>
      <c r="BC371" s="4" t="s">
        <v>200</v>
      </c>
      <c r="BD371" s="8" t="s">
        <v>200</v>
      </c>
      <c r="BE371" s="4" t="s">
        <v>200</v>
      </c>
      <c r="BF371" s="8" t="s">
        <v>200</v>
      </c>
      <c r="BG371" s="7" t="s">
        <v>200</v>
      </c>
      <c r="BH371" s="7" t="s">
        <v>200</v>
      </c>
      <c r="BI371" s="7"/>
      <c r="BJ371" s="4">
        <v>4</v>
      </c>
      <c r="BK371" s="8">
        <v>142.56</v>
      </c>
      <c r="BL371" s="2" t="s">
        <v>2651</v>
      </c>
      <c r="BM371" s="7"/>
      <c r="BN371" s="7"/>
      <c r="BO371" s="4"/>
      <c r="BP371" s="8"/>
      <c r="BQ371" s="4"/>
      <c r="BR371" s="8"/>
      <c r="BS371" s="7"/>
      <c r="BT371" s="7"/>
      <c r="BU371" s="2" t="s">
        <v>2652</v>
      </c>
      <c r="BV371" s="2" t="s">
        <v>200</v>
      </c>
      <c r="BW371" s="2" t="s">
        <v>200</v>
      </c>
      <c r="BX371" s="2" t="s">
        <v>264</v>
      </c>
      <c r="BY371" s="2" t="s">
        <v>247</v>
      </c>
      <c r="BZ371" s="2" t="s">
        <v>212</v>
      </c>
      <c r="CA371" s="2" t="s">
        <v>2653</v>
      </c>
      <c r="CB371" s="2" t="s">
        <v>468</v>
      </c>
      <c r="CC371" s="2" t="s">
        <v>213</v>
      </c>
      <c r="CD371" s="2" t="s">
        <v>200</v>
      </c>
      <c r="CE371" s="4">
        <v>172</v>
      </c>
      <c r="CF371" s="4"/>
      <c r="CG371" s="4"/>
      <c r="CH371" s="4">
        <v>41</v>
      </c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</row>
    <row r="372">
      <c r="A372" s="2" t="s">
        <v>2654</v>
      </c>
      <c r="B372" s="2" t="s">
        <v>827</v>
      </c>
      <c r="C372" s="2" t="s">
        <v>1010</v>
      </c>
      <c r="D372" s="2" t="s">
        <v>828</v>
      </c>
      <c r="E372" s="2" t="s">
        <v>1011</v>
      </c>
      <c r="F372" s="2" t="s">
        <v>2655</v>
      </c>
      <c r="G372" s="2" t="s">
        <v>2656</v>
      </c>
      <c r="H372" s="2" t="s">
        <v>2657</v>
      </c>
      <c r="I372" s="2" t="s">
        <v>2658</v>
      </c>
      <c r="J372" s="2" t="s">
        <v>1057</v>
      </c>
      <c r="K372" s="2" t="s">
        <v>637</v>
      </c>
      <c r="L372" s="3">
        <v>27</v>
      </c>
      <c r="M372" s="3">
        <v>28.35</v>
      </c>
      <c r="N372" s="3">
        <v>59.99</v>
      </c>
      <c r="O372" s="2" t="s">
        <v>212</v>
      </c>
      <c r="P372" s="2" t="s">
        <v>1075</v>
      </c>
      <c r="Q372" s="2" t="s">
        <v>206</v>
      </c>
      <c r="R372" s="2" t="s">
        <v>200</v>
      </c>
      <c r="S372" s="2" t="s">
        <v>2659</v>
      </c>
      <c r="T372" s="2" t="s">
        <v>200</v>
      </c>
      <c r="U372" s="2" t="s">
        <v>270</v>
      </c>
      <c r="V372" s="2" t="s">
        <v>724</v>
      </c>
      <c r="W372" s="2" t="s">
        <v>242</v>
      </c>
      <c r="X372" s="2" t="s">
        <v>1020</v>
      </c>
      <c r="Y372" s="2" t="s">
        <v>2660</v>
      </c>
      <c r="Z372" s="4">
        <v>520</v>
      </c>
      <c r="AA372" s="4">
        <f>=ROUNDDOWN(20.8,0)</f>
      </c>
      <c r="AB372" s="5">
        <v>25</v>
      </c>
      <c r="AC372" s="2" t="s">
        <v>112</v>
      </c>
      <c r="AD372" s="4">
        <v>60</v>
      </c>
      <c r="AE372" s="4">
        <v>460</v>
      </c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200</v>
      </c>
      <c r="AM372" s="4"/>
      <c r="AN372" s="4"/>
      <c r="AO372" s="7"/>
      <c r="AP372" s="4"/>
      <c r="AQ372" s="8"/>
      <c r="AR372" s="4"/>
      <c r="AS372" s="8"/>
      <c r="AT372" s="7"/>
      <c r="AU372" s="7"/>
      <c r="AV372" s="4"/>
      <c r="AW372" s="8"/>
      <c r="AX372" s="4"/>
      <c r="AY372" s="8"/>
      <c r="AZ372" s="7"/>
      <c r="BA372" s="7"/>
      <c r="BB372" s="7"/>
      <c r="BC372" s="4" t="s">
        <v>200</v>
      </c>
      <c r="BD372" s="8" t="s">
        <v>200</v>
      </c>
      <c r="BE372" s="4" t="s">
        <v>200</v>
      </c>
      <c r="BF372" s="8" t="s">
        <v>200</v>
      </c>
      <c r="BG372" s="7" t="s">
        <v>200</v>
      </c>
      <c r="BH372" s="7" t="s">
        <v>200</v>
      </c>
      <c r="BI372" s="7"/>
      <c r="BJ372" s="4">
        <v>88</v>
      </c>
      <c r="BK372" s="8">
        <v>2531.94</v>
      </c>
      <c r="BL372" s="2" t="s">
        <v>2661</v>
      </c>
      <c r="BM372" s="7"/>
      <c r="BN372" s="7"/>
      <c r="BO372" s="4"/>
      <c r="BP372" s="8"/>
      <c r="BQ372" s="4"/>
      <c r="BR372" s="8"/>
      <c r="BS372" s="7"/>
      <c r="BT372" s="7"/>
      <c r="BU372" s="2" t="s">
        <v>2662</v>
      </c>
      <c r="BV372" s="2" t="s">
        <v>200</v>
      </c>
      <c r="BW372" s="2" t="s">
        <v>200</v>
      </c>
      <c r="BX372" s="2" t="s">
        <v>620</v>
      </c>
      <c r="BY372" s="2" t="s">
        <v>247</v>
      </c>
      <c r="BZ372" s="2" t="s">
        <v>212</v>
      </c>
      <c r="CA372" s="2" t="s">
        <v>2663</v>
      </c>
      <c r="CB372" s="2" t="s">
        <v>2664</v>
      </c>
      <c r="CC372" s="2" t="s">
        <v>213</v>
      </c>
      <c r="CD372" s="2" t="s">
        <v>200</v>
      </c>
      <c r="CE372" s="4">
        <v>520</v>
      </c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>
        <v>60</v>
      </c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>
        <v>140</v>
      </c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>
        <v>260</v>
      </c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</row>
    <row r="373">
      <c r="A373" s="2" t="s">
        <v>2665</v>
      </c>
      <c r="B373" s="2" t="s">
        <v>827</v>
      </c>
      <c r="C373" s="2" t="s">
        <v>1010</v>
      </c>
      <c r="D373" s="2" t="s">
        <v>828</v>
      </c>
      <c r="E373" s="2" t="s">
        <v>1011</v>
      </c>
      <c r="F373" s="2" t="s">
        <v>2655</v>
      </c>
      <c r="G373" s="2" t="s">
        <v>2656</v>
      </c>
      <c r="H373" s="2" t="s">
        <v>2657</v>
      </c>
      <c r="I373" s="2" t="s">
        <v>2658</v>
      </c>
      <c r="J373" s="2" t="s">
        <v>1016</v>
      </c>
      <c r="K373" s="2" t="s">
        <v>2666</v>
      </c>
      <c r="L373" s="3">
        <v>22.5</v>
      </c>
      <c r="M373" s="3">
        <v>23.62</v>
      </c>
      <c r="N373" s="3">
        <v>49.99</v>
      </c>
      <c r="O373" s="2" t="s">
        <v>212</v>
      </c>
      <c r="P373" s="2" t="s">
        <v>258</v>
      </c>
      <c r="Q373" s="2" t="s">
        <v>206</v>
      </c>
      <c r="R373" s="2" t="s">
        <v>200</v>
      </c>
      <c r="S373" s="2" t="s">
        <v>2667</v>
      </c>
      <c r="T373" s="2" t="s">
        <v>200</v>
      </c>
      <c r="U373" s="2" t="s">
        <v>270</v>
      </c>
      <c r="V373" s="2" t="s">
        <v>724</v>
      </c>
      <c r="W373" s="2" t="s">
        <v>242</v>
      </c>
      <c r="X373" s="2" t="s">
        <v>1020</v>
      </c>
      <c r="Y373" s="2" t="s">
        <v>2668</v>
      </c>
      <c r="Z373" s="4">
        <v>220</v>
      </c>
      <c r="AA373" s="4">
        <f>=ROUNDDOWN(22,0)</f>
      </c>
      <c r="AB373" s="5">
        <v>10</v>
      </c>
      <c r="AC373" s="2" t="s">
        <v>553</v>
      </c>
      <c r="AD373" s="4">
        <v>120</v>
      </c>
      <c r="AE373" s="4">
        <v>120</v>
      </c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200</v>
      </c>
      <c r="AM373" s="4"/>
      <c r="AN373" s="4"/>
      <c r="AO373" s="7"/>
      <c r="AP373" s="4"/>
      <c r="AQ373" s="8"/>
      <c r="AR373" s="4"/>
      <c r="AS373" s="8"/>
      <c r="AT373" s="7"/>
      <c r="AU373" s="7"/>
      <c r="AV373" s="4" t="s">
        <v>200</v>
      </c>
      <c r="AW373" s="8" t="s">
        <v>200</v>
      </c>
      <c r="AX373" s="4" t="s">
        <v>200</v>
      </c>
      <c r="AY373" s="8" t="s">
        <v>200</v>
      </c>
      <c r="AZ373" s="7" t="s">
        <v>200</v>
      </c>
      <c r="BA373" s="7" t="s">
        <v>200</v>
      </c>
      <c r="BB373" s="7"/>
      <c r="BC373" s="4" t="s">
        <v>200</v>
      </c>
      <c r="BD373" s="8" t="s">
        <v>200</v>
      </c>
      <c r="BE373" s="4" t="s">
        <v>200</v>
      </c>
      <c r="BF373" s="8" t="s">
        <v>200</v>
      </c>
      <c r="BG373" s="7" t="s">
        <v>200</v>
      </c>
      <c r="BH373" s="7" t="s">
        <v>200</v>
      </c>
      <c r="BI373" s="7"/>
      <c r="BJ373" s="4">
        <v>56</v>
      </c>
      <c r="BK373" s="8">
        <v>2027.83</v>
      </c>
      <c r="BL373" s="2" t="s">
        <v>2669</v>
      </c>
      <c r="BM373" s="7"/>
      <c r="BN373" s="7"/>
      <c r="BO373" s="4"/>
      <c r="BP373" s="8"/>
      <c r="BQ373" s="4"/>
      <c r="BR373" s="8"/>
      <c r="BS373" s="7"/>
      <c r="BT373" s="7"/>
      <c r="BU373" s="2" t="s">
        <v>2670</v>
      </c>
      <c r="BV373" s="2" t="s">
        <v>200</v>
      </c>
      <c r="BW373" s="2" t="s">
        <v>200</v>
      </c>
      <c r="BX373" s="2" t="s">
        <v>620</v>
      </c>
      <c r="BY373" s="2" t="s">
        <v>247</v>
      </c>
      <c r="BZ373" s="2" t="s">
        <v>212</v>
      </c>
      <c r="CA373" s="2" t="s">
        <v>2668</v>
      </c>
      <c r="CB373" s="2" t="s">
        <v>2671</v>
      </c>
      <c r="CC373" s="2" t="s">
        <v>213</v>
      </c>
      <c r="CD373" s="2" t="s">
        <v>200</v>
      </c>
      <c r="CE373" s="4">
        <v>220</v>
      </c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>
        <v>120</v>
      </c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</row>
    <row r="374">
      <c r="A374" s="2" t="s">
        <v>2672</v>
      </c>
      <c r="B374" s="2" t="s">
        <v>827</v>
      </c>
      <c r="C374" s="2" t="s">
        <v>1010</v>
      </c>
      <c r="D374" s="2" t="s">
        <v>828</v>
      </c>
      <c r="E374" s="2" t="s">
        <v>1011</v>
      </c>
      <c r="F374" s="2" t="s">
        <v>2655</v>
      </c>
      <c r="G374" s="2" t="s">
        <v>2656</v>
      </c>
      <c r="H374" s="2" t="s">
        <v>2657</v>
      </c>
      <c r="I374" s="2" t="s">
        <v>2658</v>
      </c>
      <c r="J374" s="2" t="s">
        <v>1242</v>
      </c>
      <c r="K374" s="2" t="s">
        <v>2666</v>
      </c>
      <c r="L374" s="3">
        <v>24.75</v>
      </c>
      <c r="M374" s="3">
        <v>25.99</v>
      </c>
      <c r="N374" s="3">
        <v>54.99</v>
      </c>
      <c r="O374" s="2" t="s">
        <v>212</v>
      </c>
      <c r="P374" s="2" t="s">
        <v>258</v>
      </c>
      <c r="Q374" s="2" t="s">
        <v>206</v>
      </c>
      <c r="R374" s="2" t="s">
        <v>200</v>
      </c>
      <c r="S374" s="2" t="s">
        <v>2667</v>
      </c>
      <c r="T374" s="2" t="s">
        <v>200</v>
      </c>
      <c r="U374" s="2" t="s">
        <v>270</v>
      </c>
      <c r="V374" s="2" t="s">
        <v>724</v>
      </c>
      <c r="W374" s="2" t="s">
        <v>242</v>
      </c>
      <c r="X374" s="2" t="s">
        <v>1020</v>
      </c>
      <c r="Y374" s="2" t="s">
        <v>2668</v>
      </c>
      <c r="Z374" s="4">
        <v>527</v>
      </c>
      <c r="AA374" s="4">
        <f>=ROUNDDOWN(52.7,0)</f>
      </c>
      <c r="AB374" s="5">
        <v>10</v>
      </c>
      <c r="AC374" s="2" t="s">
        <v>200</v>
      </c>
      <c r="AD374" s="4"/>
      <c r="AE374" s="4"/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200</v>
      </c>
      <c r="AM374" s="4"/>
      <c r="AN374" s="4"/>
      <c r="AO374" s="7"/>
      <c r="AP374" s="4"/>
      <c r="AQ374" s="8"/>
      <c r="AR374" s="4"/>
      <c r="AS374" s="8"/>
      <c r="AT374" s="7"/>
      <c r="AU374" s="7"/>
      <c r="AV374" s="4" t="s">
        <v>200</v>
      </c>
      <c r="AW374" s="8" t="s">
        <v>200</v>
      </c>
      <c r="AX374" s="4" t="s">
        <v>200</v>
      </c>
      <c r="AY374" s="8" t="s">
        <v>200</v>
      </c>
      <c r="AZ374" s="7" t="s">
        <v>200</v>
      </c>
      <c r="BA374" s="7" t="s">
        <v>200</v>
      </c>
      <c r="BB374" s="7"/>
      <c r="BC374" s="4" t="s">
        <v>200</v>
      </c>
      <c r="BD374" s="8" t="s">
        <v>200</v>
      </c>
      <c r="BE374" s="4" t="s">
        <v>200</v>
      </c>
      <c r="BF374" s="8" t="s">
        <v>200</v>
      </c>
      <c r="BG374" s="7" t="s">
        <v>200</v>
      </c>
      <c r="BH374" s="7" t="s">
        <v>200</v>
      </c>
      <c r="BI374" s="7"/>
      <c r="BJ374" s="4">
        <v>21</v>
      </c>
      <c r="BK374" s="8">
        <v>646.61</v>
      </c>
      <c r="BL374" s="2" t="s">
        <v>2673</v>
      </c>
      <c r="BM374" s="7"/>
      <c r="BN374" s="7"/>
      <c r="BO374" s="4"/>
      <c r="BP374" s="8"/>
      <c r="BQ374" s="4"/>
      <c r="BR374" s="8"/>
      <c r="BS374" s="7"/>
      <c r="BT374" s="7"/>
      <c r="BU374" s="2" t="s">
        <v>2674</v>
      </c>
      <c r="BV374" s="2" t="s">
        <v>200</v>
      </c>
      <c r="BW374" s="2" t="s">
        <v>200</v>
      </c>
      <c r="BX374" s="2" t="s">
        <v>620</v>
      </c>
      <c r="BY374" s="2" t="s">
        <v>247</v>
      </c>
      <c r="BZ374" s="2" t="s">
        <v>212</v>
      </c>
      <c r="CA374" s="2" t="s">
        <v>2668</v>
      </c>
      <c r="CB374" s="2" t="s">
        <v>2675</v>
      </c>
      <c r="CC374" s="2" t="s">
        <v>213</v>
      </c>
      <c r="CD374" s="2" t="s">
        <v>200</v>
      </c>
      <c r="CE374" s="4">
        <v>527</v>
      </c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</row>
    <row r="375">
      <c r="A375" s="2" t="s">
        <v>2676</v>
      </c>
      <c r="B375" s="2" t="s">
        <v>744</v>
      </c>
      <c r="C375" s="2" t="s">
        <v>730</v>
      </c>
      <c r="D375" s="2" t="s">
        <v>2677</v>
      </c>
      <c r="E375" s="2" t="s">
        <v>2678</v>
      </c>
      <c r="F375" s="2" t="s">
        <v>2679</v>
      </c>
      <c r="G375" s="2" t="s">
        <v>2679</v>
      </c>
      <c r="H375" s="2" t="s">
        <v>2679</v>
      </c>
      <c r="I375" s="2" t="s">
        <v>2680</v>
      </c>
      <c r="J375" s="2" t="s">
        <v>711</v>
      </c>
      <c r="K375" s="2" t="s">
        <v>857</v>
      </c>
      <c r="L375" s="3">
        <v>193.5</v>
      </c>
      <c r="M375" s="3">
        <v>203.18</v>
      </c>
      <c r="N375" s="3">
        <v>399</v>
      </c>
      <c r="O375" s="2" t="s">
        <v>212</v>
      </c>
      <c r="P375" s="2" t="s">
        <v>258</v>
      </c>
      <c r="Q375" s="2" t="s">
        <v>206</v>
      </c>
      <c r="R375" s="2" t="s">
        <v>200</v>
      </c>
      <c r="S375" s="2" t="s">
        <v>200</v>
      </c>
      <c r="T375" s="2" t="s">
        <v>200</v>
      </c>
      <c r="U375" s="2" t="s">
        <v>270</v>
      </c>
      <c r="V375" s="2" t="s">
        <v>208</v>
      </c>
      <c r="W375" s="2" t="s">
        <v>419</v>
      </c>
      <c r="X375" s="2" t="s">
        <v>737</v>
      </c>
      <c r="Y375" s="2" t="s">
        <v>2681</v>
      </c>
      <c r="Z375" s="4">
        <v>57</v>
      </c>
      <c r="AA375" s="4">
        <f>=ROUNDDOWN(14.25,0)</f>
      </c>
      <c r="AB375" s="5">
        <v>4</v>
      </c>
      <c r="AC375" s="2" t="s">
        <v>2682</v>
      </c>
      <c r="AD375" s="4">
        <v>100</v>
      </c>
      <c r="AE375" s="4">
        <v>100</v>
      </c>
      <c r="AF375" s="6">
        <v>69</v>
      </c>
      <c r="AG375" s="6">
        <v>52</v>
      </c>
      <c r="AH375" s="7">
        <v>1</v>
      </c>
      <c r="AI375" s="4"/>
      <c r="AJ375" s="4">
        <f>=ROUNDDOWN({0},0)</f>
      </c>
      <c r="AK375" s="5"/>
      <c r="AL375" s="2" t="s">
        <v>200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/>
      <c r="AW375" s="8"/>
      <c r="AX375" s="4"/>
      <c r="AY375" s="8"/>
      <c r="AZ375" s="7"/>
      <c r="BA375" s="7"/>
      <c r="BB375" s="7"/>
      <c r="BC375" s="4"/>
      <c r="BD375" s="8"/>
      <c r="BE375" s="4"/>
      <c r="BF375" s="8"/>
      <c r="BG375" s="7"/>
      <c r="BH375" s="7"/>
      <c r="BI375" s="7"/>
      <c r="BJ375" s="4">
        <v>29</v>
      </c>
      <c r="BK375" s="8">
        <v>5306.75</v>
      </c>
      <c r="BL375" s="2" t="s">
        <v>2683</v>
      </c>
      <c r="BM375" s="7"/>
      <c r="BN375" s="7"/>
      <c r="BO375" s="4"/>
      <c r="BP375" s="8"/>
      <c r="BQ375" s="4"/>
      <c r="BR375" s="8"/>
      <c r="BS375" s="7"/>
      <c r="BT375" s="7"/>
      <c r="BU375" s="2" t="s">
        <v>2684</v>
      </c>
      <c r="BV375" s="2" t="s">
        <v>200</v>
      </c>
      <c r="BW375" s="2" t="s">
        <v>200</v>
      </c>
      <c r="BX375" s="2" t="s">
        <v>264</v>
      </c>
      <c r="BY375" s="2" t="s">
        <v>247</v>
      </c>
      <c r="BZ375" s="2" t="s">
        <v>212</v>
      </c>
      <c r="CA375" s="2" t="s">
        <v>2681</v>
      </c>
      <c r="CB375" s="2" t="s">
        <v>2685</v>
      </c>
      <c r="CC375" s="2" t="s">
        <v>213</v>
      </c>
      <c r="CD375" s="2" t="s">
        <v>200</v>
      </c>
      <c r="CE375" s="4"/>
      <c r="CF375" s="4">
        <v>55</v>
      </c>
      <c r="CG375" s="4"/>
      <c r="CH375" s="4">
        <v>2</v>
      </c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>
        <v>100</v>
      </c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</row>
    <row r="376">
      <c r="A376" s="2" t="s">
        <v>2686</v>
      </c>
      <c r="B376" s="2" t="s">
        <v>903</v>
      </c>
      <c r="C376" s="2" t="s">
        <v>231</v>
      </c>
      <c r="D376" s="2" t="s">
        <v>1818</v>
      </c>
      <c r="E376" s="2" t="s">
        <v>1819</v>
      </c>
      <c r="F376" s="2" t="s">
        <v>2687</v>
      </c>
      <c r="G376" s="2" t="s">
        <v>2688</v>
      </c>
      <c r="H376" s="2" t="s">
        <v>896</v>
      </c>
      <c r="I376" s="2" t="s">
        <v>2689</v>
      </c>
      <c r="J376" s="2" t="s">
        <v>924</v>
      </c>
      <c r="K376" s="2" t="s">
        <v>257</v>
      </c>
      <c r="L376" s="3">
        <v>57.6</v>
      </c>
      <c r="M376" s="3">
        <v>60.47</v>
      </c>
      <c r="N376" s="3">
        <v>119.99</v>
      </c>
      <c r="O376" s="2" t="s">
        <v>212</v>
      </c>
      <c r="P376" s="2" t="s">
        <v>1075</v>
      </c>
      <c r="Q376" s="2" t="s">
        <v>206</v>
      </c>
      <c r="R376" s="2" t="s">
        <v>200</v>
      </c>
      <c r="S376" s="2" t="s">
        <v>2690</v>
      </c>
      <c r="T376" s="2" t="s">
        <v>378</v>
      </c>
      <c r="U376" s="2" t="s">
        <v>240</v>
      </c>
      <c r="V376" s="2" t="s">
        <v>339</v>
      </c>
      <c r="W376" s="2" t="s">
        <v>2691</v>
      </c>
      <c r="X376" s="2" t="s">
        <v>2692</v>
      </c>
      <c r="Y376" s="2" t="s">
        <v>261</v>
      </c>
      <c r="Z376" s="4">
        <v>635</v>
      </c>
      <c r="AA376" s="4">
        <f>=ROUNDDOWN(57.7272727272727,0)</f>
      </c>
      <c r="AB376" s="5">
        <v>11</v>
      </c>
      <c r="AC376" s="2" t="s">
        <v>115</v>
      </c>
      <c r="AD376" s="4">
        <v>50</v>
      </c>
      <c r="AE376" s="4">
        <v>50</v>
      </c>
      <c r="AF376" s="6">
        <v>65</v>
      </c>
      <c r="AG376" s="6">
        <v>48</v>
      </c>
      <c r="AH376" s="7">
        <v>1</v>
      </c>
      <c r="AI376" s="4"/>
      <c r="AJ376" s="4">
        <f>=ROUNDDOWN({0},0)</f>
      </c>
      <c r="AK376" s="5"/>
      <c r="AL376" s="2" t="s">
        <v>200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/>
      <c r="AW376" s="8"/>
      <c r="AX376" s="4"/>
      <c r="AY376" s="8"/>
      <c r="AZ376" s="7"/>
      <c r="BA376" s="7"/>
      <c r="BB376" s="7"/>
      <c r="BC376" s="4"/>
      <c r="BD376" s="8"/>
      <c r="BE376" s="4"/>
      <c r="BF376" s="8"/>
      <c r="BG376" s="7"/>
      <c r="BH376" s="7"/>
      <c r="BI376" s="7"/>
      <c r="BJ376" s="4">
        <v>18</v>
      </c>
      <c r="BK376" s="8">
        <v>1097.08</v>
      </c>
      <c r="BL376" s="2" t="s">
        <v>2693</v>
      </c>
      <c r="BM376" s="7"/>
      <c r="BN376" s="7"/>
      <c r="BO376" s="4"/>
      <c r="BP376" s="8"/>
      <c r="BQ376" s="4"/>
      <c r="BR376" s="8"/>
      <c r="BS376" s="7"/>
      <c r="BT376" s="7"/>
      <c r="BU376" s="2" t="s">
        <v>2694</v>
      </c>
      <c r="BV376" s="2" t="s">
        <v>200</v>
      </c>
      <c r="BW376" s="2" t="s">
        <v>200</v>
      </c>
      <c r="BX376" s="2" t="s">
        <v>264</v>
      </c>
      <c r="BY376" s="2" t="s">
        <v>247</v>
      </c>
      <c r="BZ376" s="2" t="s">
        <v>212</v>
      </c>
      <c r="CA376" s="2" t="s">
        <v>265</v>
      </c>
      <c r="CB376" s="2" t="s">
        <v>2695</v>
      </c>
      <c r="CC376" s="2" t="s">
        <v>213</v>
      </c>
      <c r="CD376" s="2" t="s">
        <v>200</v>
      </c>
      <c r="CE376" s="4">
        <v>268</v>
      </c>
      <c r="CF376" s="4"/>
      <c r="CG376" s="4"/>
      <c r="CH376" s="4">
        <v>367</v>
      </c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>
        <v>50</v>
      </c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</row>
    <row r="377">
      <c r="A377" s="2" t="s">
        <v>2696</v>
      </c>
      <c r="B377" s="2" t="s">
        <v>932</v>
      </c>
      <c r="C377" s="2" t="s">
        <v>2014</v>
      </c>
      <c r="D377" s="2" t="s">
        <v>608</v>
      </c>
      <c r="E377" s="2" t="s">
        <v>609</v>
      </c>
      <c r="F377" s="2" t="s">
        <v>2697</v>
      </c>
      <c r="G377" s="2" t="s">
        <v>2698</v>
      </c>
      <c r="H377" s="2" t="s">
        <v>2699</v>
      </c>
      <c r="I377" s="2" t="s">
        <v>2700</v>
      </c>
      <c r="J377" s="2" t="s">
        <v>256</v>
      </c>
      <c r="K377" s="2" t="s">
        <v>2701</v>
      </c>
      <c r="L377" s="3">
        <v>34.18</v>
      </c>
      <c r="M377" s="3">
        <v>35.89</v>
      </c>
      <c r="N377" s="3">
        <v>59.99</v>
      </c>
      <c r="O377" s="2" t="s">
        <v>212</v>
      </c>
      <c r="P377" s="2" t="s">
        <v>205</v>
      </c>
      <c r="Q377" s="2" t="s">
        <v>206</v>
      </c>
      <c r="R377" s="2" t="s">
        <v>200</v>
      </c>
      <c r="S377" s="2" t="s">
        <v>2702</v>
      </c>
      <c r="T377" s="2" t="s">
        <v>378</v>
      </c>
      <c r="U377" s="2" t="s">
        <v>454</v>
      </c>
      <c r="V377" s="2" t="s">
        <v>1695</v>
      </c>
      <c r="W377" s="2" t="s">
        <v>379</v>
      </c>
      <c r="X377" s="2" t="s">
        <v>241</v>
      </c>
      <c r="Y377" s="2" t="s">
        <v>2703</v>
      </c>
      <c r="Z377" s="4">
        <v>354</v>
      </c>
      <c r="AA377" s="4">
        <f>=ROUNDDOWN(70.8,0)</f>
      </c>
      <c r="AB377" s="5">
        <v>5</v>
      </c>
      <c r="AC377" s="2" t="s">
        <v>200</v>
      </c>
      <c r="AD377" s="4"/>
      <c r="AE377" s="4"/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200</v>
      </c>
      <c r="AM377" s="4"/>
      <c r="AN377" s="4"/>
      <c r="AO377" s="7"/>
      <c r="AP377" s="4"/>
      <c r="AQ377" s="8"/>
      <c r="AR377" s="4"/>
      <c r="AS377" s="8"/>
      <c r="AT377" s="7"/>
      <c r="AU377" s="7"/>
      <c r="AV377" s="4"/>
      <c r="AW377" s="8"/>
      <c r="AX377" s="4"/>
      <c r="AY377" s="8"/>
      <c r="AZ377" s="7"/>
      <c r="BA377" s="7"/>
      <c r="BB377" s="7"/>
      <c r="BC377" s="4"/>
      <c r="BD377" s="8"/>
      <c r="BE377" s="4"/>
      <c r="BF377" s="8"/>
      <c r="BG377" s="7"/>
      <c r="BH377" s="7"/>
      <c r="BI377" s="7"/>
      <c r="BJ377" s="4">
        <v>8</v>
      </c>
      <c r="BK377" s="8">
        <v>343.86</v>
      </c>
      <c r="BL377" s="2" t="s">
        <v>2704</v>
      </c>
      <c r="BM377" s="7"/>
      <c r="BN377" s="7"/>
      <c r="BO377" s="4"/>
      <c r="BP377" s="8"/>
      <c r="BQ377" s="4"/>
      <c r="BR377" s="8"/>
      <c r="BS377" s="7"/>
      <c r="BT377" s="7"/>
      <c r="BU377" s="2" t="s">
        <v>2705</v>
      </c>
      <c r="BV377" s="2" t="s">
        <v>200</v>
      </c>
      <c r="BW377" s="2" t="s">
        <v>200</v>
      </c>
      <c r="BX377" s="2" t="s">
        <v>620</v>
      </c>
      <c r="BY377" s="2" t="s">
        <v>247</v>
      </c>
      <c r="BZ377" s="2" t="s">
        <v>212</v>
      </c>
      <c r="CA377" s="2" t="s">
        <v>2706</v>
      </c>
      <c r="CB377" s="2" t="s">
        <v>2707</v>
      </c>
      <c r="CC377" s="2" t="s">
        <v>213</v>
      </c>
      <c r="CD377" s="2" t="s">
        <v>200</v>
      </c>
      <c r="CE377" s="4">
        <v>354</v>
      </c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</row>
    <row r="378">
      <c r="A378" s="2" t="s">
        <v>2708</v>
      </c>
      <c r="B378" s="2" t="s">
        <v>827</v>
      </c>
      <c r="C378" s="2" t="s">
        <v>231</v>
      </c>
      <c r="D378" s="2" t="s">
        <v>828</v>
      </c>
      <c r="E378" s="2" t="s">
        <v>829</v>
      </c>
      <c r="F378" s="2" t="s">
        <v>2709</v>
      </c>
      <c r="G378" s="2" t="s">
        <v>2710</v>
      </c>
      <c r="H378" s="2" t="s">
        <v>2711</v>
      </c>
      <c r="I378" s="2" t="s">
        <v>2712</v>
      </c>
      <c r="J378" s="2" t="s">
        <v>2713</v>
      </c>
      <c r="K378" s="2" t="s">
        <v>436</v>
      </c>
      <c r="L378" s="3">
        <v>13.23</v>
      </c>
      <c r="M378" s="3">
        <v>13.89</v>
      </c>
      <c r="N378" s="3">
        <v>26.99</v>
      </c>
      <c r="O378" s="2" t="s">
        <v>212</v>
      </c>
      <c r="P378" s="2" t="s">
        <v>258</v>
      </c>
      <c r="Q378" s="2" t="s">
        <v>206</v>
      </c>
      <c r="R378" s="2" t="s">
        <v>200</v>
      </c>
      <c r="S378" s="2" t="s">
        <v>2714</v>
      </c>
      <c r="T378" s="2" t="s">
        <v>378</v>
      </c>
      <c r="U378" s="2" t="s">
        <v>270</v>
      </c>
      <c r="V378" s="2" t="s">
        <v>208</v>
      </c>
      <c r="W378" s="2" t="s">
        <v>419</v>
      </c>
      <c r="X378" s="2" t="s">
        <v>1588</v>
      </c>
      <c r="Y378" s="2" t="s">
        <v>2715</v>
      </c>
      <c r="Z378" s="4">
        <v>248</v>
      </c>
      <c r="AA378" s="4">
        <f>=ROUNDDOWN(35.4285714285714,0)</f>
      </c>
      <c r="AB378" s="5">
        <v>7</v>
      </c>
      <c r="AC378" s="2" t="s">
        <v>1141</v>
      </c>
      <c r="AD378" s="4">
        <v>96</v>
      </c>
      <c r="AE378" s="4">
        <v>96</v>
      </c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200</v>
      </c>
      <c r="AM378" s="4"/>
      <c r="AN378" s="4"/>
      <c r="AO378" s="7"/>
      <c r="AP378" s="4"/>
      <c r="AQ378" s="8"/>
      <c r="AR378" s="4"/>
      <c r="AS378" s="8"/>
      <c r="AT378" s="7"/>
      <c r="AU378" s="7"/>
      <c r="AV378" s="4"/>
      <c r="AW378" s="8"/>
      <c r="AX378" s="4"/>
      <c r="AY378" s="8"/>
      <c r="AZ378" s="7"/>
      <c r="BA378" s="7"/>
      <c r="BB378" s="7"/>
      <c r="BC378" s="4" t="s">
        <v>200</v>
      </c>
      <c r="BD378" s="8" t="s">
        <v>200</v>
      </c>
      <c r="BE378" s="4" t="s">
        <v>200</v>
      </c>
      <c r="BF378" s="8" t="s">
        <v>200</v>
      </c>
      <c r="BG378" s="7" t="s">
        <v>200</v>
      </c>
      <c r="BH378" s="7" t="s">
        <v>200</v>
      </c>
      <c r="BI378" s="7"/>
      <c r="BJ378" s="4">
        <v>39</v>
      </c>
      <c r="BK378" s="8">
        <v>554.45</v>
      </c>
      <c r="BL378" s="2" t="s">
        <v>2716</v>
      </c>
      <c r="BM378" s="7"/>
      <c r="BN378" s="7"/>
      <c r="BO378" s="4"/>
      <c r="BP378" s="8"/>
      <c r="BQ378" s="4"/>
      <c r="BR378" s="8"/>
      <c r="BS378" s="7"/>
      <c r="BT378" s="7"/>
      <c r="BU378" s="2" t="s">
        <v>2717</v>
      </c>
      <c r="BV378" s="2" t="s">
        <v>200</v>
      </c>
      <c r="BW378" s="2" t="s">
        <v>200</v>
      </c>
      <c r="BX378" s="2" t="s">
        <v>264</v>
      </c>
      <c r="BY378" s="2" t="s">
        <v>247</v>
      </c>
      <c r="BZ378" s="2" t="s">
        <v>212</v>
      </c>
      <c r="CA378" s="2" t="s">
        <v>2329</v>
      </c>
      <c r="CB378" s="2" t="s">
        <v>2718</v>
      </c>
      <c r="CC378" s="2" t="s">
        <v>213</v>
      </c>
      <c r="CD378" s="2" t="s">
        <v>200</v>
      </c>
      <c r="CE378" s="4">
        <v>247</v>
      </c>
      <c r="CF378" s="4">
        <v>1</v>
      </c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>
        <v>96</v>
      </c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</row>
    <row r="379">
      <c r="A379" s="2" t="s">
        <v>2719</v>
      </c>
      <c r="B379" s="2" t="s">
        <v>827</v>
      </c>
      <c r="C379" s="2" t="s">
        <v>231</v>
      </c>
      <c r="D379" s="2" t="s">
        <v>828</v>
      </c>
      <c r="E379" s="2" t="s">
        <v>829</v>
      </c>
      <c r="F379" s="2" t="s">
        <v>2709</v>
      </c>
      <c r="G379" s="2" t="s">
        <v>2710</v>
      </c>
      <c r="H379" s="2" t="s">
        <v>2711</v>
      </c>
      <c r="I379" s="2" t="s">
        <v>2720</v>
      </c>
      <c r="J379" s="2" t="s">
        <v>2713</v>
      </c>
      <c r="K379" s="2" t="s">
        <v>2589</v>
      </c>
      <c r="L379" s="3">
        <v>13.23</v>
      </c>
      <c r="M379" s="3">
        <v>13.89</v>
      </c>
      <c r="N379" s="3">
        <v>26.99</v>
      </c>
      <c r="O379" s="2" t="s">
        <v>212</v>
      </c>
      <c r="P379" s="2" t="s">
        <v>750</v>
      </c>
      <c r="Q379" s="2" t="s">
        <v>206</v>
      </c>
      <c r="R379" s="2" t="s">
        <v>200</v>
      </c>
      <c r="S379" s="2" t="s">
        <v>2721</v>
      </c>
      <c r="T379" s="2" t="s">
        <v>200</v>
      </c>
      <c r="U379" s="2" t="s">
        <v>677</v>
      </c>
      <c r="V379" s="2" t="s">
        <v>208</v>
      </c>
      <c r="W379" s="2" t="s">
        <v>419</v>
      </c>
      <c r="X379" s="2" t="s">
        <v>1588</v>
      </c>
      <c r="Y379" s="2" t="s">
        <v>2722</v>
      </c>
      <c r="Z379" s="4">
        <v>226</v>
      </c>
      <c r="AA379" s="4">
        <f>=ROUNDDOWN(45.2,0)</f>
      </c>
      <c r="AB379" s="5">
        <v>5</v>
      </c>
      <c r="AC379" s="2" t="s">
        <v>200</v>
      </c>
      <c r="AD379" s="4"/>
      <c r="AE379" s="4"/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200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 t="s">
        <v>200</v>
      </c>
      <c r="AW379" s="8" t="s">
        <v>200</v>
      </c>
      <c r="AX379" s="4" t="s">
        <v>200</v>
      </c>
      <c r="AY379" s="8" t="s">
        <v>200</v>
      </c>
      <c r="AZ379" s="7" t="s">
        <v>200</v>
      </c>
      <c r="BA379" s="7" t="s">
        <v>200</v>
      </c>
      <c r="BB379" s="7"/>
      <c r="BC379" s="4" t="s">
        <v>200</v>
      </c>
      <c r="BD379" s="8" t="s">
        <v>200</v>
      </c>
      <c r="BE379" s="4" t="s">
        <v>200</v>
      </c>
      <c r="BF379" s="8" t="s">
        <v>200</v>
      </c>
      <c r="BG379" s="7" t="s">
        <v>200</v>
      </c>
      <c r="BH379" s="7" t="s">
        <v>200</v>
      </c>
      <c r="BI379" s="7"/>
      <c r="BJ379" s="4">
        <v>15</v>
      </c>
      <c r="BK379" s="8">
        <v>219.57</v>
      </c>
      <c r="BL379" s="2" t="s">
        <v>2723</v>
      </c>
      <c r="BM379" s="7"/>
      <c r="BN379" s="7"/>
      <c r="BO379" s="4"/>
      <c r="BP379" s="8"/>
      <c r="BQ379" s="4"/>
      <c r="BR379" s="8"/>
      <c r="BS379" s="7"/>
      <c r="BT379" s="7"/>
      <c r="BU379" s="2" t="s">
        <v>2724</v>
      </c>
      <c r="BV379" s="2" t="s">
        <v>200</v>
      </c>
      <c r="BW379" s="2" t="s">
        <v>200</v>
      </c>
      <c r="BX379" s="2" t="s">
        <v>264</v>
      </c>
      <c r="BY379" s="2" t="s">
        <v>247</v>
      </c>
      <c r="BZ379" s="2" t="s">
        <v>212</v>
      </c>
      <c r="CA379" s="2" t="s">
        <v>2351</v>
      </c>
      <c r="CB379" s="2" t="s">
        <v>2725</v>
      </c>
      <c r="CC379" s="2" t="s">
        <v>213</v>
      </c>
      <c r="CD379" s="2" t="s">
        <v>200</v>
      </c>
      <c r="CE379" s="4">
        <v>226</v>
      </c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</row>
    <row r="380">
      <c r="A380" s="2" t="s">
        <v>2726</v>
      </c>
      <c r="B380" s="2" t="s">
        <v>827</v>
      </c>
      <c r="C380" s="2" t="s">
        <v>231</v>
      </c>
      <c r="D380" s="2" t="s">
        <v>828</v>
      </c>
      <c r="E380" s="2" t="s">
        <v>829</v>
      </c>
      <c r="F380" s="2" t="s">
        <v>2709</v>
      </c>
      <c r="G380" s="2" t="s">
        <v>2710</v>
      </c>
      <c r="H380" s="2" t="s">
        <v>2711</v>
      </c>
      <c r="I380" s="2" t="s">
        <v>2720</v>
      </c>
      <c r="J380" s="2" t="s">
        <v>2727</v>
      </c>
      <c r="K380" s="2" t="s">
        <v>2589</v>
      </c>
      <c r="L380" s="3">
        <v>16.17</v>
      </c>
      <c r="M380" s="3">
        <v>16.98</v>
      </c>
      <c r="N380" s="3">
        <v>32.99</v>
      </c>
      <c r="O380" s="2" t="s">
        <v>212</v>
      </c>
      <c r="P380" s="2" t="s">
        <v>258</v>
      </c>
      <c r="Q380" s="2" t="s">
        <v>206</v>
      </c>
      <c r="R380" s="2" t="s">
        <v>200</v>
      </c>
      <c r="S380" s="2" t="s">
        <v>2721</v>
      </c>
      <c r="T380" s="2" t="s">
        <v>200</v>
      </c>
      <c r="U380" s="2" t="s">
        <v>677</v>
      </c>
      <c r="V380" s="2" t="s">
        <v>208</v>
      </c>
      <c r="W380" s="2" t="s">
        <v>419</v>
      </c>
      <c r="X380" s="2" t="s">
        <v>1588</v>
      </c>
      <c r="Y380" s="2" t="s">
        <v>2722</v>
      </c>
      <c r="Z380" s="4">
        <v>326</v>
      </c>
      <c r="AA380" s="4">
        <f>=ROUNDDOWN(54.3333333333333,0)</f>
      </c>
      <c r="AB380" s="5">
        <v>6</v>
      </c>
      <c r="AC380" s="2" t="s">
        <v>200</v>
      </c>
      <c r="AD380" s="4"/>
      <c r="AE380" s="4"/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200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 t="s">
        <v>200</v>
      </c>
      <c r="AW380" s="8" t="s">
        <v>200</v>
      </c>
      <c r="AX380" s="4" t="s">
        <v>200</v>
      </c>
      <c r="AY380" s="8" t="s">
        <v>200</v>
      </c>
      <c r="AZ380" s="7" t="s">
        <v>200</v>
      </c>
      <c r="BA380" s="7" t="s">
        <v>200</v>
      </c>
      <c r="BB380" s="7"/>
      <c r="BC380" s="4" t="s">
        <v>200</v>
      </c>
      <c r="BD380" s="8" t="s">
        <v>200</v>
      </c>
      <c r="BE380" s="4" t="s">
        <v>200</v>
      </c>
      <c r="BF380" s="8" t="s">
        <v>200</v>
      </c>
      <c r="BG380" s="7" t="s">
        <v>200</v>
      </c>
      <c r="BH380" s="7" t="s">
        <v>200</v>
      </c>
      <c r="BI380" s="7"/>
      <c r="BJ380" s="4">
        <v>12</v>
      </c>
      <c r="BK380" s="8">
        <v>200.76</v>
      </c>
      <c r="BL380" s="2" t="s">
        <v>2716</v>
      </c>
      <c r="BM380" s="7"/>
      <c r="BN380" s="7"/>
      <c r="BO380" s="4"/>
      <c r="BP380" s="8"/>
      <c r="BQ380" s="4"/>
      <c r="BR380" s="8"/>
      <c r="BS380" s="7"/>
      <c r="BT380" s="7"/>
      <c r="BU380" s="2" t="s">
        <v>2728</v>
      </c>
      <c r="BV380" s="2" t="s">
        <v>200</v>
      </c>
      <c r="BW380" s="2" t="s">
        <v>200</v>
      </c>
      <c r="BX380" s="2" t="s">
        <v>264</v>
      </c>
      <c r="BY380" s="2" t="s">
        <v>247</v>
      </c>
      <c r="BZ380" s="2" t="s">
        <v>212</v>
      </c>
      <c r="CA380" s="2" t="s">
        <v>1891</v>
      </c>
      <c r="CB380" s="2" t="s">
        <v>2729</v>
      </c>
      <c r="CC380" s="2" t="s">
        <v>213</v>
      </c>
      <c r="CD380" s="2" t="s">
        <v>200</v>
      </c>
      <c r="CE380" s="4">
        <v>326</v>
      </c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</row>
    <row r="381">
      <c r="A381" s="2" t="s">
        <v>2730</v>
      </c>
      <c r="B381" s="2" t="s">
        <v>992</v>
      </c>
      <c r="C381" s="2" t="s">
        <v>231</v>
      </c>
      <c r="D381" s="2" t="s">
        <v>992</v>
      </c>
      <c r="E381" s="2" t="s">
        <v>992</v>
      </c>
      <c r="F381" s="2" t="s">
        <v>2731</v>
      </c>
      <c r="G381" s="2" t="s">
        <v>2732</v>
      </c>
      <c r="H381" s="2" t="s">
        <v>2733</v>
      </c>
      <c r="I381" s="2" t="s">
        <v>2734</v>
      </c>
      <c r="J381" s="2" t="s">
        <v>997</v>
      </c>
      <c r="K381" s="2" t="s">
        <v>1578</v>
      </c>
      <c r="L381" s="3">
        <v>59</v>
      </c>
      <c r="M381" s="3">
        <v>61.95</v>
      </c>
      <c r="N381" s="3">
        <v>139.99</v>
      </c>
      <c r="O381" s="2" t="s">
        <v>460</v>
      </c>
      <c r="P381" s="2" t="s">
        <v>285</v>
      </c>
      <c r="Q381" s="2" t="s">
        <v>206</v>
      </c>
      <c r="R381" s="2" t="s">
        <v>200</v>
      </c>
      <c r="S381" s="2" t="s">
        <v>2735</v>
      </c>
      <c r="T381" s="2" t="s">
        <v>200</v>
      </c>
      <c r="U381" s="2" t="s">
        <v>270</v>
      </c>
      <c r="V381" s="2" t="s">
        <v>1529</v>
      </c>
      <c r="W381" s="2" t="s">
        <v>1975</v>
      </c>
      <c r="X381" s="2" t="s">
        <v>200</v>
      </c>
      <c r="Y381" s="2" t="s">
        <v>1580</v>
      </c>
      <c r="Z381" s="4">
        <v>41</v>
      </c>
      <c r="AA381" s="4">
        <f>=ROUNDDOWN(37.2727272727273,0)</f>
      </c>
      <c r="AB381" s="5">
        <v>1.1</v>
      </c>
      <c r="AC381" s="2" t="s">
        <v>200</v>
      </c>
      <c r="AD381" s="4"/>
      <c r="AE381" s="4"/>
      <c r="AF381" s="6">
        <v>63</v>
      </c>
      <c r="AG381" s="6"/>
      <c r="AH381" s="7">
        <v>1</v>
      </c>
      <c r="AI381" s="4"/>
      <c r="AJ381" s="4">
        <f>=ROUNDDOWN({0},0)</f>
      </c>
      <c r="AK381" s="5"/>
      <c r="AL381" s="2" t="s">
        <v>200</v>
      </c>
      <c r="AM381" s="4"/>
      <c r="AN381" s="4"/>
      <c r="AO381" s="7"/>
      <c r="AP381" s="4"/>
      <c r="AQ381" s="8"/>
      <c r="AR381" s="4"/>
      <c r="AS381" s="8"/>
      <c r="AT381" s="7"/>
      <c r="AU381" s="7"/>
      <c r="AV381" s="4" t="s">
        <v>200</v>
      </c>
      <c r="AW381" s="8" t="s">
        <v>200</v>
      </c>
      <c r="AX381" s="4" t="s">
        <v>200</v>
      </c>
      <c r="AY381" s="8" t="s">
        <v>200</v>
      </c>
      <c r="AZ381" s="7" t="s">
        <v>200</v>
      </c>
      <c r="BA381" s="7" t="s">
        <v>200</v>
      </c>
      <c r="BB381" s="7"/>
      <c r="BC381" s="4" t="s">
        <v>200</v>
      </c>
      <c r="BD381" s="8" t="s">
        <v>200</v>
      </c>
      <c r="BE381" s="4" t="s">
        <v>200</v>
      </c>
      <c r="BF381" s="8" t="s">
        <v>200</v>
      </c>
      <c r="BG381" s="7" t="s">
        <v>200</v>
      </c>
      <c r="BH381" s="7" t="s">
        <v>200</v>
      </c>
      <c r="BI381" s="7"/>
      <c r="BJ381" s="4">
        <v>2</v>
      </c>
      <c r="BK381" s="8">
        <v>123.9</v>
      </c>
      <c r="BL381" s="2" t="s">
        <v>791</v>
      </c>
      <c r="BM381" s="7"/>
      <c r="BN381" s="7"/>
      <c r="BO381" s="4"/>
      <c r="BP381" s="8"/>
      <c r="BQ381" s="4"/>
      <c r="BR381" s="8"/>
      <c r="BS381" s="7"/>
      <c r="BT381" s="7"/>
      <c r="BU381" s="2" t="s">
        <v>2736</v>
      </c>
      <c r="BV381" s="2" t="s">
        <v>200</v>
      </c>
      <c r="BW381" s="2" t="s">
        <v>200</v>
      </c>
      <c r="BX381" s="2" t="s">
        <v>289</v>
      </c>
      <c r="BY381" s="2" t="s">
        <v>247</v>
      </c>
      <c r="BZ381" s="2" t="s">
        <v>212</v>
      </c>
      <c r="CA381" s="2" t="s">
        <v>1583</v>
      </c>
      <c r="CB381" s="2" t="s">
        <v>200</v>
      </c>
      <c r="CC381" s="2" t="s">
        <v>213</v>
      </c>
      <c r="CD381" s="2" t="s">
        <v>200</v>
      </c>
      <c r="CE381" s="4"/>
      <c r="CF381" s="4">
        <v>41</v>
      </c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</row>
    <row r="382">
      <c r="A382" s="2" t="s">
        <v>2737</v>
      </c>
      <c r="B382" s="2" t="s">
        <v>992</v>
      </c>
      <c r="C382" s="2" t="s">
        <v>231</v>
      </c>
      <c r="D382" s="2" t="s">
        <v>992</v>
      </c>
      <c r="E382" s="2" t="s">
        <v>992</v>
      </c>
      <c r="F382" s="2" t="s">
        <v>2731</v>
      </c>
      <c r="G382" s="2" t="s">
        <v>2732</v>
      </c>
      <c r="H382" s="2" t="s">
        <v>2733</v>
      </c>
      <c r="I382" s="2" t="s">
        <v>2734</v>
      </c>
      <c r="J382" s="2" t="s">
        <v>1005</v>
      </c>
      <c r="K382" s="2" t="s">
        <v>1578</v>
      </c>
      <c r="L382" s="3">
        <v>94</v>
      </c>
      <c r="M382" s="3">
        <v>98.7</v>
      </c>
      <c r="N382" s="3">
        <v>209.99</v>
      </c>
      <c r="O382" s="2" t="s">
        <v>460</v>
      </c>
      <c r="P382" s="2" t="s">
        <v>285</v>
      </c>
      <c r="Q382" s="2" t="s">
        <v>206</v>
      </c>
      <c r="R382" s="2" t="s">
        <v>200</v>
      </c>
      <c r="S382" s="2" t="s">
        <v>2735</v>
      </c>
      <c r="T382" s="2" t="s">
        <v>200</v>
      </c>
      <c r="U382" s="2" t="s">
        <v>270</v>
      </c>
      <c r="V382" s="2" t="s">
        <v>1529</v>
      </c>
      <c r="W382" s="2" t="s">
        <v>1975</v>
      </c>
      <c r="X382" s="2" t="s">
        <v>200</v>
      </c>
      <c r="Y382" s="2" t="s">
        <v>1580</v>
      </c>
      <c r="Z382" s="4">
        <v>50</v>
      </c>
      <c r="AA382" s="4">
        <f>=ROUNDDOWN(250,0)</f>
      </c>
      <c r="AB382" s="5">
        <v>0.2</v>
      </c>
      <c r="AC382" s="2" t="s">
        <v>200</v>
      </c>
      <c r="AD382" s="4"/>
      <c r="AE382" s="4"/>
      <c r="AF382" s="6">
        <v>63</v>
      </c>
      <c r="AG382" s="6"/>
      <c r="AH382" s="7">
        <v>1</v>
      </c>
      <c r="AI382" s="4"/>
      <c r="AJ382" s="4">
        <f>=ROUNDDOWN({0},0)</f>
      </c>
      <c r="AK382" s="5"/>
      <c r="AL382" s="2" t="s">
        <v>200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 t="s">
        <v>200</v>
      </c>
      <c r="AW382" s="8" t="s">
        <v>200</v>
      </c>
      <c r="AX382" s="4" t="s">
        <v>200</v>
      </c>
      <c r="AY382" s="8" t="s">
        <v>200</v>
      </c>
      <c r="AZ382" s="7" t="s">
        <v>200</v>
      </c>
      <c r="BA382" s="7" t="s">
        <v>200</v>
      </c>
      <c r="BB382" s="7"/>
      <c r="BC382" s="4" t="s">
        <v>200</v>
      </c>
      <c r="BD382" s="8" t="s">
        <v>200</v>
      </c>
      <c r="BE382" s="4" t="s">
        <v>200</v>
      </c>
      <c r="BF382" s="8" t="s">
        <v>200</v>
      </c>
      <c r="BG382" s="7" t="s">
        <v>200</v>
      </c>
      <c r="BH382" s="7" t="s">
        <v>200</v>
      </c>
      <c r="BI382" s="7"/>
      <c r="BJ382" s="4">
        <v>1</v>
      </c>
      <c r="BK382" s="8">
        <v>209.99</v>
      </c>
      <c r="BL382" s="2" t="s">
        <v>2738</v>
      </c>
      <c r="BM382" s="7"/>
      <c r="BN382" s="7"/>
      <c r="BO382" s="4"/>
      <c r="BP382" s="8"/>
      <c r="BQ382" s="4"/>
      <c r="BR382" s="8"/>
      <c r="BS382" s="7"/>
      <c r="BT382" s="7"/>
      <c r="BU382" s="2" t="s">
        <v>2739</v>
      </c>
      <c r="BV382" s="2" t="s">
        <v>200</v>
      </c>
      <c r="BW382" s="2" t="s">
        <v>200</v>
      </c>
      <c r="BX382" s="2" t="s">
        <v>289</v>
      </c>
      <c r="BY382" s="2" t="s">
        <v>247</v>
      </c>
      <c r="BZ382" s="2" t="s">
        <v>212</v>
      </c>
      <c r="CA382" s="2" t="s">
        <v>1583</v>
      </c>
      <c r="CB382" s="2" t="s">
        <v>200</v>
      </c>
      <c r="CC382" s="2" t="s">
        <v>213</v>
      </c>
      <c r="CD382" s="2" t="s">
        <v>200</v>
      </c>
      <c r="CE382" s="4"/>
      <c r="CF382" s="4">
        <v>50</v>
      </c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</row>
    <row r="383">
      <c r="A383" s="2" t="s">
        <v>2740</v>
      </c>
      <c r="B383" s="2" t="s">
        <v>992</v>
      </c>
      <c r="C383" s="2" t="s">
        <v>231</v>
      </c>
      <c r="D383" s="2" t="s">
        <v>992</v>
      </c>
      <c r="E383" s="2" t="s">
        <v>992</v>
      </c>
      <c r="F383" s="2" t="s">
        <v>2731</v>
      </c>
      <c r="G383" s="2" t="s">
        <v>2732</v>
      </c>
      <c r="H383" s="2" t="s">
        <v>2733</v>
      </c>
      <c r="I383" s="2" t="s">
        <v>2734</v>
      </c>
      <c r="J383" s="2" t="s">
        <v>1585</v>
      </c>
      <c r="K383" s="2" t="s">
        <v>1578</v>
      </c>
      <c r="L383" s="3">
        <v>125</v>
      </c>
      <c r="M383" s="3">
        <v>131.25</v>
      </c>
      <c r="N383" s="3">
        <v>279.98</v>
      </c>
      <c r="O383" s="2" t="s">
        <v>460</v>
      </c>
      <c r="P383" s="2" t="s">
        <v>285</v>
      </c>
      <c r="Q383" s="2" t="s">
        <v>206</v>
      </c>
      <c r="R383" s="2" t="s">
        <v>200</v>
      </c>
      <c r="S383" s="2" t="s">
        <v>2735</v>
      </c>
      <c r="T383" s="2" t="s">
        <v>200</v>
      </c>
      <c r="U383" s="2" t="s">
        <v>270</v>
      </c>
      <c r="V383" s="2" t="s">
        <v>1529</v>
      </c>
      <c r="W383" s="2" t="s">
        <v>1975</v>
      </c>
      <c r="X383" s="2" t="s">
        <v>200</v>
      </c>
      <c r="Y383" s="2" t="s">
        <v>1580</v>
      </c>
      <c r="Z383" s="4">
        <v>92</v>
      </c>
      <c r="AA383" s="4">
        <f>=ROUNDDOWN(153.333333333333,0)</f>
      </c>
      <c r="AB383" s="5">
        <v>0.6</v>
      </c>
      <c r="AC383" s="2" t="s">
        <v>200</v>
      </c>
      <c r="AD383" s="4"/>
      <c r="AE383" s="4"/>
      <c r="AF383" s="6">
        <v>63</v>
      </c>
      <c r="AG383" s="6"/>
      <c r="AH383" s="7">
        <v>1</v>
      </c>
      <c r="AI383" s="4"/>
      <c r="AJ383" s="4">
        <f>=ROUNDDOWN({0},0)</f>
      </c>
      <c r="AK383" s="5"/>
      <c r="AL383" s="2" t="s">
        <v>200</v>
      </c>
      <c r="AM383" s="4"/>
      <c r="AN383" s="4"/>
      <c r="AO383" s="7"/>
      <c r="AP383" s="4"/>
      <c r="AQ383" s="8"/>
      <c r="AR383" s="4"/>
      <c r="AS383" s="8"/>
      <c r="AT383" s="7"/>
      <c r="AU383" s="7"/>
      <c r="AV383" s="4" t="s">
        <v>200</v>
      </c>
      <c r="AW383" s="8" t="s">
        <v>200</v>
      </c>
      <c r="AX383" s="4" t="s">
        <v>200</v>
      </c>
      <c r="AY383" s="8" t="s">
        <v>200</v>
      </c>
      <c r="AZ383" s="7" t="s">
        <v>200</v>
      </c>
      <c r="BA383" s="7" t="s">
        <v>200</v>
      </c>
      <c r="BB383" s="7"/>
      <c r="BC383" s="4" t="s">
        <v>200</v>
      </c>
      <c r="BD383" s="8" t="s">
        <v>200</v>
      </c>
      <c r="BE383" s="4" t="s">
        <v>200</v>
      </c>
      <c r="BF383" s="8" t="s">
        <v>200</v>
      </c>
      <c r="BG383" s="7" t="s">
        <v>200</v>
      </c>
      <c r="BH383" s="7" t="s">
        <v>200</v>
      </c>
      <c r="BI383" s="7"/>
      <c r="BJ383" s="4">
        <v>5</v>
      </c>
      <c r="BK383" s="8">
        <v>661.86</v>
      </c>
      <c r="BL383" s="2" t="s">
        <v>2741</v>
      </c>
      <c r="BM383" s="7"/>
      <c r="BN383" s="7"/>
      <c r="BO383" s="4"/>
      <c r="BP383" s="8"/>
      <c r="BQ383" s="4"/>
      <c r="BR383" s="8"/>
      <c r="BS383" s="7"/>
      <c r="BT383" s="7"/>
      <c r="BU383" s="2" t="s">
        <v>2742</v>
      </c>
      <c r="BV383" s="2" t="s">
        <v>200</v>
      </c>
      <c r="BW383" s="2" t="s">
        <v>200</v>
      </c>
      <c r="BX383" s="2" t="s">
        <v>289</v>
      </c>
      <c r="BY383" s="2" t="s">
        <v>247</v>
      </c>
      <c r="BZ383" s="2" t="s">
        <v>212</v>
      </c>
      <c r="CA383" s="2" t="s">
        <v>1583</v>
      </c>
      <c r="CB383" s="2" t="s">
        <v>2743</v>
      </c>
      <c r="CC383" s="2" t="s">
        <v>213</v>
      </c>
      <c r="CD383" s="2" t="s">
        <v>200</v>
      </c>
      <c r="CE383" s="4"/>
      <c r="CF383" s="4">
        <v>92</v>
      </c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</row>
    <row r="384">
      <c r="A384" s="2" t="s">
        <v>2744</v>
      </c>
      <c r="B384" s="2" t="s">
        <v>903</v>
      </c>
      <c r="C384" s="2" t="s">
        <v>607</v>
      </c>
      <c r="D384" s="2" t="s">
        <v>608</v>
      </c>
      <c r="E384" s="2" t="s">
        <v>609</v>
      </c>
      <c r="F384" s="2" t="s">
        <v>2745</v>
      </c>
      <c r="G384" s="2" t="s">
        <v>2745</v>
      </c>
      <c r="H384" s="2" t="s">
        <v>2745</v>
      </c>
      <c r="I384" s="2" t="s">
        <v>1761</v>
      </c>
      <c r="J384" s="2" t="s">
        <v>297</v>
      </c>
      <c r="K384" s="2" t="s">
        <v>2746</v>
      </c>
      <c r="L384" s="3">
        <v>150</v>
      </c>
      <c r="M384" s="3">
        <v>157.5</v>
      </c>
      <c r="N384" s="3">
        <v>299.99</v>
      </c>
      <c r="O384" s="2" t="s">
        <v>212</v>
      </c>
      <c r="P384" s="2" t="s">
        <v>205</v>
      </c>
      <c r="Q384" s="2" t="s">
        <v>206</v>
      </c>
      <c r="R384" s="2" t="s">
        <v>200</v>
      </c>
      <c r="S384" s="2" t="s">
        <v>200</v>
      </c>
      <c r="T384" s="2" t="s">
        <v>2165</v>
      </c>
      <c r="U384" s="2" t="s">
        <v>689</v>
      </c>
      <c r="V384" s="2" t="s">
        <v>616</v>
      </c>
      <c r="W384" s="2" t="s">
        <v>242</v>
      </c>
      <c r="X384" s="2" t="s">
        <v>200</v>
      </c>
      <c r="Y384" s="2" t="s">
        <v>200</v>
      </c>
      <c r="Z384" s="4"/>
      <c r="AA384" s="4">
        <f>=ROUNDDOWN({0},0)</f>
      </c>
      <c r="AB384" s="5"/>
      <c r="AC384" s="2" t="s">
        <v>111</v>
      </c>
      <c r="AD384" s="4">
        <v>200</v>
      </c>
      <c r="AE384" s="4">
        <v>200</v>
      </c>
      <c r="AF384" s="6">
        <v>67</v>
      </c>
      <c r="AG384" s="6"/>
      <c r="AH384" s="7"/>
      <c r="AI384" s="4"/>
      <c r="AJ384" s="4">
        <f>=ROUNDDOWN({0},0)</f>
      </c>
      <c r="AK384" s="5"/>
      <c r="AL384" s="2" t="s">
        <v>200</v>
      </c>
      <c r="AM384" s="4"/>
      <c r="AN384" s="4"/>
      <c r="AO384" s="7"/>
      <c r="AP384" s="4"/>
      <c r="AQ384" s="8"/>
      <c r="AR384" s="4"/>
      <c r="AS384" s="8"/>
      <c r="AT384" s="7"/>
      <c r="AU384" s="7"/>
      <c r="AV384" s="4" t="s">
        <v>200</v>
      </c>
      <c r="AW384" s="8" t="s">
        <v>200</v>
      </c>
      <c r="AX384" s="4" t="s">
        <v>200</v>
      </c>
      <c r="AY384" s="8" t="s">
        <v>200</v>
      </c>
      <c r="AZ384" s="7" t="s">
        <v>200</v>
      </c>
      <c r="BA384" s="7" t="s">
        <v>200</v>
      </c>
      <c r="BB384" s="7"/>
      <c r="BC384" s="4" t="s">
        <v>200</v>
      </c>
      <c r="BD384" s="8" t="s">
        <v>200</v>
      </c>
      <c r="BE384" s="4" t="s">
        <v>200</v>
      </c>
      <c r="BF384" s="8" t="s">
        <v>200</v>
      </c>
      <c r="BG384" s="7" t="s">
        <v>200</v>
      </c>
      <c r="BH384" s="7" t="s">
        <v>200</v>
      </c>
      <c r="BI384" s="7"/>
      <c r="BJ384" s="4"/>
      <c r="BK384" s="8"/>
      <c r="BL384" s="2" t="s">
        <v>200</v>
      </c>
      <c r="BM384" s="7"/>
      <c r="BN384" s="7"/>
      <c r="BO384" s="4"/>
      <c r="BP384" s="8"/>
      <c r="BQ384" s="4"/>
      <c r="BR384" s="8"/>
      <c r="BS384" s="7"/>
      <c r="BT384" s="7"/>
      <c r="BU384" s="2" t="s">
        <v>210</v>
      </c>
      <c r="BV384" s="2" t="s">
        <v>200</v>
      </c>
      <c r="BW384" s="2" t="s">
        <v>200</v>
      </c>
      <c r="BX384" s="2" t="s">
        <v>210</v>
      </c>
      <c r="BY384" s="2" t="s">
        <v>211</v>
      </c>
      <c r="BZ384" s="2" t="s">
        <v>212</v>
      </c>
      <c r="CA384" s="2" t="s">
        <v>200</v>
      </c>
      <c r="CB384" s="2" t="s">
        <v>200</v>
      </c>
      <c r="CC384" s="2" t="s">
        <v>213</v>
      </c>
      <c r="CD384" s="2" t="s">
        <v>200</v>
      </c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>
        <v>200</v>
      </c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</row>
    <row r="385">
      <c r="A385" s="2" t="s">
        <v>2747</v>
      </c>
      <c r="B385" s="2" t="s">
        <v>903</v>
      </c>
      <c r="C385" s="2" t="s">
        <v>607</v>
      </c>
      <c r="D385" s="2" t="s">
        <v>608</v>
      </c>
      <c r="E385" s="2" t="s">
        <v>609</v>
      </c>
      <c r="F385" s="2" t="s">
        <v>2745</v>
      </c>
      <c r="G385" s="2" t="s">
        <v>2745</v>
      </c>
      <c r="H385" s="2" t="s">
        <v>2745</v>
      </c>
      <c r="I385" s="2" t="s">
        <v>1761</v>
      </c>
      <c r="J385" s="2" t="s">
        <v>302</v>
      </c>
      <c r="K385" s="2" t="s">
        <v>2746</v>
      </c>
      <c r="L385" s="3">
        <v>175</v>
      </c>
      <c r="M385" s="3">
        <v>183.75</v>
      </c>
      <c r="N385" s="3">
        <v>349.99</v>
      </c>
      <c r="O385" s="2" t="s">
        <v>212</v>
      </c>
      <c r="P385" s="2" t="s">
        <v>205</v>
      </c>
      <c r="Q385" s="2" t="s">
        <v>206</v>
      </c>
      <c r="R385" s="2" t="s">
        <v>200</v>
      </c>
      <c r="S385" s="2" t="s">
        <v>200</v>
      </c>
      <c r="T385" s="2" t="s">
        <v>2165</v>
      </c>
      <c r="U385" s="2" t="s">
        <v>909</v>
      </c>
      <c r="V385" s="2" t="s">
        <v>616</v>
      </c>
      <c r="W385" s="2" t="s">
        <v>242</v>
      </c>
      <c r="X385" s="2" t="s">
        <v>200</v>
      </c>
      <c r="Y385" s="2" t="s">
        <v>200</v>
      </c>
      <c r="Z385" s="4"/>
      <c r="AA385" s="4">
        <f>=ROUNDDOWN({0},0)</f>
      </c>
      <c r="AB385" s="5"/>
      <c r="AC385" s="2" t="s">
        <v>111</v>
      </c>
      <c r="AD385" s="4">
        <v>300</v>
      </c>
      <c r="AE385" s="4">
        <v>300</v>
      </c>
      <c r="AF385" s="6">
        <v>67</v>
      </c>
      <c r="AG385" s="6"/>
      <c r="AH385" s="7"/>
      <c r="AI385" s="4"/>
      <c r="AJ385" s="4">
        <f>=ROUNDDOWN({0},0)</f>
      </c>
      <c r="AK385" s="5"/>
      <c r="AL385" s="2" t="s">
        <v>200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 t="s">
        <v>200</v>
      </c>
      <c r="AW385" s="8" t="s">
        <v>200</v>
      </c>
      <c r="AX385" s="4" t="s">
        <v>200</v>
      </c>
      <c r="AY385" s="8" t="s">
        <v>200</v>
      </c>
      <c r="AZ385" s="7" t="s">
        <v>200</v>
      </c>
      <c r="BA385" s="7" t="s">
        <v>200</v>
      </c>
      <c r="BB385" s="7"/>
      <c r="BC385" s="4" t="s">
        <v>200</v>
      </c>
      <c r="BD385" s="8" t="s">
        <v>200</v>
      </c>
      <c r="BE385" s="4" t="s">
        <v>200</v>
      </c>
      <c r="BF385" s="8" t="s">
        <v>200</v>
      </c>
      <c r="BG385" s="7" t="s">
        <v>200</v>
      </c>
      <c r="BH385" s="7" t="s">
        <v>200</v>
      </c>
      <c r="BI385" s="7"/>
      <c r="BJ385" s="4"/>
      <c r="BK385" s="8"/>
      <c r="BL385" s="2" t="s">
        <v>200</v>
      </c>
      <c r="BM385" s="7"/>
      <c r="BN385" s="7"/>
      <c r="BO385" s="4"/>
      <c r="BP385" s="8"/>
      <c r="BQ385" s="4"/>
      <c r="BR385" s="8"/>
      <c r="BS385" s="7"/>
      <c r="BT385" s="7"/>
      <c r="BU385" s="2" t="s">
        <v>210</v>
      </c>
      <c r="BV385" s="2" t="s">
        <v>200</v>
      </c>
      <c r="BW385" s="2" t="s">
        <v>200</v>
      </c>
      <c r="BX385" s="2" t="s">
        <v>210</v>
      </c>
      <c r="BY385" s="2" t="s">
        <v>211</v>
      </c>
      <c r="BZ385" s="2" t="s">
        <v>212</v>
      </c>
      <c r="CA385" s="2" t="s">
        <v>200</v>
      </c>
      <c r="CB385" s="2" t="s">
        <v>200</v>
      </c>
      <c r="CC385" s="2" t="s">
        <v>213</v>
      </c>
      <c r="CD385" s="2" t="s">
        <v>200</v>
      </c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>
        <v>300</v>
      </c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</row>
    <row r="386">
      <c r="A386" s="2" t="s">
        <v>2748</v>
      </c>
      <c r="B386" s="2" t="s">
        <v>705</v>
      </c>
      <c r="C386" s="2" t="s">
        <v>730</v>
      </c>
      <c r="D386" s="2" t="s">
        <v>1376</v>
      </c>
      <c r="E386" s="2" t="s">
        <v>1377</v>
      </c>
      <c r="F386" s="2" t="s">
        <v>2749</v>
      </c>
      <c r="G386" s="2" t="s">
        <v>2749</v>
      </c>
      <c r="H386" s="2" t="s">
        <v>2749</v>
      </c>
      <c r="I386" s="2" t="s">
        <v>2750</v>
      </c>
      <c r="J386" s="2" t="s">
        <v>711</v>
      </c>
      <c r="K386" s="2" t="s">
        <v>237</v>
      </c>
      <c r="L386" s="3">
        <v>60.75</v>
      </c>
      <c r="M386" s="3">
        <v>63.79</v>
      </c>
      <c r="N386" s="3">
        <v>139.99</v>
      </c>
      <c r="O386" s="2" t="s">
        <v>460</v>
      </c>
      <c r="P386" s="2" t="s">
        <v>285</v>
      </c>
      <c r="Q386" s="2" t="s">
        <v>206</v>
      </c>
      <c r="R386" s="2" t="s">
        <v>200</v>
      </c>
      <c r="S386" s="2" t="s">
        <v>200</v>
      </c>
      <c r="T386" s="2" t="s">
        <v>200</v>
      </c>
      <c r="U386" s="2" t="s">
        <v>270</v>
      </c>
      <c r="V386" s="2" t="s">
        <v>616</v>
      </c>
      <c r="W386" s="2" t="s">
        <v>379</v>
      </c>
      <c r="X386" s="2" t="s">
        <v>2053</v>
      </c>
      <c r="Y386" s="2" t="s">
        <v>1028</v>
      </c>
      <c r="Z386" s="4">
        <v>79</v>
      </c>
      <c r="AA386" s="4">
        <f>=ROUNDDOWN(79,0)</f>
      </c>
      <c r="AB386" s="5">
        <v>1</v>
      </c>
      <c r="AC386" s="2" t="s">
        <v>200</v>
      </c>
      <c r="AD386" s="4"/>
      <c r="AE386" s="4"/>
      <c r="AF386" s="6">
        <v>63</v>
      </c>
      <c r="AG386" s="6"/>
      <c r="AH386" s="7">
        <v>1</v>
      </c>
      <c r="AI386" s="4"/>
      <c r="AJ386" s="4">
        <f>=ROUNDDOWN({0},0)</f>
      </c>
      <c r="AK386" s="5"/>
      <c r="AL386" s="2" t="s">
        <v>200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/>
      <c r="AW386" s="8"/>
      <c r="AX386" s="4"/>
      <c r="AY386" s="8"/>
      <c r="AZ386" s="7"/>
      <c r="BA386" s="7"/>
      <c r="BB386" s="7"/>
      <c r="BC386" s="4"/>
      <c r="BD386" s="8"/>
      <c r="BE386" s="4"/>
      <c r="BF386" s="8"/>
      <c r="BG386" s="7"/>
      <c r="BH386" s="7"/>
      <c r="BI386" s="7"/>
      <c r="BJ386" s="4"/>
      <c r="BK386" s="8"/>
      <c r="BL386" s="2" t="s">
        <v>2183</v>
      </c>
      <c r="BM386" s="7"/>
      <c r="BN386" s="7"/>
      <c r="BO386" s="4"/>
      <c r="BP386" s="8"/>
      <c r="BQ386" s="4"/>
      <c r="BR386" s="8"/>
      <c r="BS386" s="7"/>
      <c r="BT386" s="7"/>
      <c r="BU386" s="2" t="s">
        <v>2751</v>
      </c>
      <c r="BV386" s="2" t="s">
        <v>200</v>
      </c>
      <c r="BW386" s="2" t="s">
        <v>200</v>
      </c>
      <c r="BX386" s="2" t="s">
        <v>289</v>
      </c>
      <c r="BY386" s="2" t="s">
        <v>247</v>
      </c>
      <c r="BZ386" s="2" t="s">
        <v>212</v>
      </c>
      <c r="CA386" s="2" t="s">
        <v>2752</v>
      </c>
      <c r="CB386" s="2" t="s">
        <v>2753</v>
      </c>
      <c r="CC386" s="2" t="s">
        <v>213</v>
      </c>
      <c r="CD386" s="2" t="s">
        <v>200</v>
      </c>
      <c r="CE386" s="4"/>
      <c r="CF386" s="4">
        <v>79</v>
      </c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</row>
    <row r="387">
      <c r="A387" s="2" t="s">
        <v>2754</v>
      </c>
      <c r="B387" s="2" t="s">
        <v>903</v>
      </c>
      <c r="C387" s="2" t="s">
        <v>1759</v>
      </c>
      <c r="D387" s="2" t="s">
        <v>2228</v>
      </c>
      <c r="E387" s="2" t="s">
        <v>2755</v>
      </c>
      <c r="F387" s="2" t="s">
        <v>2756</v>
      </c>
      <c r="G387" s="2" t="s">
        <v>2756</v>
      </c>
      <c r="H387" s="2" t="s">
        <v>2756</v>
      </c>
      <c r="I387" s="2" t="s">
        <v>2757</v>
      </c>
      <c r="J387" s="2" t="s">
        <v>2231</v>
      </c>
      <c r="K387" s="2" t="s">
        <v>436</v>
      </c>
      <c r="L387" s="3">
        <v>15.51</v>
      </c>
      <c r="M387" s="3">
        <v>16.28</v>
      </c>
      <c r="N387" s="3">
        <v>32.99</v>
      </c>
      <c r="O387" s="2" t="s">
        <v>212</v>
      </c>
      <c r="P387" s="2" t="s">
        <v>285</v>
      </c>
      <c r="Q387" s="2" t="s">
        <v>206</v>
      </c>
      <c r="R387" s="2" t="s">
        <v>200</v>
      </c>
      <c r="S387" s="2" t="s">
        <v>2758</v>
      </c>
      <c r="T387" s="2" t="s">
        <v>200</v>
      </c>
      <c r="U387" s="2" t="s">
        <v>200</v>
      </c>
      <c r="V387" s="2" t="s">
        <v>2759</v>
      </c>
      <c r="W387" s="2" t="s">
        <v>736</v>
      </c>
      <c r="X387" s="2" t="s">
        <v>1271</v>
      </c>
      <c r="Y387" s="2" t="s">
        <v>261</v>
      </c>
      <c r="Z387" s="4">
        <v>308</v>
      </c>
      <c r="AA387" s="4">
        <f>=ROUNDDOWN(50.4918032786885,0)</f>
      </c>
      <c r="AB387" s="5">
        <v>6.1</v>
      </c>
      <c r="AC387" s="2" t="s">
        <v>200</v>
      </c>
      <c r="AD387" s="4"/>
      <c r="AE387" s="4"/>
      <c r="AF387" s="6">
        <v>66</v>
      </c>
      <c r="AG387" s="6"/>
      <c r="AH387" s="7">
        <v>1</v>
      </c>
      <c r="AI387" s="4"/>
      <c r="AJ387" s="4">
        <f>=ROUNDDOWN({0},0)</f>
      </c>
      <c r="AK387" s="5"/>
      <c r="AL387" s="2" t="s">
        <v>200</v>
      </c>
      <c r="AM387" s="4"/>
      <c r="AN387" s="4"/>
      <c r="AO387" s="7"/>
      <c r="AP387" s="4"/>
      <c r="AQ387" s="8"/>
      <c r="AR387" s="4"/>
      <c r="AS387" s="8"/>
      <c r="AT387" s="7"/>
      <c r="AU387" s="7"/>
      <c r="AV387" s="4"/>
      <c r="AW387" s="8"/>
      <c r="AX387" s="4"/>
      <c r="AY387" s="8"/>
      <c r="AZ387" s="7"/>
      <c r="BA387" s="7"/>
      <c r="BB387" s="7"/>
      <c r="BC387" s="4"/>
      <c r="BD387" s="8"/>
      <c r="BE387" s="4"/>
      <c r="BF387" s="8"/>
      <c r="BG387" s="7"/>
      <c r="BH387" s="7"/>
      <c r="BI387" s="7"/>
      <c r="BJ387" s="4">
        <v>27</v>
      </c>
      <c r="BK387" s="8">
        <v>275.78</v>
      </c>
      <c r="BL387" s="2" t="s">
        <v>2760</v>
      </c>
      <c r="BM387" s="7"/>
      <c r="BN387" s="7"/>
      <c r="BO387" s="4"/>
      <c r="BP387" s="8"/>
      <c r="BQ387" s="4"/>
      <c r="BR387" s="8"/>
      <c r="BS387" s="7"/>
      <c r="BT387" s="7"/>
      <c r="BU387" s="2" t="s">
        <v>2761</v>
      </c>
      <c r="BV387" s="2" t="s">
        <v>200</v>
      </c>
      <c r="BW387" s="2" t="s">
        <v>200</v>
      </c>
      <c r="BX387" s="2" t="s">
        <v>289</v>
      </c>
      <c r="BY387" s="2" t="s">
        <v>247</v>
      </c>
      <c r="BZ387" s="2" t="s">
        <v>212</v>
      </c>
      <c r="CA387" s="2" t="s">
        <v>265</v>
      </c>
      <c r="CB387" s="2" t="s">
        <v>1235</v>
      </c>
      <c r="CC387" s="2" t="s">
        <v>213</v>
      </c>
      <c r="CD387" s="2" t="s">
        <v>200</v>
      </c>
      <c r="CE387" s="4">
        <v>133</v>
      </c>
      <c r="CF387" s="4">
        <v>175</v>
      </c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</row>
    <row r="388">
      <c r="A388" s="2" t="s">
        <v>2762</v>
      </c>
      <c r="B388" s="2" t="s">
        <v>230</v>
      </c>
      <c r="C388" s="2" t="s">
        <v>877</v>
      </c>
      <c r="D388" s="2" t="s">
        <v>232</v>
      </c>
      <c r="E388" s="2" t="s">
        <v>233</v>
      </c>
      <c r="F388" s="2" t="s">
        <v>2763</v>
      </c>
      <c r="G388" s="2" t="s">
        <v>2763</v>
      </c>
      <c r="H388" s="2" t="s">
        <v>2763</v>
      </c>
      <c r="I388" s="2" t="s">
        <v>2764</v>
      </c>
      <c r="J388" s="2" t="s">
        <v>256</v>
      </c>
      <c r="K388" s="2" t="s">
        <v>660</v>
      </c>
      <c r="L388" s="3">
        <v>12.96</v>
      </c>
      <c r="M388" s="3">
        <v>13.61</v>
      </c>
      <c r="N388" s="3">
        <v>26.99</v>
      </c>
      <c r="O388" s="2" t="s">
        <v>417</v>
      </c>
      <c r="P388" s="2" t="s">
        <v>285</v>
      </c>
      <c r="Q388" s="2" t="s">
        <v>206</v>
      </c>
      <c r="R388" s="2" t="s">
        <v>200</v>
      </c>
      <c r="S388" s="2" t="s">
        <v>2765</v>
      </c>
      <c r="T388" s="2" t="s">
        <v>378</v>
      </c>
      <c r="U388" s="2" t="s">
        <v>200</v>
      </c>
      <c r="V388" s="2" t="s">
        <v>885</v>
      </c>
      <c r="W388" s="2" t="s">
        <v>241</v>
      </c>
      <c r="X388" s="2" t="s">
        <v>200</v>
      </c>
      <c r="Y388" s="2" t="s">
        <v>261</v>
      </c>
      <c r="Z388" s="4">
        <v>211</v>
      </c>
      <c r="AA388" s="4">
        <f>=ROUNDDOWN(75.3571428571429,0)</f>
      </c>
      <c r="AB388" s="5">
        <v>2.8</v>
      </c>
      <c r="AC388" s="2" t="s">
        <v>200</v>
      </c>
      <c r="AD388" s="4"/>
      <c r="AE388" s="4"/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200</v>
      </c>
      <c r="AM388" s="4"/>
      <c r="AN388" s="4"/>
      <c r="AO388" s="7"/>
      <c r="AP388" s="4"/>
      <c r="AQ388" s="8"/>
      <c r="AR388" s="4"/>
      <c r="AS388" s="8"/>
      <c r="AT388" s="7"/>
      <c r="AU388" s="7"/>
      <c r="AV388" s="4"/>
      <c r="AW388" s="8"/>
      <c r="AX388" s="4"/>
      <c r="AY388" s="8"/>
      <c r="AZ388" s="7"/>
      <c r="BA388" s="7"/>
      <c r="BB388" s="7"/>
      <c r="BC388" s="4"/>
      <c r="BD388" s="8"/>
      <c r="BE388" s="4"/>
      <c r="BF388" s="8"/>
      <c r="BG388" s="7"/>
      <c r="BH388" s="7"/>
      <c r="BI388" s="7"/>
      <c r="BJ388" s="4">
        <v>4</v>
      </c>
      <c r="BK388" s="8">
        <v>41.05</v>
      </c>
      <c r="BL388" s="2" t="s">
        <v>2766</v>
      </c>
      <c r="BM388" s="7"/>
      <c r="BN388" s="7"/>
      <c r="BO388" s="4"/>
      <c r="BP388" s="8"/>
      <c r="BQ388" s="4"/>
      <c r="BR388" s="8"/>
      <c r="BS388" s="7"/>
      <c r="BT388" s="7"/>
      <c r="BU388" s="2" t="s">
        <v>2767</v>
      </c>
      <c r="BV388" s="2" t="s">
        <v>200</v>
      </c>
      <c r="BW388" s="2" t="s">
        <v>200</v>
      </c>
      <c r="BX388" s="2" t="s">
        <v>289</v>
      </c>
      <c r="BY388" s="2" t="s">
        <v>247</v>
      </c>
      <c r="BZ388" s="2" t="s">
        <v>212</v>
      </c>
      <c r="CA388" s="2" t="s">
        <v>265</v>
      </c>
      <c r="CB388" s="2" t="s">
        <v>2768</v>
      </c>
      <c r="CC388" s="2" t="s">
        <v>213</v>
      </c>
      <c r="CD388" s="2" t="s">
        <v>200</v>
      </c>
      <c r="CE388" s="4">
        <v>211</v>
      </c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</row>
    <row r="389">
      <c r="A389" s="2" t="s">
        <v>2769</v>
      </c>
      <c r="B389" s="2" t="s">
        <v>195</v>
      </c>
      <c r="C389" s="2" t="s">
        <v>231</v>
      </c>
      <c r="D389" s="2" t="s">
        <v>2254</v>
      </c>
      <c r="E389" s="2" t="s">
        <v>2255</v>
      </c>
      <c r="F389" s="2" t="s">
        <v>2770</v>
      </c>
      <c r="G389" s="2" t="s">
        <v>2771</v>
      </c>
      <c r="H389" s="2" t="s">
        <v>2771</v>
      </c>
      <c r="I389" s="2" t="s">
        <v>2257</v>
      </c>
      <c r="J389" s="2" t="s">
        <v>1173</v>
      </c>
      <c r="K389" s="2" t="s">
        <v>499</v>
      </c>
      <c r="L389" s="3">
        <v>17.86</v>
      </c>
      <c r="M389" s="3">
        <v>18.75</v>
      </c>
      <c r="N389" s="3">
        <v>39.99</v>
      </c>
      <c r="O389" s="2" t="s">
        <v>212</v>
      </c>
      <c r="P389" s="2" t="s">
        <v>258</v>
      </c>
      <c r="Q389" s="2" t="s">
        <v>206</v>
      </c>
      <c r="R389" s="2" t="s">
        <v>200</v>
      </c>
      <c r="S389" s="2" t="s">
        <v>2772</v>
      </c>
      <c r="T389" s="2" t="s">
        <v>200</v>
      </c>
      <c r="U389" s="2" t="s">
        <v>270</v>
      </c>
      <c r="V389" s="2" t="s">
        <v>724</v>
      </c>
      <c r="W389" s="2" t="s">
        <v>2773</v>
      </c>
      <c r="X389" s="2" t="s">
        <v>200</v>
      </c>
      <c r="Y389" s="2" t="s">
        <v>2774</v>
      </c>
      <c r="Z389" s="4">
        <v>1000</v>
      </c>
      <c r="AA389" s="4">
        <f>=ROUNDDOWN(81.9672131147541,0)</f>
      </c>
      <c r="AB389" s="5">
        <v>12.2</v>
      </c>
      <c r="AC389" s="2" t="s">
        <v>1147</v>
      </c>
      <c r="AD389" s="4">
        <v>489</v>
      </c>
      <c r="AE389" s="4">
        <v>489</v>
      </c>
      <c r="AF389" s="6">
        <v>69</v>
      </c>
      <c r="AG389" s="6"/>
      <c r="AH389" s="7">
        <v>1</v>
      </c>
      <c r="AI389" s="4"/>
      <c r="AJ389" s="4">
        <f>=ROUNDDOWN({0},0)</f>
      </c>
      <c r="AK389" s="5"/>
      <c r="AL389" s="2" t="s">
        <v>200</v>
      </c>
      <c r="AM389" s="4"/>
      <c r="AN389" s="4"/>
      <c r="AO389" s="7"/>
      <c r="AP389" s="4"/>
      <c r="AQ389" s="8"/>
      <c r="AR389" s="4"/>
      <c r="AS389" s="8"/>
      <c r="AT389" s="7"/>
      <c r="AU389" s="7"/>
      <c r="AV389" s="4"/>
      <c r="AW389" s="8"/>
      <c r="AX389" s="4"/>
      <c r="AY389" s="8"/>
      <c r="AZ389" s="7"/>
      <c r="BA389" s="7"/>
      <c r="BB389" s="7"/>
      <c r="BC389" s="4"/>
      <c r="BD389" s="8"/>
      <c r="BE389" s="4"/>
      <c r="BF389" s="8"/>
      <c r="BG389" s="7"/>
      <c r="BH389" s="7"/>
      <c r="BI389" s="7"/>
      <c r="BJ389" s="4">
        <v>53</v>
      </c>
      <c r="BK389" s="8">
        <v>1058.51</v>
      </c>
      <c r="BL389" s="2" t="s">
        <v>2775</v>
      </c>
      <c r="BM389" s="7"/>
      <c r="BN389" s="7"/>
      <c r="BO389" s="4"/>
      <c r="BP389" s="8"/>
      <c r="BQ389" s="4"/>
      <c r="BR389" s="8"/>
      <c r="BS389" s="7"/>
      <c r="BT389" s="7"/>
      <c r="BU389" s="2" t="s">
        <v>2776</v>
      </c>
      <c r="BV389" s="2" t="s">
        <v>200</v>
      </c>
      <c r="BW389" s="2" t="s">
        <v>200</v>
      </c>
      <c r="BX389" s="2" t="s">
        <v>264</v>
      </c>
      <c r="BY389" s="2" t="s">
        <v>247</v>
      </c>
      <c r="BZ389" s="2" t="s">
        <v>212</v>
      </c>
      <c r="CA389" s="2" t="s">
        <v>2777</v>
      </c>
      <c r="CB389" s="2" t="s">
        <v>2778</v>
      </c>
      <c r="CC389" s="2" t="s">
        <v>213</v>
      </c>
      <c r="CD389" s="2" t="s">
        <v>200</v>
      </c>
      <c r="CE389" s="4">
        <v>1000</v>
      </c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>
        <v>489</v>
      </c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</row>
    <row r="390">
      <c r="A390" s="2" t="s">
        <v>2779</v>
      </c>
      <c r="B390" s="2" t="s">
        <v>932</v>
      </c>
      <c r="C390" s="2" t="s">
        <v>877</v>
      </c>
      <c r="D390" s="2" t="s">
        <v>918</v>
      </c>
      <c r="E390" s="2" t="s">
        <v>919</v>
      </c>
      <c r="F390" s="2" t="s">
        <v>2780</v>
      </c>
      <c r="G390" s="2" t="s">
        <v>2781</v>
      </c>
      <c r="H390" s="2" t="s">
        <v>2782</v>
      </c>
      <c r="I390" s="2" t="s">
        <v>2783</v>
      </c>
      <c r="J390" s="2" t="s">
        <v>1390</v>
      </c>
      <c r="K390" s="2" t="s">
        <v>387</v>
      </c>
      <c r="L390" s="3">
        <v>14.28</v>
      </c>
      <c r="M390" s="3">
        <v>14.99</v>
      </c>
      <c r="N390" s="3">
        <v>29.99</v>
      </c>
      <c r="O390" s="2" t="s">
        <v>212</v>
      </c>
      <c r="P390" s="2" t="s">
        <v>258</v>
      </c>
      <c r="Q390" s="2" t="s">
        <v>206</v>
      </c>
      <c r="R390" s="2" t="s">
        <v>200</v>
      </c>
      <c r="S390" s="2" t="s">
        <v>2784</v>
      </c>
      <c r="T390" s="2" t="s">
        <v>378</v>
      </c>
      <c r="U390" s="2" t="s">
        <v>677</v>
      </c>
      <c r="V390" s="2" t="s">
        <v>1529</v>
      </c>
      <c r="W390" s="2" t="s">
        <v>1271</v>
      </c>
      <c r="X390" s="2" t="s">
        <v>200</v>
      </c>
      <c r="Y390" s="2" t="s">
        <v>2220</v>
      </c>
      <c r="Z390" s="4">
        <v>120</v>
      </c>
      <c r="AA390" s="4">
        <f>=ROUNDDOWN(40,0)</f>
      </c>
      <c r="AB390" s="5">
        <v>3</v>
      </c>
      <c r="AC390" s="2" t="s">
        <v>200</v>
      </c>
      <c r="AD390" s="4"/>
      <c r="AE390" s="4"/>
      <c r="AF390" s="6">
        <v>64</v>
      </c>
      <c r="AG390" s="6"/>
      <c r="AH390" s="7">
        <v>0.4667</v>
      </c>
      <c r="AI390" s="4"/>
      <c r="AJ390" s="4">
        <f>=ROUNDDOWN({0},0)</f>
      </c>
      <c r="AK390" s="5"/>
      <c r="AL390" s="2" t="s">
        <v>200</v>
      </c>
      <c r="AM390" s="4"/>
      <c r="AN390" s="4"/>
      <c r="AO390" s="7"/>
      <c r="AP390" s="4"/>
      <c r="AQ390" s="8"/>
      <c r="AR390" s="4"/>
      <c r="AS390" s="8"/>
      <c r="AT390" s="7"/>
      <c r="AU390" s="7"/>
      <c r="AV390" s="4" t="s">
        <v>200</v>
      </c>
      <c r="AW390" s="8" t="s">
        <v>200</v>
      </c>
      <c r="AX390" s="4" t="s">
        <v>200</v>
      </c>
      <c r="AY390" s="8" t="s">
        <v>200</v>
      </c>
      <c r="AZ390" s="7" t="s">
        <v>200</v>
      </c>
      <c r="BA390" s="7" t="s">
        <v>200</v>
      </c>
      <c r="BB390" s="7"/>
      <c r="BC390" s="4" t="s">
        <v>200</v>
      </c>
      <c r="BD390" s="8" t="s">
        <v>200</v>
      </c>
      <c r="BE390" s="4" t="s">
        <v>200</v>
      </c>
      <c r="BF390" s="8" t="s">
        <v>200</v>
      </c>
      <c r="BG390" s="7" t="s">
        <v>200</v>
      </c>
      <c r="BH390" s="7" t="s">
        <v>200</v>
      </c>
      <c r="BI390" s="7"/>
      <c r="BJ390" s="4">
        <v>7</v>
      </c>
      <c r="BK390" s="8">
        <v>111.53</v>
      </c>
      <c r="BL390" s="2" t="s">
        <v>245</v>
      </c>
      <c r="BM390" s="7"/>
      <c r="BN390" s="7"/>
      <c r="BO390" s="4"/>
      <c r="BP390" s="8"/>
      <c r="BQ390" s="4"/>
      <c r="BR390" s="8"/>
      <c r="BS390" s="7"/>
      <c r="BT390" s="7"/>
      <c r="BU390" s="2" t="s">
        <v>2785</v>
      </c>
      <c r="BV390" s="2" t="s">
        <v>200</v>
      </c>
      <c r="BW390" s="2" t="s">
        <v>200</v>
      </c>
      <c r="BX390" s="2" t="s">
        <v>264</v>
      </c>
      <c r="BY390" s="2" t="s">
        <v>247</v>
      </c>
      <c r="BZ390" s="2" t="s">
        <v>212</v>
      </c>
      <c r="CA390" s="2" t="s">
        <v>2743</v>
      </c>
      <c r="CB390" s="2" t="s">
        <v>2786</v>
      </c>
      <c r="CC390" s="2" t="s">
        <v>213</v>
      </c>
      <c r="CD390" s="2" t="s">
        <v>200</v>
      </c>
      <c r="CE390" s="4">
        <v>120</v>
      </c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</row>
    <row r="391">
      <c r="A391" s="2" t="s">
        <v>2787</v>
      </c>
      <c r="B391" s="2" t="s">
        <v>932</v>
      </c>
      <c r="C391" s="2" t="s">
        <v>877</v>
      </c>
      <c r="D391" s="2" t="s">
        <v>608</v>
      </c>
      <c r="E391" s="2" t="s">
        <v>609</v>
      </c>
      <c r="F391" s="2" t="s">
        <v>2780</v>
      </c>
      <c r="G391" s="2" t="s">
        <v>2781</v>
      </c>
      <c r="H391" s="2" t="s">
        <v>2782</v>
      </c>
      <c r="I391" s="2" t="s">
        <v>2788</v>
      </c>
      <c r="J391" s="2" t="s">
        <v>612</v>
      </c>
      <c r="K391" s="2" t="s">
        <v>387</v>
      </c>
      <c r="L391" s="3">
        <v>28.57</v>
      </c>
      <c r="M391" s="3">
        <v>30</v>
      </c>
      <c r="N391" s="3">
        <v>59.99</v>
      </c>
      <c r="O391" s="2" t="s">
        <v>212</v>
      </c>
      <c r="P391" s="2" t="s">
        <v>258</v>
      </c>
      <c r="Q391" s="2" t="s">
        <v>206</v>
      </c>
      <c r="R391" s="2" t="s">
        <v>200</v>
      </c>
      <c r="S391" s="2" t="s">
        <v>2784</v>
      </c>
      <c r="T391" s="2" t="s">
        <v>378</v>
      </c>
      <c r="U391" s="2" t="s">
        <v>615</v>
      </c>
      <c r="V391" s="2" t="s">
        <v>1529</v>
      </c>
      <c r="W391" s="2" t="s">
        <v>1271</v>
      </c>
      <c r="X391" s="2" t="s">
        <v>200</v>
      </c>
      <c r="Y391" s="2" t="s">
        <v>2220</v>
      </c>
      <c r="Z391" s="4">
        <v>403</v>
      </c>
      <c r="AA391" s="4">
        <f>=ROUNDDOWN(33.5833333333333,0)</f>
      </c>
      <c r="AB391" s="5">
        <v>12</v>
      </c>
      <c r="AC391" s="2" t="s">
        <v>200</v>
      </c>
      <c r="AD391" s="4"/>
      <c r="AE391" s="4"/>
      <c r="AF391" s="6">
        <v>64</v>
      </c>
      <c r="AG391" s="6"/>
      <c r="AH391" s="7">
        <v>1</v>
      </c>
      <c r="AI391" s="4"/>
      <c r="AJ391" s="4">
        <f>=ROUNDDOWN({0},0)</f>
      </c>
      <c r="AK391" s="5"/>
      <c r="AL391" s="2" t="s">
        <v>200</v>
      </c>
      <c r="AM391" s="4"/>
      <c r="AN391" s="4"/>
      <c r="AO391" s="7"/>
      <c r="AP391" s="4"/>
      <c r="AQ391" s="8"/>
      <c r="AR391" s="4"/>
      <c r="AS391" s="8"/>
      <c r="AT391" s="7"/>
      <c r="AU391" s="7"/>
      <c r="AV391" s="4" t="s">
        <v>200</v>
      </c>
      <c r="AW391" s="8" t="s">
        <v>200</v>
      </c>
      <c r="AX391" s="4" t="s">
        <v>200</v>
      </c>
      <c r="AY391" s="8" t="s">
        <v>200</v>
      </c>
      <c r="AZ391" s="7" t="s">
        <v>200</v>
      </c>
      <c r="BA391" s="7" t="s">
        <v>200</v>
      </c>
      <c r="BB391" s="7" t="s">
        <v>200</v>
      </c>
      <c r="BC391" s="4" t="s">
        <v>200</v>
      </c>
      <c r="BD391" s="8" t="s">
        <v>200</v>
      </c>
      <c r="BE391" s="4" t="s">
        <v>200</v>
      </c>
      <c r="BF391" s="8" t="s">
        <v>200</v>
      </c>
      <c r="BG391" s="7" t="s">
        <v>200</v>
      </c>
      <c r="BH391" s="7" t="s">
        <v>200</v>
      </c>
      <c r="BI391" s="7"/>
      <c r="BJ391" s="4">
        <v>39</v>
      </c>
      <c r="BK391" s="8">
        <v>1325.02</v>
      </c>
      <c r="BL391" s="2" t="s">
        <v>353</v>
      </c>
      <c r="BM391" s="7"/>
      <c r="BN391" s="7"/>
      <c r="BO391" s="4"/>
      <c r="BP391" s="8"/>
      <c r="BQ391" s="4"/>
      <c r="BR391" s="8"/>
      <c r="BS391" s="7"/>
      <c r="BT391" s="7"/>
      <c r="BU391" s="2" t="s">
        <v>2789</v>
      </c>
      <c r="BV391" s="2" t="s">
        <v>200</v>
      </c>
      <c r="BW391" s="2" t="s">
        <v>200</v>
      </c>
      <c r="BX391" s="2" t="s">
        <v>264</v>
      </c>
      <c r="BY391" s="2" t="s">
        <v>247</v>
      </c>
      <c r="BZ391" s="2" t="s">
        <v>212</v>
      </c>
      <c r="CA391" s="2" t="s">
        <v>2516</v>
      </c>
      <c r="CB391" s="2" t="s">
        <v>2790</v>
      </c>
      <c r="CC391" s="2" t="s">
        <v>213</v>
      </c>
      <c r="CD391" s="2" t="s">
        <v>200</v>
      </c>
      <c r="CE391" s="4">
        <v>403</v>
      </c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</row>
    <row r="392">
      <c r="A392" s="2" t="s">
        <v>2791</v>
      </c>
      <c r="B392" s="2" t="s">
        <v>932</v>
      </c>
      <c r="C392" s="2" t="s">
        <v>877</v>
      </c>
      <c r="D392" s="2" t="s">
        <v>918</v>
      </c>
      <c r="E392" s="2" t="s">
        <v>919</v>
      </c>
      <c r="F392" s="2" t="s">
        <v>2780</v>
      </c>
      <c r="G392" s="2" t="s">
        <v>2781</v>
      </c>
      <c r="H392" s="2" t="s">
        <v>2782</v>
      </c>
      <c r="I392" s="2" t="s">
        <v>2783</v>
      </c>
      <c r="J392" s="2" t="s">
        <v>612</v>
      </c>
      <c r="K392" s="2" t="s">
        <v>387</v>
      </c>
      <c r="L392" s="3">
        <v>19.04</v>
      </c>
      <c r="M392" s="3">
        <v>19.99</v>
      </c>
      <c r="N392" s="3">
        <v>39.99</v>
      </c>
      <c r="O392" s="2" t="s">
        <v>212</v>
      </c>
      <c r="P392" s="2" t="s">
        <v>258</v>
      </c>
      <c r="Q392" s="2" t="s">
        <v>206</v>
      </c>
      <c r="R392" s="2" t="s">
        <v>200</v>
      </c>
      <c r="S392" s="2" t="s">
        <v>2784</v>
      </c>
      <c r="T392" s="2" t="s">
        <v>378</v>
      </c>
      <c r="U392" s="2" t="s">
        <v>454</v>
      </c>
      <c r="V392" s="2" t="s">
        <v>1529</v>
      </c>
      <c r="W392" s="2" t="s">
        <v>1271</v>
      </c>
      <c r="X392" s="2" t="s">
        <v>200</v>
      </c>
      <c r="Y392" s="2" t="s">
        <v>2792</v>
      </c>
      <c r="Z392" s="4">
        <v>177</v>
      </c>
      <c r="AA392" s="4">
        <f>=ROUNDDOWN(35.4,0)</f>
      </c>
      <c r="AB392" s="5">
        <v>5</v>
      </c>
      <c r="AC392" s="2" t="s">
        <v>200</v>
      </c>
      <c r="AD392" s="4"/>
      <c r="AE392" s="4"/>
      <c r="AF392" s="6">
        <v>64</v>
      </c>
      <c r="AG392" s="6"/>
      <c r="AH392" s="7">
        <v>1</v>
      </c>
      <c r="AI392" s="4"/>
      <c r="AJ392" s="4">
        <f>=ROUNDDOWN({0},0)</f>
      </c>
      <c r="AK392" s="5"/>
      <c r="AL392" s="2" t="s">
        <v>200</v>
      </c>
      <c r="AM392" s="4"/>
      <c r="AN392" s="4"/>
      <c r="AO392" s="7"/>
      <c r="AP392" s="4"/>
      <c r="AQ392" s="8"/>
      <c r="AR392" s="4"/>
      <c r="AS392" s="8"/>
      <c r="AT392" s="7"/>
      <c r="AU392" s="7"/>
      <c r="AV392" s="4" t="s">
        <v>200</v>
      </c>
      <c r="AW392" s="8" t="s">
        <v>200</v>
      </c>
      <c r="AX392" s="4" t="s">
        <v>200</v>
      </c>
      <c r="AY392" s="8" t="s">
        <v>200</v>
      </c>
      <c r="AZ392" s="7" t="s">
        <v>200</v>
      </c>
      <c r="BA392" s="7" t="s">
        <v>200</v>
      </c>
      <c r="BB392" s="7" t="s">
        <v>200</v>
      </c>
      <c r="BC392" s="4" t="s">
        <v>200</v>
      </c>
      <c r="BD392" s="8" t="s">
        <v>200</v>
      </c>
      <c r="BE392" s="4" t="s">
        <v>200</v>
      </c>
      <c r="BF392" s="8" t="s">
        <v>200</v>
      </c>
      <c r="BG392" s="7" t="s">
        <v>200</v>
      </c>
      <c r="BH392" s="7" t="s">
        <v>200</v>
      </c>
      <c r="BI392" s="7"/>
      <c r="BJ392" s="4">
        <v>15</v>
      </c>
      <c r="BK392" s="8">
        <v>347.65</v>
      </c>
      <c r="BL392" s="2" t="s">
        <v>2793</v>
      </c>
      <c r="BM392" s="7"/>
      <c r="BN392" s="7"/>
      <c r="BO392" s="4"/>
      <c r="BP392" s="8"/>
      <c r="BQ392" s="4"/>
      <c r="BR392" s="8"/>
      <c r="BS392" s="7"/>
      <c r="BT392" s="7"/>
      <c r="BU392" s="2" t="s">
        <v>2794</v>
      </c>
      <c r="BV392" s="2" t="s">
        <v>200</v>
      </c>
      <c r="BW392" s="2" t="s">
        <v>200</v>
      </c>
      <c r="BX392" s="2" t="s">
        <v>264</v>
      </c>
      <c r="BY392" s="2" t="s">
        <v>247</v>
      </c>
      <c r="BZ392" s="2" t="s">
        <v>212</v>
      </c>
      <c r="CA392" s="2" t="s">
        <v>2743</v>
      </c>
      <c r="CB392" s="2" t="s">
        <v>2795</v>
      </c>
      <c r="CC392" s="2" t="s">
        <v>213</v>
      </c>
      <c r="CD392" s="2" t="s">
        <v>200</v>
      </c>
      <c r="CE392" s="4">
        <v>177</v>
      </c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</row>
    <row r="393">
      <c r="A393" s="2" t="s">
        <v>2796</v>
      </c>
      <c r="B393" s="2" t="s">
        <v>744</v>
      </c>
      <c r="C393" s="2" t="s">
        <v>231</v>
      </c>
      <c r="D393" s="2" t="s">
        <v>795</v>
      </c>
      <c r="E393" s="2" t="s">
        <v>796</v>
      </c>
      <c r="F393" s="2" t="s">
        <v>2797</v>
      </c>
      <c r="G393" s="2" t="s">
        <v>2798</v>
      </c>
      <c r="H393" s="2" t="s">
        <v>2770</v>
      </c>
      <c r="I393" s="2" t="s">
        <v>2799</v>
      </c>
      <c r="J393" s="2" t="s">
        <v>711</v>
      </c>
      <c r="K393" s="2" t="s">
        <v>221</v>
      </c>
      <c r="L393" s="3">
        <v>262.5</v>
      </c>
      <c r="M393" s="3">
        <v>275.63</v>
      </c>
      <c r="N393" s="3">
        <v>549</v>
      </c>
      <c r="O393" s="2" t="s">
        <v>460</v>
      </c>
      <c r="P393" s="2" t="s">
        <v>285</v>
      </c>
      <c r="Q393" s="2" t="s">
        <v>206</v>
      </c>
      <c r="R393" s="2" t="s">
        <v>200</v>
      </c>
      <c r="S393" s="2" t="s">
        <v>200</v>
      </c>
      <c r="T393" s="2" t="s">
        <v>200</v>
      </c>
      <c r="U393" s="2" t="s">
        <v>200</v>
      </c>
      <c r="V393" s="2" t="s">
        <v>616</v>
      </c>
      <c r="W393" s="2" t="s">
        <v>419</v>
      </c>
      <c r="X393" s="2" t="s">
        <v>379</v>
      </c>
      <c r="Y393" s="2" t="s">
        <v>2800</v>
      </c>
      <c r="Z393" s="4">
        <v>40</v>
      </c>
      <c r="AA393" s="4">
        <f>=ROUNDDOWN(133.333333333333,0)</f>
      </c>
      <c r="AB393" s="5">
        <v>0.3</v>
      </c>
      <c r="AC393" s="2" t="s">
        <v>200</v>
      </c>
      <c r="AD393" s="4"/>
      <c r="AE393" s="4"/>
      <c r="AF393" s="6">
        <v>74</v>
      </c>
      <c r="AG393" s="6"/>
      <c r="AH393" s="7">
        <v>1</v>
      </c>
      <c r="AI393" s="4"/>
      <c r="AJ393" s="4">
        <f>=ROUNDDOWN({0},0)</f>
      </c>
      <c r="AK393" s="5"/>
      <c r="AL393" s="2" t="s">
        <v>200</v>
      </c>
      <c r="AM393" s="4"/>
      <c r="AN393" s="4"/>
      <c r="AO393" s="7"/>
      <c r="AP393" s="4"/>
      <c r="AQ393" s="8"/>
      <c r="AR393" s="4"/>
      <c r="AS393" s="8"/>
      <c r="AT393" s="7"/>
      <c r="AU393" s="7"/>
      <c r="AV393" s="4"/>
      <c r="AW393" s="8"/>
      <c r="AX393" s="4"/>
      <c r="AY393" s="8"/>
      <c r="AZ393" s="7"/>
      <c r="BA393" s="7"/>
      <c r="BB393" s="7"/>
      <c r="BC393" s="4"/>
      <c r="BD393" s="8"/>
      <c r="BE393" s="4"/>
      <c r="BF393" s="8"/>
      <c r="BG393" s="7"/>
      <c r="BH393" s="7"/>
      <c r="BI393" s="7"/>
      <c r="BJ393" s="4">
        <v>3</v>
      </c>
      <c r="BK393" s="8">
        <v>431.37</v>
      </c>
      <c r="BL393" s="2" t="s">
        <v>2801</v>
      </c>
      <c r="BM393" s="7"/>
      <c r="BN393" s="7"/>
      <c r="BO393" s="4"/>
      <c r="BP393" s="8"/>
      <c r="BQ393" s="4"/>
      <c r="BR393" s="8"/>
      <c r="BS393" s="7"/>
      <c r="BT393" s="7"/>
      <c r="BU393" s="2" t="s">
        <v>2802</v>
      </c>
      <c r="BV393" s="2" t="s">
        <v>200</v>
      </c>
      <c r="BW393" s="2" t="s">
        <v>200</v>
      </c>
      <c r="BX393" s="2" t="s">
        <v>289</v>
      </c>
      <c r="BY393" s="2" t="s">
        <v>247</v>
      </c>
      <c r="BZ393" s="2" t="s">
        <v>212</v>
      </c>
      <c r="CA393" s="2" t="s">
        <v>815</v>
      </c>
      <c r="CB393" s="2" t="s">
        <v>2130</v>
      </c>
      <c r="CC393" s="2" t="s">
        <v>213</v>
      </c>
      <c r="CD393" s="2" t="s">
        <v>200</v>
      </c>
      <c r="CE393" s="4"/>
      <c r="CF393" s="4">
        <v>40</v>
      </c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</row>
    <row r="394">
      <c r="A394" s="2" t="s">
        <v>2803</v>
      </c>
      <c r="B394" s="2" t="s">
        <v>903</v>
      </c>
      <c r="C394" s="2" t="s">
        <v>607</v>
      </c>
      <c r="D394" s="2" t="s">
        <v>608</v>
      </c>
      <c r="E394" s="2" t="s">
        <v>609</v>
      </c>
      <c r="F394" s="2" t="s">
        <v>2804</v>
      </c>
      <c r="G394" s="2" t="s">
        <v>2804</v>
      </c>
      <c r="H394" s="2" t="s">
        <v>2804</v>
      </c>
      <c r="I394" s="2" t="s">
        <v>2805</v>
      </c>
      <c r="J394" s="2" t="s">
        <v>297</v>
      </c>
      <c r="K394" s="2" t="s">
        <v>637</v>
      </c>
      <c r="L394" s="3">
        <v>150</v>
      </c>
      <c r="M394" s="3">
        <v>157.5</v>
      </c>
      <c r="N394" s="3">
        <v>299.99</v>
      </c>
      <c r="O394" s="2" t="s">
        <v>212</v>
      </c>
      <c r="P394" s="2" t="s">
        <v>205</v>
      </c>
      <c r="Q394" s="2" t="s">
        <v>206</v>
      </c>
      <c r="R394" s="2" t="s">
        <v>200</v>
      </c>
      <c r="S394" s="2" t="s">
        <v>200</v>
      </c>
      <c r="T394" s="2" t="s">
        <v>1176</v>
      </c>
      <c r="U394" s="2" t="s">
        <v>689</v>
      </c>
      <c r="V394" s="2" t="s">
        <v>616</v>
      </c>
      <c r="W394" s="2" t="s">
        <v>200</v>
      </c>
      <c r="X394" s="2" t="s">
        <v>200</v>
      </c>
      <c r="Y394" s="2" t="s">
        <v>200</v>
      </c>
      <c r="Z394" s="4"/>
      <c r="AA394" s="4">
        <f>=ROUNDDOWN({0},0)</f>
      </c>
      <c r="AB394" s="5"/>
      <c r="AC394" s="2" t="s">
        <v>1435</v>
      </c>
      <c r="AD394" s="4">
        <v>60</v>
      </c>
      <c r="AE394" s="4">
        <v>60</v>
      </c>
      <c r="AF394" s="6">
        <v>64</v>
      </c>
      <c r="AG394" s="6"/>
      <c r="AH394" s="7"/>
      <c r="AI394" s="4"/>
      <c r="AJ394" s="4">
        <f>=ROUNDDOWN({0},0)</f>
      </c>
      <c r="AK394" s="5"/>
      <c r="AL394" s="2" t="s">
        <v>200</v>
      </c>
      <c r="AM394" s="4"/>
      <c r="AN394" s="4"/>
      <c r="AO394" s="7"/>
      <c r="AP394" s="4"/>
      <c r="AQ394" s="8"/>
      <c r="AR394" s="4"/>
      <c r="AS394" s="8"/>
      <c r="AT394" s="7"/>
      <c r="AU394" s="7"/>
      <c r="AV394" s="4" t="s">
        <v>200</v>
      </c>
      <c r="AW394" s="8" t="s">
        <v>200</v>
      </c>
      <c r="AX394" s="4" t="s">
        <v>200</v>
      </c>
      <c r="AY394" s="8" t="s">
        <v>200</v>
      </c>
      <c r="AZ394" s="7" t="s">
        <v>200</v>
      </c>
      <c r="BA394" s="7" t="s">
        <v>200</v>
      </c>
      <c r="BB394" s="7"/>
      <c r="BC394" s="4" t="s">
        <v>200</v>
      </c>
      <c r="BD394" s="8" t="s">
        <v>200</v>
      </c>
      <c r="BE394" s="4" t="s">
        <v>200</v>
      </c>
      <c r="BF394" s="8" t="s">
        <v>200</v>
      </c>
      <c r="BG394" s="7" t="s">
        <v>200</v>
      </c>
      <c r="BH394" s="7" t="s">
        <v>200</v>
      </c>
      <c r="BI394" s="7"/>
      <c r="BJ394" s="4"/>
      <c r="BK394" s="8"/>
      <c r="BL394" s="2" t="s">
        <v>200</v>
      </c>
      <c r="BM394" s="7"/>
      <c r="BN394" s="7"/>
      <c r="BO394" s="4"/>
      <c r="BP394" s="8"/>
      <c r="BQ394" s="4"/>
      <c r="BR394" s="8"/>
      <c r="BS394" s="7"/>
      <c r="BT394" s="7"/>
      <c r="BU394" s="2" t="s">
        <v>210</v>
      </c>
      <c r="BV394" s="2" t="s">
        <v>200</v>
      </c>
      <c r="BW394" s="2" t="s">
        <v>200</v>
      </c>
      <c r="BX394" s="2" t="s">
        <v>210</v>
      </c>
      <c r="BY394" s="2" t="s">
        <v>211</v>
      </c>
      <c r="BZ394" s="2" t="s">
        <v>212</v>
      </c>
      <c r="CA394" s="2" t="s">
        <v>200</v>
      </c>
      <c r="CB394" s="2" t="s">
        <v>200</v>
      </c>
      <c r="CC394" s="2" t="s">
        <v>213</v>
      </c>
      <c r="CD394" s="2" t="s">
        <v>200</v>
      </c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>
        <v>60</v>
      </c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</row>
    <row r="395">
      <c r="A395" s="2" t="s">
        <v>2806</v>
      </c>
      <c r="B395" s="2" t="s">
        <v>903</v>
      </c>
      <c r="C395" s="2" t="s">
        <v>607</v>
      </c>
      <c r="D395" s="2" t="s">
        <v>608</v>
      </c>
      <c r="E395" s="2" t="s">
        <v>609</v>
      </c>
      <c r="F395" s="2" t="s">
        <v>2804</v>
      </c>
      <c r="G395" s="2" t="s">
        <v>2804</v>
      </c>
      <c r="H395" s="2" t="s">
        <v>2804</v>
      </c>
      <c r="I395" s="2" t="s">
        <v>2805</v>
      </c>
      <c r="J395" s="2" t="s">
        <v>302</v>
      </c>
      <c r="K395" s="2" t="s">
        <v>637</v>
      </c>
      <c r="L395" s="3">
        <v>175</v>
      </c>
      <c r="M395" s="3">
        <v>183.75</v>
      </c>
      <c r="N395" s="3">
        <v>349.99</v>
      </c>
      <c r="O395" s="2" t="s">
        <v>212</v>
      </c>
      <c r="P395" s="2" t="s">
        <v>205</v>
      </c>
      <c r="Q395" s="2" t="s">
        <v>206</v>
      </c>
      <c r="R395" s="2" t="s">
        <v>200</v>
      </c>
      <c r="S395" s="2" t="s">
        <v>200</v>
      </c>
      <c r="T395" s="2" t="s">
        <v>1176</v>
      </c>
      <c r="U395" s="2" t="s">
        <v>909</v>
      </c>
      <c r="V395" s="2" t="s">
        <v>616</v>
      </c>
      <c r="W395" s="2" t="s">
        <v>200</v>
      </c>
      <c r="X395" s="2" t="s">
        <v>200</v>
      </c>
      <c r="Y395" s="2" t="s">
        <v>200</v>
      </c>
      <c r="Z395" s="4"/>
      <c r="AA395" s="4">
        <f>=ROUNDDOWN({0},0)</f>
      </c>
      <c r="AB395" s="5"/>
      <c r="AC395" s="2" t="s">
        <v>1435</v>
      </c>
      <c r="AD395" s="4">
        <v>126</v>
      </c>
      <c r="AE395" s="4">
        <v>126</v>
      </c>
      <c r="AF395" s="6">
        <v>64</v>
      </c>
      <c r="AG395" s="6"/>
      <c r="AH395" s="7"/>
      <c r="AI395" s="4"/>
      <c r="AJ395" s="4">
        <f>=ROUNDDOWN({0},0)</f>
      </c>
      <c r="AK395" s="5"/>
      <c r="AL395" s="2" t="s">
        <v>200</v>
      </c>
      <c r="AM395" s="4"/>
      <c r="AN395" s="4"/>
      <c r="AO395" s="7"/>
      <c r="AP395" s="4"/>
      <c r="AQ395" s="8"/>
      <c r="AR395" s="4"/>
      <c r="AS395" s="8"/>
      <c r="AT395" s="7"/>
      <c r="AU395" s="7"/>
      <c r="AV395" s="4" t="s">
        <v>200</v>
      </c>
      <c r="AW395" s="8" t="s">
        <v>200</v>
      </c>
      <c r="AX395" s="4" t="s">
        <v>200</v>
      </c>
      <c r="AY395" s="8" t="s">
        <v>200</v>
      </c>
      <c r="AZ395" s="7" t="s">
        <v>200</v>
      </c>
      <c r="BA395" s="7" t="s">
        <v>200</v>
      </c>
      <c r="BB395" s="7"/>
      <c r="BC395" s="4" t="s">
        <v>200</v>
      </c>
      <c r="BD395" s="8" t="s">
        <v>200</v>
      </c>
      <c r="BE395" s="4" t="s">
        <v>200</v>
      </c>
      <c r="BF395" s="8" t="s">
        <v>200</v>
      </c>
      <c r="BG395" s="7" t="s">
        <v>200</v>
      </c>
      <c r="BH395" s="7" t="s">
        <v>200</v>
      </c>
      <c r="BI395" s="7"/>
      <c r="BJ395" s="4"/>
      <c r="BK395" s="8"/>
      <c r="BL395" s="2" t="s">
        <v>200</v>
      </c>
      <c r="BM395" s="7"/>
      <c r="BN395" s="7"/>
      <c r="BO395" s="4"/>
      <c r="BP395" s="8"/>
      <c r="BQ395" s="4"/>
      <c r="BR395" s="8"/>
      <c r="BS395" s="7"/>
      <c r="BT395" s="7"/>
      <c r="BU395" s="2" t="s">
        <v>210</v>
      </c>
      <c r="BV395" s="2" t="s">
        <v>200</v>
      </c>
      <c r="BW395" s="2" t="s">
        <v>200</v>
      </c>
      <c r="BX395" s="2" t="s">
        <v>210</v>
      </c>
      <c r="BY395" s="2" t="s">
        <v>211</v>
      </c>
      <c r="BZ395" s="2" t="s">
        <v>212</v>
      </c>
      <c r="CA395" s="2" t="s">
        <v>200</v>
      </c>
      <c r="CB395" s="2" t="s">
        <v>200</v>
      </c>
      <c r="CC395" s="2" t="s">
        <v>213</v>
      </c>
      <c r="CD395" s="2" t="s">
        <v>200</v>
      </c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>
        <v>126</v>
      </c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</row>
    <row r="396">
      <c r="A396" s="2" t="s">
        <v>2807</v>
      </c>
      <c r="B396" s="2" t="s">
        <v>744</v>
      </c>
      <c r="C396" s="2" t="s">
        <v>231</v>
      </c>
      <c r="D396" s="2" t="s">
        <v>783</v>
      </c>
      <c r="E396" s="2" t="s">
        <v>784</v>
      </c>
      <c r="F396" s="2" t="s">
        <v>2804</v>
      </c>
      <c r="G396" s="2" t="s">
        <v>2031</v>
      </c>
      <c r="H396" s="2" t="s">
        <v>2808</v>
      </c>
      <c r="I396" s="2" t="s">
        <v>784</v>
      </c>
      <c r="J396" s="2" t="s">
        <v>711</v>
      </c>
      <c r="K396" s="2" t="s">
        <v>221</v>
      </c>
      <c r="L396" s="3">
        <v>320.51</v>
      </c>
      <c r="M396" s="3">
        <v>336.54</v>
      </c>
      <c r="N396" s="3">
        <v>669</v>
      </c>
      <c r="O396" s="2" t="s">
        <v>417</v>
      </c>
      <c r="P396" s="2" t="s">
        <v>285</v>
      </c>
      <c r="Q396" s="2" t="s">
        <v>206</v>
      </c>
      <c r="R396" s="2" t="s">
        <v>200</v>
      </c>
      <c r="S396" s="2" t="s">
        <v>2809</v>
      </c>
      <c r="T396" s="2" t="s">
        <v>200</v>
      </c>
      <c r="U396" s="2" t="s">
        <v>270</v>
      </c>
      <c r="V396" s="2" t="s">
        <v>208</v>
      </c>
      <c r="W396" s="2" t="s">
        <v>2095</v>
      </c>
      <c r="X396" s="2" t="s">
        <v>200</v>
      </c>
      <c r="Y396" s="2" t="s">
        <v>261</v>
      </c>
      <c r="Z396" s="4">
        <v>298</v>
      </c>
      <c r="AA396" s="4">
        <f>=ROUNDDOWN(129.565217391304,0)</f>
      </c>
      <c r="AB396" s="5">
        <v>2.3</v>
      </c>
      <c r="AC396" s="2" t="s">
        <v>200</v>
      </c>
      <c r="AD396" s="4"/>
      <c r="AE396" s="4"/>
      <c r="AF396" s="6">
        <v>65</v>
      </c>
      <c r="AG396" s="6">
        <v>48</v>
      </c>
      <c r="AH396" s="7">
        <v>1</v>
      </c>
      <c r="AI396" s="4"/>
      <c r="AJ396" s="4">
        <f>=ROUNDDOWN({0},0)</f>
      </c>
      <c r="AK396" s="5"/>
      <c r="AL396" s="2" t="s">
        <v>200</v>
      </c>
      <c r="AM396" s="4"/>
      <c r="AN396" s="4"/>
      <c r="AO396" s="7"/>
      <c r="AP396" s="4"/>
      <c r="AQ396" s="8"/>
      <c r="AR396" s="4"/>
      <c r="AS396" s="8"/>
      <c r="AT396" s="7"/>
      <c r="AU396" s="7"/>
      <c r="AV396" s="4" t="s">
        <v>200</v>
      </c>
      <c r="AW396" s="8" t="s">
        <v>200</v>
      </c>
      <c r="AX396" s="4" t="s">
        <v>200</v>
      </c>
      <c r="AY396" s="8" t="s">
        <v>200</v>
      </c>
      <c r="AZ396" s="7" t="s">
        <v>200</v>
      </c>
      <c r="BA396" s="7" t="s">
        <v>200</v>
      </c>
      <c r="BB396" s="7" t="s">
        <v>200</v>
      </c>
      <c r="BC396" s="4" t="s">
        <v>200</v>
      </c>
      <c r="BD396" s="8" t="s">
        <v>200</v>
      </c>
      <c r="BE396" s="4" t="s">
        <v>200</v>
      </c>
      <c r="BF396" s="8" t="s">
        <v>200</v>
      </c>
      <c r="BG396" s="7" t="s">
        <v>200</v>
      </c>
      <c r="BH396" s="7" t="s">
        <v>200</v>
      </c>
      <c r="BI396" s="7"/>
      <c r="BJ396" s="4">
        <v>3</v>
      </c>
      <c r="BK396" s="8">
        <v>656.25</v>
      </c>
      <c r="BL396" s="2" t="s">
        <v>2810</v>
      </c>
      <c r="BM396" s="7"/>
      <c r="BN396" s="7"/>
      <c r="BO396" s="4"/>
      <c r="BP396" s="8"/>
      <c r="BQ396" s="4"/>
      <c r="BR396" s="8"/>
      <c r="BS396" s="7"/>
      <c r="BT396" s="7"/>
      <c r="BU396" s="2" t="s">
        <v>2811</v>
      </c>
      <c r="BV396" s="2" t="s">
        <v>200</v>
      </c>
      <c r="BW396" s="2" t="s">
        <v>200</v>
      </c>
      <c r="BX396" s="2" t="s">
        <v>289</v>
      </c>
      <c r="BY396" s="2" t="s">
        <v>247</v>
      </c>
      <c r="BZ396" s="2" t="s">
        <v>212</v>
      </c>
      <c r="CA396" s="2" t="s">
        <v>2812</v>
      </c>
      <c r="CB396" s="2" t="s">
        <v>2813</v>
      </c>
      <c r="CC396" s="2" t="s">
        <v>213</v>
      </c>
      <c r="CD396" s="2" t="s">
        <v>200</v>
      </c>
      <c r="CE396" s="4"/>
      <c r="CF396" s="4">
        <v>262</v>
      </c>
      <c r="CG396" s="4"/>
      <c r="CH396" s="4">
        <v>36</v>
      </c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</row>
    <row r="397">
      <c r="A397" s="2" t="s">
        <v>2814</v>
      </c>
      <c r="B397" s="2" t="s">
        <v>744</v>
      </c>
      <c r="C397" s="2" t="s">
        <v>231</v>
      </c>
      <c r="D397" s="2" t="s">
        <v>1462</v>
      </c>
      <c r="E397" s="2" t="s">
        <v>1463</v>
      </c>
      <c r="F397" s="2" t="s">
        <v>2804</v>
      </c>
      <c r="G397" s="2" t="s">
        <v>2031</v>
      </c>
      <c r="H397" s="2" t="s">
        <v>2808</v>
      </c>
      <c r="I397" s="2" t="s">
        <v>2815</v>
      </c>
      <c r="J397" s="2" t="s">
        <v>711</v>
      </c>
      <c r="K397" s="2" t="s">
        <v>221</v>
      </c>
      <c r="L397" s="3">
        <v>237.5</v>
      </c>
      <c r="M397" s="3">
        <v>249.38</v>
      </c>
      <c r="N397" s="3">
        <v>499</v>
      </c>
      <c r="O397" s="2" t="s">
        <v>212</v>
      </c>
      <c r="P397" s="2" t="s">
        <v>285</v>
      </c>
      <c r="Q397" s="2" t="s">
        <v>206</v>
      </c>
      <c r="R397" s="2" t="s">
        <v>200</v>
      </c>
      <c r="S397" s="2" t="s">
        <v>2816</v>
      </c>
      <c r="T397" s="2" t="s">
        <v>200</v>
      </c>
      <c r="U397" s="2" t="s">
        <v>200</v>
      </c>
      <c r="V397" s="2" t="s">
        <v>208</v>
      </c>
      <c r="W397" s="2" t="s">
        <v>2095</v>
      </c>
      <c r="X397" s="2" t="s">
        <v>200</v>
      </c>
      <c r="Y397" s="2" t="s">
        <v>2817</v>
      </c>
      <c r="Z397" s="4"/>
      <c r="AA397" s="4">
        <f>=ROUNDDOWN({0},0)</f>
      </c>
      <c r="AB397" s="5">
        <v>2</v>
      </c>
      <c r="AC397" s="2" t="s">
        <v>200</v>
      </c>
      <c r="AD397" s="4"/>
      <c r="AE397" s="4"/>
      <c r="AF397" s="6">
        <v>76</v>
      </c>
      <c r="AG397" s="6">
        <v>67</v>
      </c>
      <c r="AH397" s="7">
        <v>0.6</v>
      </c>
      <c r="AI397" s="4"/>
      <c r="AJ397" s="4">
        <f>=ROUNDDOWN({0},0)</f>
      </c>
      <c r="AK397" s="5"/>
      <c r="AL397" s="2" t="s">
        <v>200</v>
      </c>
      <c r="AM397" s="4"/>
      <c r="AN397" s="4"/>
      <c r="AO397" s="7"/>
      <c r="AP397" s="4"/>
      <c r="AQ397" s="8"/>
      <c r="AR397" s="4"/>
      <c r="AS397" s="8"/>
      <c r="AT397" s="7"/>
      <c r="AU397" s="7"/>
      <c r="AV397" s="4" t="s">
        <v>200</v>
      </c>
      <c r="AW397" s="8" t="s">
        <v>200</v>
      </c>
      <c r="AX397" s="4" t="s">
        <v>200</v>
      </c>
      <c r="AY397" s="8" t="s">
        <v>200</v>
      </c>
      <c r="AZ397" s="7" t="s">
        <v>200</v>
      </c>
      <c r="BA397" s="7" t="s">
        <v>200</v>
      </c>
      <c r="BB397" s="7" t="s">
        <v>200</v>
      </c>
      <c r="BC397" s="4" t="s">
        <v>200</v>
      </c>
      <c r="BD397" s="8" t="s">
        <v>200</v>
      </c>
      <c r="BE397" s="4" t="s">
        <v>200</v>
      </c>
      <c r="BF397" s="8" t="s">
        <v>200</v>
      </c>
      <c r="BG397" s="7" t="s">
        <v>200</v>
      </c>
      <c r="BH397" s="7" t="s">
        <v>200</v>
      </c>
      <c r="BI397" s="7"/>
      <c r="BJ397" s="4">
        <v>39</v>
      </c>
      <c r="BK397" s="8">
        <v>2761.68</v>
      </c>
      <c r="BL397" s="2" t="s">
        <v>752</v>
      </c>
      <c r="BM397" s="7"/>
      <c r="BN397" s="7"/>
      <c r="BO397" s="4"/>
      <c r="BP397" s="8"/>
      <c r="BQ397" s="4"/>
      <c r="BR397" s="8"/>
      <c r="BS397" s="7"/>
      <c r="BT397" s="7"/>
      <c r="BU397" s="2" t="s">
        <v>2818</v>
      </c>
      <c r="BV397" s="2" t="s">
        <v>200</v>
      </c>
      <c r="BW397" s="2" t="s">
        <v>200</v>
      </c>
      <c r="BX397" s="2" t="s">
        <v>289</v>
      </c>
      <c r="BY397" s="2" t="s">
        <v>247</v>
      </c>
      <c r="BZ397" s="2" t="s">
        <v>212</v>
      </c>
      <c r="CA397" s="2" t="s">
        <v>265</v>
      </c>
      <c r="CB397" s="2" t="s">
        <v>2819</v>
      </c>
      <c r="CC397" s="2" t="s">
        <v>213</v>
      </c>
      <c r="CD397" s="2" t="s">
        <v>200</v>
      </c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</row>
    <row r="398">
      <c r="A398" s="2" t="s">
        <v>2820</v>
      </c>
      <c r="B398" s="2" t="s">
        <v>903</v>
      </c>
      <c r="C398" s="2" t="s">
        <v>231</v>
      </c>
      <c r="D398" s="2" t="s">
        <v>1818</v>
      </c>
      <c r="E398" s="2" t="s">
        <v>1819</v>
      </c>
      <c r="F398" s="2" t="s">
        <v>2821</v>
      </c>
      <c r="G398" s="2" t="s">
        <v>2822</v>
      </c>
      <c r="H398" s="2" t="s">
        <v>2823</v>
      </c>
      <c r="I398" s="2" t="s">
        <v>2824</v>
      </c>
      <c r="J398" s="2" t="s">
        <v>612</v>
      </c>
      <c r="K398" s="2" t="s">
        <v>660</v>
      </c>
      <c r="L398" s="3">
        <v>49.5</v>
      </c>
      <c r="M398" s="3">
        <v>51.98</v>
      </c>
      <c r="N398" s="3">
        <v>99.99</v>
      </c>
      <c r="O398" s="2" t="s">
        <v>212</v>
      </c>
      <c r="P398" s="2" t="s">
        <v>258</v>
      </c>
      <c r="Q398" s="2" t="s">
        <v>206</v>
      </c>
      <c r="R398" s="2" t="s">
        <v>200</v>
      </c>
      <c r="S398" s="2" t="s">
        <v>2825</v>
      </c>
      <c r="T398" s="2" t="s">
        <v>378</v>
      </c>
      <c r="U398" s="2" t="s">
        <v>662</v>
      </c>
      <c r="V398" s="2" t="s">
        <v>348</v>
      </c>
      <c r="W398" s="2" t="s">
        <v>2826</v>
      </c>
      <c r="X398" s="2" t="s">
        <v>2827</v>
      </c>
      <c r="Y398" s="2" t="s">
        <v>261</v>
      </c>
      <c r="Z398" s="4">
        <v>479</v>
      </c>
      <c r="AA398" s="4">
        <f>=ROUNDDOWN(79.8333333333333,0)</f>
      </c>
      <c r="AB398" s="5">
        <v>6</v>
      </c>
      <c r="AC398" s="2" t="s">
        <v>200</v>
      </c>
      <c r="AD398" s="4"/>
      <c r="AE398" s="4"/>
      <c r="AF398" s="6">
        <v>65</v>
      </c>
      <c r="AG398" s="6">
        <v>73</v>
      </c>
      <c r="AH398" s="7">
        <v>1</v>
      </c>
      <c r="AI398" s="4"/>
      <c r="AJ398" s="4">
        <f>=ROUNDDOWN({0},0)</f>
      </c>
      <c r="AK398" s="5"/>
      <c r="AL398" s="2" t="s">
        <v>200</v>
      </c>
      <c r="AM398" s="4"/>
      <c r="AN398" s="4"/>
      <c r="AO398" s="7"/>
      <c r="AP398" s="4"/>
      <c r="AQ398" s="8"/>
      <c r="AR398" s="4"/>
      <c r="AS398" s="8"/>
      <c r="AT398" s="7"/>
      <c r="AU398" s="7"/>
      <c r="AV398" s="4"/>
      <c r="AW398" s="8"/>
      <c r="AX398" s="4"/>
      <c r="AY398" s="8"/>
      <c r="AZ398" s="7"/>
      <c r="BA398" s="7"/>
      <c r="BB398" s="7"/>
      <c r="BC398" s="4"/>
      <c r="BD398" s="8"/>
      <c r="BE398" s="4"/>
      <c r="BF398" s="8"/>
      <c r="BG398" s="7"/>
      <c r="BH398" s="7"/>
      <c r="BI398" s="7"/>
      <c r="BJ398" s="4">
        <v>17</v>
      </c>
      <c r="BK398" s="8">
        <v>934.5</v>
      </c>
      <c r="BL398" s="2" t="s">
        <v>2828</v>
      </c>
      <c r="BM398" s="7"/>
      <c r="BN398" s="7"/>
      <c r="BO398" s="4"/>
      <c r="BP398" s="8"/>
      <c r="BQ398" s="4"/>
      <c r="BR398" s="8"/>
      <c r="BS398" s="7"/>
      <c r="BT398" s="7"/>
      <c r="BU398" s="2" t="s">
        <v>2829</v>
      </c>
      <c r="BV398" s="2" t="s">
        <v>200</v>
      </c>
      <c r="BW398" s="2" t="s">
        <v>200</v>
      </c>
      <c r="BX398" s="2" t="s">
        <v>264</v>
      </c>
      <c r="BY398" s="2" t="s">
        <v>247</v>
      </c>
      <c r="BZ398" s="2" t="s">
        <v>212</v>
      </c>
      <c r="CA398" s="2" t="s">
        <v>265</v>
      </c>
      <c r="CB398" s="2" t="s">
        <v>2830</v>
      </c>
      <c r="CC398" s="2" t="s">
        <v>213</v>
      </c>
      <c r="CD398" s="2" t="s">
        <v>200</v>
      </c>
      <c r="CE398" s="4">
        <v>328</v>
      </c>
      <c r="CF398" s="4"/>
      <c r="CG398" s="4"/>
      <c r="CH398" s="4">
        <v>151</v>
      </c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</row>
    <row r="399">
      <c r="A399" s="2" t="s">
        <v>2831</v>
      </c>
      <c r="B399" s="2" t="s">
        <v>744</v>
      </c>
      <c r="C399" s="2" t="s">
        <v>745</v>
      </c>
      <c r="D399" s="2" t="s">
        <v>988</v>
      </c>
      <c r="E399" s="2" t="s">
        <v>2832</v>
      </c>
      <c r="F399" s="2" t="s">
        <v>2833</v>
      </c>
      <c r="G399" s="2" t="s">
        <v>2833</v>
      </c>
      <c r="H399" s="2" t="s">
        <v>2833</v>
      </c>
      <c r="I399" s="2" t="s">
        <v>2834</v>
      </c>
      <c r="J399" s="2" t="s">
        <v>297</v>
      </c>
      <c r="K399" s="2" t="s">
        <v>2835</v>
      </c>
      <c r="L399" s="3">
        <v>552</v>
      </c>
      <c r="M399" s="3">
        <v>579.6</v>
      </c>
      <c r="N399" s="3">
        <v>1149</v>
      </c>
      <c r="O399" s="2" t="s">
        <v>212</v>
      </c>
      <c r="P399" s="2" t="s">
        <v>205</v>
      </c>
      <c r="Q399" s="2" t="s">
        <v>206</v>
      </c>
      <c r="R399" s="2" t="s">
        <v>200</v>
      </c>
      <c r="S399" s="2" t="s">
        <v>200</v>
      </c>
      <c r="T399" s="2" t="s">
        <v>200</v>
      </c>
      <c r="U399" s="2" t="s">
        <v>270</v>
      </c>
      <c r="V399" s="2" t="s">
        <v>208</v>
      </c>
      <c r="W399" s="2" t="s">
        <v>379</v>
      </c>
      <c r="X399" s="2" t="s">
        <v>241</v>
      </c>
      <c r="Y399" s="2" t="s">
        <v>2836</v>
      </c>
      <c r="Z399" s="4">
        <v>138</v>
      </c>
      <c r="AA399" s="4">
        <f>=ROUNDDOWN(197.142857142857,0)</f>
      </c>
      <c r="AB399" s="5">
        <v>0.7</v>
      </c>
      <c r="AC399" s="2" t="s">
        <v>200</v>
      </c>
      <c r="AD399" s="4"/>
      <c r="AE399" s="4"/>
      <c r="AF399" s="6">
        <v>74</v>
      </c>
      <c r="AG399" s="6"/>
      <c r="AH399" s="7">
        <v>1</v>
      </c>
      <c r="AI399" s="4"/>
      <c r="AJ399" s="4">
        <f>=ROUNDDOWN({0},0)</f>
      </c>
      <c r="AK399" s="5"/>
      <c r="AL399" s="2" t="s">
        <v>200</v>
      </c>
      <c r="AM399" s="4"/>
      <c r="AN399" s="4"/>
      <c r="AO399" s="7"/>
      <c r="AP399" s="4"/>
      <c r="AQ399" s="8"/>
      <c r="AR399" s="4"/>
      <c r="AS399" s="8"/>
      <c r="AT399" s="7"/>
      <c r="AU399" s="7"/>
      <c r="AV399" s="4"/>
      <c r="AW399" s="8"/>
      <c r="AX399" s="4"/>
      <c r="AY399" s="8"/>
      <c r="AZ399" s="7"/>
      <c r="BA399" s="7"/>
      <c r="BB399" s="7"/>
      <c r="BC399" s="4" t="s">
        <v>200</v>
      </c>
      <c r="BD399" s="8" t="s">
        <v>200</v>
      </c>
      <c r="BE399" s="4" t="s">
        <v>200</v>
      </c>
      <c r="BF399" s="8" t="s">
        <v>200</v>
      </c>
      <c r="BG399" s="7" t="s">
        <v>200</v>
      </c>
      <c r="BH399" s="7" t="s">
        <v>200</v>
      </c>
      <c r="BI399" s="7"/>
      <c r="BJ399" s="4"/>
      <c r="BK399" s="8"/>
      <c r="BL399" s="2" t="s">
        <v>200</v>
      </c>
      <c r="BM399" s="7"/>
      <c r="BN399" s="7"/>
      <c r="BO399" s="4"/>
      <c r="BP399" s="8"/>
      <c r="BQ399" s="4"/>
      <c r="BR399" s="8"/>
      <c r="BS399" s="7"/>
      <c r="BT399" s="7"/>
      <c r="BU399" s="2" t="s">
        <v>2837</v>
      </c>
      <c r="BV399" s="2" t="s">
        <v>200</v>
      </c>
      <c r="BW399" s="2" t="s">
        <v>200</v>
      </c>
      <c r="BX399" s="2" t="s">
        <v>620</v>
      </c>
      <c r="BY399" s="2" t="s">
        <v>247</v>
      </c>
      <c r="BZ399" s="2" t="s">
        <v>212</v>
      </c>
      <c r="CA399" s="2" t="s">
        <v>1427</v>
      </c>
      <c r="CB399" s="2" t="s">
        <v>200</v>
      </c>
      <c r="CC399" s="2" t="s">
        <v>213</v>
      </c>
      <c r="CD399" s="2" t="s">
        <v>200</v>
      </c>
      <c r="CE399" s="4"/>
      <c r="CF399" s="4">
        <v>138</v>
      </c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</row>
    <row r="400">
      <c r="A400" s="2" t="s">
        <v>2838</v>
      </c>
      <c r="B400" s="2" t="s">
        <v>744</v>
      </c>
      <c r="C400" s="2" t="s">
        <v>745</v>
      </c>
      <c r="D400" s="2" t="s">
        <v>2839</v>
      </c>
      <c r="E400" s="2" t="s">
        <v>2840</v>
      </c>
      <c r="F400" s="2" t="s">
        <v>2833</v>
      </c>
      <c r="G400" s="2" t="s">
        <v>200</v>
      </c>
      <c r="H400" s="2" t="s">
        <v>200</v>
      </c>
      <c r="I400" s="2" t="s">
        <v>2841</v>
      </c>
      <c r="J400" s="2" t="s">
        <v>711</v>
      </c>
      <c r="K400" s="2" t="s">
        <v>2842</v>
      </c>
      <c r="L400" s="3">
        <v>180.5</v>
      </c>
      <c r="M400" s="3">
        <v>189.52</v>
      </c>
      <c r="N400" s="3">
        <v>379</v>
      </c>
      <c r="O400" s="2" t="s">
        <v>212</v>
      </c>
      <c r="P400" s="2" t="s">
        <v>285</v>
      </c>
      <c r="Q400" s="2" t="s">
        <v>206</v>
      </c>
      <c r="R400" s="2" t="s">
        <v>200</v>
      </c>
      <c r="S400" s="2" t="s">
        <v>2843</v>
      </c>
      <c r="T400" s="2" t="s">
        <v>200</v>
      </c>
      <c r="U400" s="2" t="s">
        <v>200</v>
      </c>
      <c r="V400" s="2" t="s">
        <v>208</v>
      </c>
      <c r="W400" s="2" t="s">
        <v>712</v>
      </c>
      <c r="X400" s="2" t="s">
        <v>200</v>
      </c>
      <c r="Y400" s="2" t="s">
        <v>261</v>
      </c>
      <c r="Z400" s="4"/>
      <c r="AA400" s="4">
        <f>=ROUNDDOWN({0},0)</f>
      </c>
      <c r="AB400" s="5">
        <v>2</v>
      </c>
      <c r="AC400" s="2" t="s">
        <v>200</v>
      </c>
      <c r="AD400" s="4"/>
      <c r="AE400" s="4"/>
      <c r="AF400" s="6">
        <v>74</v>
      </c>
      <c r="AG400" s="6">
        <v>60</v>
      </c>
      <c r="AH400" s="7">
        <v>0.9667</v>
      </c>
      <c r="AI400" s="4"/>
      <c r="AJ400" s="4">
        <f>=ROUNDDOWN({0},0)</f>
      </c>
      <c r="AK400" s="5"/>
      <c r="AL400" s="2" t="s">
        <v>200</v>
      </c>
      <c r="AM400" s="4"/>
      <c r="AN400" s="4"/>
      <c r="AO400" s="7"/>
      <c r="AP400" s="4"/>
      <c r="AQ400" s="8"/>
      <c r="AR400" s="4"/>
      <c r="AS400" s="8"/>
      <c r="AT400" s="7"/>
      <c r="AU400" s="7"/>
      <c r="AV400" s="4"/>
      <c r="AW400" s="8"/>
      <c r="AX400" s="4"/>
      <c r="AY400" s="8"/>
      <c r="AZ400" s="7"/>
      <c r="BA400" s="7"/>
      <c r="BB400" s="7"/>
      <c r="BC400" s="4" t="s">
        <v>200</v>
      </c>
      <c r="BD400" s="8" t="s">
        <v>200</v>
      </c>
      <c r="BE400" s="4" t="s">
        <v>200</v>
      </c>
      <c r="BF400" s="8" t="s">
        <v>200</v>
      </c>
      <c r="BG400" s="7" t="s">
        <v>200</v>
      </c>
      <c r="BH400" s="7" t="s">
        <v>200</v>
      </c>
      <c r="BI400" s="7"/>
      <c r="BJ400" s="4">
        <v>98</v>
      </c>
      <c r="BK400" s="8">
        <v>3453.37</v>
      </c>
      <c r="BL400" s="2" t="s">
        <v>2844</v>
      </c>
      <c r="BM400" s="7"/>
      <c r="BN400" s="7"/>
      <c r="BO400" s="4"/>
      <c r="BP400" s="8"/>
      <c r="BQ400" s="4"/>
      <c r="BR400" s="8"/>
      <c r="BS400" s="7"/>
      <c r="BT400" s="7"/>
      <c r="BU400" s="2" t="s">
        <v>2845</v>
      </c>
      <c r="BV400" s="2" t="s">
        <v>200</v>
      </c>
      <c r="BW400" s="2" t="s">
        <v>200</v>
      </c>
      <c r="BX400" s="2" t="s">
        <v>289</v>
      </c>
      <c r="BY400" s="2" t="s">
        <v>247</v>
      </c>
      <c r="BZ400" s="2" t="s">
        <v>212</v>
      </c>
      <c r="CA400" s="2" t="s">
        <v>2846</v>
      </c>
      <c r="CB400" s="2" t="s">
        <v>2847</v>
      </c>
      <c r="CC400" s="2" t="s">
        <v>213</v>
      </c>
      <c r="CD400" s="2" t="s">
        <v>200</v>
      </c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</row>
    <row r="401">
      <c r="A401" s="2" t="s">
        <v>2848</v>
      </c>
      <c r="B401" s="2" t="s">
        <v>903</v>
      </c>
      <c r="C401" s="2" t="s">
        <v>1523</v>
      </c>
      <c r="D401" s="2" t="s">
        <v>2228</v>
      </c>
      <c r="E401" s="2" t="s">
        <v>2229</v>
      </c>
      <c r="F401" s="2" t="s">
        <v>2849</v>
      </c>
      <c r="G401" s="2" t="s">
        <v>2849</v>
      </c>
      <c r="H401" s="2" t="s">
        <v>2849</v>
      </c>
      <c r="I401" s="2" t="s">
        <v>2850</v>
      </c>
      <c r="J401" s="2" t="s">
        <v>2175</v>
      </c>
      <c r="K401" s="2" t="s">
        <v>1442</v>
      </c>
      <c r="L401" s="3">
        <v>24.76</v>
      </c>
      <c r="M401" s="3">
        <v>26</v>
      </c>
      <c r="N401" s="3">
        <v>79.99</v>
      </c>
      <c r="O401" s="2" t="s">
        <v>212</v>
      </c>
      <c r="P401" s="2" t="s">
        <v>760</v>
      </c>
      <c r="Q401" s="2" t="s">
        <v>206</v>
      </c>
      <c r="R401" s="2" t="s">
        <v>200</v>
      </c>
      <c r="S401" s="2" t="s">
        <v>200</v>
      </c>
      <c r="T401" s="2" t="s">
        <v>200</v>
      </c>
      <c r="U401" s="2" t="s">
        <v>270</v>
      </c>
      <c r="V401" s="2" t="s">
        <v>885</v>
      </c>
      <c r="W401" s="2" t="s">
        <v>736</v>
      </c>
      <c r="X401" s="2" t="s">
        <v>200</v>
      </c>
      <c r="Y401" s="2" t="s">
        <v>1530</v>
      </c>
      <c r="Z401" s="4">
        <v>74</v>
      </c>
      <c r="AA401" s="4">
        <f>=ROUNDDOWN(67.2727272727273,0)</f>
      </c>
      <c r="AB401" s="5">
        <v>1.1</v>
      </c>
      <c r="AC401" s="2" t="s">
        <v>200</v>
      </c>
      <c r="AD401" s="4"/>
      <c r="AE401" s="4"/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200</v>
      </c>
      <c r="AM401" s="4"/>
      <c r="AN401" s="4"/>
      <c r="AO401" s="7"/>
      <c r="AP401" s="4"/>
      <c r="AQ401" s="8"/>
      <c r="AR401" s="4"/>
      <c r="AS401" s="8"/>
      <c r="AT401" s="7"/>
      <c r="AU401" s="7"/>
      <c r="AV401" s="4"/>
      <c r="AW401" s="8"/>
      <c r="AX401" s="4"/>
      <c r="AY401" s="8"/>
      <c r="AZ401" s="7"/>
      <c r="BA401" s="7"/>
      <c r="BB401" s="7"/>
      <c r="BC401" s="4"/>
      <c r="BD401" s="8"/>
      <c r="BE401" s="4"/>
      <c r="BF401" s="8"/>
      <c r="BG401" s="7"/>
      <c r="BH401" s="7"/>
      <c r="BI401" s="7"/>
      <c r="BJ401" s="4">
        <v>5</v>
      </c>
      <c r="BK401" s="8">
        <v>139.36</v>
      </c>
      <c r="BL401" s="2" t="s">
        <v>2851</v>
      </c>
      <c r="BM401" s="7"/>
      <c r="BN401" s="7"/>
      <c r="BO401" s="4"/>
      <c r="BP401" s="8"/>
      <c r="BQ401" s="4"/>
      <c r="BR401" s="8"/>
      <c r="BS401" s="7"/>
      <c r="BT401" s="7"/>
      <c r="BU401" s="2" t="s">
        <v>2852</v>
      </c>
      <c r="BV401" s="2" t="s">
        <v>200</v>
      </c>
      <c r="BW401" s="2" t="s">
        <v>200</v>
      </c>
      <c r="BX401" s="2" t="s">
        <v>289</v>
      </c>
      <c r="BY401" s="2" t="s">
        <v>247</v>
      </c>
      <c r="BZ401" s="2" t="s">
        <v>212</v>
      </c>
      <c r="CA401" s="2" t="s">
        <v>1218</v>
      </c>
      <c r="CB401" s="2" t="s">
        <v>2853</v>
      </c>
      <c r="CC401" s="2" t="s">
        <v>213</v>
      </c>
      <c r="CD401" s="2" t="s">
        <v>200</v>
      </c>
      <c r="CE401" s="4">
        <v>74</v>
      </c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</row>
    <row r="402">
      <c r="A402" s="2" t="s">
        <v>2854</v>
      </c>
      <c r="B402" s="2" t="s">
        <v>705</v>
      </c>
      <c r="C402" s="2" t="s">
        <v>730</v>
      </c>
      <c r="D402" s="2" t="s">
        <v>1376</v>
      </c>
      <c r="E402" s="2" t="s">
        <v>1377</v>
      </c>
      <c r="F402" s="2" t="s">
        <v>2855</v>
      </c>
      <c r="G402" s="2" t="s">
        <v>2855</v>
      </c>
      <c r="H402" s="2" t="s">
        <v>2855</v>
      </c>
      <c r="I402" s="2" t="s">
        <v>2856</v>
      </c>
      <c r="J402" s="2" t="s">
        <v>711</v>
      </c>
      <c r="K402" s="2" t="s">
        <v>237</v>
      </c>
      <c r="L402" s="3">
        <v>41.9</v>
      </c>
      <c r="M402" s="3">
        <v>44</v>
      </c>
      <c r="N402" s="3">
        <v>94.99</v>
      </c>
      <c r="O402" s="2" t="s">
        <v>212</v>
      </c>
      <c r="P402" s="2" t="s">
        <v>285</v>
      </c>
      <c r="Q402" s="2" t="s">
        <v>206</v>
      </c>
      <c r="R402" s="2" t="s">
        <v>200</v>
      </c>
      <c r="S402" s="2" t="s">
        <v>200</v>
      </c>
      <c r="T402" s="2" t="s">
        <v>200</v>
      </c>
      <c r="U402" s="2" t="s">
        <v>270</v>
      </c>
      <c r="V402" s="2" t="s">
        <v>616</v>
      </c>
      <c r="W402" s="2" t="s">
        <v>379</v>
      </c>
      <c r="X402" s="2" t="s">
        <v>2053</v>
      </c>
      <c r="Y402" s="2" t="s">
        <v>2857</v>
      </c>
      <c r="Z402" s="4">
        <v>13</v>
      </c>
      <c r="AA402" s="4">
        <f>=ROUNDDOWN(13,0)</f>
      </c>
      <c r="AB402" s="5">
        <v>1</v>
      </c>
      <c r="AC402" s="2" t="s">
        <v>200</v>
      </c>
      <c r="AD402" s="4"/>
      <c r="AE402" s="4"/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200</v>
      </c>
      <c r="AM402" s="4"/>
      <c r="AN402" s="4"/>
      <c r="AO402" s="7"/>
      <c r="AP402" s="4"/>
      <c r="AQ402" s="8"/>
      <c r="AR402" s="4"/>
      <c r="AS402" s="8"/>
      <c r="AT402" s="7"/>
      <c r="AU402" s="7"/>
      <c r="AV402" s="4"/>
      <c r="AW402" s="8"/>
      <c r="AX402" s="4"/>
      <c r="AY402" s="8"/>
      <c r="AZ402" s="7"/>
      <c r="BA402" s="7"/>
      <c r="BB402" s="7"/>
      <c r="BC402" s="4"/>
      <c r="BD402" s="8"/>
      <c r="BE402" s="4"/>
      <c r="BF402" s="8"/>
      <c r="BG402" s="7"/>
      <c r="BH402" s="7"/>
      <c r="BI402" s="7"/>
      <c r="BJ402" s="4">
        <v>15</v>
      </c>
      <c r="BK402" s="8">
        <v>1043.9</v>
      </c>
      <c r="BL402" s="2" t="s">
        <v>2858</v>
      </c>
      <c r="BM402" s="7"/>
      <c r="BN402" s="7"/>
      <c r="BO402" s="4"/>
      <c r="BP402" s="8"/>
      <c r="BQ402" s="4"/>
      <c r="BR402" s="8"/>
      <c r="BS402" s="7"/>
      <c r="BT402" s="7"/>
      <c r="BU402" s="2" t="s">
        <v>2859</v>
      </c>
      <c r="BV402" s="2" t="s">
        <v>200</v>
      </c>
      <c r="BW402" s="2" t="s">
        <v>200</v>
      </c>
      <c r="BX402" s="2" t="s">
        <v>289</v>
      </c>
      <c r="BY402" s="2" t="s">
        <v>247</v>
      </c>
      <c r="BZ402" s="2" t="s">
        <v>212</v>
      </c>
      <c r="CA402" s="2" t="s">
        <v>2487</v>
      </c>
      <c r="CB402" s="2" t="s">
        <v>2860</v>
      </c>
      <c r="CC402" s="2" t="s">
        <v>213</v>
      </c>
      <c r="CD402" s="2" t="s">
        <v>200</v>
      </c>
      <c r="CE402" s="4"/>
      <c r="CF402" s="4">
        <v>13</v>
      </c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</row>
    <row r="403">
      <c r="A403" s="2" t="s">
        <v>2861</v>
      </c>
      <c r="B403" s="2" t="s">
        <v>903</v>
      </c>
      <c r="C403" s="2" t="s">
        <v>1759</v>
      </c>
      <c r="D403" s="2" t="s">
        <v>608</v>
      </c>
      <c r="E403" s="2" t="s">
        <v>609</v>
      </c>
      <c r="F403" s="2" t="s">
        <v>2862</v>
      </c>
      <c r="G403" s="2" t="s">
        <v>2862</v>
      </c>
      <c r="H403" s="2" t="s">
        <v>2862</v>
      </c>
      <c r="I403" s="2" t="s">
        <v>2863</v>
      </c>
      <c r="J403" s="2" t="s">
        <v>256</v>
      </c>
      <c r="K403" s="2" t="s">
        <v>660</v>
      </c>
      <c r="L403" s="3">
        <v>80</v>
      </c>
      <c r="M403" s="3">
        <v>83.99</v>
      </c>
      <c r="N403" s="3">
        <v>174.99</v>
      </c>
      <c r="O403" s="2" t="s">
        <v>212</v>
      </c>
      <c r="P403" s="2" t="s">
        <v>1247</v>
      </c>
      <c r="Q403" s="2" t="s">
        <v>206</v>
      </c>
      <c r="R403" s="2" t="s">
        <v>200</v>
      </c>
      <c r="S403" s="2" t="s">
        <v>2864</v>
      </c>
      <c r="T403" s="2" t="s">
        <v>1833</v>
      </c>
      <c r="U403" s="2" t="s">
        <v>200</v>
      </c>
      <c r="V403" s="2" t="s">
        <v>313</v>
      </c>
      <c r="W403" s="2" t="s">
        <v>2224</v>
      </c>
      <c r="X403" s="2" t="s">
        <v>1271</v>
      </c>
      <c r="Y403" s="2" t="s">
        <v>261</v>
      </c>
      <c r="Z403" s="4">
        <v>65</v>
      </c>
      <c r="AA403" s="4">
        <f>=ROUNDDOWN(50,0)</f>
      </c>
      <c r="AB403" s="5">
        <v>1.3</v>
      </c>
      <c r="AC403" s="2" t="s">
        <v>200</v>
      </c>
      <c r="AD403" s="4"/>
      <c r="AE403" s="4"/>
      <c r="AF403" s="6">
        <v>68</v>
      </c>
      <c r="AG403" s="6"/>
      <c r="AH403" s="7">
        <v>1</v>
      </c>
      <c r="AI403" s="4"/>
      <c r="AJ403" s="4">
        <f>=ROUNDDOWN({0},0)</f>
      </c>
      <c r="AK403" s="5"/>
      <c r="AL403" s="2" t="s">
        <v>200</v>
      </c>
      <c r="AM403" s="4"/>
      <c r="AN403" s="4"/>
      <c r="AO403" s="7"/>
      <c r="AP403" s="4"/>
      <c r="AQ403" s="8"/>
      <c r="AR403" s="4"/>
      <c r="AS403" s="8"/>
      <c r="AT403" s="7"/>
      <c r="AU403" s="7"/>
      <c r="AV403" s="4"/>
      <c r="AW403" s="8"/>
      <c r="AX403" s="4"/>
      <c r="AY403" s="8"/>
      <c r="AZ403" s="7"/>
      <c r="BA403" s="7"/>
      <c r="BB403" s="7"/>
      <c r="BC403" s="4"/>
      <c r="BD403" s="8"/>
      <c r="BE403" s="4"/>
      <c r="BF403" s="8"/>
      <c r="BG403" s="7"/>
      <c r="BH403" s="7"/>
      <c r="BI403" s="7"/>
      <c r="BJ403" s="4">
        <v>4</v>
      </c>
      <c r="BK403" s="8">
        <v>321.58</v>
      </c>
      <c r="BL403" s="2" t="s">
        <v>2865</v>
      </c>
      <c r="BM403" s="7"/>
      <c r="BN403" s="7"/>
      <c r="BO403" s="4"/>
      <c r="BP403" s="8"/>
      <c r="BQ403" s="4"/>
      <c r="BR403" s="8"/>
      <c r="BS403" s="7"/>
      <c r="BT403" s="7"/>
      <c r="BU403" s="2" t="s">
        <v>2866</v>
      </c>
      <c r="BV403" s="2" t="s">
        <v>200</v>
      </c>
      <c r="BW403" s="2" t="s">
        <v>200</v>
      </c>
      <c r="BX403" s="2" t="s">
        <v>264</v>
      </c>
      <c r="BY403" s="2" t="s">
        <v>247</v>
      </c>
      <c r="BZ403" s="2" t="s">
        <v>212</v>
      </c>
      <c r="CA403" s="2" t="s">
        <v>265</v>
      </c>
      <c r="CB403" s="2" t="s">
        <v>1108</v>
      </c>
      <c r="CC403" s="2" t="s">
        <v>213</v>
      </c>
      <c r="CD403" s="2" t="s">
        <v>200</v>
      </c>
      <c r="CE403" s="4">
        <v>65</v>
      </c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</row>
    <row r="404">
      <c r="A404" s="2" t="s">
        <v>2867</v>
      </c>
      <c r="B404" s="2" t="s">
        <v>932</v>
      </c>
      <c r="C404" s="2" t="s">
        <v>877</v>
      </c>
      <c r="D404" s="2" t="s">
        <v>608</v>
      </c>
      <c r="E404" s="2" t="s">
        <v>1324</v>
      </c>
      <c r="F404" s="2" t="s">
        <v>2868</v>
      </c>
      <c r="G404" s="2" t="s">
        <v>2869</v>
      </c>
      <c r="H404" s="2" t="s">
        <v>2870</v>
      </c>
      <c r="I404" s="2" t="s">
        <v>2871</v>
      </c>
      <c r="J404" s="2" t="s">
        <v>924</v>
      </c>
      <c r="K404" s="2" t="s">
        <v>223</v>
      </c>
      <c r="L404" s="3">
        <v>38.09</v>
      </c>
      <c r="M404" s="3">
        <v>39.99</v>
      </c>
      <c r="N404" s="3">
        <v>79.99</v>
      </c>
      <c r="O404" s="2" t="s">
        <v>212</v>
      </c>
      <c r="P404" s="2" t="s">
        <v>285</v>
      </c>
      <c r="Q404" s="2" t="s">
        <v>206</v>
      </c>
      <c r="R404" s="2" t="s">
        <v>200</v>
      </c>
      <c r="S404" s="2" t="s">
        <v>2872</v>
      </c>
      <c r="T404" s="2" t="s">
        <v>378</v>
      </c>
      <c r="U404" s="2" t="s">
        <v>454</v>
      </c>
      <c r="V404" s="2" t="s">
        <v>339</v>
      </c>
      <c r="W404" s="2" t="s">
        <v>1399</v>
      </c>
      <c r="X404" s="2" t="s">
        <v>241</v>
      </c>
      <c r="Y404" s="2" t="s">
        <v>2873</v>
      </c>
      <c r="Z404" s="4">
        <v>5</v>
      </c>
      <c r="AA404" s="4">
        <f>=ROUNDDOWN(2.77777777777778,0)</f>
      </c>
      <c r="AB404" s="5">
        <v>1.8</v>
      </c>
      <c r="AC404" s="2" t="s">
        <v>200</v>
      </c>
      <c r="AD404" s="4"/>
      <c r="AE404" s="4"/>
      <c r="AF404" s="6">
        <v>64</v>
      </c>
      <c r="AG404" s="6"/>
      <c r="AH404" s="7">
        <v>1</v>
      </c>
      <c r="AI404" s="4"/>
      <c r="AJ404" s="4">
        <f>=ROUNDDOWN({0},0)</f>
      </c>
      <c r="AK404" s="5"/>
      <c r="AL404" s="2" t="s">
        <v>200</v>
      </c>
      <c r="AM404" s="4"/>
      <c r="AN404" s="4"/>
      <c r="AO404" s="7"/>
      <c r="AP404" s="4"/>
      <c r="AQ404" s="8"/>
      <c r="AR404" s="4"/>
      <c r="AS404" s="8"/>
      <c r="AT404" s="7"/>
      <c r="AU404" s="7"/>
      <c r="AV404" s="4"/>
      <c r="AW404" s="8"/>
      <c r="AX404" s="4"/>
      <c r="AY404" s="8"/>
      <c r="AZ404" s="7"/>
      <c r="BA404" s="7"/>
      <c r="BB404" s="7"/>
      <c r="BC404" s="4"/>
      <c r="BD404" s="8"/>
      <c r="BE404" s="4"/>
      <c r="BF404" s="8"/>
      <c r="BG404" s="7"/>
      <c r="BH404" s="7"/>
      <c r="BI404" s="7"/>
      <c r="BJ404" s="4">
        <v>14</v>
      </c>
      <c r="BK404" s="8">
        <v>397.86</v>
      </c>
      <c r="BL404" s="2" t="s">
        <v>2874</v>
      </c>
      <c r="BM404" s="7"/>
      <c r="BN404" s="7"/>
      <c r="BO404" s="4"/>
      <c r="BP404" s="8"/>
      <c r="BQ404" s="4"/>
      <c r="BR404" s="8"/>
      <c r="BS404" s="7"/>
      <c r="BT404" s="7"/>
      <c r="BU404" s="2" t="s">
        <v>2875</v>
      </c>
      <c r="BV404" s="2" t="s">
        <v>200</v>
      </c>
      <c r="BW404" s="2" t="s">
        <v>200</v>
      </c>
      <c r="BX404" s="2" t="s">
        <v>289</v>
      </c>
      <c r="BY404" s="2" t="s">
        <v>247</v>
      </c>
      <c r="BZ404" s="2" t="s">
        <v>212</v>
      </c>
      <c r="CA404" s="2" t="s">
        <v>2876</v>
      </c>
      <c r="CB404" s="2" t="s">
        <v>824</v>
      </c>
      <c r="CC404" s="2" t="s">
        <v>213</v>
      </c>
      <c r="CD404" s="2" t="s">
        <v>200</v>
      </c>
      <c r="CE404" s="4">
        <v>5</v>
      </c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</row>
    <row r="405">
      <c r="A405" s="2" t="s">
        <v>2877</v>
      </c>
      <c r="B405" s="2" t="s">
        <v>903</v>
      </c>
      <c r="C405" s="2" t="s">
        <v>2878</v>
      </c>
      <c r="D405" s="2" t="s">
        <v>2228</v>
      </c>
      <c r="E405" s="2" t="s">
        <v>2229</v>
      </c>
      <c r="F405" s="2" t="s">
        <v>2879</v>
      </c>
      <c r="G405" s="2" t="s">
        <v>2879</v>
      </c>
      <c r="H405" s="2" t="s">
        <v>2879</v>
      </c>
      <c r="I405" s="2" t="s">
        <v>2880</v>
      </c>
      <c r="J405" s="2" t="s">
        <v>2231</v>
      </c>
      <c r="K405" s="2" t="s">
        <v>221</v>
      </c>
      <c r="L405" s="3">
        <v>18</v>
      </c>
      <c r="M405" s="3">
        <v>18.9</v>
      </c>
      <c r="N405" s="3">
        <v>39.99</v>
      </c>
      <c r="O405" s="2" t="s">
        <v>460</v>
      </c>
      <c r="P405" s="2" t="s">
        <v>285</v>
      </c>
      <c r="Q405" s="2" t="s">
        <v>206</v>
      </c>
      <c r="R405" s="2" t="s">
        <v>200</v>
      </c>
      <c r="S405" s="2" t="s">
        <v>2881</v>
      </c>
      <c r="T405" s="2" t="s">
        <v>378</v>
      </c>
      <c r="U405" s="2" t="s">
        <v>270</v>
      </c>
      <c r="V405" s="2" t="s">
        <v>208</v>
      </c>
      <c r="W405" s="2" t="s">
        <v>241</v>
      </c>
      <c r="X405" s="2" t="s">
        <v>379</v>
      </c>
      <c r="Y405" s="2" t="s">
        <v>2882</v>
      </c>
      <c r="Z405" s="4">
        <v>271</v>
      </c>
      <c r="AA405" s="4">
        <f>=ROUNDDOWN(271,0)</f>
      </c>
      <c r="AB405" s="5">
        <v>1</v>
      </c>
      <c r="AC405" s="2" t="s">
        <v>200</v>
      </c>
      <c r="AD405" s="4"/>
      <c r="AE405" s="4"/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200</v>
      </c>
      <c r="AM405" s="4"/>
      <c r="AN405" s="4"/>
      <c r="AO405" s="7"/>
      <c r="AP405" s="4"/>
      <c r="AQ405" s="8"/>
      <c r="AR405" s="4"/>
      <c r="AS405" s="8"/>
      <c r="AT405" s="7"/>
      <c r="AU405" s="7"/>
      <c r="AV405" s="4"/>
      <c r="AW405" s="8"/>
      <c r="AX405" s="4"/>
      <c r="AY405" s="8"/>
      <c r="AZ405" s="7"/>
      <c r="BA405" s="7"/>
      <c r="BB405" s="7"/>
      <c r="BC405" s="4"/>
      <c r="BD405" s="8"/>
      <c r="BE405" s="4"/>
      <c r="BF405" s="8"/>
      <c r="BG405" s="7"/>
      <c r="BH405" s="7"/>
      <c r="BI405" s="7"/>
      <c r="BJ405" s="4">
        <v>2</v>
      </c>
      <c r="BK405" s="8">
        <v>37.8</v>
      </c>
      <c r="BL405" s="2" t="s">
        <v>2883</v>
      </c>
      <c r="BM405" s="7"/>
      <c r="BN405" s="7"/>
      <c r="BO405" s="4"/>
      <c r="BP405" s="8"/>
      <c r="BQ405" s="4"/>
      <c r="BR405" s="8"/>
      <c r="BS405" s="7"/>
      <c r="BT405" s="7"/>
      <c r="BU405" s="2" t="s">
        <v>2884</v>
      </c>
      <c r="BV405" s="2" t="s">
        <v>200</v>
      </c>
      <c r="BW405" s="2" t="s">
        <v>200</v>
      </c>
      <c r="BX405" s="2" t="s">
        <v>289</v>
      </c>
      <c r="BY405" s="2" t="s">
        <v>247</v>
      </c>
      <c r="BZ405" s="2" t="s">
        <v>212</v>
      </c>
      <c r="CA405" s="2" t="s">
        <v>2885</v>
      </c>
      <c r="CB405" s="2" t="s">
        <v>2886</v>
      </c>
      <c r="CC405" s="2" t="s">
        <v>213</v>
      </c>
      <c r="CD405" s="2" t="s">
        <v>200</v>
      </c>
      <c r="CE405" s="4">
        <v>271</v>
      </c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</row>
    <row r="406">
      <c r="A406" s="2" t="s">
        <v>2887</v>
      </c>
      <c r="B406" s="2" t="s">
        <v>744</v>
      </c>
      <c r="C406" s="2" t="s">
        <v>231</v>
      </c>
      <c r="D406" s="2" t="s">
        <v>1275</v>
      </c>
      <c r="E406" s="2" t="s">
        <v>2091</v>
      </c>
      <c r="F406" s="2" t="s">
        <v>2888</v>
      </c>
      <c r="G406" s="2" t="s">
        <v>2889</v>
      </c>
      <c r="H406" s="2" t="s">
        <v>2890</v>
      </c>
      <c r="I406" s="2" t="s">
        <v>2891</v>
      </c>
      <c r="J406" s="2" t="s">
        <v>711</v>
      </c>
      <c r="K406" s="2" t="s">
        <v>733</v>
      </c>
      <c r="L406" s="3">
        <v>192.28</v>
      </c>
      <c r="M406" s="3">
        <v>201.89</v>
      </c>
      <c r="N406" s="3">
        <v>399</v>
      </c>
      <c r="O406" s="2" t="s">
        <v>212</v>
      </c>
      <c r="P406" s="2" t="s">
        <v>285</v>
      </c>
      <c r="Q406" s="2" t="s">
        <v>206</v>
      </c>
      <c r="R406" s="2" t="s">
        <v>200</v>
      </c>
      <c r="S406" s="2" t="s">
        <v>2892</v>
      </c>
      <c r="T406" s="2" t="s">
        <v>200</v>
      </c>
      <c r="U406" s="2" t="s">
        <v>200</v>
      </c>
      <c r="V406" s="2" t="s">
        <v>940</v>
      </c>
      <c r="W406" s="2" t="s">
        <v>379</v>
      </c>
      <c r="X406" s="2" t="s">
        <v>200</v>
      </c>
      <c r="Y406" s="2" t="s">
        <v>261</v>
      </c>
      <c r="Z406" s="4">
        <v>66</v>
      </c>
      <c r="AA406" s="4">
        <f>=ROUNDDOWN(18.3333333333333,0)</f>
      </c>
      <c r="AB406" s="5">
        <v>3.6</v>
      </c>
      <c r="AC406" s="2" t="s">
        <v>200</v>
      </c>
      <c r="AD406" s="4"/>
      <c r="AE406" s="4"/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200</v>
      </c>
      <c r="AM406" s="4"/>
      <c r="AN406" s="4"/>
      <c r="AO406" s="7"/>
      <c r="AP406" s="4"/>
      <c r="AQ406" s="8"/>
      <c r="AR406" s="4"/>
      <c r="AS406" s="8"/>
      <c r="AT406" s="7"/>
      <c r="AU406" s="7"/>
      <c r="AV406" s="4"/>
      <c r="AW406" s="8"/>
      <c r="AX406" s="4"/>
      <c r="AY406" s="8"/>
      <c r="AZ406" s="7"/>
      <c r="BA406" s="7"/>
      <c r="BB406" s="7"/>
      <c r="BC406" s="4"/>
      <c r="BD406" s="8"/>
      <c r="BE406" s="4"/>
      <c r="BF406" s="8"/>
      <c r="BG406" s="7"/>
      <c r="BH406" s="7"/>
      <c r="BI406" s="7"/>
      <c r="BJ406" s="4">
        <v>15</v>
      </c>
      <c r="BK406" s="8">
        <v>2314.09</v>
      </c>
      <c r="BL406" s="2" t="s">
        <v>2893</v>
      </c>
      <c r="BM406" s="7"/>
      <c r="BN406" s="7"/>
      <c r="BO406" s="4"/>
      <c r="BP406" s="8"/>
      <c r="BQ406" s="4"/>
      <c r="BR406" s="8"/>
      <c r="BS406" s="7"/>
      <c r="BT406" s="7"/>
      <c r="BU406" s="2" t="s">
        <v>2894</v>
      </c>
      <c r="BV406" s="2" t="s">
        <v>200</v>
      </c>
      <c r="BW406" s="2" t="s">
        <v>200</v>
      </c>
      <c r="BX406" s="2" t="s">
        <v>289</v>
      </c>
      <c r="BY406" s="2" t="s">
        <v>247</v>
      </c>
      <c r="BZ406" s="2" t="s">
        <v>212</v>
      </c>
      <c r="CA406" s="2" t="s">
        <v>265</v>
      </c>
      <c r="CB406" s="2" t="s">
        <v>2895</v>
      </c>
      <c r="CC406" s="2" t="s">
        <v>213</v>
      </c>
      <c r="CD406" s="2" t="s">
        <v>200</v>
      </c>
      <c r="CE406" s="4"/>
      <c r="CF406" s="4">
        <v>66</v>
      </c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</row>
    <row r="407">
      <c r="A407" s="2" t="s">
        <v>2896</v>
      </c>
      <c r="B407" s="2" t="s">
        <v>744</v>
      </c>
      <c r="C407" s="2" t="s">
        <v>231</v>
      </c>
      <c r="D407" s="2" t="s">
        <v>795</v>
      </c>
      <c r="E407" s="2" t="s">
        <v>1403</v>
      </c>
      <c r="F407" s="2" t="s">
        <v>2897</v>
      </c>
      <c r="G407" s="2" t="s">
        <v>2898</v>
      </c>
      <c r="H407" s="2" t="s">
        <v>2899</v>
      </c>
      <c r="I407" s="2" t="s">
        <v>2900</v>
      </c>
      <c r="J407" s="2" t="s">
        <v>711</v>
      </c>
      <c r="K407" s="2" t="s">
        <v>436</v>
      </c>
      <c r="L407" s="3">
        <v>243.68</v>
      </c>
      <c r="M407" s="3">
        <v>255.86</v>
      </c>
      <c r="N407" s="3">
        <v>509</v>
      </c>
      <c r="O407" s="2" t="s">
        <v>212</v>
      </c>
      <c r="P407" s="2" t="s">
        <v>285</v>
      </c>
      <c r="Q407" s="2" t="s">
        <v>206</v>
      </c>
      <c r="R407" s="2" t="s">
        <v>200</v>
      </c>
      <c r="S407" s="2" t="s">
        <v>200</v>
      </c>
      <c r="T407" s="2" t="s">
        <v>200</v>
      </c>
      <c r="U407" s="2" t="s">
        <v>270</v>
      </c>
      <c r="V407" s="2" t="s">
        <v>616</v>
      </c>
      <c r="W407" s="2" t="s">
        <v>379</v>
      </c>
      <c r="X407" s="2" t="s">
        <v>241</v>
      </c>
      <c r="Y407" s="2" t="s">
        <v>2901</v>
      </c>
      <c r="Z407" s="4">
        <v>48</v>
      </c>
      <c r="AA407" s="4">
        <f>=ROUNDDOWN(24,0)</f>
      </c>
      <c r="AB407" s="5">
        <v>2</v>
      </c>
      <c r="AC407" s="2" t="s">
        <v>200</v>
      </c>
      <c r="AD407" s="4"/>
      <c r="AE407" s="4"/>
      <c r="AF407" s="6">
        <v>66</v>
      </c>
      <c r="AG407" s="6"/>
      <c r="AH407" s="7">
        <v>1</v>
      </c>
      <c r="AI407" s="4"/>
      <c r="AJ407" s="4">
        <f>=ROUNDDOWN({0},0)</f>
      </c>
      <c r="AK407" s="5"/>
      <c r="AL407" s="2" t="s">
        <v>200</v>
      </c>
      <c r="AM407" s="4"/>
      <c r="AN407" s="4"/>
      <c r="AO407" s="7"/>
      <c r="AP407" s="4"/>
      <c r="AQ407" s="8"/>
      <c r="AR407" s="4"/>
      <c r="AS407" s="8"/>
      <c r="AT407" s="7"/>
      <c r="AU407" s="7"/>
      <c r="AV407" s="4"/>
      <c r="AW407" s="8"/>
      <c r="AX407" s="4"/>
      <c r="AY407" s="8"/>
      <c r="AZ407" s="7"/>
      <c r="BA407" s="7"/>
      <c r="BB407" s="7"/>
      <c r="BC407" s="4"/>
      <c r="BD407" s="8"/>
      <c r="BE407" s="4"/>
      <c r="BF407" s="8"/>
      <c r="BG407" s="7"/>
      <c r="BH407" s="7"/>
      <c r="BI407" s="7"/>
      <c r="BJ407" s="4">
        <v>4</v>
      </c>
      <c r="BK407" s="8">
        <v>1089.98</v>
      </c>
      <c r="BL407" s="2" t="s">
        <v>2902</v>
      </c>
      <c r="BM407" s="7"/>
      <c r="BN407" s="7"/>
      <c r="BO407" s="4"/>
      <c r="BP407" s="8"/>
      <c r="BQ407" s="4"/>
      <c r="BR407" s="8"/>
      <c r="BS407" s="7"/>
      <c r="BT407" s="7"/>
      <c r="BU407" s="2" t="s">
        <v>2903</v>
      </c>
      <c r="BV407" s="2" t="s">
        <v>200</v>
      </c>
      <c r="BW407" s="2" t="s">
        <v>200</v>
      </c>
      <c r="BX407" s="2" t="s">
        <v>289</v>
      </c>
      <c r="BY407" s="2" t="s">
        <v>247</v>
      </c>
      <c r="BZ407" s="2" t="s">
        <v>212</v>
      </c>
      <c r="CA407" s="2" t="s">
        <v>2904</v>
      </c>
      <c r="CB407" s="2" t="s">
        <v>2905</v>
      </c>
      <c r="CC407" s="2" t="s">
        <v>213</v>
      </c>
      <c r="CD407" s="2" t="s">
        <v>200</v>
      </c>
      <c r="CE407" s="4"/>
      <c r="CF407" s="4">
        <v>48</v>
      </c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</row>
    <row r="408">
      <c r="A408" s="2" t="s">
        <v>2906</v>
      </c>
      <c r="B408" s="2" t="s">
        <v>744</v>
      </c>
      <c r="C408" s="2" t="s">
        <v>231</v>
      </c>
      <c r="D408" s="2" t="s">
        <v>1275</v>
      </c>
      <c r="E408" s="2" t="s">
        <v>1276</v>
      </c>
      <c r="F408" s="2" t="s">
        <v>1681</v>
      </c>
      <c r="G408" s="2" t="s">
        <v>2907</v>
      </c>
      <c r="H408" s="2" t="s">
        <v>2908</v>
      </c>
      <c r="I408" s="2" t="s">
        <v>2909</v>
      </c>
      <c r="J408" s="2" t="s">
        <v>711</v>
      </c>
      <c r="K408" s="2" t="s">
        <v>857</v>
      </c>
      <c r="L408" s="3">
        <v>370.44</v>
      </c>
      <c r="M408" s="3">
        <v>388.96</v>
      </c>
      <c r="N408" s="3">
        <v>779</v>
      </c>
      <c r="O408" s="2" t="s">
        <v>212</v>
      </c>
      <c r="P408" s="2" t="s">
        <v>802</v>
      </c>
      <c r="Q408" s="2" t="s">
        <v>206</v>
      </c>
      <c r="R408" s="2" t="s">
        <v>16</v>
      </c>
      <c r="S408" s="2" t="s">
        <v>2910</v>
      </c>
      <c r="T408" s="2" t="s">
        <v>200</v>
      </c>
      <c r="U408" s="2" t="s">
        <v>677</v>
      </c>
      <c r="V408" s="2" t="s">
        <v>1695</v>
      </c>
      <c r="W408" s="2" t="s">
        <v>419</v>
      </c>
      <c r="X408" s="2" t="s">
        <v>200</v>
      </c>
      <c r="Y408" s="2" t="s">
        <v>2911</v>
      </c>
      <c r="Z408" s="4">
        <v>104</v>
      </c>
      <c r="AA408" s="4">
        <f>=ROUNDDOWN({0},0)</f>
      </c>
      <c r="AB408" s="5"/>
      <c r="AC408" s="2" t="s">
        <v>200</v>
      </c>
      <c r="AD408" s="4"/>
      <c r="AE408" s="4"/>
      <c r="AF408" s="6"/>
      <c r="AG408" s="6"/>
      <c r="AH408" s="7">
        <v>1</v>
      </c>
      <c r="AI408" s="4"/>
      <c r="AJ408" s="4">
        <f>=ROUNDDOWN({0},0)</f>
      </c>
      <c r="AK408" s="5"/>
      <c r="AL408" s="2" t="s">
        <v>200</v>
      </c>
      <c r="AM408" s="4"/>
      <c r="AN408" s="4"/>
      <c r="AO408" s="7"/>
      <c r="AP408" s="4"/>
      <c r="AQ408" s="8"/>
      <c r="AR408" s="4"/>
      <c r="AS408" s="8"/>
      <c r="AT408" s="7"/>
      <c r="AU408" s="7"/>
      <c r="AV408" s="4"/>
      <c r="AW408" s="8"/>
      <c r="AX408" s="4"/>
      <c r="AY408" s="8"/>
      <c r="AZ408" s="7"/>
      <c r="BA408" s="7"/>
      <c r="BB408" s="7"/>
      <c r="BC408" s="4" t="s">
        <v>200</v>
      </c>
      <c r="BD408" s="8" t="s">
        <v>200</v>
      </c>
      <c r="BE408" s="4" t="s">
        <v>200</v>
      </c>
      <c r="BF408" s="8" t="s">
        <v>200</v>
      </c>
      <c r="BG408" s="7" t="s">
        <v>200</v>
      </c>
      <c r="BH408" s="7" t="s">
        <v>200</v>
      </c>
      <c r="BI408" s="7"/>
      <c r="BJ408" s="4"/>
      <c r="BK408" s="8"/>
      <c r="BL408" s="2" t="s">
        <v>200</v>
      </c>
      <c r="BM408" s="7"/>
      <c r="BN408" s="7"/>
      <c r="BO408" s="4"/>
      <c r="BP408" s="8"/>
      <c r="BQ408" s="4"/>
      <c r="BR408" s="8"/>
      <c r="BS408" s="7"/>
      <c r="BT408" s="7"/>
      <c r="BU408" s="2" t="s">
        <v>2912</v>
      </c>
      <c r="BV408" s="2" t="s">
        <v>200</v>
      </c>
      <c r="BW408" s="2" t="s">
        <v>200</v>
      </c>
      <c r="BX408" s="2" t="s">
        <v>620</v>
      </c>
      <c r="BY408" s="2" t="s">
        <v>247</v>
      </c>
      <c r="BZ408" s="2" t="s">
        <v>212</v>
      </c>
      <c r="CA408" s="2" t="s">
        <v>2913</v>
      </c>
      <c r="CB408" s="2" t="s">
        <v>2914</v>
      </c>
      <c r="CC408" s="2" t="s">
        <v>213</v>
      </c>
      <c r="CD408" s="2" t="s">
        <v>200</v>
      </c>
      <c r="CE408" s="4"/>
      <c r="CF408" s="4">
        <v>104</v>
      </c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</row>
    <row r="409">
      <c r="A409" s="2" t="s">
        <v>2915</v>
      </c>
      <c r="B409" s="2" t="s">
        <v>744</v>
      </c>
      <c r="C409" s="2" t="s">
        <v>231</v>
      </c>
      <c r="D409" s="2" t="s">
        <v>1275</v>
      </c>
      <c r="E409" s="2" t="s">
        <v>1276</v>
      </c>
      <c r="F409" s="2" t="s">
        <v>1681</v>
      </c>
      <c r="G409" s="2" t="s">
        <v>2907</v>
      </c>
      <c r="H409" s="2" t="s">
        <v>2908</v>
      </c>
      <c r="I409" s="2" t="s">
        <v>2916</v>
      </c>
      <c r="J409" s="2" t="s">
        <v>711</v>
      </c>
      <c r="K409" s="2" t="s">
        <v>1135</v>
      </c>
      <c r="L409" s="3">
        <v>189</v>
      </c>
      <c r="M409" s="3">
        <v>198.45</v>
      </c>
      <c r="N409" s="3">
        <v>399</v>
      </c>
      <c r="O409" s="2" t="s">
        <v>212</v>
      </c>
      <c r="P409" s="2" t="s">
        <v>285</v>
      </c>
      <c r="Q409" s="2" t="s">
        <v>206</v>
      </c>
      <c r="R409" s="2" t="s">
        <v>200</v>
      </c>
      <c r="S409" s="2" t="s">
        <v>200</v>
      </c>
      <c r="T409" s="2" t="s">
        <v>200</v>
      </c>
      <c r="U409" s="2" t="s">
        <v>270</v>
      </c>
      <c r="V409" s="2" t="s">
        <v>208</v>
      </c>
      <c r="W409" s="2" t="s">
        <v>419</v>
      </c>
      <c r="X409" s="2" t="s">
        <v>200</v>
      </c>
      <c r="Y409" s="2" t="s">
        <v>2917</v>
      </c>
      <c r="Z409" s="4">
        <v>110</v>
      </c>
      <c r="AA409" s="4">
        <f>=ROUNDDOWN(22,0)</f>
      </c>
      <c r="AB409" s="5">
        <v>5</v>
      </c>
      <c r="AC409" s="2" t="s">
        <v>200</v>
      </c>
      <c r="AD409" s="4"/>
      <c r="AE409" s="4"/>
      <c r="AF409" s="6">
        <v>74</v>
      </c>
      <c r="AG409" s="6"/>
      <c r="AH409" s="7">
        <v>1</v>
      </c>
      <c r="AI409" s="4"/>
      <c r="AJ409" s="4">
        <f>=ROUNDDOWN({0},0)</f>
      </c>
      <c r="AK409" s="5"/>
      <c r="AL409" s="2" t="s">
        <v>200</v>
      </c>
      <c r="AM409" s="4"/>
      <c r="AN409" s="4"/>
      <c r="AO409" s="7"/>
      <c r="AP409" s="4"/>
      <c r="AQ409" s="8"/>
      <c r="AR409" s="4"/>
      <c r="AS409" s="8"/>
      <c r="AT409" s="7"/>
      <c r="AU409" s="7"/>
      <c r="AV409" s="4"/>
      <c r="AW409" s="8"/>
      <c r="AX409" s="4"/>
      <c r="AY409" s="8"/>
      <c r="AZ409" s="7"/>
      <c r="BA409" s="7"/>
      <c r="BB409" s="7"/>
      <c r="BC409" s="4" t="s">
        <v>200</v>
      </c>
      <c r="BD409" s="8" t="s">
        <v>200</v>
      </c>
      <c r="BE409" s="4" t="s">
        <v>200</v>
      </c>
      <c r="BF409" s="8" t="s">
        <v>200</v>
      </c>
      <c r="BG409" s="7" t="s">
        <v>200</v>
      </c>
      <c r="BH409" s="7" t="s">
        <v>200</v>
      </c>
      <c r="BI409" s="7"/>
      <c r="BJ409" s="4">
        <v>14</v>
      </c>
      <c r="BK409" s="8">
        <v>2734.77</v>
      </c>
      <c r="BL409" s="2" t="s">
        <v>2918</v>
      </c>
      <c r="BM409" s="7"/>
      <c r="BN409" s="7"/>
      <c r="BO409" s="4"/>
      <c r="BP409" s="8"/>
      <c r="BQ409" s="4"/>
      <c r="BR409" s="8"/>
      <c r="BS409" s="7"/>
      <c r="BT409" s="7"/>
      <c r="BU409" s="2" t="s">
        <v>2919</v>
      </c>
      <c r="BV409" s="2" t="s">
        <v>200</v>
      </c>
      <c r="BW409" s="2" t="s">
        <v>200</v>
      </c>
      <c r="BX409" s="2" t="s">
        <v>289</v>
      </c>
      <c r="BY409" s="2" t="s">
        <v>247</v>
      </c>
      <c r="BZ409" s="2" t="s">
        <v>212</v>
      </c>
      <c r="CA409" s="2" t="s">
        <v>2920</v>
      </c>
      <c r="CB409" s="2" t="s">
        <v>2921</v>
      </c>
      <c r="CC409" s="2" t="s">
        <v>213</v>
      </c>
      <c r="CD409" s="2" t="s">
        <v>200</v>
      </c>
      <c r="CE409" s="4"/>
      <c r="CF409" s="4">
        <v>110</v>
      </c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</row>
    <row r="410">
      <c r="A410" s="2" t="s">
        <v>2922</v>
      </c>
      <c r="B410" s="2" t="s">
        <v>744</v>
      </c>
      <c r="C410" s="2" t="s">
        <v>607</v>
      </c>
      <c r="D410" s="2" t="s">
        <v>1275</v>
      </c>
      <c r="E410" s="2" t="s">
        <v>1276</v>
      </c>
      <c r="F410" s="2" t="s">
        <v>2923</v>
      </c>
      <c r="G410" s="2" t="s">
        <v>2923</v>
      </c>
      <c r="H410" s="2" t="s">
        <v>2923</v>
      </c>
      <c r="I410" s="2" t="s">
        <v>2924</v>
      </c>
      <c r="J410" s="2" t="s">
        <v>711</v>
      </c>
      <c r="K410" s="2" t="s">
        <v>2925</v>
      </c>
      <c r="L410" s="3">
        <v>212.85</v>
      </c>
      <c r="M410" s="3">
        <v>223.49</v>
      </c>
      <c r="N410" s="3">
        <v>449</v>
      </c>
      <c r="O410" s="2" t="s">
        <v>212</v>
      </c>
      <c r="P410" s="2" t="s">
        <v>258</v>
      </c>
      <c r="Q410" s="2" t="s">
        <v>206</v>
      </c>
      <c r="R410" s="2" t="s">
        <v>200</v>
      </c>
      <c r="S410" s="2" t="s">
        <v>200</v>
      </c>
      <c r="T410" s="2" t="s">
        <v>200</v>
      </c>
      <c r="U410" s="2" t="s">
        <v>270</v>
      </c>
      <c r="V410" s="2" t="s">
        <v>208</v>
      </c>
      <c r="W410" s="2" t="s">
        <v>736</v>
      </c>
      <c r="X410" s="2" t="s">
        <v>200</v>
      </c>
      <c r="Y410" s="2" t="s">
        <v>751</v>
      </c>
      <c r="Z410" s="4">
        <v>139</v>
      </c>
      <c r="AA410" s="4">
        <f>=ROUNDDOWN(23.1666666666667,0)</f>
      </c>
      <c r="AB410" s="5">
        <v>6</v>
      </c>
      <c r="AC410" s="2" t="s">
        <v>5</v>
      </c>
      <c r="AD410" s="4">
        <v>96</v>
      </c>
      <c r="AE410" s="4">
        <v>96</v>
      </c>
      <c r="AF410" s="6">
        <v>66</v>
      </c>
      <c r="AG410" s="6">
        <v>49</v>
      </c>
      <c r="AH410" s="7">
        <v>1</v>
      </c>
      <c r="AI410" s="4"/>
      <c r="AJ410" s="4">
        <f>=ROUNDDOWN({0},0)</f>
      </c>
      <c r="AK410" s="5"/>
      <c r="AL410" s="2" t="s">
        <v>200</v>
      </c>
      <c r="AM410" s="4"/>
      <c r="AN410" s="4"/>
      <c r="AO410" s="7"/>
      <c r="AP410" s="4"/>
      <c r="AQ410" s="8"/>
      <c r="AR410" s="4"/>
      <c r="AS410" s="8"/>
      <c r="AT410" s="7"/>
      <c r="AU410" s="7"/>
      <c r="AV410" s="4"/>
      <c r="AW410" s="8"/>
      <c r="AX410" s="4"/>
      <c r="AY410" s="8"/>
      <c r="AZ410" s="7"/>
      <c r="BA410" s="7"/>
      <c r="BB410" s="7"/>
      <c r="BC410" s="4"/>
      <c r="BD410" s="8"/>
      <c r="BE410" s="4"/>
      <c r="BF410" s="8"/>
      <c r="BG410" s="7"/>
      <c r="BH410" s="7"/>
      <c r="BI410" s="7"/>
      <c r="BJ410" s="4">
        <v>35</v>
      </c>
      <c r="BK410" s="8">
        <v>7321.18</v>
      </c>
      <c r="BL410" s="2" t="s">
        <v>2926</v>
      </c>
      <c r="BM410" s="7"/>
      <c r="BN410" s="7"/>
      <c r="BO410" s="4"/>
      <c r="BP410" s="8"/>
      <c r="BQ410" s="4"/>
      <c r="BR410" s="8"/>
      <c r="BS410" s="7"/>
      <c r="BT410" s="7"/>
      <c r="BU410" s="2" t="s">
        <v>2927</v>
      </c>
      <c r="BV410" s="2" t="s">
        <v>200</v>
      </c>
      <c r="BW410" s="2" t="s">
        <v>200</v>
      </c>
      <c r="BX410" s="2" t="s">
        <v>264</v>
      </c>
      <c r="BY410" s="2" t="s">
        <v>247</v>
      </c>
      <c r="BZ410" s="2" t="s">
        <v>212</v>
      </c>
      <c r="CA410" s="2" t="s">
        <v>754</v>
      </c>
      <c r="CB410" s="2" t="s">
        <v>1958</v>
      </c>
      <c r="CC410" s="2" t="s">
        <v>213</v>
      </c>
      <c r="CD410" s="2" t="s">
        <v>200</v>
      </c>
      <c r="CE410" s="4"/>
      <c r="CF410" s="4">
        <v>139</v>
      </c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>
        <v>96</v>
      </c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</row>
    <row r="411">
      <c r="A411" s="2" t="s">
        <v>2928</v>
      </c>
      <c r="B411" s="2" t="s">
        <v>827</v>
      </c>
      <c r="C411" s="2" t="s">
        <v>1375</v>
      </c>
      <c r="D411" s="2" t="s">
        <v>828</v>
      </c>
      <c r="E411" s="2" t="s">
        <v>878</v>
      </c>
      <c r="F411" s="2" t="s">
        <v>2929</v>
      </c>
      <c r="G411" s="2" t="s">
        <v>2930</v>
      </c>
      <c r="H411" s="2" t="s">
        <v>2931</v>
      </c>
      <c r="I411" s="2" t="s">
        <v>2932</v>
      </c>
      <c r="J411" s="2" t="s">
        <v>2933</v>
      </c>
      <c r="K411" s="2" t="s">
        <v>1214</v>
      </c>
      <c r="L411" s="3">
        <v>17.02</v>
      </c>
      <c r="M411" s="3">
        <v>17.87</v>
      </c>
      <c r="N411" s="3">
        <v>36.99</v>
      </c>
      <c r="O411" s="2" t="s">
        <v>212</v>
      </c>
      <c r="P411" s="2" t="s">
        <v>285</v>
      </c>
      <c r="Q411" s="2" t="s">
        <v>206</v>
      </c>
      <c r="R411" s="2" t="s">
        <v>200</v>
      </c>
      <c r="S411" s="2" t="s">
        <v>2934</v>
      </c>
      <c r="T411" s="2" t="s">
        <v>2935</v>
      </c>
      <c r="U411" s="2" t="s">
        <v>677</v>
      </c>
      <c r="V411" s="2" t="s">
        <v>208</v>
      </c>
      <c r="W411" s="2" t="s">
        <v>379</v>
      </c>
      <c r="X411" s="2" t="s">
        <v>2936</v>
      </c>
      <c r="Y411" s="2" t="s">
        <v>2937</v>
      </c>
      <c r="Z411" s="4">
        <v>41</v>
      </c>
      <c r="AA411" s="4">
        <f>=ROUNDDOWN(25.625,0)</f>
      </c>
      <c r="AB411" s="5">
        <v>1.6</v>
      </c>
      <c r="AC411" s="2" t="s">
        <v>200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200</v>
      </c>
      <c r="AM411" s="4"/>
      <c r="AN411" s="4"/>
      <c r="AO411" s="7"/>
      <c r="AP411" s="4"/>
      <c r="AQ411" s="8"/>
      <c r="AR411" s="4"/>
      <c r="AS411" s="8"/>
      <c r="AT411" s="7"/>
      <c r="AU411" s="7"/>
      <c r="AV411" s="4" t="s">
        <v>200</v>
      </c>
      <c r="AW411" s="8" t="s">
        <v>200</v>
      </c>
      <c r="AX411" s="4" t="s">
        <v>200</v>
      </c>
      <c r="AY411" s="8" t="s">
        <v>200</v>
      </c>
      <c r="AZ411" s="7" t="s">
        <v>200</v>
      </c>
      <c r="BA411" s="7" t="s">
        <v>200</v>
      </c>
      <c r="BB411" s="7"/>
      <c r="BC411" s="4" t="s">
        <v>200</v>
      </c>
      <c r="BD411" s="8" t="s">
        <v>200</v>
      </c>
      <c r="BE411" s="4" t="s">
        <v>200</v>
      </c>
      <c r="BF411" s="8" t="s">
        <v>200</v>
      </c>
      <c r="BG411" s="7" t="s">
        <v>200</v>
      </c>
      <c r="BH411" s="7" t="s">
        <v>200</v>
      </c>
      <c r="BI411" s="7"/>
      <c r="BJ411" s="4">
        <v>7</v>
      </c>
      <c r="BK411" s="8">
        <v>117.62</v>
      </c>
      <c r="BL411" s="2" t="s">
        <v>2938</v>
      </c>
      <c r="BM411" s="7"/>
      <c r="BN411" s="7"/>
      <c r="BO411" s="4"/>
      <c r="BP411" s="8"/>
      <c r="BQ411" s="4"/>
      <c r="BR411" s="8"/>
      <c r="BS411" s="7"/>
      <c r="BT411" s="7"/>
      <c r="BU411" s="2" t="s">
        <v>2939</v>
      </c>
      <c r="BV411" s="2" t="s">
        <v>200</v>
      </c>
      <c r="BW411" s="2" t="s">
        <v>200</v>
      </c>
      <c r="BX411" s="2" t="s">
        <v>289</v>
      </c>
      <c r="BY411" s="2" t="s">
        <v>247</v>
      </c>
      <c r="BZ411" s="2" t="s">
        <v>212</v>
      </c>
      <c r="CA411" s="2" t="s">
        <v>2937</v>
      </c>
      <c r="CB411" s="2" t="s">
        <v>2940</v>
      </c>
      <c r="CC411" s="2" t="s">
        <v>213</v>
      </c>
      <c r="CD411" s="2" t="s">
        <v>200</v>
      </c>
      <c r="CE411" s="4">
        <v>41</v>
      </c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</row>
    <row r="412">
      <c r="A412" s="2" t="s">
        <v>2941</v>
      </c>
      <c r="B412" s="2" t="s">
        <v>827</v>
      </c>
      <c r="C412" s="2" t="s">
        <v>1375</v>
      </c>
      <c r="D412" s="2" t="s">
        <v>828</v>
      </c>
      <c r="E412" s="2" t="s">
        <v>878</v>
      </c>
      <c r="F412" s="2" t="s">
        <v>2929</v>
      </c>
      <c r="G412" s="2" t="s">
        <v>2930</v>
      </c>
      <c r="H412" s="2" t="s">
        <v>2931</v>
      </c>
      <c r="I412" s="2" t="s">
        <v>2932</v>
      </c>
      <c r="J412" s="2" t="s">
        <v>2942</v>
      </c>
      <c r="K412" s="2" t="s">
        <v>1214</v>
      </c>
      <c r="L412" s="3">
        <v>19.32</v>
      </c>
      <c r="M412" s="3">
        <v>20.29</v>
      </c>
      <c r="N412" s="3">
        <v>41.99</v>
      </c>
      <c r="O412" s="2" t="s">
        <v>212</v>
      </c>
      <c r="P412" s="2" t="s">
        <v>285</v>
      </c>
      <c r="Q412" s="2" t="s">
        <v>206</v>
      </c>
      <c r="R412" s="2" t="s">
        <v>200</v>
      </c>
      <c r="S412" s="2" t="s">
        <v>2934</v>
      </c>
      <c r="T412" s="2" t="s">
        <v>2935</v>
      </c>
      <c r="U412" s="2" t="s">
        <v>677</v>
      </c>
      <c r="V412" s="2" t="s">
        <v>208</v>
      </c>
      <c r="W412" s="2" t="s">
        <v>379</v>
      </c>
      <c r="X412" s="2" t="s">
        <v>2936</v>
      </c>
      <c r="Y412" s="2" t="s">
        <v>2937</v>
      </c>
      <c r="Z412" s="4"/>
      <c r="AA412" s="4">
        <f>=ROUNDDOWN({0},0)</f>
      </c>
      <c r="AB412" s="5">
        <v>4</v>
      </c>
      <c r="AC412" s="2" t="s">
        <v>200</v>
      </c>
      <c r="AD412" s="4"/>
      <c r="AE412" s="4"/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200</v>
      </c>
      <c r="AM412" s="4"/>
      <c r="AN412" s="4"/>
      <c r="AO412" s="7"/>
      <c r="AP412" s="4"/>
      <c r="AQ412" s="8"/>
      <c r="AR412" s="4"/>
      <c r="AS412" s="8"/>
      <c r="AT412" s="7"/>
      <c r="AU412" s="7"/>
      <c r="AV412" s="4" t="s">
        <v>200</v>
      </c>
      <c r="AW412" s="8" t="s">
        <v>200</v>
      </c>
      <c r="AX412" s="4" t="s">
        <v>200</v>
      </c>
      <c r="AY412" s="8" t="s">
        <v>200</v>
      </c>
      <c r="AZ412" s="7" t="s">
        <v>200</v>
      </c>
      <c r="BA412" s="7" t="s">
        <v>200</v>
      </c>
      <c r="BB412" s="7"/>
      <c r="BC412" s="4" t="s">
        <v>200</v>
      </c>
      <c r="BD412" s="8" t="s">
        <v>200</v>
      </c>
      <c r="BE412" s="4" t="s">
        <v>200</v>
      </c>
      <c r="BF412" s="8" t="s">
        <v>200</v>
      </c>
      <c r="BG412" s="7" t="s">
        <v>200</v>
      </c>
      <c r="BH412" s="7" t="s">
        <v>200</v>
      </c>
      <c r="BI412" s="7"/>
      <c r="BJ412" s="4">
        <v>13</v>
      </c>
      <c r="BK412" s="8">
        <v>319.93</v>
      </c>
      <c r="BL412" s="2" t="s">
        <v>2943</v>
      </c>
      <c r="BM412" s="7"/>
      <c r="BN412" s="7"/>
      <c r="BO412" s="4"/>
      <c r="BP412" s="8"/>
      <c r="BQ412" s="4"/>
      <c r="BR412" s="8"/>
      <c r="BS412" s="7"/>
      <c r="BT412" s="7"/>
      <c r="BU412" s="2" t="s">
        <v>2944</v>
      </c>
      <c r="BV412" s="2" t="s">
        <v>200</v>
      </c>
      <c r="BW412" s="2" t="s">
        <v>200</v>
      </c>
      <c r="BX412" s="2" t="s">
        <v>289</v>
      </c>
      <c r="BY412" s="2" t="s">
        <v>247</v>
      </c>
      <c r="BZ412" s="2" t="s">
        <v>212</v>
      </c>
      <c r="CA412" s="2" t="s">
        <v>2937</v>
      </c>
      <c r="CB412" s="2" t="s">
        <v>2945</v>
      </c>
      <c r="CC412" s="2" t="s">
        <v>213</v>
      </c>
      <c r="CD412" s="2" t="s">
        <v>200</v>
      </c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</row>
    <row r="413">
      <c r="A413" s="2" t="s">
        <v>2946</v>
      </c>
      <c r="B413" s="2" t="s">
        <v>827</v>
      </c>
      <c r="C413" s="2" t="s">
        <v>1375</v>
      </c>
      <c r="D413" s="2" t="s">
        <v>828</v>
      </c>
      <c r="E413" s="2" t="s">
        <v>878</v>
      </c>
      <c r="F413" s="2" t="s">
        <v>2929</v>
      </c>
      <c r="G413" s="2" t="s">
        <v>2930</v>
      </c>
      <c r="H413" s="2" t="s">
        <v>2931</v>
      </c>
      <c r="I413" s="2" t="s">
        <v>2932</v>
      </c>
      <c r="J413" s="2" t="s">
        <v>2947</v>
      </c>
      <c r="K413" s="2" t="s">
        <v>1214</v>
      </c>
      <c r="L413" s="3">
        <v>22.09</v>
      </c>
      <c r="M413" s="3">
        <v>23.19</v>
      </c>
      <c r="N413" s="3">
        <v>46.99</v>
      </c>
      <c r="O413" s="2" t="s">
        <v>212</v>
      </c>
      <c r="P413" s="2" t="s">
        <v>285</v>
      </c>
      <c r="Q413" s="2" t="s">
        <v>206</v>
      </c>
      <c r="R413" s="2" t="s">
        <v>200</v>
      </c>
      <c r="S413" s="2" t="s">
        <v>2934</v>
      </c>
      <c r="T413" s="2" t="s">
        <v>2935</v>
      </c>
      <c r="U413" s="2" t="s">
        <v>677</v>
      </c>
      <c r="V413" s="2" t="s">
        <v>208</v>
      </c>
      <c r="W413" s="2" t="s">
        <v>379</v>
      </c>
      <c r="X413" s="2" t="s">
        <v>2936</v>
      </c>
      <c r="Y413" s="2" t="s">
        <v>2937</v>
      </c>
      <c r="Z413" s="4"/>
      <c r="AA413" s="4">
        <f>=ROUNDDOWN({0},0)</f>
      </c>
      <c r="AB413" s="5">
        <v>3.6</v>
      </c>
      <c r="AC413" s="2" t="s">
        <v>200</v>
      </c>
      <c r="AD413" s="4"/>
      <c r="AE413" s="4"/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200</v>
      </c>
      <c r="AM413" s="4"/>
      <c r="AN413" s="4"/>
      <c r="AO413" s="7"/>
      <c r="AP413" s="4"/>
      <c r="AQ413" s="8"/>
      <c r="AR413" s="4"/>
      <c r="AS413" s="8"/>
      <c r="AT413" s="7"/>
      <c r="AU413" s="7"/>
      <c r="AV413" s="4" t="s">
        <v>200</v>
      </c>
      <c r="AW413" s="8" t="s">
        <v>200</v>
      </c>
      <c r="AX413" s="4" t="s">
        <v>200</v>
      </c>
      <c r="AY413" s="8" t="s">
        <v>200</v>
      </c>
      <c r="AZ413" s="7" t="s">
        <v>200</v>
      </c>
      <c r="BA413" s="7" t="s">
        <v>200</v>
      </c>
      <c r="BB413" s="7"/>
      <c r="BC413" s="4" t="s">
        <v>200</v>
      </c>
      <c r="BD413" s="8" t="s">
        <v>200</v>
      </c>
      <c r="BE413" s="4" t="s">
        <v>200</v>
      </c>
      <c r="BF413" s="8" t="s">
        <v>200</v>
      </c>
      <c r="BG413" s="7" t="s">
        <v>200</v>
      </c>
      <c r="BH413" s="7" t="s">
        <v>200</v>
      </c>
      <c r="BI413" s="7"/>
      <c r="BJ413" s="4">
        <v>19</v>
      </c>
      <c r="BK413" s="8">
        <v>468.91</v>
      </c>
      <c r="BL413" s="2" t="s">
        <v>2948</v>
      </c>
      <c r="BM413" s="7"/>
      <c r="BN413" s="7"/>
      <c r="BO413" s="4"/>
      <c r="BP413" s="8"/>
      <c r="BQ413" s="4"/>
      <c r="BR413" s="8"/>
      <c r="BS413" s="7"/>
      <c r="BT413" s="7"/>
      <c r="BU413" s="2" t="s">
        <v>2949</v>
      </c>
      <c r="BV413" s="2" t="s">
        <v>200</v>
      </c>
      <c r="BW413" s="2" t="s">
        <v>200</v>
      </c>
      <c r="BX413" s="2" t="s">
        <v>289</v>
      </c>
      <c r="BY413" s="2" t="s">
        <v>247</v>
      </c>
      <c r="BZ413" s="2" t="s">
        <v>212</v>
      </c>
      <c r="CA413" s="2" t="s">
        <v>2937</v>
      </c>
      <c r="CB413" s="2" t="s">
        <v>2950</v>
      </c>
      <c r="CC413" s="2" t="s">
        <v>213</v>
      </c>
      <c r="CD413" s="2" t="s">
        <v>200</v>
      </c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</row>
    <row r="414">
      <c r="A414" s="2" t="s">
        <v>2951</v>
      </c>
      <c r="B414" s="2" t="s">
        <v>827</v>
      </c>
      <c r="C414" s="2" t="s">
        <v>1375</v>
      </c>
      <c r="D414" s="2" t="s">
        <v>828</v>
      </c>
      <c r="E414" s="2" t="s">
        <v>878</v>
      </c>
      <c r="F414" s="2" t="s">
        <v>2929</v>
      </c>
      <c r="G414" s="2" t="s">
        <v>2930</v>
      </c>
      <c r="H414" s="2" t="s">
        <v>2931</v>
      </c>
      <c r="I414" s="2" t="s">
        <v>2932</v>
      </c>
      <c r="J414" s="2" t="s">
        <v>2947</v>
      </c>
      <c r="K414" s="2" t="s">
        <v>416</v>
      </c>
      <c r="L414" s="3">
        <v>22.09</v>
      </c>
      <c r="M414" s="3">
        <v>23.19</v>
      </c>
      <c r="N414" s="3">
        <v>46.99</v>
      </c>
      <c r="O414" s="2" t="s">
        <v>212</v>
      </c>
      <c r="P414" s="2" t="s">
        <v>285</v>
      </c>
      <c r="Q414" s="2" t="s">
        <v>206</v>
      </c>
      <c r="R414" s="2" t="s">
        <v>200</v>
      </c>
      <c r="S414" s="2" t="s">
        <v>2952</v>
      </c>
      <c r="T414" s="2" t="s">
        <v>2935</v>
      </c>
      <c r="U414" s="2" t="s">
        <v>677</v>
      </c>
      <c r="V414" s="2" t="s">
        <v>208</v>
      </c>
      <c r="W414" s="2" t="s">
        <v>379</v>
      </c>
      <c r="X414" s="2" t="s">
        <v>2936</v>
      </c>
      <c r="Y414" s="2" t="s">
        <v>2953</v>
      </c>
      <c r="Z414" s="4">
        <v>71</v>
      </c>
      <c r="AA414" s="4">
        <f>=ROUNDDOWN(17.75,0)</f>
      </c>
      <c r="AB414" s="5">
        <v>4</v>
      </c>
      <c r="AC414" s="2" t="s">
        <v>200</v>
      </c>
      <c r="AD414" s="4"/>
      <c r="AE414" s="4"/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200</v>
      </c>
      <c r="AM414" s="4"/>
      <c r="AN414" s="4"/>
      <c r="AO414" s="7"/>
      <c r="AP414" s="4"/>
      <c r="AQ414" s="8"/>
      <c r="AR414" s="4"/>
      <c r="AS414" s="8"/>
      <c r="AT414" s="7"/>
      <c r="AU414" s="7"/>
      <c r="AV414" s="4"/>
      <c r="AW414" s="8"/>
      <c r="AX414" s="4"/>
      <c r="AY414" s="8"/>
      <c r="AZ414" s="7"/>
      <c r="BA414" s="7"/>
      <c r="BB414" s="7"/>
      <c r="BC414" s="4" t="s">
        <v>200</v>
      </c>
      <c r="BD414" s="8" t="s">
        <v>200</v>
      </c>
      <c r="BE414" s="4" t="s">
        <v>200</v>
      </c>
      <c r="BF414" s="8" t="s">
        <v>200</v>
      </c>
      <c r="BG414" s="7" t="s">
        <v>200</v>
      </c>
      <c r="BH414" s="7" t="s">
        <v>200</v>
      </c>
      <c r="BI414" s="7"/>
      <c r="BJ414" s="4">
        <v>23</v>
      </c>
      <c r="BK414" s="8">
        <v>514.13</v>
      </c>
      <c r="BL414" s="2" t="s">
        <v>2954</v>
      </c>
      <c r="BM414" s="7"/>
      <c r="BN414" s="7"/>
      <c r="BO414" s="4"/>
      <c r="BP414" s="8"/>
      <c r="BQ414" s="4"/>
      <c r="BR414" s="8"/>
      <c r="BS414" s="7"/>
      <c r="BT414" s="7"/>
      <c r="BU414" s="2" t="s">
        <v>2955</v>
      </c>
      <c r="BV414" s="2" t="s">
        <v>200</v>
      </c>
      <c r="BW414" s="2" t="s">
        <v>200</v>
      </c>
      <c r="BX414" s="2" t="s">
        <v>289</v>
      </c>
      <c r="BY414" s="2" t="s">
        <v>247</v>
      </c>
      <c r="BZ414" s="2" t="s">
        <v>212</v>
      </c>
      <c r="CA414" s="2" t="s">
        <v>1509</v>
      </c>
      <c r="CB414" s="2" t="s">
        <v>2956</v>
      </c>
      <c r="CC414" s="2" t="s">
        <v>213</v>
      </c>
      <c r="CD414" s="2" t="s">
        <v>200</v>
      </c>
      <c r="CE414" s="4">
        <v>71</v>
      </c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</row>
    <row r="415">
      <c r="A415" s="2" t="s">
        <v>2957</v>
      </c>
      <c r="B415" s="2" t="s">
        <v>827</v>
      </c>
      <c r="C415" s="2" t="s">
        <v>1375</v>
      </c>
      <c r="D415" s="2" t="s">
        <v>828</v>
      </c>
      <c r="E415" s="2" t="s">
        <v>878</v>
      </c>
      <c r="F415" s="2" t="s">
        <v>2929</v>
      </c>
      <c r="G415" s="2" t="s">
        <v>2930</v>
      </c>
      <c r="H415" s="2" t="s">
        <v>2931</v>
      </c>
      <c r="I415" s="2" t="s">
        <v>2932</v>
      </c>
      <c r="J415" s="2" t="s">
        <v>2942</v>
      </c>
      <c r="K415" s="2" t="s">
        <v>2958</v>
      </c>
      <c r="L415" s="3">
        <v>19.32</v>
      </c>
      <c r="M415" s="3">
        <v>20.29</v>
      </c>
      <c r="N415" s="3">
        <v>41.99</v>
      </c>
      <c r="O415" s="2" t="s">
        <v>212</v>
      </c>
      <c r="P415" s="2" t="s">
        <v>205</v>
      </c>
      <c r="Q415" s="2" t="s">
        <v>206</v>
      </c>
      <c r="R415" s="2" t="s">
        <v>200</v>
      </c>
      <c r="S415" s="2" t="s">
        <v>2959</v>
      </c>
      <c r="T415" s="2" t="s">
        <v>2935</v>
      </c>
      <c r="U415" s="2" t="s">
        <v>677</v>
      </c>
      <c r="V415" s="2" t="s">
        <v>208</v>
      </c>
      <c r="W415" s="2" t="s">
        <v>379</v>
      </c>
      <c r="X415" s="2" t="s">
        <v>2936</v>
      </c>
      <c r="Y415" s="2" t="s">
        <v>2960</v>
      </c>
      <c r="Z415" s="4">
        <v>207</v>
      </c>
      <c r="AA415" s="4">
        <f>=ROUNDDOWN(41.4,0)</f>
      </c>
      <c r="AB415" s="5">
        <v>5</v>
      </c>
      <c r="AC415" s="2" t="s">
        <v>200</v>
      </c>
      <c r="AD415" s="4"/>
      <c r="AE415" s="4"/>
      <c r="AF415" s="6">
        <v>64</v>
      </c>
      <c r="AG415" s="6"/>
      <c r="AH415" s="7">
        <v>1</v>
      </c>
      <c r="AI415" s="4"/>
      <c r="AJ415" s="4">
        <f>=ROUNDDOWN({0},0)</f>
      </c>
      <c r="AK415" s="5"/>
      <c r="AL415" s="2" t="s">
        <v>200</v>
      </c>
      <c r="AM415" s="4"/>
      <c r="AN415" s="4"/>
      <c r="AO415" s="7"/>
      <c r="AP415" s="4"/>
      <c r="AQ415" s="8"/>
      <c r="AR415" s="4"/>
      <c r="AS415" s="8"/>
      <c r="AT415" s="7"/>
      <c r="AU415" s="7"/>
      <c r="AV415" s="4" t="s">
        <v>200</v>
      </c>
      <c r="AW415" s="8" t="s">
        <v>200</v>
      </c>
      <c r="AX415" s="4" t="s">
        <v>200</v>
      </c>
      <c r="AY415" s="8" t="s">
        <v>200</v>
      </c>
      <c r="AZ415" s="7" t="s">
        <v>200</v>
      </c>
      <c r="BA415" s="7" t="s">
        <v>200</v>
      </c>
      <c r="BB415" s="7"/>
      <c r="BC415" s="4" t="s">
        <v>200</v>
      </c>
      <c r="BD415" s="8" t="s">
        <v>200</v>
      </c>
      <c r="BE415" s="4" t="s">
        <v>200</v>
      </c>
      <c r="BF415" s="8" t="s">
        <v>200</v>
      </c>
      <c r="BG415" s="7" t="s">
        <v>200</v>
      </c>
      <c r="BH415" s="7" t="s">
        <v>200</v>
      </c>
      <c r="BI415" s="7"/>
      <c r="BJ415" s="4">
        <v>4</v>
      </c>
      <c r="BK415" s="8">
        <v>79.19</v>
      </c>
      <c r="BL415" s="2" t="s">
        <v>2509</v>
      </c>
      <c r="BM415" s="7"/>
      <c r="BN415" s="7"/>
      <c r="BO415" s="4"/>
      <c r="BP415" s="8"/>
      <c r="BQ415" s="4"/>
      <c r="BR415" s="8"/>
      <c r="BS415" s="7"/>
      <c r="BT415" s="7"/>
      <c r="BU415" s="2" t="s">
        <v>2961</v>
      </c>
      <c r="BV415" s="2" t="s">
        <v>200</v>
      </c>
      <c r="BW415" s="2" t="s">
        <v>200</v>
      </c>
      <c r="BX415" s="2" t="s">
        <v>264</v>
      </c>
      <c r="BY415" s="2" t="s">
        <v>247</v>
      </c>
      <c r="BZ415" s="2" t="s">
        <v>212</v>
      </c>
      <c r="CA415" s="2" t="s">
        <v>2615</v>
      </c>
      <c r="CB415" s="2" t="s">
        <v>200</v>
      </c>
      <c r="CC415" s="2" t="s">
        <v>213</v>
      </c>
      <c r="CD415" s="2" t="s">
        <v>200</v>
      </c>
      <c r="CE415" s="4">
        <v>207</v>
      </c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</row>
    <row r="416">
      <c r="A416" s="2" t="s">
        <v>2962</v>
      </c>
      <c r="B416" s="2" t="s">
        <v>827</v>
      </c>
      <c r="C416" s="2" t="s">
        <v>1375</v>
      </c>
      <c r="D416" s="2" t="s">
        <v>828</v>
      </c>
      <c r="E416" s="2" t="s">
        <v>878</v>
      </c>
      <c r="F416" s="2" t="s">
        <v>2929</v>
      </c>
      <c r="G416" s="2" t="s">
        <v>2930</v>
      </c>
      <c r="H416" s="2" t="s">
        <v>2931</v>
      </c>
      <c r="I416" s="2" t="s">
        <v>2932</v>
      </c>
      <c r="J416" s="2" t="s">
        <v>2947</v>
      </c>
      <c r="K416" s="2" t="s">
        <v>2958</v>
      </c>
      <c r="L416" s="3">
        <v>22.09</v>
      </c>
      <c r="M416" s="3">
        <v>23.19</v>
      </c>
      <c r="N416" s="3">
        <v>46.99</v>
      </c>
      <c r="O416" s="2" t="s">
        <v>212</v>
      </c>
      <c r="P416" s="2" t="s">
        <v>205</v>
      </c>
      <c r="Q416" s="2" t="s">
        <v>206</v>
      </c>
      <c r="R416" s="2" t="s">
        <v>200</v>
      </c>
      <c r="S416" s="2" t="s">
        <v>2959</v>
      </c>
      <c r="T416" s="2" t="s">
        <v>2935</v>
      </c>
      <c r="U416" s="2" t="s">
        <v>677</v>
      </c>
      <c r="V416" s="2" t="s">
        <v>208</v>
      </c>
      <c r="W416" s="2" t="s">
        <v>379</v>
      </c>
      <c r="X416" s="2" t="s">
        <v>2936</v>
      </c>
      <c r="Y416" s="2" t="s">
        <v>2960</v>
      </c>
      <c r="Z416" s="4">
        <v>232</v>
      </c>
      <c r="AA416" s="4">
        <f>=ROUNDDOWN(116,0)</f>
      </c>
      <c r="AB416" s="5">
        <v>2</v>
      </c>
      <c r="AC416" s="2" t="s">
        <v>200</v>
      </c>
      <c r="AD416" s="4"/>
      <c r="AE416" s="4"/>
      <c r="AF416" s="6">
        <v>64</v>
      </c>
      <c r="AG416" s="6"/>
      <c r="AH416" s="7">
        <v>1</v>
      </c>
      <c r="AI416" s="4"/>
      <c r="AJ416" s="4">
        <f>=ROUNDDOWN({0},0)</f>
      </c>
      <c r="AK416" s="5"/>
      <c r="AL416" s="2" t="s">
        <v>200</v>
      </c>
      <c r="AM416" s="4"/>
      <c r="AN416" s="4"/>
      <c r="AO416" s="7"/>
      <c r="AP416" s="4"/>
      <c r="AQ416" s="8"/>
      <c r="AR416" s="4"/>
      <c r="AS416" s="8"/>
      <c r="AT416" s="7"/>
      <c r="AU416" s="7"/>
      <c r="AV416" s="4" t="s">
        <v>200</v>
      </c>
      <c r="AW416" s="8" t="s">
        <v>200</v>
      </c>
      <c r="AX416" s="4" t="s">
        <v>200</v>
      </c>
      <c r="AY416" s="8" t="s">
        <v>200</v>
      </c>
      <c r="AZ416" s="7" t="s">
        <v>200</v>
      </c>
      <c r="BA416" s="7" t="s">
        <v>200</v>
      </c>
      <c r="BB416" s="7"/>
      <c r="BC416" s="4" t="s">
        <v>200</v>
      </c>
      <c r="BD416" s="8" t="s">
        <v>200</v>
      </c>
      <c r="BE416" s="4" t="s">
        <v>200</v>
      </c>
      <c r="BF416" s="8" t="s">
        <v>200</v>
      </c>
      <c r="BG416" s="7" t="s">
        <v>200</v>
      </c>
      <c r="BH416" s="7" t="s">
        <v>200</v>
      </c>
      <c r="BI416" s="7"/>
      <c r="BJ416" s="4">
        <v>6</v>
      </c>
      <c r="BK416" s="8">
        <v>133.32</v>
      </c>
      <c r="BL416" s="2" t="s">
        <v>1618</v>
      </c>
      <c r="BM416" s="7"/>
      <c r="BN416" s="7"/>
      <c r="BO416" s="4"/>
      <c r="BP416" s="8"/>
      <c r="BQ416" s="4"/>
      <c r="BR416" s="8"/>
      <c r="BS416" s="7"/>
      <c r="BT416" s="7"/>
      <c r="BU416" s="2" t="s">
        <v>2963</v>
      </c>
      <c r="BV416" s="2" t="s">
        <v>200</v>
      </c>
      <c r="BW416" s="2" t="s">
        <v>200</v>
      </c>
      <c r="BX416" s="2" t="s">
        <v>264</v>
      </c>
      <c r="BY416" s="2" t="s">
        <v>247</v>
      </c>
      <c r="BZ416" s="2" t="s">
        <v>212</v>
      </c>
      <c r="CA416" s="2" t="s">
        <v>2615</v>
      </c>
      <c r="CB416" s="2" t="s">
        <v>200</v>
      </c>
      <c r="CC416" s="2" t="s">
        <v>213</v>
      </c>
      <c r="CD416" s="2" t="s">
        <v>200</v>
      </c>
      <c r="CE416" s="4">
        <v>232</v>
      </c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</row>
    <row r="417">
      <c r="A417" s="2" t="s">
        <v>2964</v>
      </c>
      <c r="B417" s="2" t="s">
        <v>827</v>
      </c>
      <c r="C417" s="2" t="s">
        <v>1375</v>
      </c>
      <c r="D417" s="2" t="s">
        <v>828</v>
      </c>
      <c r="E417" s="2" t="s">
        <v>878</v>
      </c>
      <c r="F417" s="2" t="s">
        <v>2929</v>
      </c>
      <c r="G417" s="2" t="s">
        <v>2930</v>
      </c>
      <c r="H417" s="2" t="s">
        <v>2931</v>
      </c>
      <c r="I417" s="2" t="s">
        <v>2932</v>
      </c>
      <c r="J417" s="2" t="s">
        <v>2933</v>
      </c>
      <c r="K417" s="2" t="s">
        <v>2589</v>
      </c>
      <c r="L417" s="3">
        <v>17.02</v>
      </c>
      <c r="M417" s="3">
        <v>17.87</v>
      </c>
      <c r="N417" s="3">
        <v>36.99</v>
      </c>
      <c r="O417" s="2" t="s">
        <v>212</v>
      </c>
      <c r="P417" s="2" t="s">
        <v>285</v>
      </c>
      <c r="Q417" s="2" t="s">
        <v>206</v>
      </c>
      <c r="R417" s="2" t="s">
        <v>200</v>
      </c>
      <c r="S417" s="2" t="s">
        <v>2965</v>
      </c>
      <c r="T417" s="2" t="s">
        <v>2935</v>
      </c>
      <c r="U417" s="2" t="s">
        <v>677</v>
      </c>
      <c r="V417" s="2" t="s">
        <v>208</v>
      </c>
      <c r="W417" s="2" t="s">
        <v>379</v>
      </c>
      <c r="X417" s="2" t="s">
        <v>2936</v>
      </c>
      <c r="Y417" s="2" t="s">
        <v>2966</v>
      </c>
      <c r="Z417" s="4">
        <v>4</v>
      </c>
      <c r="AA417" s="4">
        <f>=ROUNDDOWN(8,0)</f>
      </c>
      <c r="AB417" s="5">
        <v>0.5</v>
      </c>
      <c r="AC417" s="2" t="s">
        <v>200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200</v>
      </c>
      <c r="AM417" s="4"/>
      <c r="AN417" s="4"/>
      <c r="AO417" s="7"/>
      <c r="AP417" s="4"/>
      <c r="AQ417" s="8"/>
      <c r="AR417" s="4"/>
      <c r="AS417" s="8"/>
      <c r="AT417" s="7"/>
      <c r="AU417" s="7"/>
      <c r="AV417" s="4" t="s">
        <v>200</v>
      </c>
      <c r="AW417" s="8" t="s">
        <v>200</v>
      </c>
      <c r="AX417" s="4" t="s">
        <v>200</v>
      </c>
      <c r="AY417" s="8" t="s">
        <v>200</v>
      </c>
      <c r="AZ417" s="7" t="s">
        <v>200</v>
      </c>
      <c r="BA417" s="7" t="s">
        <v>200</v>
      </c>
      <c r="BB417" s="7"/>
      <c r="BC417" s="4" t="s">
        <v>200</v>
      </c>
      <c r="BD417" s="8" t="s">
        <v>200</v>
      </c>
      <c r="BE417" s="4" t="s">
        <v>200</v>
      </c>
      <c r="BF417" s="8" t="s">
        <v>200</v>
      </c>
      <c r="BG417" s="7" t="s">
        <v>200</v>
      </c>
      <c r="BH417" s="7" t="s">
        <v>200</v>
      </c>
      <c r="BI417" s="7"/>
      <c r="BJ417" s="4">
        <v>21</v>
      </c>
      <c r="BK417" s="8">
        <v>370.14</v>
      </c>
      <c r="BL417" s="2" t="s">
        <v>2967</v>
      </c>
      <c r="BM417" s="7"/>
      <c r="BN417" s="7"/>
      <c r="BO417" s="4"/>
      <c r="BP417" s="8"/>
      <c r="BQ417" s="4"/>
      <c r="BR417" s="8"/>
      <c r="BS417" s="7"/>
      <c r="BT417" s="7"/>
      <c r="BU417" s="2" t="s">
        <v>2968</v>
      </c>
      <c r="BV417" s="2" t="s">
        <v>200</v>
      </c>
      <c r="BW417" s="2" t="s">
        <v>200</v>
      </c>
      <c r="BX417" s="2" t="s">
        <v>289</v>
      </c>
      <c r="BY417" s="2" t="s">
        <v>247</v>
      </c>
      <c r="BZ417" s="2" t="s">
        <v>212</v>
      </c>
      <c r="CA417" s="2" t="s">
        <v>2969</v>
      </c>
      <c r="CB417" s="2" t="s">
        <v>2970</v>
      </c>
      <c r="CC417" s="2" t="s">
        <v>213</v>
      </c>
      <c r="CD417" s="2" t="s">
        <v>200</v>
      </c>
      <c r="CE417" s="4"/>
      <c r="CF417" s="4">
        <v>4</v>
      </c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</row>
    <row r="418">
      <c r="A418" s="2" t="s">
        <v>2971</v>
      </c>
      <c r="B418" s="2" t="s">
        <v>827</v>
      </c>
      <c r="C418" s="2" t="s">
        <v>1375</v>
      </c>
      <c r="D418" s="2" t="s">
        <v>828</v>
      </c>
      <c r="E418" s="2" t="s">
        <v>878</v>
      </c>
      <c r="F418" s="2" t="s">
        <v>2929</v>
      </c>
      <c r="G418" s="2" t="s">
        <v>2930</v>
      </c>
      <c r="H418" s="2" t="s">
        <v>2931</v>
      </c>
      <c r="I418" s="2" t="s">
        <v>2932</v>
      </c>
      <c r="J418" s="2" t="s">
        <v>2942</v>
      </c>
      <c r="K418" s="2" t="s">
        <v>2589</v>
      </c>
      <c r="L418" s="3">
        <v>19.32</v>
      </c>
      <c r="M418" s="3">
        <v>20.29</v>
      </c>
      <c r="N418" s="3">
        <v>41.99</v>
      </c>
      <c r="O418" s="2" t="s">
        <v>460</v>
      </c>
      <c r="P418" s="2" t="s">
        <v>285</v>
      </c>
      <c r="Q418" s="2" t="s">
        <v>206</v>
      </c>
      <c r="R418" s="2" t="s">
        <v>200</v>
      </c>
      <c r="S418" s="2" t="s">
        <v>2972</v>
      </c>
      <c r="T418" s="2" t="s">
        <v>2935</v>
      </c>
      <c r="U418" s="2" t="s">
        <v>677</v>
      </c>
      <c r="V418" s="2" t="s">
        <v>208</v>
      </c>
      <c r="W418" s="2" t="s">
        <v>379</v>
      </c>
      <c r="X418" s="2" t="s">
        <v>2936</v>
      </c>
      <c r="Y418" s="2" t="s">
        <v>2966</v>
      </c>
      <c r="Z418" s="4">
        <v>103</v>
      </c>
      <c r="AA418" s="4">
        <f>=ROUNDDOWN(20.6,0)</f>
      </c>
      <c r="AB418" s="5">
        <v>5</v>
      </c>
      <c r="AC418" s="2" t="s">
        <v>200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200</v>
      </c>
      <c r="AM418" s="4"/>
      <c r="AN418" s="4"/>
      <c r="AO418" s="7"/>
      <c r="AP418" s="4"/>
      <c r="AQ418" s="8"/>
      <c r="AR418" s="4"/>
      <c r="AS418" s="8"/>
      <c r="AT418" s="7"/>
      <c r="AU418" s="7"/>
      <c r="AV418" s="4" t="s">
        <v>200</v>
      </c>
      <c r="AW418" s="8" t="s">
        <v>200</v>
      </c>
      <c r="AX418" s="4" t="s">
        <v>200</v>
      </c>
      <c r="AY418" s="8" t="s">
        <v>200</v>
      </c>
      <c r="AZ418" s="7" t="s">
        <v>200</v>
      </c>
      <c r="BA418" s="7" t="s">
        <v>200</v>
      </c>
      <c r="BB418" s="7"/>
      <c r="BC418" s="4" t="s">
        <v>200</v>
      </c>
      <c r="BD418" s="8" t="s">
        <v>200</v>
      </c>
      <c r="BE418" s="4" t="s">
        <v>200</v>
      </c>
      <c r="BF418" s="8" t="s">
        <v>200</v>
      </c>
      <c r="BG418" s="7" t="s">
        <v>200</v>
      </c>
      <c r="BH418" s="7" t="s">
        <v>200</v>
      </c>
      <c r="BI418" s="7"/>
      <c r="BJ418" s="4">
        <v>27</v>
      </c>
      <c r="BK418" s="8">
        <v>640.74</v>
      </c>
      <c r="BL418" s="2" t="s">
        <v>2973</v>
      </c>
      <c r="BM418" s="7"/>
      <c r="BN418" s="7"/>
      <c r="BO418" s="4"/>
      <c r="BP418" s="8"/>
      <c r="BQ418" s="4"/>
      <c r="BR418" s="8"/>
      <c r="BS418" s="7"/>
      <c r="BT418" s="7"/>
      <c r="BU418" s="2" t="s">
        <v>2974</v>
      </c>
      <c r="BV418" s="2" t="s">
        <v>200</v>
      </c>
      <c r="BW418" s="2" t="s">
        <v>200</v>
      </c>
      <c r="BX418" s="2" t="s">
        <v>289</v>
      </c>
      <c r="BY418" s="2" t="s">
        <v>247</v>
      </c>
      <c r="BZ418" s="2" t="s">
        <v>212</v>
      </c>
      <c r="CA418" s="2" t="s">
        <v>2969</v>
      </c>
      <c r="CB418" s="2" t="s">
        <v>2975</v>
      </c>
      <c r="CC418" s="2" t="s">
        <v>213</v>
      </c>
      <c r="CD418" s="2" t="s">
        <v>200</v>
      </c>
      <c r="CE418" s="4">
        <v>103</v>
      </c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</row>
    <row r="419">
      <c r="A419" s="2" t="s">
        <v>2976</v>
      </c>
      <c r="B419" s="2" t="s">
        <v>827</v>
      </c>
      <c r="C419" s="2" t="s">
        <v>1375</v>
      </c>
      <c r="D419" s="2" t="s">
        <v>828</v>
      </c>
      <c r="E419" s="2" t="s">
        <v>878</v>
      </c>
      <c r="F419" s="2" t="s">
        <v>2929</v>
      </c>
      <c r="G419" s="2" t="s">
        <v>2930</v>
      </c>
      <c r="H419" s="2" t="s">
        <v>2931</v>
      </c>
      <c r="I419" s="2" t="s">
        <v>2932</v>
      </c>
      <c r="J419" s="2" t="s">
        <v>2947</v>
      </c>
      <c r="K419" s="2" t="s">
        <v>2589</v>
      </c>
      <c r="L419" s="3">
        <v>22.09</v>
      </c>
      <c r="M419" s="3">
        <v>23.19</v>
      </c>
      <c r="N419" s="3">
        <v>46.99</v>
      </c>
      <c r="O419" s="2" t="s">
        <v>212</v>
      </c>
      <c r="P419" s="2" t="s">
        <v>285</v>
      </c>
      <c r="Q419" s="2" t="s">
        <v>206</v>
      </c>
      <c r="R419" s="2" t="s">
        <v>200</v>
      </c>
      <c r="S419" s="2" t="s">
        <v>2972</v>
      </c>
      <c r="T419" s="2" t="s">
        <v>2935</v>
      </c>
      <c r="U419" s="2" t="s">
        <v>677</v>
      </c>
      <c r="V419" s="2" t="s">
        <v>208</v>
      </c>
      <c r="W419" s="2" t="s">
        <v>379</v>
      </c>
      <c r="X419" s="2" t="s">
        <v>2936</v>
      </c>
      <c r="Y419" s="2" t="s">
        <v>2966</v>
      </c>
      <c r="Z419" s="4">
        <v>5</v>
      </c>
      <c r="AA419" s="4">
        <f>=ROUNDDOWN(1.25,0)</f>
      </c>
      <c r="AB419" s="5">
        <v>4</v>
      </c>
      <c r="AC419" s="2" t="s">
        <v>200</v>
      </c>
      <c r="AD419" s="4"/>
      <c r="AE419" s="4"/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200</v>
      </c>
      <c r="AM419" s="4"/>
      <c r="AN419" s="4"/>
      <c r="AO419" s="7"/>
      <c r="AP419" s="4"/>
      <c r="AQ419" s="8"/>
      <c r="AR419" s="4"/>
      <c r="AS419" s="8"/>
      <c r="AT419" s="7"/>
      <c r="AU419" s="7"/>
      <c r="AV419" s="4" t="s">
        <v>200</v>
      </c>
      <c r="AW419" s="8" t="s">
        <v>200</v>
      </c>
      <c r="AX419" s="4" t="s">
        <v>200</v>
      </c>
      <c r="AY419" s="8" t="s">
        <v>200</v>
      </c>
      <c r="AZ419" s="7" t="s">
        <v>200</v>
      </c>
      <c r="BA419" s="7" t="s">
        <v>200</v>
      </c>
      <c r="BB419" s="7"/>
      <c r="BC419" s="4" t="s">
        <v>200</v>
      </c>
      <c r="BD419" s="8" t="s">
        <v>200</v>
      </c>
      <c r="BE419" s="4" t="s">
        <v>200</v>
      </c>
      <c r="BF419" s="8" t="s">
        <v>200</v>
      </c>
      <c r="BG419" s="7" t="s">
        <v>200</v>
      </c>
      <c r="BH419" s="7" t="s">
        <v>200</v>
      </c>
      <c r="BI419" s="7"/>
      <c r="BJ419" s="4">
        <v>23</v>
      </c>
      <c r="BK419" s="8">
        <v>529.49</v>
      </c>
      <c r="BL419" s="2" t="s">
        <v>2977</v>
      </c>
      <c r="BM419" s="7"/>
      <c r="BN419" s="7"/>
      <c r="BO419" s="4"/>
      <c r="BP419" s="8"/>
      <c r="BQ419" s="4"/>
      <c r="BR419" s="8"/>
      <c r="BS419" s="7"/>
      <c r="BT419" s="7"/>
      <c r="BU419" s="2" t="s">
        <v>2978</v>
      </c>
      <c r="BV419" s="2" t="s">
        <v>200</v>
      </c>
      <c r="BW419" s="2" t="s">
        <v>200</v>
      </c>
      <c r="BX419" s="2" t="s">
        <v>289</v>
      </c>
      <c r="BY419" s="2" t="s">
        <v>247</v>
      </c>
      <c r="BZ419" s="2" t="s">
        <v>212</v>
      </c>
      <c r="CA419" s="2" t="s">
        <v>2969</v>
      </c>
      <c r="CB419" s="2" t="s">
        <v>1517</v>
      </c>
      <c r="CC419" s="2" t="s">
        <v>213</v>
      </c>
      <c r="CD419" s="2" t="s">
        <v>200</v>
      </c>
      <c r="CE419" s="4">
        <v>5</v>
      </c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</row>
    <row r="420">
      <c r="A420" s="2" t="s">
        <v>2979</v>
      </c>
      <c r="B420" s="2" t="s">
        <v>827</v>
      </c>
      <c r="C420" s="2" t="s">
        <v>1375</v>
      </c>
      <c r="D420" s="2" t="s">
        <v>828</v>
      </c>
      <c r="E420" s="2" t="s">
        <v>878</v>
      </c>
      <c r="F420" s="2" t="s">
        <v>2929</v>
      </c>
      <c r="G420" s="2" t="s">
        <v>2930</v>
      </c>
      <c r="H420" s="2" t="s">
        <v>2931</v>
      </c>
      <c r="I420" s="2" t="s">
        <v>2932</v>
      </c>
      <c r="J420" s="2" t="s">
        <v>2933</v>
      </c>
      <c r="K420" s="2" t="s">
        <v>223</v>
      </c>
      <c r="L420" s="3">
        <v>17.02</v>
      </c>
      <c r="M420" s="3">
        <v>17.87</v>
      </c>
      <c r="N420" s="3">
        <v>36.99</v>
      </c>
      <c r="O420" s="2" t="s">
        <v>212</v>
      </c>
      <c r="P420" s="2" t="s">
        <v>258</v>
      </c>
      <c r="Q420" s="2" t="s">
        <v>206</v>
      </c>
      <c r="R420" s="2" t="s">
        <v>200</v>
      </c>
      <c r="S420" s="2" t="s">
        <v>2980</v>
      </c>
      <c r="T420" s="2" t="s">
        <v>2935</v>
      </c>
      <c r="U420" s="2" t="s">
        <v>677</v>
      </c>
      <c r="V420" s="2" t="s">
        <v>208</v>
      </c>
      <c r="W420" s="2" t="s">
        <v>379</v>
      </c>
      <c r="X420" s="2" t="s">
        <v>2936</v>
      </c>
      <c r="Y420" s="2" t="s">
        <v>2966</v>
      </c>
      <c r="Z420" s="4">
        <v>95</v>
      </c>
      <c r="AA420" s="4">
        <f>=ROUNDDOWN(31.6666666666667,0)</f>
      </c>
      <c r="AB420" s="5">
        <v>3</v>
      </c>
      <c r="AC420" s="2" t="s">
        <v>200</v>
      </c>
      <c r="AD420" s="4"/>
      <c r="AE420" s="4"/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200</v>
      </c>
      <c r="AM420" s="4"/>
      <c r="AN420" s="4"/>
      <c r="AO420" s="7"/>
      <c r="AP420" s="4"/>
      <c r="AQ420" s="8"/>
      <c r="AR420" s="4"/>
      <c r="AS420" s="8"/>
      <c r="AT420" s="7"/>
      <c r="AU420" s="7"/>
      <c r="AV420" s="4" t="s">
        <v>200</v>
      </c>
      <c r="AW420" s="8" t="s">
        <v>200</v>
      </c>
      <c r="AX420" s="4" t="s">
        <v>200</v>
      </c>
      <c r="AY420" s="8" t="s">
        <v>200</v>
      </c>
      <c r="AZ420" s="7" t="s">
        <v>200</v>
      </c>
      <c r="BA420" s="7" t="s">
        <v>200</v>
      </c>
      <c r="BB420" s="7"/>
      <c r="BC420" s="4" t="s">
        <v>200</v>
      </c>
      <c r="BD420" s="8" t="s">
        <v>200</v>
      </c>
      <c r="BE420" s="4" t="s">
        <v>200</v>
      </c>
      <c r="BF420" s="8" t="s">
        <v>200</v>
      </c>
      <c r="BG420" s="7" t="s">
        <v>200</v>
      </c>
      <c r="BH420" s="7" t="s">
        <v>200</v>
      </c>
      <c r="BI420" s="7"/>
      <c r="BJ420" s="4">
        <v>11</v>
      </c>
      <c r="BK420" s="8">
        <v>197.61</v>
      </c>
      <c r="BL420" s="2" t="s">
        <v>2981</v>
      </c>
      <c r="BM420" s="7"/>
      <c r="BN420" s="7"/>
      <c r="BO420" s="4"/>
      <c r="BP420" s="8"/>
      <c r="BQ420" s="4"/>
      <c r="BR420" s="8"/>
      <c r="BS420" s="7"/>
      <c r="BT420" s="7"/>
      <c r="BU420" s="2" t="s">
        <v>2982</v>
      </c>
      <c r="BV420" s="2" t="s">
        <v>200</v>
      </c>
      <c r="BW420" s="2" t="s">
        <v>200</v>
      </c>
      <c r="BX420" s="2" t="s">
        <v>264</v>
      </c>
      <c r="BY420" s="2" t="s">
        <v>247</v>
      </c>
      <c r="BZ420" s="2" t="s">
        <v>212</v>
      </c>
      <c r="CA420" s="2" t="s">
        <v>2969</v>
      </c>
      <c r="CB420" s="2" t="s">
        <v>2983</v>
      </c>
      <c r="CC420" s="2" t="s">
        <v>213</v>
      </c>
      <c r="CD420" s="2" t="s">
        <v>200</v>
      </c>
      <c r="CE420" s="4">
        <v>95</v>
      </c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</row>
    <row r="421">
      <c r="A421" s="2" t="s">
        <v>2984</v>
      </c>
      <c r="B421" s="2" t="s">
        <v>827</v>
      </c>
      <c r="C421" s="2" t="s">
        <v>1375</v>
      </c>
      <c r="D421" s="2" t="s">
        <v>828</v>
      </c>
      <c r="E421" s="2" t="s">
        <v>878</v>
      </c>
      <c r="F421" s="2" t="s">
        <v>2929</v>
      </c>
      <c r="G421" s="2" t="s">
        <v>2930</v>
      </c>
      <c r="H421" s="2" t="s">
        <v>2931</v>
      </c>
      <c r="I421" s="2" t="s">
        <v>2932</v>
      </c>
      <c r="J421" s="2" t="s">
        <v>2947</v>
      </c>
      <c r="K421" s="2" t="s">
        <v>223</v>
      </c>
      <c r="L421" s="3">
        <v>22.09</v>
      </c>
      <c r="M421" s="3">
        <v>23.19</v>
      </c>
      <c r="N421" s="3">
        <v>46.99</v>
      </c>
      <c r="O421" s="2" t="s">
        <v>212</v>
      </c>
      <c r="P421" s="2" t="s">
        <v>258</v>
      </c>
      <c r="Q421" s="2" t="s">
        <v>206</v>
      </c>
      <c r="R421" s="2" t="s">
        <v>200</v>
      </c>
      <c r="S421" s="2" t="s">
        <v>2980</v>
      </c>
      <c r="T421" s="2" t="s">
        <v>2935</v>
      </c>
      <c r="U421" s="2" t="s">
        <v>677</v>
      </c>
      <c r="V421" s="2" t="s">
        <v>208</v>
      </c>
      <c r="W421" s="2" t="s">
        <v>379</v>
      </c>
      <c r="X421" s="2" t="s">
        <v>2936</v>
      </c>
      <c r="Y421" s="2" t="s">
        <v>2966</v>
      </c>
      <c r="Z421" s="4">
        <v>330</v>
      </c>
      <c r="AA421" s="4">
        <f>=ROUNDDOWN(55,0)</f>
      </c>
      <c r="AB421" s="5">
        <v>6</v>
      </c>
      <c r="AC421" s="2" t="s">
        <v>200</v>
      </c>
      <c r="AD421" s="4"/>
      <c r="AE421" s="4"/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200</v>
      </c>
      <c r="AM421" s="4"/>
      <c r="AN421" s="4"/>
      <c r="AO421" s="7"/>
      <c r="AP421" s="4"/>
      <c r="AQ421" s="8"/>
      <c r="AR421" s="4"/>
      <c r="AS421" s="8"/>
      <c r="AT421" s="7"/>
      <c r="AU421" s="7"/>
      <c r="AV421" s="4" t="s">
        <v>200</v>
      </c>
      <c r="AW421" s="8" t="s">
        <v>200</v>
      </c>
      <c r="AX421" s="4" t="s">
        <v>200</v>
      </c>
      <c r="AY421" s="8" t="s">
        <v>200</v>
      </c>
      <c r="AZ421" s="7" t="s">
        <v>200</v>
      </c>
      <c r="BA421" s="7" t="s">
        <v>200</v>
      </c>
      <c r="BB421" s="7"/>
      <c r="BC421" s="4" t="s">
        <v>200</v>
      </c>
      <c r="BD421" s="8" t="s">
        <v>200</v>
      </c>
      <c r="BE421" s="4" t="s">
        <v>200</v>
      </c>
      <c r="BF421" s="8" t="s">
        <v>200</v>
      </c>
      <c r="BG421" s="7" t="s">
        <v>200</v>
      </c>
      <c r="BH421" s="7" t="s">
        <v>200</v>
      </c>
      <c r="BI421" s="7"/>
      <c r="BJ421" s="4">
        <v>42</v>
      </c>
      <c r="BK421" s="8">
        <v>981.81</v>
      </c>
      <c r="BL421" s="2" t="s">
        <v>2985</v>
      </c>
      <c r="BM421" s="7"/>
      <c r="BN421" s="7"/>
      <c r="BO421" s="4"/>
      <c r="BP421" s="8"/>
      <c r="BQ421" s="4"/>
      <c r="BR421" s="8"/>
      <c r="BS421" s="7"/>
      <c r="BT421" s="7"/>
      <c r="BU421" s="2" t="s">
        <v>2986</v>
      </c>
      <c r="BV421" s="2" t="s">
        <v>200</v>
      </c>
      <c r="BW421" s="2" t="s">
        <v>200</v>
      </c>
      <c r="BX421" s="2" t="s">
        <v>264</v>
      </c>
      <c r="BY421" s="2" t="s">
        <v>247</v>
      </c>
      <c r="BZ421" s="2" t="s">
        <v>212</v>
      </c>
      <c r="CA421" s="2" t="s">
        <v>2969</v>
      </c>
      <c r="CB421" s="2" t="s">
        <v>2987</v>
      </c>
      <c r="CC421" s="2" t="s">
        <v>213</v>
      </c>
      <c r="CD421" s="2" t="s">
        <v>200</v>
      </c>
      <c r="CE421" s="4">
        <v>330</v>
      </c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</row>
    <row r="422">
      <c r="A422" s="2" t="s">
        <v>2988</v>
      </c>
      <c r="B422" s="2" t="s">
        <v>827</v>
      </c>
      <c r="C422" s="2" t="s">
        <v>1375</v>
      </c>
      <c r="D422" s="2" t="s">
        <v>828</v>
      </c>
      <c r="E422" s="2" t="s">
        <v>878</v>
      </c>
      <c r="F422" s="2" t="s">
        <v>2929</v>
      </c>
      <c r="G422" s="2" t="s">
        <v>2930</v>
      </c>
      <c r="H422" s="2" t="s">
        <v>2931</v>
      </c>
      <c r="I422" s="2" t="s">
        <v>2932</v>
      </c>
      <c r="J422" s="2" t="s">
        <v>2942</v>
      </c>
      <c r="K422" s="2" t="s">
        <v>2110</v>
      </c>
      <c r="L422" s="3">
        <v>19.32</v>
      </c>
      <c r="M422" s="3">
        <v>20.29</v>
      </c>
      <c r="N422" s="3">
        <v>41.99</v>
      </c>
      <c r="O422" s="2" t="s">
        <v>212</v>
      </c>
      <c r="P422" s="2" t="s">
        <v>205</v>
      </c>
      <c r="Q422" s="2" t="s">
        <v>206</v>
      </c>
      <c r="R422" s="2" t="s">
        <v>200</v>
      </c>
      <c r="S422" s="2" t="s">
        <v>2989</v>
      </c>
      <c r="T422" s="2" t="s">
        <v>2935</v>
      </c>
      <c r="U422" s="2" t="s">
        <v>677</v>
      </c>
      <c r="V422" s="2" t="s">
        <v>208</v>
      </c>
      <c r="W422" s="2" t="s">
        <v>379</v>
      </c>
      <c r="X422" s="2" t="s">
        <v>2936</v>
      </c>
      <c r="Y422" s="2" t="s">
        <v>2960</v>
      </c>
      <c r="Z422" s="4">
        <v>338</v>
      </c>
      <c r="AA422" s="4">
        <f>=ROUNDDOWN(30.7272727272727,0)</f>
      </c>
      <c r="AB422" s="5">
        <v>11</v>
      </c>
      <c r="AC422" s="2" t="s">
        <v>2990</v>
      </c>
      <c r="AD422" s="4">
        <v>168</v>
      </c>
      <c r="AE422" s="4">
        <v>388</v>
      </c>
      <c r="AF422" s="6">
        <v>64</v>
      </c>
      <c r="AG422" s="6"/>
      <c r="AH422" s="7">
        <v>1</v>
      </c>
      <c r="AI422" s="4"/>
      <c r="AJ422" s="4">
        <f>=ROUNDDOWN({0},0)</f>
      </c>
      <c r="AK422" s="5"/>
      <c r="AL422" s="2" t="s">
        <v>200</v>
      </c>
      <c r="AM422" s="4"/>
      <c r="AN422" s="4"/>
      <c r="AO422" s="7"/>
      <c r="AP422" s="4"/>
      <c r="AQ422" s="8"/>
      <c r="AR422" s="4"/>
      <c r="AS422" s="8"/>
      <c r="AT422" s="7"/>
      <c r="AU422" s="7"/>
      <c r="AV422" s="4" t="s">
        <v>200</v>
      </c>
      <c r="AW422" s="8" t="s">
        <v>200</v>
      </c>
      <c r="AX422" s="4" t="s">
        <v>200</v>
      </c>
      <c r="AY422" s="8" t="s">
        <v>200</v>
      </c>
      <c r="AZ422" s="7" t="s">
        <v>200</v>
      </c>
      <c r="BA422" s="7" t="s">
        <v>200</v>
      </c>
      <c r="BB422" s="7"/>
      <c r="BC422" s="4" t="s">
        <v>200</v>
      </c>
      <c r="BD422" s="8" t="s">
        <v>200</v>
      </c>
      <c r="BE422" s="4" t="s">
        <v>200</v>
      </c>
      <c r="BF422" s="8" t="s">
        <v>200</v>
      </c>
      <c r="BG422" s="7" t="s">
        <v>200</v>
      </c>
      <c r="BH422" s="7" t="s">
        <v>200</v>
      </c>
      <c r="BI422" s="7"/>
      <c r="BJ422" s="4">
        <v>19</v>
      </c>
      <c r="BK422" s="8">
        <v>363.92</v>
      </c>
      <c r="BL422" s="2" t="s">
        <v>2991</v>
      </c>
      <c r="BM422" s="7"/>
      <c r="BN422" s="7"/>
      <c r="BO422" s="4"/>
      <c r="BP422" s="8"/>
      <c r="BQ422" s="4"/>
      <c r="BR422" s="8"/>
      <c r="BS422" s="7"/>
      <c r="BT422" s="7"/>
      <c r="BU422" s="2" t="s">
        <v>2992</v>
      </c>
      <c r="BV422" s="2" t="s">
        <v>200</v>
      </c>
      <c r="BW422" s="2" t="s">
        <v>200</v>
      </c>
      <c r="BX422" s="2" t="s">
        <v>264</v>
      </c>
      <c r="BY422" s="2" t="s">
        <v>247</v>
      </c>
      <c r="BZ422" s="2" t="s">
        <v>212</v>
      </c>
      <c r="CA422" s="2" t="s">
        <v>2615</v>
      </c>
      <c r="CB422" s="2" t="s">
        <v>2993</v>
      </c>
      <c r="CC422" s="2" t="s">
        <v>213</v>
      </c>
      <c r="CD422" s="2" t="s">
        <v>200</v>
      </c>
      <c r="CE422" s="4">
        <v>338</v>
      </c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>
        <v>168</v>
      </c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>
        <v>220</v>
      </c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</row>
    <row r="423">
      <c r="A423" s="2" t="s">
        <v>2994</v>
      </c>
      <c r="B423" s="2" t="s">
        <v>827</v>
      </c>
      <c r="C423" s="2" t="s">
        <v>1375</v>
      </c>
      <c r="D423" s="2" t="s">
        <v>828</v>
      </c>
      <c r="E423" s="2" t="s">
        <v>878</v>
      </c>
      <c r="F423" s="2" t="s">
        <v>2929</v>
      </c>
      <c r="G423" s="2" t="s">
        <v>2930</v>
      </c>
      <c r="H423" s="2" t="s">
        <v>2931</v>
      </c>
      <c r="I423" s="2" t="s">
        <v>2932</v>
      </c>
      <c r="J423" s="2" t="s">
        <v>2947</v>
      </c>
      <c r="K423" s="2" t="s">
        <v>2110</v>
      </c>
      <c r="L423" s="3">
        <v>22.09</v>
      </c>
      <c r="M423" s="3">
        <v>23.19</v>
      </c>
      <c r="N423" s="3">
        <v>46.99</v>
      </c>
      <c r="O423" s="2" t="s">
        <v>212</v>
      </c>
      <c r="P423" s="2" t="s">
        <v>205</v>
      </c>
      <c r="Q423" s="2" t="s">
        <v>206</v>
      </c>
      <c r="R423" s="2" t="s">
        <v>200</v>
      </c>
      <c r="S423" s="2" t="s">
        <v>2989</v>
      </c>
      <c r="T423" s="2" t="s">
        <v>2935</v>
      </c>
      <c r="U423" s="2" t="s">
        <v>677</v>
      </c>
      <c r="V423" s="2" t="s">
        <v>208</v>
      </c>
      <c r="W423" s="2" t="s">
        <v>379</v>
      </c>
      <c r="X423" s="2" t="s">
        <v>2936</v>
      </c>
      <c r="Y423" s="2" t="s">
        <v>2960</v>
      </c>
      <c r="Z423" s="4">
        <v>310</v>
      </c>
      <c r="AA423" s="4">
        <f>=ROUNDDOWN(20.6666666666667,0)</f>
      </c>
      <c r="AB423" s="5">
        <v>15</v>
      </c>
      <c r="AC423" s="2" t="s">
        <v>2990</v>
      </c>
      <c r="AD423" s="4">
        <v>100</v>
      </c>
      <c r="AE423" s="4">
        <v>320</v>
      </c>
      <c r="AF423" s="6">
        <v>64</v>
      </c>
      <c r="AG423" s="6"/>
      <c r="AH423" s="7">
        <v>1</v>
      </c>
      <c r="AI423" s="4"/>
      <c r="AJ423" s="4">
        <f>=ROUNDDOWN({0},0)</f>
      </c>
      <c r="AK423" s="5"/>
      <c r="AL423" s="2" t="s">
        <v>200</v>
      </c>
      <c r="AM423" s="4"/>
      <c r="AN423" s="4"/>
      <c r="AO423" s="7"/>
      <c r="AP423" s="4"/>
      <c r="AQ423" s="8"/>
      <c r="AR423" s="4"/>
      <c r="AS423" s="8"/>
      <c r="AT423" s="7"/>
      <c r="AU423" s="7"/>
      <c r="AV423" s="4" t="s">
        <v>200</v>
      </c>
      <c r="AW423" s="8" t="s">
        <v>200</v>
      </c>
      <c r="AX423" s="4" t="s">
        <v>200</v>
      </c>
      <c r="AY423" s="8" t="s">
        <v>200</v>
      </c>
      <c r="AZ423" s="7" t="s">
        <v>200</v>
      </c>
      <c r="BA423" s="7" t="s">
        <v>200</v>
      </c>
      <c r="BB423" s="7"/>
      <c r="BC423" s="4" t="s">
        <v>200</v>
      </c>
      <c r="BD423" s="8" t="s">
        <v>200</v>
      </c>
      <c r="BE423" s="4" t="s">
        <v>200</v>
      </c>
      <c r="BF423" s="8" t="s">
        <v>200</v>
      </c>
      <c r="BG423" s="7" t="s">
        <v>200</v>
      </c>
      <c r="BH423" s="7" t="s">
        <v>200</v>
      </c>
      <c r="BI423" s="7"/>
      <c r="BJ423" s="4">
        <v>4</v>
      </c>
      <c r="BK423" s="8">
        <v>88.88</v>
      </c>
      <c r="BL423" s="2" t="s">
        <v>1618</v>
      </c>
      <c r="BM423" s="7"/>
      <c r="BN423" s="7"/>
      <c r="BO423" s="4"/>
      <c r="BP423" s="8"/>
      <c r="BQ423" s="4"/>
      <c r="BR423" s="8"/>
      <c r="BS423" s="7"/>
      <c r="BT423" s="7"/>
      <c r="BU423" s="2" t="s">
        <v>2995</v>
      </c>
      <c r="BV423" s="2" t="s">
        <v>200</v>
      </c>
      <c r="BW423" s="2" t="s">
        <v>200</v>
      </c>
      <c r="BX423" s="2" t="s">
        <v>264</v>
      </c>
      <c r="BY423" s="2" t="s">
        <v>247</v>
      </c>
      <c r="BZ423" s="2" t="s">
        <v>212</v>
      </c>
      <c r="CA423" s="2" t="s">
        <v>2615</v>
      </c>
      <c r="CB423" s="2" t="s">
        <v>2996</v>
      </c>
      <c r="CC423" s="2" t="s">
        <v>213</v>
      </c>
      <c r="CD423" s="2" t="s">
        <v>200</v>
      </c>
      <c r="CE423" s="4">
        <v>310</v>
      </c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>
        <v>100</v>
      </c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>
        <v>220</v>
      </c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</row>
    <row r="424">
      <c r="A424" s="2" t="s">
        <v>2997</v>
      </c>
      <c r="B424" s="2" t="s">
        <v>744</v>
      </c>
      <c r="C424" s="2" t="s">
        <v>231</v>
      </c>
      <c r="D424" s="2" t="s">
        <v>1275</v>
      </c>
      <c r="E424" s="2" t="s">
        <v>1276</v>
      </c>
      <c r="F424" s="2" t="s">
        <v>2998</v>
      </c>
      <c r="G424" s="2" t="s">
        <v>2455</v>
      </c>
      <c r="H424" s="2" t="s">
        <v>2999</v>
      </c>
      <c r="I424" s="2" t="s">
        <v>3000</v>
      </c>
      <c r="J424" s="2" t="s">
        <v>711</v>
      </c>
      <c r="K424" s="2" t="s">
        <v>387</v>
      </c>
      <c r="L424" s="3">
        <v>180.5</v>
      </c>
      <c r="M424" s="3">
        <v>189.52</v>
      </c>
      <c r="N424" s="3">
        <v>379</v>
      </c>
      <c r="O424" s="2" t="s">
        <v>212</v>
      </c>
      <c r="P424" s="2" t="s">
        <v>750</v>
      </c>
      <c r="Q424" s="2" t="s">
        <v>206</v>
      </c>
      <c r="R424" s="2" t="s">
        <v>200</v>
      </c>
      <c r="S424" s="2" t="s">
        <v>3001</v>
      </c>
      <c r="T424" s="2" t="s">
        <v>200</v>
      </c>
      <c r="U424" s="2" t="s">
        <v>200</v>
      </c>
      <c r="V424" s="2" t="s">
        <v>208</v>
      </c>
      <c r="W424" s="2" t="s">
        <v>419</v>
      </c>
      <c r="X424" s="2" t="s">
        <v>200</v>
      </c>
      <c r="Y424" s="2" t="s">
        <v>261</v>
      </c>
      <c r="Z424" s="4">
        <v>187</v>
      </c>
      <c r="AA424" s="4">
        <f>=ROUNDDOWN(93.5,0)</f>
      </c>
      <c r="AB424" s="5">
        <v>2</v>
      </c>
      <c r="AC424" s="2" t="s">
        <v>200</v>
      </c>
      <c r="AD424" s="4"/>
      <c r="AE424" s="4"/>
      <c r="AF424" s="6">
        <v>66</v>
      </c>
      <c r="AG424" s="6">
        <v>49</v>
      </c>
      <c r="AH424" s="7">
        <v>1</v>
      </c>
      <c r="AI424" s="4"/>
      <c r="AJ424" s="4">
        <f>=ROUNDDOWN({0},0)</f>
      </c>
      <c r="AK424" s="5"/>
      <c r="AL424" s="2" t="s">
        <v>200</v>
      </c>
      <c r="AM424" s="4"/>
      <c r="AN424" s="4"/>
      <c r="AO424" s="7"/>
      <c r="AP424" s="4"/>
      <c r="AQ424" s="8"/>
      <c r="AR424" s="4"/>
      <c r="AS424" s="8"/>
      <c r="AT424" s="7"/>
      <c r="AU424" s="7"/>
      <c r="AV424" s="4"/>
      <c r="AW424" s="8"/>
      <c r="AX424" s="4"/>
      <c r="AY424" s="8"/>
      <c r="AZ424" s="7"/>
      <c r="BA424" s="7"/>
      <c r="BB424" s="7"/>
      <c r="BC424" s="4"/>
      <c r="BD424" s="8"/>
      <c r="BE424" s="4"/>
      <c r="BF424" s="8"/>
      <c r="BG424" s="7"/>
      <c r="BH424" s="7"/>
      <c r="BI424" s="7"/>
      <c r="BJ424" s="4">
        <v>9</v>
      </c>
      <c r="BK424" s="8">
        <v>1580.62</v>
      </c>
      <c r="BL424" s="2" t="s">
        <v>3002</v>
      </c>
      <c r="BM424" s="7"/>
      <c r="BN424" s="7"/>
      <c r="BO424" s="4"/>
      <c r="BP424" s="8"/>
      <c r="BQ424" s="4"/>
      <c r="BR424" s="8"/>
      <c r="BS424" s="7"/>
      <c r="BT424" s="7"/>
      <c r="BU424" s="2" t="s">
        <v>3003</v>
      </c>
      <c r="BV424" s="2" t="s">
        <v>200</v>
      </c>
      <c r="BW424" s="2" t="s">
        <v>200</v>
      </c>
      <c r="BX424" s="2" t="s">
        <v>264</v>
      </c>
      <c r="BY424" s="2" t="s">
        <v>247</v>
      </c>
      <c r="BZ424" s="2" t="s">
        <v>212</v>
      </c>
      <c r="CA424" s="2" t="s">
        <v>265</v>
      </c>
      <c r="CB424" s="2" t="s">
        <v>3004</v>
      </c>
      <c r="CC424" s="2" t="s">
        <v>213</v>
      </c>
      <c r="CD424" s="2" t="s">
        <v>200</v>
      </c>
      <c r="CE424" s="4"/>
      <c r="CF424" s="4">
        <v>187</v>
      </c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</row>
    <row r="425">
      <c r="A425" s="2" t="s">
        <v>3005</v>
      </c>
      <c r="B425" s="2" t="s">
        <v>230</v>
      </c>
      <c r="C425" s="2" t="s">
        <v>1839</v>
      </c>
      <c r="D425" s="2" t="s">
        <v>232</v>
      </c>
      <c r="E425" s="2" t="s">
        <v>233</v>
      </c>
      <c r="F425" s="2" t="s">
        <v>3006</v>
      </c>
      <c r="G425" s="2" t="s">
        <v>3006</v>
      </c>
      <c r="H425" s="2" t="s">
        <v>3006</v>
      </c>
      <c r="I425" s="2" t="s">
        <v>3007</v>
      </c>
      <c r="J425" s="2" t="s">
        <v>256</v>
      </c>
      <c r="K425" s="2" t="s">
        <v>237</v>
      </c>
      <c r="L425" s="3">
        <v>21</v>
      </c>
      <c r="M425" s="3">
        <v>22.05</v>
      </c>
      <c r="N425" s="3">
        <v>44.99</v>
      </c>
      <c r="O425" s="2" t="s">
        <v>212</v>
      </c>
      <c r="P425" s="2" t="s">
        <v>285</v>
      </c>
      <c r="Q425" s="2" t="s">
        <v>206</v>
      </c>
      <c r="R425" s="2" t="s">
        <v>200</v>
      </c>
      <c r="S425" s="2" t="s">
        <v>3008</v>
      </c>
      <c r="T425" s="2" t="s">
        <v>3009</v>
      </c>
      <c r="U425" s="2" t="s">
        <v>454</v>
      </c>
      <c r="V425" s="2" t="s">
        <v>208</v>
      </c>
      <c r="W425" s="2" t="s">
        <v>241</v>
      </c>
      <c r="X425" s="2" t="s">
        <v>200</v>
      </c>
      <c r="Y425" s="2" t="s">
        <v>3010</v>
      </c>
      <c r="Z425" s="4">
        <v>61</v>
      </c>
      <c r="AA425" s="4">
        <f>=ROUNDDOWN(30.5,0)</f>
      </c>
      <c r="AB425" s="5">
        <v>2</v>
      </c>
      <c r="AC425" s="2" t="s">
        <v>200</v>
      </c>
      <c r="AD425" s="4"/>
      <c r="AE425" s="4"/>
      <c r="AF425" s="6">
        <v>67</v>
      </c>
      <c r="AG425" s="6"/>
      <c r="AH425" s="7">
        <v>1</v>
      </c>
      <c r="AI425" s="4"/>
      <c r="AJ425" s="4">
        <f>=ROUNDDOWN({0},0)</f>
      </c>
      <c r="AK425" s="5"/>
      <c r="AL425" s="2" t="s">
        <v>200</v>
      </c>
      <c r="AM425" s="4"/>
      <c r="AN425" s="4"/>
      <c r="AO425" s="7"/>
      <c r="AP425" s="4"/>
      <c r="AQ425" s="8"/>
      <c r="AR425" s="4"/>
      <c r="AS425" s="8"/>
      <c r="AT425" s="7"/>
      <c r="AU425" s="7"/>
      <c r="AV425" s="4" t="s">
        <v>200</v>
      </c>
      <c r="AW425" s="8" t="s">
        <v>200</v>
      </c>
      <c r="AX425" s="4" t="s">
        <v>200</v>
      </c>
      <c r="AY425" s="8" t="s">
        <v>200</v>
      </c>
      <c r="AZ425" s="7" t="s">
        <v>200</v>
      </c>
      <c r="BA425" s="7" t="s">
        <v>200</v>
      </c>
      <c r="BB425" s="7"/>
      <c r="BC425" s="4" t="s">
        <v>200</v>
      </c>
      <c r="BD425" s="8" t="s">
        <v>200</v>
      </c>
      <c r="BE425" s="4" t="s">
        <v>200</v>
      </c>
      <c r="BF425" s="8" t="s">
        <v>200</v>
      </c>
      <c r="BG425" s="7" t="s">
        <v>200</v>
      </c>
      <c r="BH425" s="7" t="s">
        <v>200</v>
      </c>
      <c r="BI425" s="7"/>
      <c r="BJ425" s="4">
        <v>7</v>
      </c>
      <c r="BK425" s="8">
        <v>164.03</v>
      </c>
      <c r="BL425" s="2" t="s">
        <v>359</v>
      </c>
      <c r="BM425" s="7"/>
      <c r="BN425" s="7"/>
      <c r="BO425" s="4"/>
      <c r="BP425" s="8"/>
      <c r="BQ425" s="4"/>
      <c r="BR425" s="8"/>
      <c r="BS425" s="7"/>
      <c r="BT425" s="7"/>
      <c r="BU425" s="2" t="s">
        <v>3011</v>
      </c>
      <c r="BV425" s="2" t="s">
        <v>200</v>
      </c>
      <c r="BW425" s="2" t="s">
        <v>200</v>
      </c>
      <c r="BX425" s="2" t="s">
        <v>289</v>
      </c>
      <c r="BY425" s="2" t="s">
        <v>247</v>
      </c>
      <c r="BZ425" s="2" t="s">
        <v>212</v>
      </c>
      <c r="CA425" s="2" t="s">
        <v>3012</v>
      </c>
      <c r="CB425" s="2" t="s">
        <v>3013</v>
      </c>
      <c r="CC425" s="2" t="s">
        <v>213</v>
      </c>
      <c r="CD425" s="2" t="s">
        <v>200</v>
      </c>
      <c r="CE425" s="4">
        <v>61</v>
      </c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</row>
    <row r="426">
      <c r="A426" s="2" t="s">
        <v>3014</v>
      </c>
      <c r="B426" s="2" t="s">
        <v>250</v>
      </c>
      <c r="C426" s="2" t="s">
        <v>1839</v>
      </c>
      <c r="D426" s="2" t="s">
        <v>608</v>
      </c>
      <c r="E426" s="2" t="s">
        <v>3015</v>
      </c>
      <c r="F426" s="2" t="s">
        <v>3006</v>
      </c>
      <c r="G426" s="2" t="s">
        <v>3006</v>
      </c>
      <c r="H426" s="2" t="s">
        <v>3006</v>
      </c>
      <c r="I426" s="2" t="s">
        <v>3016</v>
      </c>
      <c r="J426" s="2" t="s">
        <v>1390</v>
      </c>
      <c r="K426" s="2" t="s">
        <v>237</v>
      </c>
      <c r="L426" s="3">
        <v>21.42</v>
      </c>
      <c r="M426" s="3">
        <v>22.49</v>
      </c>
      <c r="N426" s="3">
        <v>49.99</v>
      </c>
      <c r="O426" s="2" t="s">
        <v>212</v>
      </c>
      <c r="P426" s="2" t="s">
        <v>258</v>
      </c>
      <c r="Q426" s="2" t="s">
        <v>206</v>
      </c>
      <c r="R426" s="2" t="s">
        <v>200</v>
      </c>
      <c r="S426" s="2" t="s">
        <v>3017</v>
      </c>
      <c r="T426" s="2" t="s">
        <v>3009</v>
      </c>
      <c r="U426" s="2" t="s">
        <v>270</v>
      </c>
      <c r="V426" s="2" t="s">
        <v>208</v>
      </c>
      <c r="W426" s="2" t="s">
        <v>241</v>
      </c>
      <c r="X426" s="2" t="s">
        <v>200</v>
      </c>
      <c r="Y426" s="2" t="s">
        <v>3018</v>
      </c>
      <c r="Z426" s="4">
        <v>401</v>
      </c>
      <c r="AA426" s="4">
        <f>=ROUNDDOWN(44.5555555555556,0)</f>
      </c>
      <c r="AB426" s="5">
        <v>9</v>
      </c>
      <c r="AC426" s="2" t="s">
        <v>200</v>
      </c>
      <c r="AD426" s="4"/>
      <c r="AE426" s="4"/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200</v>
      </c>
      <c r="AM426" s="4"/>
      <c r="AN426" s="4"/>
      <c r="AO426" s="7"/>
      <c r="AP426" s="4"/>
      <c r="AQ426" s="8"/>
      <c r="AR426" s="4"/>
      <c r="AS426" s="8"/>
      <c r="AT426" s="7"/>
      <c r="AU426" s="7"/>
      <c r="AV426" s="4" t="s">
        <v>200</v>
      </c>
      <c r="AW426" s="8" t="s">
        <v>200</v>
      </c>
      <c r="AX426" s="4" t="s">
        <v>200</v>
      </c>
      <c r="AY426" s="8" t="s">
        <v>200</v>
      </c>
      <c r="AZ426" s="7" t="s">
        <v>200</v>
      </c>
      <c r="BA426" s="7" t="s">
        <v>200</v>
      </c>
      <c r="BB426" s="7"/>
      <c r="BC426" s="4" t="s">
        <v>200</v>
      </c>
      <c r="BD426" s="8" t="s">
        <v>200</v>
      </c>
      <c r="BE426" s="4" t="s">
        <v>200</v>
      </c>
      <c r="BF426" s="8" t="s">
        <v>200</v>
      </c>
      <c r="BG426" s="7" t="s">
        <v>200</v>
      </c>
      <c r="BH426" s="7" t="s">
        <v>200</v>
      </c>
      <c r="BI426" s="7"/>
      <c r="BJ426" s="4">
        <v>10</v>
      </c>
      <c r="BK426" s="8">
        <v>241.9</v>
      </c>
      <c r="BL426" s="2" t="s">
        <v>1184</v>
      </c>
      <c r="BM426" s="7"/>
      <c r="BN426" s="7"/>
      <c r="BO426" s="4"/>
      <c r="BP426" s="8"/>
      <c r="BQ426" s="4"/>
      <c r="BR426" s="8"/>
      <c r="BS426" s="7"/>
      <c r="BT426" s="7"/>
      <c r="BU426" s="2" t="s">
        <v>3019</v>
      </c>
      <c r="BV426" s="2" t="s">
        <v>200</v>
      </c>
      <c r="BW426" s="2" t="s">
        <v>200</v>
      </c>
      <c r="BX426" s="2" t="s">
        <v>264</v>
      </c>
      <c r="BY426" s="2" t="s">
        <v>247</v>
      </c>
      <c r="BZ426" s="2" t="s">
        <v>212</v>
      </c>
      <c r="CA426" s="2" t="s">
        <v>3020</v>
      </c>
      <c r="CB426" s="2" t="s">
        <v>3021</v>
      </c>
      <c r="CC426" s="2" t="s">
        <v>213</v>
      </c>
      <c r="CD426" s="2" t="s">
        <v>200</v>
      </c>
      <c r="CE426" s="4">
        <v>401</v>
      </c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</row>
    <row r="427">
      <c r="A427" s="2" t="s">
        <v>3022</v>
      </c>
      <c r="B427" s="2" t="s">
        <v>230</v>
      </c>
      <c r="C427" s="2" t="s">
        <v>1839</v>
      </c>
      <c r="D427" s="2" t="s">
        <v>232</v>
      </c>
      <c r="E427" s="2" t="s">
        <v>233</v>
      </c>
      <c r="F427" s="2" t="s">
        <v>3006</v>
      </c>
      <c r="G427" s="2" t="s">
        <v>3006</v>
      </c>
      <c r="H427" s="2" t="s">
        <v>3006</v>
      </c>
      <c r="I427" s="2" t="s">
        <v>3007</v>
      </c>
      <c r="J427" s="2" t="s">
        <v>256</v>
      </c>
      <c r="K427" s="2" t="s">
        <v>221</v>
      </c>
      <c r="L427" s="3">
        <v>21</v>
      </c>
      <c r="M427" s="3">
        <v>22.05</v>
      </c>
      <c r="N427" s="3">
        <v>44.99</v>
      </c>
      <c r="O427" s="2" t="s">
        <v>212</v>
      </c>
      <c r="P427" s="2" t="s">
        <v>285</v>
      </c>
      <c r="Q427" s="2" t="s">
        <v>206</v>
      </c>
      <c r="R427" s="2" t="s">
        <v>200</v>
      </c>
      <c r="S427" s="2" t="s">
        <v>3023</v>
      </c>
      <c r="T427" s="2" t="s">
        <v>3009</v>
      </c>
      <c r="U427" s="2" t="s">
        <v>454</v>
      </c>
      <c r="V427" s="2" t="s">
        <v>208</v>
      </c>
      <c r="W427" s="2" t="s">
        <v>241</v>
      </c>
      <c r="X427" s="2" t="s">
        <v>200</v>
      </c>
      <c r="Y427" s="2" t="s">
        <v>3010</v>
      </c>
      <c r="Z427" s="4">
        <v>85</v>
      </c>
      <c r="AA427" s="4">
        <f>=ROUNDDOWN(42.5,0)</f>
      </c>
      <c r="AB427" s="5">
        <v>2</v>
      </c>
      <c r="AC427" s="2" t="s">
        <v>200</v>
      </c>
      <c r="AD427" s="4"/>
      <c r="AE427" s="4"/>
      <c r="AF427" s="6">
        <v>67</v>
      </c>
      <c r="AG427" s="6"/>
      <c r="AH427" s="7">
        <v>1</v>
      </c>
      <c r="AI427" s="4"/>
      <c r="AJ427" s="4">
        <f>=ROUNDDOWN({0},0)</f>
      </c>
      <c r="AK427" s="5"/>
      <c r="AL427" s="2" t="s">
        <v>200</v>
      </c>
      <c r="AM427" s="4"/>
      <c r="AN427" s="4"/>
      <c r="AO427" s="7"/>
      <c r="AP427" s="4"/>
      <c r="AQ427" s="8"/>
      <c r="AR427" s="4"/>
      <c r="AS427" s="8"/>
      <c r="AT427" s="7"/>
      <c r="AU427" s="7"/>
      <c r="AV427" s="4" t="s">
        <v>200</v>
      </c>
      <c r="AW427" s="8" t="s">
        <v>200</v>
      </c>
      <c r="AX427" s="4" t="s">
        <v>200</v>
      </c>
      <c r="AY427" s="8" t="s">
        <v>200</v>
      </c>
      <c r="AZ427" s="7" t="s">
        <v>200</v>
      </c>
      <c r="BA427" s="7" t="s">
        <v>200</v>
      </c>
      <c r="BB427" s="7"/>
      <c r="BC427" s="4" t="s">
        <v>200</v>
      </c>
      <c r="BD427" s="8" t="s">
        <v>200</v>
      </c>
      <c r="BE427" s="4" t="s">
        <v>200</v>
      </c>
      <c r="BF427" s="8" t="s">
        <v>200</v>
      </c>
      <c r="BG427" s="7" t="s">
        <v>200</v>
      </c>
      <c r="BH427" s="7" t="s">
        <v>200</v>
      </c>
      <c r="BI427" s="7"/>
      <c r="BJ427" s="4">
        <v>8</v>
      </c>
      <c r="BK427" s="8">
        <v>187.18</v>
      </c>
      <c r="BL427" s="2" t="s">
        <v>359</v>
      </c>
      <c r="BM427" s="7"/>
      <c r="BN427" s="7"/>
      <c r="BO427" s="4"/>
      <c r="BP427" s="8"/>
      <c r="BQ427" s="4"/>
      <c r="BR427" s="8"/>
      <c r="BS427" s="7"/>
      <c r="BT427" s="7"/>
      <c r="BU427" s="2" t="s">
        <v>3024</v>
      </c>
      <c r="BV427" s="2" t="s">
        <v>200</v>
      </c>
      <c r="BW427" s="2" t="s">
        <v>200</v>
      </c>
      <c r="BX427" s="2" t="s">
        <v>289</v>
      </c>
      <c r="BY427" s="2" t="s">
        <v>247</v>
      </c>
      <c r="BZ427" s="2" t="s">
        <v>212</v>
      </c>
      <c r="CA427" s="2" t="s">
        <v>3012</v>
      </c>
      <c r="CB427" s="2" t="s">
        <v>3025</v>
      </c>
      <c r="CC427" s="2" t="s">
        <v>213</v>
      </c>
      <c r="CD427" s="2" t="s">
        <v>200</v>
      </c>
      <c r="CE427" s="4">
        <v>85</v>
      </c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</row>
    <row r="428">
      <c r="A428" s="2" t="s">
        <v>3026</v>
      </c>
      <c r="B428" s="2" t="s">
        <v>250</v>
      </c>
      <c r="C428" s="2" t="s">
        <v>1839</v>
      </c>
      <c r="D428" s="2" t="s">
        <v>608</v>
      </c>
      <c r="E428" s="2" t="s">
        <v>3015</v>
      </c>
      <c r="F428" s="2" t="s">
        <v>3006</v>
      </c>
      <c r="G428" s="2" t="s">
        <v>3006</v>
      </c>
      <c r="H428" s="2" t="s">
        <v>3006</v>
      </c>
      <c r="I428" s="2" t="s">
        <v>3016</v>
      </c>
      <c r="J428" s="2" t="s">
        <v>1390</v>
      </c>
      <c r="K428" s="2" t="s">
        <v>221</v>
      </c>
      <c r="L428" s="3">
        <v>21.42</v>
      </c>
      <c r="M428" s="3">
        <v>22.49</v>
      </c>
      <c r="N428" s="3">
        <v>49.99</v>
      </c>
      <c r="O428" s="2" t="s">
        <v>212</v>
      </c>
      <c r="P428" s="2" t="s">
        <v>258</v>
      </c>
      <c r="Q428" s="2" t="s">
        <v>206</v>
      </c>
      <c r="R428" s="2" t="s">
        <v>200</v>
      </c>
      <c r="S428" s="2" t="s">
        <v>3027</v>
      </c>
      <c r="T428" s="2" t="s">
        <v>3009</v>
      </c>
      <c r="U428" s="2" t="s">
        <v>270</v>
      </c>
      <c r="V428" s="2" t="s">
        <v>208</v>
      </c>
      <c r="W428" s="2" t="s">
        <v>241</v>
      </c>
      <c r="X428" s="2" t="s">
        <v>200</v>
      </c>
      <c r="Y428" s="2" t="s">
        <v>3020</v>
      </c>
      <c r="Z428" s="4">
        <v>378</v>
      </c>
      <c r="AA428" s="4">
        <f>=ROUNDDOWN(37.8,0)</f>
      </c>
      <c r="AB428" s="5">
        <v>10</v>
      </c>
      <c r="AC428" s="2" t="s">
        <v>116</v>
      </c>
      <c r="AD428" s="4">
        <v>50</v>
      </c>
      <c r="AE428" s="4">
        <v>50</v>
      </c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200</v>
      </c>
      <c r="AM428" s="4"/>
      <c r="AN428" s="4"/>
      <c r="AO428" s="7"/>
      <c r="AP428" s="4"/>
      <c r="AQ428" s="8"/>
      <c r="AR428" s="4"/>
      <c r="AS428" s="8"/>
      <c r="AT428" s="7"/>
      <c r="AU428" s="7"/>
      <c r="AV428" s="4" t="s">
        <v>200</v>
      </c>
      <c r="AW428" s="8" t="s">
        <v>200</v>
      </c>
      <c r="AX428" s="4" t="s">
        <v>200</v>
      </c>
      <c r="AY428" s="8" t="s">
        <v>200</v>
      </c>
      <c r="AZ428" s="7" t="s">
        <v>200</v>
      </c>
      <c r="BA428" s="7" t="s">
        <v>200</v>
      </c>
      <c r="BB428" s="7"/>
      <c r="BC428" s="4" t="s">
        <v>200</v>
      </c>
      <c r="BD428" s="8" t="s">
        <v>200</v>
      </c>
      <c r="BE428" s="4" t="s">
        <v>200</v>
      </c>
      <c r="BF428" s="8" t="s">
        <v>200</v>
      </c>
      <c r="BG428" s="7" t="s">
        <v>200</v>
      </c>
      <c r="BH428" s="7" t="s">
        <v>200</v>
      </c>
      <c r="BI428" s="7"/>
      <c r="BJ428" s="4">
        <v>7</v>
      </c>
      <c r="BK428" s="8">
        <v>170.05</v>
      </c>
      <c r="BL428" s="2" t="s">
        <v>3028</v>
      </c>
      <c r="BM428" s="7"/>
      <c r="BN428" s="7"/>
      <c r="BO428" s="4"/>
      <c r="BP428" s="8"/>
      <c r="BQ428" s="4"/>
      <c r="BR428" s="8"/>
      <c r="BS428" s="7"/>
      <c r="BT428" s="7"/>
      <c r="BU428" s="2" t="s">
        <v>3029</v>
      </c>
      <c r="BV428" s="2" t="s">
        <v>200</v>
      </c>
      <c r="BW428" s="2" t="s">
        <v>200</v>
      </c>
      <c r="BX428" s="2" t="s">
        <v>264</v>
      </c>
      <c r="BY428" s="2" t="s">
        <v>247</v>
      </c>
      <c r="BZ428" s="2" t="s">
        <v>212</v>
      </c>
      <c r="CA428" s="2" t="s">
        <v>3020</v>
      </c>
      <c r="CB428" s="2" t="s">
        <v>1871</v>
      </c>
      <c r="CC428" s="2" t="s">
        <v>213</v>
      </c>
      <c r="CD428" s="2" t="s">
        <v>200</v>
      </c>
      <c r="CE428" s="4">
        <v>378</v>
      </c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>
        <v>50</v>
      </c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</row>
    <row r="429">
      <c r="A429" s="2" t="s">
        <v>3030</v>
      </c>
      <c r="B429" s="2" t="s">
        <v>230</v>
      </c>
      <c r="C429" s="2" t="s">
        <v>1839</v>
      </c>
      <c r="D429" s="2" t="s">
        <v>232</v>
      </c>
      <c r="E429" s="2" t="s">
        <v>233</v>
      </c>
      <c r="F429" s="2" t="s">
        <v>3006</v>
      </c>
      <c r="G429" s="2" t="s">
        <v>3006</v>
      </c>
      <c r="H429" s="2" t="s">
        <v>3006</v>
      </c>
      <c r="I429" s="2" t="s">
        <v>3007</v>
      </c>
      <c r="J429" s="2" t="s">
        <v>256</v>
      </c>
      <c r="K429" s="2" t="s">
        <v>223</v>
      </c>
      <c r="L429" s="3">
        <v>21</v>
      </c>
      <c r="M429" s="3">
        <v>22.05</v>
      </c>
      <c r="N429" s="3">
        <v>44.99</v>
      </c>
      <c r="O429" s="2" t="s">
        <v>212</v>
      </c>
      <c r="P429" s="2" t="s">
        <v>285</v>
      </c>
      <c r="Q429" s="2" t="s">
        <v>206</v>
      </c>
      <c r="R429" s="2" t="s">
        <v>200</v>
      </c>
      <c r="S429" s="2" t="s">
        <v>3031</v>
      </c>
      <c r="T429" s="2" t="s">
        <v>3009</v>
      </c>
      <c r="U429" s="2" t="s">
        <v>454</v>
      </c>
      <c r="V429" s="2" t="s">
        <v>208</v>
      </c>
      <c r="W429" s="2" t="s">
        <v>241</v>
      </c>
      <c r="X429" s="2" t="s">
        <v>200</v>
      </c>
      <c r="Y429" s="2" t="s">
        <v>3010</v>
      </c>
      <c r="Z429" s="4">
        <v>120</v>
      </c>
      <c r="AA429" s="4">
        <f>=ROUNDDOWN(60,0)</f>
      </c>
      <c r="AB429" s="5">
        <v>2</v>
      </c>
      <c r="AC429" s="2" t="s">
        <v>200</v>
      </c>
      <c r="AD429" s="4"/>
      <c r="AE429" s="4"/>
      <c r="AF429" s="6">
        <v>67</v>
      </c>
      <c r="AG429" s="6"/>
      <c r="AH429" s="7">
        <v>1</v>
      </c>
      <c r="AI429" s="4"/>
      <c r="AJ429" s="4">
        <f>=ROUNDDOWN({0},0)</f>
      </c>
      <c r="AK429" s="5"/>
      <c r="AL429" s="2" t="s">
        <v>200</v>
      </c>
      <c r="AM429" s="4"/>
      <c r="AN429" s="4"/>
      <c r="AO429" s="7"/>
      <c r="AP429" s="4"/>
      <c r="AQ429" s="8"/>
      <c r="AR429" s="4"/>
      <c r="AS429" s="8"/>
      <c r="AT429" s="7"/>
      <c r="AU429" s="7"/>
      <c r="AV429" s="4" t="s">
        <v>200</v>
      </c>
      <c r="AW429" s="8" t="s">
        <v>200</v>
      </c>
      <c r="AX429" s="4" t="s">
        <v>200</v>
      </c>
      <c r="AY429" s="8" t="s">
        <v>200</v>
      </c>
      <c r="AZ429" s="7" t="s">
        <v>200</v>
      </c>
      <c r="BA429" s="7" t="s">
        <v>200</v>
      </c>
      <c r="BB429" s="7"/>
      <c r="BC429" s="4" t="s">
        <v>200</v>
      </c>
      <c r="BD429" s="8" t="s">
        <v>200</v>
      </c>
      <c r="BE429" s="4" t="s">
        <v>200</v>
      </c>
      <c r="BF429" s="8" t="s">
        <v>200</v>
      </c>
      <c r="BG429" s="7" t="s">
        <v>200</v>
      </c>
      <c r="BH429" s="7" t="s">
        <v>200</v>
      </c>
      <c r="BI429" s="7"/>
      <c r="BJ429" s="4">
        <v>4</v>
      </c>
      <c r="BK429" s="8">
        <v>92.6</v>
      </c>
      <c r="BL429" s="2" t="s">
        <v>1184</v>
      </c>
      <c r="BM429" s="7"/>
      <c r="BN429" s="7"/>
      <c r="BO429" s="4"/>
      <c r="BP429" s="8"/>
      <c r="BQ429" s="4"/>
      <c r="BR429" s="8"/>
      <c r="BS429" s="7"/>
      <c r="BT429" s="7"/>
      <c r="BU429" s="2" t="s">
        <v>3032</v>
      </c>
      <c r="BV429" s="2" t="s">
        <v>200</v>
      </c>
      <c r="BW429" s="2" t="s">
        <v>200</v>
      </c>
      <c r="BX429" s="2" t="s">
        <v>289</v>
      </c>
      <c r="BY429" s="2" t="s">
        <v>247</v>
      </c>
      <c r="BZ429" s="2" t="s">
        <v>212</v>
      </c>
      <c r="CA429" s="2" t="s">
        <v>3012</v>
      </c>
      <c r="CB429" s="2" t="s">
        <v>1384</v>
      </c>
      <c r="CC429" s="2" t="s">
        <v>213</v>
      </c>
      <c r="CD429" s="2" t="s">
        <v>200</v>
      </c>
      <c r="CE429" s="4">
        <v>120</v>
      </c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</row>
    <row r="430">
      <c r="A430" s="2" t="s">
        <v>3033</v>
      </c>
      <c r="B430" s="2" t="s">
        <v>250</v>
      </c>
      <c r="C430" s="2" t="s">
        <v>1839</v>
      </c>
      <c r="D430" s="2" t="s">
        <v>608</v>
      </c>
      <c r="E430" s="2" t="s">
        <v>3015</v>
      </c>
      <c r="F430" s="2" t="s">
        <v>3006</v>
      </c>
      <c r="G430" s="2" t="s">
        <v>3006</v>
      </c>
      <c r="H430" s="2" t="s">
        <v>3006</v>
      </c>
      <c r="I430" s="2" t="s">
        <v>3016</v>
      </c>
      <c r="J430" s="2" t="s">
        <v>1390</v>
      </c>
      <c r="K430" s="2" t="s">
        <v>223</v>
      </c>
      <c r="L430" s="3">
        <v>21.42</v>
      </c>
      <c r="M430" s="3">
        <v>22.49</v>
      </c>
      <c r="N430" s="3">
        <v>49.99</v>
      </c>
      <c r="O430" s="2" t="s">
        <v>212</v>
      </c>
      <c r="P430" s="2" t="s">
        <v>258</v>
      </c>
      <c r="Q430" s="2" t="s">
        <v>206</v>
      </c>
      <c r="R430" s="2" t="s">
        <v>200</v>
      </c>
      <c r="S430" s="2" t="s">
        <v>3034</v>
      </c>
      <c r="T430" s="2" t="s">
        <v>3009</v>
      </c>
      <c r="U430" s="2" t="s">
        <v>270</v>
      </c>
      <c r="V430" s="2" t="s">
        <v>208</v>
      </c>
      <c r="W430" s="2" t="s">
        <v>241</v>
      </c>
      <c r="X430" s="2" t="s">
        <v>200</v>
      </c>
      <c r="Y430" s="2" t="s">
        <v>3020</v>
      </c>
      <c r="Z430" s="4">
        <v>331</v>
      </c>
      <c r="AA430" s="4">
        <f>=ROUNDDOWN(41.375,0)</f>
      </c>
      <c r="AB430" s="5">
        <v>8</v>
      </c>
      <c r="AC430" s="2" t="s">
        <v>200</v>
      </c>
      <c r="AD430" s="4"/>
      <c r="AE430" s="4"/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200</v>
      </c>
      <c r="AM430" s="4"/>
      <c r="AN430" s="4"/>
      <c r="AO430" s="7"/>
      <c r="AP430" s="4"/>
      <c r="AQ430" s="8"/>
      <c r="AR430" s="4"/>
      <c r="AS430" s="8"/>
      <c r="AT430" s="7"/>
      <c r="AU430" s="7"/>
      <c r="AV430" s="4" t="s">
        <v>200</v>
      </c>
      <c r="AW430" s="8" t="s">
        <v>200</v>
      </c>
      <c r="AX430" s="4" t="s">
        <v>200</v>
      </c>
      <c r="AY430" s="8" t="s">
        <v>200</v>
      </c>
      <c r="AZ430" s="7" t="s">
        <v>200</v>
      </c>
      <c r="BA430" s="7" t="s">
        <v>200</v>
      </c>
      <c r="BB430" s="7"/>
      <c r="BC430" s="4" t="s">
        <v>200</v>
      </c>
      <c r="BD430" s="8" t="s">
        <v>200</v>
      </c>
      <c r="BE430" s="4" t="s">
        <v>200</v>
      </c>
      <c r="BF430" s="8" t="s">
        <v>200</v>
      </c>
      <c r="BG430" s="7" t="s">
        <v>200</v>
      </c>
      <c r="BH430" s="7" t="s">
        <v>200</v>
      </c>
      <c r="BI430" s="7"/>
      <c r="BJ430" s="4">
        <v>14</v>
      </c>
      <c r="BK430" s="8">
        <v>334.58</v>
      </c>
      <c r="BL430" s="2" t="s">
        <v>3035</v>
      </c>
      <c r="BM430" s="7"/>
      <c r="BN430" s="7"/>
      <c r="BO430" s="4"/>
      <c r="BP430" s="8"/>
      <c r="BQ430" s="4"/>
      <c r="BR430" s="8"/>
      <c r="BS430" s="7"/>
      <c r="BT430" s="7"/>
      <c r="BU430" s="2" t="s">
        <v>3036</v>
      </c>
      <c r="BV430" s="2" t="s">
        <v>200</v>
      </c>
      <c r="BW430" s="2" t="s">
        <v>200</v>
      </c>
      <c r="BX430" s="2" t="s">
        <v>264</v>
      </c>
      <c r="BY430" s="2" t="s">
        <v>247</v>
      </c>
      <c r="BZ430" s="2" t="s">
        <v>212</v>
      </c>
      <c r="CA430" s="2" t="s">
        <v>3020</v>
      </c>
      <c r="CB430" s="2" t="s">
        <v>424</v>
      </c>
      <c r="CC430" s="2" t="s">
        <v>213</v>
      </c>
      <c r="CD430" s="2" t="s">
        <v>200</v>
      </c>
      <c r="CE430" s="4">
        <v>331</v>
      </c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</row>
    <row r="431">
      <c r="A431" s="2" t="s">
        <v>3037</v>
      </c>
      <c r="B431" s="2" t="s">
        <v>250</v>
      </c>
      <c r="C431" s="2" t="s">
        <v>1839</v>
      </c>
      <c r="D431" s="2" t="s">
        <v>608</v>
      </c>
      <c r="E431" s="2" t="s">
        <v>3015</v>
      </c>
      <c r="F431" s="2" t="s">
        <v>3006</v>
      </c>
      <c r="G431" s="2" t="s">
        <v>3006</v>
      </c>
      <c r="H431" s="2" t="s">
        <v>3006</v>
      </c>
      <c r="I431" s="2" t="s">
        <v>3016</v>
      </c>
      <c r="J431" s="2" t="s">
        <v>924</v>
      </c>
      <c r="K431" s="2" t="s">
        <v>223</v>
      </c>
      <c r="L431" s="3">
        <v>28.57</v>
      </c>
      <c r="M431" s="3">
        <v>30</v>
      </c>
      <c r="N431" s="3">
        <v>59.99</v>
      </c>
      <c r="O431" s="2" t="s">
        <v>212</v>
      </c>
      <c r="P431" s="2" t="s">
        <v>258</v>
      </c>
      <c r="Q431" s="2" t="s">
        <v>206</v>
      </c>
      <c r="R431" s="2" t="s">
        <v>200</v>
      </c>
      <c r="S431" s="2" t="s">
        <v>3034</v>
      </c>
      <c r="T431" s="2" t="s">
        <v>3009</v>
      </c>
      <c r="U431" s="2" t="s">
        <v>270</v>
      </c>
      <c r="V431" s="2" t="s">
        <v>208</v>
      </c>
      <c r="W431" s="2" t="s">
        <v>241</v>
      </c>
      <c r="X431" s="2" t="s">
        <v>200</v>
      </c>
      <c r="Y431" s="2" t="s">
        <v>3020</v>
      </c>
      <c r="Z431" s="4">
        <v>381</v>
      </c>
      <c r="AA431" s="4">
        <f>=ROUNDDOWN(34.6363636363636,0)</f>
      </c>
      <c r="AB431" s="5">
        <v>11</v>
      </c>
      <c r="AC431" s="2" t="s">
        <v>116</v>
      </c>
      <c r="AD431" s="4">
        <v>80</v>
      </c>
      <c r="AE431" s="4">
        <v>80</v>
      </c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200</v>
      </c>
      <c r="AM431" s="4"/>
      <c r="AN431" s="4"/>
      <c r="AO431" s="7"/>
      <c r="AP431" s="4"/>
      <c r="AQ431" s="8"/>
      <c r="AR431" s="4"/>
      <c r="AS431" s="8"/>
      <c r="AT431" s="7"/>
      <c r="AU431" s="7"/>
      <c r="AV431" s="4" t="s">
        <v>200</v>
      </c>
      <c r="AW431" s="8" t="s">
        <v>200</v>
      </c>
      <c r="AX431" s="4" t="s">
        <v>200</v>
      </c>
      <c r="AY431" s="8" t="s">
        <v>200</v>
      </c>
      <c r="AZ431" s="7" t="s">
        <v>200</v>
      </c>
      <c r="BA431" s="7" t="s">
        <v>200</v>
      </c>
      <c r="BB431" s="7"/>
      <c r="BC431" s="4" t="s">
        <v>200</v>
      </c>
      <c r="BD431" s="8" t="s">
        <v>200</v>
      </c>
      <c r="BE431" s="4" t="s">
        <v>200</v>
      </c>
      <c r="BF431" s="8" t="s">
        <v>200</v>
      </c>
      <c r="BG431" s="7" t="s">
        <v>200</v>
      </c>
      <c r="BH431" s="7" t="s">
        <v>200</v>
      </c>
      <c r="BI431" s="7"/>
      <c r="BJ431" s="4">
        <v>23</v>
      </c>
      <c r="BK431" s="8">
        <v>773.31</v>
      </c>
      <c r="BL431" s="2" t="s">
        <v>3038</v>
      </c>
      <c r="BM431" s="7"/>
      <c r="BN431" s="7"/>
      <c r="BO431" s="4"/>
      <c r="BP431" s="8"/>
      <c r="BQ431" s="4"/>
      <c r="BR431" s="8"/>
      <c r="BS431" s="7"/>
      <c r="BT431" s="7"/>
      <c r="BU431" s="2" t="s">
        <v>3039</v>
      </c>
      <c r="BV431" s="2" t="s">
        <v>200</v>
      </c>
      <c r="BW431" s="2" t="s">
        <v>200</v>
      </c>
      <c r="BX431" s="2" t="s">
        <v>264</v>
      </c>
      <c r="BY431" s="2" t="s">
        <v>247</v>
      </c>
      <c r="BZ431" s="2" t="s">
        <v>212</v>
      </c>
      <c r="CA431" s="2" t="s">
        <v>3020</v>
      </c>
      <c r="CB431" s="2" t="s">
        <v>365</v>
      </c>
      <c r="CC431" s="2" t="s">
        <v>213</v>
      </c>
      <c r="CD431" s="2" t="s">
        <v>200</v>
      </c>
      <c r="CE431" s="4">
        <v>381</v>
      </c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>
        <v>80</v>
      </c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</row>
    <row r="432">
      <c r="A432" s="2" t="s">
        <v>3040</v>
      </c>
      <c r="B432" s="2" t="s">
        <v>827</v>
      </c>
      <c r="C432" s="2" t="s">
        <v>1010</v>
      </c>
      <c r="D432" s="2" t="s">
        <v>828</v>
      </c>
      <c r="E432" s="2" t="s">
        <v>878</v>
      </c>
      <c r="F432" s="2" t="s">
        <v>3041</v>
      </c>
      <c r="G432" s="2" t="s">
        <v>3042</v>
      </c>
      <c r="H432" s="2" t="s">
        <v>3043</v>
      </c>
      <c r="I432" s="2" t="s">
        <v>3044</v>
      </c>
      <c r="J432" s="2" t="s">
        <v>3045</v>
      </c>
      <c r="K432" s="2" t="s">
        <v>387</v>
      </c>
      <c r="L432" s="3">
        <v>25.8</v>
      </c>
      <c r="M432" s="3">
        <v>27.09</v>
      </c>
      <c r="N432" s="3">
        <v>59.99</v>
      </c>
      <c r="O432" s="2" t="s">
        <v>417</v>
      </c>
      <c r="P432" s="2" t="s">
        <v>285</v>
      </c>
      <c r="Q432" s="2" t="s">
        <v>206</v>
      </c>
      <c r="R432" s="2" t="s">
        <v>200</v>
      </c>
      <c r="S432" s="2" t="s">
        <v>3046</v>
      </c>
      <c r="T432" s="2" t="s">
        <v>378</v>
      </c>
      <c r="U432" s="2" t="s">
        <v>677</v>
      </c>
      <c r="V432" s="2" t="s">
        <v>208</v>
      </c>
      <c r="W432" s="2" t="s">
        <v>379</v>
      </c>
      <c r="X432" s="2" t="s">
        <v>2936</v>
      </c>
      <c r="Y432" s="2" t="s">
        <v>3047</v>
      </c>
      <c r="Z432" s="4">
        <v>7</v>
      </c>
      <c r="AA432" s="4">
        <f>=ROUNDDOWN(2.33333333333333,0)</f>
      </c>
      <c r="AB432" s="5">
        <v>3</v>
      </c>
      <c r="AC432" s="2" t="s">
        <v>200</v>
      </c>
      <c r="AD432" s="4"/>
      <c r="AE432" s="4"/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200</v>
      </c>
      <c r="AM432" s="4"/>
      <c r="AN432" s="4"/>
      <c r="AO432" s="7"/>
      <c r="AP432" s="4"/>
      <c r="AQ432" s="8"/>
      <c r="AR432" s="4"/>
      <c r="AS432" s="8"/>
      <c r="AT432" s="7"/>
      <c r="AU432" s="7"/>
      <c r="AV432" s="4" t="s">
        <v>200</v>
      </c>
      <c r="AW432" s="8" t="s">
        <v>200</v>
      </c>
      <c r="AX432" s="4" t="s">
        <v>200</v>
      </c>
      <c r="AY432" s="8" t="s">
        <v>200</v>
      </c>
      <c r="AZ432" s="7" t="s">
        <v>200</v>
      </c>
      <c r="BA432" s="7" t="s">
        <v>200</v>
      </c>
      <c r="BB432" s="7"/>
      <c r="BC432" s="4" t="s">
        <v>200</v>
      </c>
      <c r="BD432" s="8" t="s">
        <v>200</v>
      </c>
      <c r="BE432" s="4" t="s">
        <v>200</v>
      </c>
      <c r="BF432" s="8" t="s">
        <v>200</v>
      </c>
      <c r="BG432" s="7" t="s">
        <v>200</v>
      </c>
      <c r="BH432" s="7" t="s">
        <v>200</v>
      </c>
      <c r="BI432" s="7"/>
      <c r="BJ432" s="4">
        <v>5</v>
      </c>
      <c r="BK432" s="8">
        <v>142.5</v>
      </c>
      <c r="BL432" s="2" t="s">
        <v>3048</v>
      </c>
      <c r="BM432" s="7"/>
      <c r="BN432" s="7"/>
      <c r="BO432" s="4"/>
      <c r="BP432" s="8"/>
      <c r="BQ432" s="4"/>
      <c r="BR432" s="8"/>
      <c r="BS432" s="7"/>
      <c r="BT432" s="7"/>
      <c r="BU432" s="2" t="s">
        <v>3049</v>
      </c>
      <c r="BV432" s="2" t="s">
        <v>200</v>
      </c>
      <c r="BW432" s="2" t="s">
        <v>200</v>
      </c>
      <c r="BX432" s="2" t="s">
        <v>289</v>
      </c>
      <c r="BY432" s="2" t="s">
        <v>247</v>
      </c>
      <c r="BZ432" s="2" t="s">
        <v>212</v>
      </c>
      <c r="CA432" s="2" t="s">
        <v>3047</v>
      </c>
      <c r="CB432" s="2" t="s">
        <v>3050</v>
      </c>
      <c r="CC432" s="2" t="s">
        <v>213</v>
      </c>
      <c r="CD432" s="2" t="s">
        <v>200</v>
      </c>
      <c r="CE432" s="4">
        <v>3</v>
      </c>
      <c r="CF432" s="4"/>
      <c r="CG432" s="4"/>
      <c r="CH432" s="4">
        <v>4</v>
      </c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</row>
    <row r="433">
      <c r="A433" s="2" t="s">
        <v>3051</v>
      </c>
      <c r="B433" s="2" t="s">
        <v>827</v>
      </c>
      <c r="C433" s="2" t="s">
        <v>231</v>
      </c>
      <c r="D433" s="2" t="s">
        <v>828</v>
      </c>
      <c r="E433" s="2" t="s">
        <v>863</v>
      </c>
      <c r="F433" s="2" t="s">
        <v>3041</v>
      </c>
      <c r="G433" s="2" t="s">
        <v>3042</v>
      </c>
      <c r="H433" s="2" t="s">
        <v>3043</v>
      </c>
      <c r="I433" s="2" t="s">
        <v>3052</v>
      </c>
      <c r="J433" s="2" t="s">
        <v>3053</v>
      </c>
      <c r="K433" s="2" t="s">
        <v>387</v>
      </c>
      <c r="L433" s="3">
        <v>34.5</v>
      </c>
      <c r="M433" s="3">
        <v>36.23</v>
      </c>
      <c r="N433" s="3">
        <v>74.99</v>
      </c>
      <c r="O433" s="2" t="s">
        <v>212</v>
      </c>
      <c r="P433" s="2" t="s">
        <v>285</v>
      </c>
      <c r="Q433" s="2" t="s">
        <v>206</v>
      </c>
      <c r="R433" s="2" t="s">
        <v>200</v>
      </c>
      <c r="S433" s="2" t="s">
        <v>3046</v>
      </c>
      <c r="T433" s="2" t="s">
        <v>378</v>
      </c>
      <c r="U433" s="2" t="s">
        <v>270</v>
      </c>
      <c r="V433" s="2" t="s">
        <v>208</v>
      </c>
      <c r="W433" s="2" t="s">
        <v>379</v>
      </c>
      <c r="X433" s="2" t="s">
        <v>200</v>
      </c>
      <c r="Y433" s="2" t="s">
        <v>1778</v>
      </c>
      <c r="Z433" s="4"/>
      <c r="AA433" s="4">
        <f>=ROUNDDOWN({0},0)</f>
      </c>
      <c r="AB433" s="5">
        <v>2</v>
      </c>
      <c r="AC433" s="2" t="s">
        <v>200</v>
      </c>
      <c r="AD433" s="4"/>
      <c r="AE433" s="4"/>
      <c r="AF433" s="6">
        <v>65</v>
      </c>
      <c r="AG433" s="6"/>
      <c r="AH433" s="7">
        <v>0</v>
      </c>
      <c r="AI433" s="4"/>
      <c r="AJ433" s="4">
        <f>=ROUNDDOWN({0},0)</f>
      </c>
      <c r="AK433" s="5"/>
      <c r="AL433" s="2" t="s">
        <v>200</v>
      </c>
      <c r="AM433" s="4"/>
      <c r="AN433" s="4"/>
      <c r="AO433" s="7"/>
      <c r="AP433" s="4"/>
      <c r="AQ433" s="8"/>
      <c r="AR433" s="4"/>
      <c r="AS433" s="8"/>
      <c r="AT433" s="7"/>
      <c r="AU433" s="7"/>
      <c r="AV433" s="4" t="s">
        <v>200</v>
      </c>
      <c r="AW433" s="8" t="s">
        <v>200</v>
      </c>
      <c r="AX433" s="4" t="s">
        <v>200</v>
      </c>
      <c r="AY433" s="8" t="s">
        <v>200</v>
      </c>
      <c r="AZ433" s="7" t="s">
        <v>200</v>
      </c>
      <c r="BA433" s="7" t="s">
        <v>200</v>
      </c>
      <c r="BB433" s="7"/>
      <c r="BC433" s="4" t="s">
        <v>200</v>
      </c>
      <c r="BD433" s="8" t="s">
        <v>200</v>
      </c>
      <c r="BE433" s="4" t="s">
        <v>200</v>
      </c>
      <c r="BF433" s="8" t="s">
        <v>200</v>
      </c>
      <c r="BG433" s="7" t="s">
        <v>200</v>
      </c>
      <c r="BH433" s="7" t="s">
        <v>200</v>
      </c>
      <c r="BI433" s="7"/>
      <c r="BJ433" s="4"/>
      <c r="BK433" s="8"/>
      <c r="BL433" s="2" t="s">
        <v>200</v>
      </c>
      <c r="BM433" s="7"/>
      <c r="BN433" s="7"/>
      <c r="BO433" s="4"/>
      <c r="BP433" s="8"/>
      <c r="BQ433" s="4"/>
      <c r="BR433" s="8"/>
      <c r="BS433" s="7"/>
      <c r="BT433" s="7"/>
      <c r="BU433" s="2" t="s">
        <v>3054</v>
      </c>
      <c r="BV433" s="2" t="s">
        <v>200</v>
      </c>
      <c r="BW433" s="2" t="s">
        <v>200</v>
      </c>
      <c r="BX433" s="2" t="s">
        <v>289</v>
      </c>
      <c r="BY433" s="2" t="s">
        <v>247</v>
      </c>
      <c r="BZ433" s="2" t="s">
        <v>212</v>
      </c>
      <c r="CA433" s="2" t="s">
        <v>420</v>
      </c>
      <c r="CB433" s="2" t="s">
        <v>3055</v>
      </c>
      <c r="CC433" s="2" t="s">
        <v>213</v>
      </c>
      <c r="CD433" s="2" t="s">
        <v>200</v>
      </c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</row>
    <row r="434">
      <c r="A434" s="2" t="s">
        <v>3056</v>
      </c>
      <c r="B434" s="2" t="s">
        <v>827</v>
      </c>
      <c r="C434" s="2" t="s">
        <v>231</v>
      </c>
      <c r="D434" s="2" t="s">
        <v>828</v>
      </c>
      <c r="E434" s="2" t="s">
        <v>863</v>
      </c>
      <c r="F434" s="2" t="s">
        <v>3041</v>
      </c>
      <c r="G434" s="2" t="s">
        <v>3042</v>
      </c>
      <c r="H434" s="2" t="s">
        <v>3043</v>
      </c>
      <c r="I434" s="2" t="s">
        <v>3052</v>
      </c>
      <c r="J434" s="2" t="s">
        <v>3057</v>
      </c>
      <c r="K434" s="2" t="s">
        <v>416</v>
      </c>
      <c r="L434" s="3">
        <v>29.25</v>
      </c>
      <c r="M434" s="3">
        <v>30.71</v>
      </c>
      <c r="N434" s="3">
        <v>64.99</v>
      </c>
      <c r="O434" s="2" t="s">
        <v>460</v>
      </c>
      <c r="P434" s="2" t="s">
        <v>285</v>
      </c>
      <c r="Q434" s="2" t="s">
        <v>206</v>
      </c>
      <c r="R434" s="2" t="s">
        <v>200</v>
      </c>
      <c r="S434" s="2" t="s">
        <v>3058</v>
      </c>
      <c r="T434" s="2" t="s">
        <v>378</v>
      </c>
      <c r="U434" s="2" t="s">
        <v>270</v>
      </c>
      <c r="V434" s="2" t="s">
        <v>208</v>
      </c>
      <c r="W434" s="2" t="s">
        <v>379</v>
      </c>
      <c r="X434" s="2" t="s">
        <v>200</v>
      </c>
      <c r="Y434" s="2" t="s">
        <v>875</v>
      </c>
      <c r="Z434" s="4">
        <v>123</v>
      </c>
      <c r="AA434" s="4">
        <f>=ROUNDDOWN(41,0)</f>
      </c>
      <c r="AB434" s="5">
        <v>3</v>
      </c>
      <c r="AC434" s="2" t="s">
        <v>200</v>
      </c>
      <c r="AD434" s="4"/>
      <c r="AE434" s="4"/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200</v>
      </c>
      <c r="AM434" s="4"/>
      <c r="AN434" s="4"/>
      <c r="AO434" s="7"/>
      <c r="AP434" s="4"/>
      <c r="AQ434" s="8"/>
      <c r="AR434" s="4"/>
      <c r="AS434" s="8"/>
      <c r="AT434" s="7"/>
      <c r="AU434" s="7"/>
      <c r="AV434" s="4" t="s">
        <v>200</v>
      </c>
      <c r="AW434" s="8" t="s">
        <v>200</v>
      </c>
      <c r="AX434" s="4" t="s">
        <v>200</v>
      </c>
      <c r="AY434" s="8" t="s">
        <v>200</v>
      </c>
      <c r="AZ434" s="7" t="s">
        <v>200</v>
      </c>
      <c r="BA434" s="7" t="s">
        <v>200</v>
      </c>
      <c r="BB434" s="7"/>
      <c r="BC434" s="4" t="s">
        <v>200</v>
      </c>
      <c r="BD434" s="8" t="s">
        <v>200</v>
      </c>
      <c r="BE434" s="4" t="s">
        <v>200</v>
      </c>
      <c r="BF434" s="8" t="s">
        <v>200</v>
      </c>
      <c r="BG434" s="7" t="s">
        <v>200</v>
      </c>
      <c r="BH434" s="7" t="s">
        <v>200</v>
      </c>
      <c r="BI434" s="7"/>
      <c r="BJ434" s="4">
        <v>17</v>
      </c>
      <c r="BK434" s="8">
        <v>378.67</v>
      </c>
      <c r="BL434" s="2" t="s">
        <v>3059</v>
      </c>
      <c r="BM434" s="7"/>
      <c r="BN434" s="7"/>
      <c r="BO434" s="4"/>
      <c r="BP434" s="8"/>
      <c r="BQ434" s="4"/>
      <c r="BR434" s="8"/>
      <c r="BS434" s="7"/>
      <c r="BT434" s="7"/>
      <c r="BU434" s="2" t="s">
        <v>3060</v>
      </c>
      <c r="BV434" s="2" t="s">
        <v>200</v>
      </c>
      <c r="BW434" s="2" t="s">
        <v>200</v>
      </c>
      <c r="BX434" s="2" t="s">
        <v>289</v>
      </c>
      <c r="BY434" s="2" t="s">
        <v>247</v>
      </c>
      <c r="BZ434" s="2" t="s">
        <v>212</v>
      </c>
      <c r="CA434" s="2" t="s">
        <v>1907</v>
      </c>
      <c r="CB434" s="2" t="s">
        <v>3061</v>
      </c>
      <c r="CC434" s="2" t="s">
        <v>213</v>
      </c>
      <c r="CD434" s="2" t="s">
        <v>200</v>
      </c>
      <c r="CE434" s="4">
        <v>123</v>
      </c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</row>
    <row r="435">
      <c r="A435" s="2" t="s">
        <v>3062</v>
      </c>
      <c r="B435" s="2" t="s">
        <v>827</v>
      </c>
      <c r="C435" s="2" t="s">
        <v>231</v>
      </c>
      <c r="D435" s="2" t="s">
        <v>828</v>
      </c>
      <c r="E435" s="2" t="s">
        <v>863</v>
      </c>
      <c r="F435" s="2" t="s">
        <v>3041</v>
      </c>
      <c r="G435" s="2" t="s">
        <v>3042</v>
      </c>
      <c r="H435" s="2" t="s">
        <v>3043</v>
      </c>
      <c r="I435" s="2" t="s">
        <v>3052</v>
      </c>
      <c r="J435" s="2" t="s">
        <v>868</v>
      </c>
      <c r="K435" s="2" t="s">
        <v>416</v>
      </c>
      <c r="L435" s="3">
        <v>32.2</v>
      </c>
      <c r="M435" s="3">
        <v>33.81</v>
      </c>
      <c r="N435" s="3">
        <v>69.99</v>
      </c>
      <c r="O435" s="2" t="s">
        <v>460</v>
      </c>
      <c r="P435" s="2" t="s">
        <v>285</v>
      </c>
      <c r="Q435" s="2" t="s">
        <v>206</v>
      </c>
      <c r="R435" s="2" t="s">
        <v>200</v>
      </c>
      <c r="S435" s="2" t="s">
        <v>3058</v>
      </c>
      <c r="T435" s="2" t="s">
        <v>378</v>
      </c>
      <c r="U435" s="2" t="s">
        <v>270</v>
      </c>
      <c r="V435" s="2" t="s">
        <v>208</v>
      </c>
      <c r="W435" s="2" t="s">
        <v>379</v>
      </c>
      <c r="X435" s="2" t="s">
        <v>200</v>
      </c>
      <c r="Y435" s="2" t="s">
        <v>875</v>
      </c>
      <c r="Z435" s="4">
        <v>135</v>
      </c>
      <c r="AA435" s="4">
        <f>=ROUNDDOWN(38.5714285714286,0)</f>
      </c>
      <c r="AB435" s="5">
        <v>3.5</v>
      </c>
      <c r="AC435" s="2" t="s">
        <v>200</v>
      </c>
      <c r="AD435" s="4"/>
      <c r="AE435" s="4"/>
      <c r="AF435" s="6">
        <v>65</v>
      </c>
      <c r="AG435" s="6"/>
      <c r="AH435" s="7">
        <v>1</v>
      </c>
      <c r="AI435" s="4"/>
      <c r="AJ435" s="4">
        <f>=ROUNDDOWN({0},0)</f>
      </c>
      <c r="AK435" s="5"/>
      <c r="AL435" s="2" t="s">
        <v>200</v>
      </c>
      <c r="AM435" s="4"/>
      <c r="AN435" s="4"/>
      <c r="AO435" s="7"/>
      <c r="AP435" s="4"/>
      <c r="AQ435" s="8"/>
      <c r="AR435" s="4"/>
      <c r="AS435" s="8"/>
      <c r="AT435" s="7"/>
      <c r="AU435" s="7"/>
      <c r="AV435" s="4" t="s">
        <v>200</v>
      </c>
      <c r="AW435" s="8" t="s">
        <v>200</v>
      </c>
      <c r="AX435" s="4" t="s">
        <v>200</v>
      </c>
      <c r="AY435" s="8" t="s">
        <v>200</v>
      </c>
      <c r="AZ435" s="7" t="s">
        <v>200</v>
      </c>
      <c r="BA435" s="7" t="s">
        <v>200</v>
      </c>
      <c r="BB435" s="7"/>
      <c r="BC435" s="4" t="s">
        <v>200</v>
      </c>
      <c r="BD435" s="8" t="s">
        <v>200</v>
      </c>
      <c r="BE435" s="4" t="s">
        <v>200</v>
      </c>
      <c r="BF435" s="8" t="s">
        <v>200</v>
      </c>
      <c r="BG435" s="7" t="s">
        <v>200</v>
      </c>
      <c r="BH435" s="7" t="s">
        <v>200</v>
      </c>
      <c r="BI435" s="7"/>
      <c r="BJ435" s="4">
        <v>6</v>
      </c>
      <c r="BK435" s="8">
        <v>111.06</v>
      </c>
      <c r="BL435" s="2" t="s">
        <v>1029</v>
      </c>
      <c r="BM435" s="7"/>
      <c r="BN435" s="7"/>
      <c r="BO435" s="4"/>
      <c r="BP435" s="8"/>
      <c r="BQ435" s="4"/>
      <c r="BR435" s="8"/>
      <c r="BS435" s="7"/>
      <c r="BT435" s="7"/>
      <c r="BU435" s="2" t="s">
        <v>3063</v>
      </c>
      <c r="BV435" s="2" t="s">
        <v>200</v>
      </c>
      <c r="BW435" s="2" t="s">
        <v>200</v>
      </c>
      <c r="BX435" s="2" t="s">
        <v>289</v>
      </c>
      <c r="BY435" s="2" t="s">
        <v>247</v>
      </c>
      <c r="BZ435" s="2" t="s">
        <v>212</v>
      </c>
      <c r="CA435" s="2" t="s">
        <v>1907</v>
      </c>
      <c r="CB435" s="2" t="s">
        <v>3064</v>
      </c>
      <c r="CC435" s="2" t="s">
        <v>213</v>
      </c>
      <c r="CD435" s="2" t="s">
        <v>200</v>
      </c>
      <c r="CE435" s="4">
        <v>135</v>
      </c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</row>
    <row r="436">
      <c r="A436" s="2" t="s">
        <v>3065</v>
      </c>
      <c r="B436" s="2" t="s">
        <v>827</v>
      </c>
      <c r="C436" s="2" t="s">
        <v>231</v>
      </c>
      <c r="D436" s="2" t="s">
        <v>828</v>
      </c>
      <c r="E436" s="2" t="s">
        <v>863</v>
      </c>
      <c r="F436" s="2" t="s">
        <v>3041</v>
      </c>
      <c r="G436" s="2" t="s">
        <v>3042</v>
      </c>
      <c r="H436" s="2" t="s">
        <v>3043</v>
      </c>
      <c r="I436" s="2" t="s">
        <v>3052</v>
      </c>
      <c r="J436" s="2" t="s">
        <v>3066</v>
      </c>
      <c r="K436" s="2" t="s">
        <v>416</v>
      </c>
      <c r="L436" s="3">
        <v>38.4</v>
      </c>
      <c r="M436" s="3">
        <v>40.32</v>
      </c>
      <c r="N436" s="3">
        <v>79.99</v>
      </c>
      <c r="O436" s="2" t="s">
        <v>460</v>
      </c>
      <c r="P436" s="2" t="s">
        <v>285</v>
      </c>
      <c r="Q436" s="2" t="s">
        <v>206</v>
      </c>
      <c r="R436" s="2" t="s">
        <v>200</v>
      </c>
      <c r="S436" s="2" t="s">
        <v>3058</v>
      </c>
      <c r="T436" s="2" t="s">
        <v>378</v>
      </c>
      <c r="U436" s="2" t="s">
        <v>270</v>
      </c>
      <c r="V436" s="2" t="s">
        <v>208</v>
      </c>
      <c r="W436" s="2" t="s">
        <v>379</v>
      </c>
      <c r="X436" s="2" t="s">
        <v>200</v>
      </c>
      <c r="Y436" s="2" t="s">
        <v>875</v>
      </c>
      <c r="Z436" s="4">
        <v>268</v>
      </c>
      <c r="AA436" s="4">
        <f>=ROUNDDOWN(99.2592592592593,0)</f>
      </c>
      <c r="AB436" s="5">
        <v>2.7</v>
      </c>
      <c r="AC436" s="2" t="s">
        <v>200</v>
      </c>
      <c r="AD436" s="4"/>
      <c r="AE436" s="4"/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200</v>
      </c>
      <c r="AM436" s="4"/>
      <c r="AN436" s="4"/>
      <c r="AO436" s="7"/>
      <c r="AP436" s="4"/>
      <c r="AQ436" s="8"/>
      <c r="AR436" s="4"/>
      <c r="AS436" s="8"/>
      <c r="AT436" s="7"/>
      <c r="AU436" s="7"/>
      <c r="AV436" s="4" t="s">
        <v>200</v>
      </c>
      <c r="AW436" s="8" t="s">
        <v>200</v>
      </c>
      <c r="AX436" s="4" t="s">
        <v>200</v>
      </c>
      <c r="AY436" s="8" t="s">
        <v>200</v>
      </c>
      <c r="AZ436" s="7" t="s">
        <v>200</v>
      </c>
      <c r="BA436" s="7" t="s">
        <v>200</v>
      </c>
      <c r="BB436" s="7"/>
      <c r="BC436" s="4" t="s">
        <v>200</v>
      </c>
      <c r="BD436" s="8" t="s">
        <v>200</v>
      </c>
      <c r="BE436" s="4" t="s">
        <v>200</v>
      </c>
      <c r="BF436" s="8" t="s">
        <v>200</v>
      </c>
      <c r="BG436" s="7" t="s">
        <v>200</v>
      </c>
      <c r="BH436" s="7" t="s">
        <v>200</v>
      </c>
      <c r="BI436" s="7"/>
      <c r="BJ436" s="4">
        <v>9</v>
      </c>
      <c r="BK436" s="8">
        <v>257.39</v>
      </c>
      <c r="BL436" s="2" t="s">
        <v>3067</v>
      </c>
      <c r="BM436" s="7"/>
      <c r="BN436" s="7"/>
      <c r="BO436" s="4"/>
      <c r="BP436" s="8"/>
      <c r="BQ436" s="4"/>
      <c r="BR436" s="8"/>
      <c r="BS436" s="7"/>
      <c r="BT436" s="7"/>
      <c r="BU436" s="2" t="s">
        <v>3068</v>
      </c>
      <c r="BV436" s="2" t="s">
        <v>200</v>
      </c>
      <c r="BW436" s="2" t="s">
        <v>200</v>
      </c>
      <c r="BX436" s="2" t="s">
        <v>289</v>
      </c>
      <c r="BY436" s="2" t="s">
        <v>247</v>
      </c>
      <c r="BZ436" s="2" t="s">
        <v>212</v>
      </c>
      <c r="CA436" s="2" t="s">
        <v>1907</v>
      </c>
      <c r="CB436" s="2" t="s">
        <v>2185</v>
      </c>
      <c r="CC436" s="2" t="s">
        <v>213</v>
      </c>
      <c r="CD436" s="2" t="s">
        <v>200</v>
      </c>
      <c r="CE436" s="4">
        <v>268</v>
      </c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</row>
    <row r="437">
      <c r="A437" s="2" t="s">
        <v>3069</v>
      </c>
      <c r="B437" s="2" t="s">
        <v>827</v>
      </c>
      <c r="C437" s="2" t="s">
        <v>1010</v>
      </c>
      <c r="D437" s="2" t="s">
        <v>828</v>
      </c>
      <c r="E437" s="2" t="s">
        <v>878</v>
      </c>
      <c r="F437" s="2" t="s">
        <v>3041</v>
      </c>
      <c r="G437" s="2" t="s">
        <v>3042</v>
      </c>
      <c r="H437" s="2" t="s">
        <v>3043</v>
      </c>
      <c r="I437" s="2" t="s">
        <v>3044</v>
      </c>
      <c r="J437" s="2" t="s">
        <v>883</v>
      </c>
      <c r="K437" s="2" t="s">
        <v>221</v>
      </c>
      <c r="L437" s="3">
        <v>23.65</v>
      </c>
      <c r="M437" s="3">
        <v>24.83</v>
      </c>
      <c r="N437" s="3">
        <v>54.99</v>
      </c>
      <c r="O437" s="2" t="s">
        <v>417</v>
      </c>
      <c r="P437" s="2" t="s">
        <v>285</v>
      </c>
      <c r="Q437" s="2" t="s">
        <v>206</v>
      </c>
      <c r="R437" s="2" t="s">
        <v>200</v>
      </c>
      <c r="S437" s="2" t="s">
        <v>3070</v>
      </c>
      <c r="T437" s="2" t="s">
        <v>378</v>
      </c>
      <c r="U437" s="2" t="s">
        <v>677</v>
      </c>
      <c r="V437" s="2" t="s">
        <v>208</v>
      </c>
      <c r="W437" s="2" t="s">
        <v>379</v>
      </c>
      <c r="X437" s="2" t="s">
        <v>2936</v>
      </c>
      <c r="Y437" s="2" t="s">
        <v>3071</v>
      </c>
      <c r="Z437" s="4">
        <v>1</v>
      </c>
      <c r="AA437" s="4">
        <f>=ROUNDDOWN(0.344827586206897,0)</f>
      </c>
      <c r="AB437" s="5">
        <v>2.9</v>
      </c>
      <c r="AC437" s="2" t="s">
        <v>200</v>
      </c>
      <c r="AD437" s="4"/>
      <c r="AE437" s="4"/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200</v>
      </c>
      <c r="AM437" s="4"/>
      <c r="AN437" s="4"/>
      <c r="AO437" s="7"/>
      <c r="AP437" s="4"/>
      <c r="AQ437" s="8"/>
      <c r="AR437" s="4"/>
      <c r="AS437" s="8"/>
      <c r="AT437" s="7"/>
      <c r="AU437" s="7"/>
      <c r="AV437" s="4" t="s">
        <v>200</v>
      </c>
      <c r="AW437" s="8" t="s">
        <v>200</v>
      </c>
      <c r="AX437" s="4" t="s">
        <v>200</v>
      </c>
      <c r="AY437" s="8" t="s">
        <v>200</v>
      </c>
      <c r="AZ437" s="7" t="s">
        <v>200</v>
      </c>
      <c r="BA437" s="7" t="s">
        <v>200</v>
      </c>
      <c r="BB437" s="7"/>
      <c r="BC437" s="4" t="s">
        <v>200</v>
      </c>
      <c r="BD437" s="8" t="s">
        <v>200</v>
      </c>
      <c r="BE437" s="4" t="s">
        <v>200</v>
      </c>
      <c r="BF437" s="8" t="s">
        <v>200</v>
      </c>
      <c r="BG437" s="7" t="s">
        <v>200</v>
      </c>
      <c r="BH437" s="7" t="s">
        <v>200</v>
      </c>
      <c r="BI437" s="7"/>
      <c r="BJ437" s="4">
        <v>8</v>
      </c>
      <c r="BK437" s="8">
        <v>249.16</v>
      </c>
      <c r="BL437" s="2" t="s">
        <v>3072</v>
      </c>
      <c r="BM437" s="7"/>
      <c r="BN437" s="7"/>
      <c r="BO437" s="4"/>
      <c r="BP437" s="8"/>
      <c r="BQ437" s="4"/>
      <c r="BR437" s="8"/>
      <c r="BS437" s="7"/>
      <c r="BT437" s="7"/>
      <c r="BU437" s="2" t="s">
        <v>3073</v>
      </c>
      <c r="BV437" s="2" t="s">
        <v>200</v>
      </c>
      <c r="BW437" s="2" t="s">
        <v>200</v>
      </c>
      <c r="BX437" s="2" t="s">
        <v>289</v>
      </c>
      <c r="BY437" s="2" t="s">
        <v>247</v>
      </c>
      <c r="BZ437" s="2" t="s">
        <v>212</v>
      </c>
      <c r="CA437" s="2" t="s">
        <v>3074</v>
      </c>
      <c r="CB437" s="2" t="s">
        <v>3075</v>
      </c>
      <c r="CC437" s="2" t="s">
        <v>213</v>
      </c>
      <c r="CD437" s="2" t="s">
        <v>200</v>
      </c>
      <c r="CE437" s="4"/>
      <c r="CF437" s="4"/>
      <c r="CG437" s="4"/>
      <c r="CH437" s="4">
        <v>1</v>
      </c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</row>
    <row r="438">
      <c r="A438" s="2" t="s">
        <v>3076</v>
      </c>
      <c r="B438" s="2" t="s">
        <v>827</v>
      </c>
      <c r="C438" s="2" t="s">
        <v>1010</v>
      </c>
      <c r="D438" s="2" t="s">
        <v>828</v>
      </c>
      <c r="E438" s="2" t="s">
        <v>878</v>
      </c>
      <c r="F438" s="2" t="s">
        <v>3041</v>
      </c>
      <c r="G438" s="2" t="s">
        <v>3042</v>
      </c>
      <c r="H438" s="2" t="s">
        <v>3043</v>
      </c>
      <c r="I438" s="2" t="s">
        <v>3044</v>
      </c>
      <c r="J438" s="2" t="s">
        <v>3045</v>
      </c>
      <c r="K438" s="2" t="s">
        <v>221</v>
      </c>
      <c r="L438" s="3">
        <v>25.8</v>
      </c>
      <c r="M438" s="3">
        <v>27.09</v>
      </c>
      <c r="N438" s="3">
        <v>59.99</v>
      </c>
      <c r="O438" s="2" t="s">
        <v>212</v>
      </c>
      <c r="P438" s="2" t="s">
        <v>285</v>
      </c>
      <c r="Q438" s="2" t="s">
        <v>206</v>
      </c>
      <c r="R438" s="2" t="s">
        <v>200</v>
      </c>
      <c r="S438" s="2" t="s">
        <v>3070</v>
      </c>
      <c r="T438" s="2" t="s">
        <v>378</v>
      </c>
      <c r="U438" s="2" t="s">
        <v>677</v>
      </c>
      <c r="V438" s="2" t="s">
        <v>208</v>
      </c>
      <c r="W438" s="2" t="s">
        <v>379</v>
      </c>
      <c r="X438" s="2" t="s">
        <v>2936</v>
      </c>
      <c r="Y438" s="2" t="s">
        <v>3071</v>
      </c>
      <c r="Z438" s="4">
        <v>66</v>
      </c>
      <c r="AA438" s="4">
        <f>=ROUNDDOWN(13.2,0)</f>
      </c>
      <c r="AB438" s="5">
        <v>5</v>
      </c>
      <c r="AC438" s="2" t="s">
        <v>200</v>
      </c>
      <c r="AD438" s="4"/>
      <c r="AE438" s="4"/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200</v>
      </c>
      <c r="AM438" s="4"/>
      <c r="AN438" s="4"/>
      <c r="AO438" s="7"/>
      <c r="AP438" s="4"/>
      <c r="AQ438" s="8"/>
      <c r="AR438" s="4"/>
      <c r="AS438" s="8"/>
      <c r="AT438" s="7"/>
      <c r="AU438" s="7"/>
      <c r="AV438" s="4" t="s">
        <v>200</v>
      </c>
      <c r="AW438" s="8" t="s">
        <v>200</v>
      </c>
      <c r="AX438" s="4" t="s">
        <v>200</v>
      </c>
      <c r="AY438" s="8" t="s">
        <v>200</v>
      </c>
      <c r="AZ438" s="7" t="s">
        <v>200</v>
      </c>
      <c r="BA438" s="7" t="s">
        <v>200</v>
      </c>
      <c r="BB438" s="7"/>
      <c r="BC438" s="4" t="s">
        <v>200</v>
      </c>
      <c r="BD438" s="8" t="s">
        <v>200</v>
      </c>
      <c r="BE438" s="4" t="s">
        <v>200</v>
      </c>
      <c r="BF438" s="8" t="s">
        <v>200</v>
      </c>
      <c r="BG438" s="7" t="s">
        <v>200</v>
      </c>
      <c r="BH438" s="7" t="s">
        <v>200</v>
      </c>
      <c r="BI438" s="7"/>
      <c r="BJ438" s="4">
        <v>13</v>
      </c>
      <c r="BK438" s="8">
        <v>484.47</v>
      </c>
      <c r="BL438" s="2" t="s">
        <v>3077</v>
      </c>
      <c r="BM438" s="7"/>
      <c r="BN438" s="7"/>
      <c r="BO438" s="4"/>
      <c r="BP438" s="8"/>
      <c r="BQ438" s="4"/>
      <c r="BR438" s="8"/>
      <c r="BS438" s="7"/>
      <c r="BT438" s="7"/>
      <c r="BU438" s="2" t="s">
        <v>3078</v>
      </c>
      <c r="BV438" s="2" t="s">
        <v>200</v>
      </c>
      <c r="BW438" s="2" t="s">
        <v>200</v>
      </c>
      <c r="BX438" s="2" t="s">
        <v>289</v>
      </c>
      <c r="BY438" s="2" t="s">
        <v>247</v>
      </c>
      <c r="BZ438" s="2" t="s">
        <v>212</v>
      </c>
      <c r="CA438" s="2" t="s">
        <v>3074</v>
      </c>
      <c r="CB438" s="2" t="s">
        <v>3079</v>
      </c>
      <c r="CC438" s="2" t="s">
        <v>213</v>
      </c>
      <c r="CD438" s="2" t="s">
        <v>200</v>
      </c>
      <c r="CE438" s="4"/>
      <c r="CF438" s="4"/>
      <c r="CG438" s="4"/>
      <c r="CH438" s="4">
        <v>66</v>
      </c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</row>
    <row r="439">
      <c r="A439" s="2" t="s">
        <v>3080</v>
      </c>
      <c r="B439" s="2" t="s">
        <v>827</v>
      </c>
      <c r="C439" s="2" t="s">
        <v>231</v>
      </c>
      <c r="D439" s="2" t="s">
        <v>828</v>
      </c>
      <c r="E439" s="2" t="s">
        <v>863</v>
      </c>
      <c r="F439" s="2" t="s">
        <v>3041</v>
      </c>
      <c r="G439" s="2" t="s">
        <v>3042</v>
      </c>
      <c r="H439" s="2" t="s">
        <v>3043</v>
      </c>
      <c r="I439" s="2" t="s">
        <v>3052</v>
      </c>
      <c r="J439" s="2" t="s">
        <v>3053</v>
      </c>
      <c r="K439" s="2" t="s">
        <v>221</v>
      </c>
      <c r="L439" s="3">
        <v>34.5</v>
      </c>
      <c r="M439" s="3">
        <v>36.23</v>
      </c>
      <c r="N439" s="3">
        <v>74.99</v>
      </c>
      <c r="O439" s="2" t="s">
        <v>212</v>
      </c>
      <c r="P439" s="2" t="s">
        <v>285</v>
      </c>
      <c r="Q439" s="2" t="s">
        <v>206</v>
      </c>
      <c r="R439" s="2" t="s">
        <v>200</v>
      </c>
      <c r="S439" s="2" t="s">
        <v>3070</v>
      </c>
      <c r="T439" s="2" t="s">
        <v>378</v>
      </c>
      <c r="U439" s="2" t="s">
        <v>270</v>
      </c>
      <c r="V439" s="2" t="s">
        <v>208</v>
      </c>
      <c r="W439" s="2" t="s">
        <v>379</v>
      </c>
      <c r="X439" s="2" t="s">
        <v>200</v>
      </c>
      <c r="Y439" s="2" t="s">
        <v>2209</v>
      </c>
      <c r="Z439" s="4">
        <v>1</v>
      </c>
      <c r="AA439" s="4">
        <f>=ROUNDDOWN(0.25,0)</f>
      </c>
      <c r="AB439" s="5">
        <v>4</v>
      </c>
      <c r="AC439" s="2" t="s">
        <v>200</v>
      </c>
      <c r="AD439" s="4"/>
      <c r="AE439" s="4"/>
      <c r="AF439" s="6">
        <v>65</v>
      </c>
      <c r="AG439" s="6"/>
      <c r="AH439" s="7">
        <v>1</v>
      </c>
      <c r="AI439" s="4"/>
      <c r="AJ439" s="4">
        <f>=ROUNDDOWN({0},0)</f>
      </c>
      <c r="AK439" s="5"/>
      <c r="AL439" s="2" t="s">
        <v>200</v>
      </c>
      <c r="AM439" s="4"/>
      <c r="AN439" s="4"/>
      <c r="AO439" s="7"/>
      <c r="AP439" s="4"/>
      <c r="AQ439" s="8"/>
      <c r="AR439" s="4"/>
      <c r="AS439" s="8"/>
      <c r="AT439" s="7"/>
      <c r="AU439" s="7"/>
      <c r="AV439" s="4" t="s">
        <v>200</v>
      </c>
      <c r="AW439" s="8" t="s">
        <v>200</v>
      </c>
      <c r="AX439" s="4" t="s">
        <v>200</v>
      </c>
      <c r="AY439" s="8" t="s">
        <v>200</v>
      </c>
      <c r="AZ439" s="7" t="s">
        <v>200</v>
      </c>
      <c r="BA439" s="7" t="s">
        <v>200</v>
      </c>
      <c r="BB439" s="7"/>
      <c r="BC439" s="4" t="s">
        <v>200</v>
      </c>
      <c r="BD439" s="8" t="s">
        <v>200</v>
      </c>
      <c r="BE439" s="4" t="s">
        <v>200</v>
      </c>
      <c r="BF439" s="8" t="s">
        <v>200</v>
      </c>
      <c r="BG439" s="7" t="s">
        <v>200</v>
      </c>
      <c r="BH439" s="7" t="s">
        <v>200</v>
      </c>
      <c r="BI439" s="7"/>
      <c r="BJ439" s="4">
        <v>22</v>
      </c>
      <c r="BK439" s="8">
        <v>518.71</v>
      </c>
      <c r="BL439" s="2" t="s">
        <v>3081</v>
      </c>
      <c r="BM439" s="7"/>
      <c r="BN439" s="7"/>
      <c r="BO439" s="4"/>
      <c r="BP439" s="8"/>
      <c r="BQ439" s="4"/>
      <c r="BR439" s="8"/>
      <c r="BS439" s="7"/>
      <c r="BT439" s="7"/>
      <c r="BU439" s="2" t="s">
        <v>3082</v>
      </c>
      <c r="BV439" s="2" t="s">
        <v>200</v>
      </c>
      <c r="BW439" s="2" t="s">
        <v>200</v>
      </c>
      <c r="BX439" s="2" t="s">
        <v>289</v>
      </c>
      <c r="BY439" s="2" t="s">
        <v>247</v>
      </c>
      <c r="BZ439" s="2" t="s">
        <v>212</v>
      </c>
      <c r="CA439" s="2" t="s">
        <v>3083</v>
      </c>
      <c r="CB439" s="2" t="s">
        <v>3084</v>
      </c>
      <c r="CC439" s="2" t="s">
        <v>213</v>
      </c>
      <c r="CD439" s="2" t="s">
        <v>200</v>
      </c>
      <c r="CE439" s="4">
        <v>1</v>
      </c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</row>
    <row r="440">
      <c r="A440" s="2" t="s">
        <v>3085</v>
      </c>
      <c r="B440" s="2" t="s">
        <v>827</v>
      </c>
      <c r="C440" s="2" t="s">
        <v>1010</v>
      </c>
      <c r="D440" s="2" t="s">
        <v>828</v>
      </c>
      <c r="E440" s="2" t="s">
        <v>878</v>
      </c>
      <c r="F440" s="2" t="s">
        <v>3041</v>
      </c>
      <c r="G440" s="2" t="s">
        <v>3042</v>
      </c>
      <c r="H440" s="2" t="s">
        <v>3043</v>
      </c>
      <c r="I440" s="2" t="s">
        <v>3044</v>
      </c>
      <c r="J440" s="2" t="s">
        <v>3045</v>
      </c>
      <c r="K440" s="2" t="s">
        <v>436</v>
      </c>
      <c r="L440" s="3">
        <v>25.8</v>
      </c>
      <c r="M440" s="3">
        <v>27.09</v>
      </c>
      <c r="N440" s="3">
        <v>59.99</v>
      </c>
      <c r="O440" s="2" t="s">
        <v>212</v>
      </c>
      <c r="P440" s="2" t="s">
        <v>258</v>
      </c>
      <c r="Q440" s="2" t="s">
        <v>206</v>
      </c>
      <c r="R440" s="2" t="s">
        <v>200</v>
      </c>
      <c r="S440" s="2" t="s">
        <v>3086</v>
      </c>
      <c r="T440" s="2" t="s">
        <v>378</v>
      </c>
      <c r="U440" s="2" t="s">
        <v>677</v>
      </c>
      <c r="V440" s="2" t="s">
        <v>208</v>
      </c>
      <c r="W440" s="2" t="s">
        <v>379</v>
      </c>
      <c r="X440" s="2" t="s">
        <v>2936</v>
      </c>
      <c r="Y440" s="2" t="s">
        <v>3071</v>
      </c>
      <c r="Z440" s="4">
        <v>475</v>
      </c>
      <c r="AA440" s="4">
        <f>=ROUNDDOWN(47.5,0)</f>
      </c>
      <c r="AB440" s="5">
        <v>10</v>
      </c>
      <c r="AC440" s="2" t="s">
        <v>200</v>
      </c>
      <c r="AD440" s="4"/>
      <c r="AE440" s="4"/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200</v>
      </c>
      <c r="AM440" s="4"/>
      <c r="AN440" s="4"/>
      <c r="AO440" s="7"/>
      <c r="AP440" s="4"/>
      <c r="AQ440" s="8"/>
      <c r="AR440" s="4"/>
      <c r="AS440" s="8"/>
      <c r="AT440" s="7"/>
      <c r="AU440" s="7"/>
      <c r="AV440" s="4" t="s">
        <v>200</v>
      </c>
      <c r="AW440" s="8" t="s">
        <v>200</v>
      </c>
      <c r="AX440" s="4" t="s">
        <v>200</v>
      </c>
      <c r="AY440" s="8" t="s">
        <v>200</v>
      </c>
      <c r="AZ440" s="7" t="s">
        <v>200</v>
      </c>
      <c r="BA440" s="7" t="s">
        <v>200</v>
      </c>
      <c r="BB440" s="7"/>
      <c r="BC440" s="4" t="s">
        <v>200</v>
      </c>
      <c r="BD440" s="8" t="s">
        <v>200</v>
      </c>
      <c r="BE440" s="4" t="s">
        <v>200</v>
      </c>
      <c r="BF440" s="8" t="s">
        <v>200</v>
      </c>
      <c r="BG440" s="7" t="s">
        <v>200</v>
      </c>
      <c r="BH440" s="7" t="s">
        <v>200</v>
      </c>
      <c r="BI440" s="7"/>
      <c r="BJ440" s="4">
        <v>33</v>
      </c>
      <c r="BK440" s="8">
        <v>1261.36</v>
      </c>
      <c r="BL440" s="2" t="s">
        <v>3087</v>
      </c>
      <c r="BM440" s="7"/>
      <c r="BN440" s="7"/>
      <c r="BO440" s="4"/>
      <c r="BP440" s="8"/>
      <c r="BQ440" s="4"/>
      <c r="BR440" s="8"/>
      <c r="BS440" s="7"/>
      <c r="BT440" s="7"/>
      <c r="BU440" s="2" t="s">
        <v>3088</v>
      </c>
      <c r="BV440" s="2" t="s">
        <v>200</v>
      </c>
      <c r="BW440" s="2" t="s">
        <v>200</v>
      </c>
      <c r="BX440" s="2" t="s">
        <v>264</v>
      </c>
      <c r="BY440" s="2" t="s">
        <v>247</v>
      </c>
      <c r="BZ440" s="2" t="s">
        <v>212</v>
      </c>
      <c r="CA440" s="2" t="s">
        <v>3074</v>
      </c>
      <c r="CB440" s="2" t="s">
        <v>3089</v>
      </c>
      <c r="CC440" s="2" t="s">
        <v>213</v>
      </c>
      <c r="CD440" s="2" t="s">
        <v>200</v>
      </c>
      <c r="CE440" s="4">
        <v>131</v>
      </c>
      <c r="CF440" s="4"/>
      <c r="CG440" s="4"/>
      <c r="CH440" s="4">
        <v>344</v>
      </c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</row>
    <row r="441">
      <c r="A441" s="2" t="s">
        <v>3090</v>
      </c>
      <c r="B441" s="2" t="s">
        <v>827</v>
      </c>
      <c r="C441" s="2" t="s">
        <v>231</v>
      </c>
      <c r="D441" s="2" t="s">
        <v>828</v>
      </c>
      <c r="E441" s="2" t="s">
        <v>863</v>
      </c>
      <c r="F441" s="2" t="s">
        <v>3041</v>
      </c>
      <c r="G441" s="2" t="s">
        <v>3042</v>
      </c>
      <c r="H441" s="2" t="s">
        <v>3043</v>
      </c>
      <c r="I441" s="2" t="s">
        <v>3052</v>
      </c>
      <c r="J441" s="2" t="s">
        <v>3091</v>
      </c>
      <c r="K441" s="2" t="s">
        <v>436</v>
      </c>
      <c r="L441" s="3">
        <v>27</v>
      </c>
      <c r="M441" s="3">
        <v>28.35</v>
      </c>
      <c r="N441" s="3">
        <v>59.99</v>
      </c>
      <c r="O441" s="2" t="s">
        <v>212</v>
      </c>
      <c r="P441" s="2" t="s">
        <v>258</v>
      </c>
      <c r="Q441" s="2" t="s">
        <v>206</v>
      </c>
      <c r="R441" s="2" t="s">
        <v>200</v>
      </c>
      <c r="S441" s="2" t="s">
        <v>3086</v>
      </c>
      <c r="T441" s="2" t="s">
        <v>378</v>
      </c>
      <c r="U441" s="2" t="s">
        <v>270</v>
      </c>
      <c r="V441" s="2" t="s">
        <v>208</v>
      </c>
      <c r="W441" s="2" t="s">
        <v>379</v>
      </c>
      <c r="X441" s="2" t="s">
        <v>200</v>
      </c>
      <c r="Y441" s="2" t="s">
        <v>2209</v>
      </c>
      <c r="Z441" s="4">
        <v>210</v>
      </c>
      <c r="AA441" s="4">
        <f>=ROUNDDOWN(23.3333333333333,0)</f>
      </c>
      <c r="AB441" s="5">
        <v>9</v>
      </c>
      <c r="AC441" s="2" t="s">
        <v>1141</v>
      </c>
      <c r="AD441" s="4">
        <v>180</v>
      </c>
      <c r="AE441" s="4">
        <v>180</v>
      </c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200</v>
      </c>
      <c r="AM441" s="4"/>
      <c r="AN441" s="4"/>
      <c r="AO441" s="7"/>
      <c r="AP441" s="4"/>
      <c r="AQ441" s="8"/>
      <c r="AR441" s="4"/>
      <c r="AS441" s="8"/>
      <c r="AT441" s="7"/>
      <c r="AU441" s="7"/>
      <c r="AV441" s="4" t="s">
        <v>200</v>
      </c>
      <c r="AW441" s="8" t="s">
        <v>200</v>
      </c>
      <c r="AX441" s="4" t="s">
        <v>200</v>
      </c>
      <c r="AY441" s="8" t="s">
        <v>200</v>
      </c>
      <c r="AZ441" s="7" t="s">
        <v>200</v>
      </c>
      <c r="BA441" s="7" t="s">
        <v>200</v>
      </c>
      <c r="BB441" s="7"/>
      <c r="BC441" s="4" t="s">
        <v>200</v>
      </c>
      <c r="BD441" s="8" t="s">
        <v>200</v>
      </c>
      <c r="BE441" s="4" t="s">
        <v>200</v>
      </c>
      <c r="BF441" s="8" t="s">
        <v>200</v>
      </c>
      <c r="BG441" s="7" t="s">
        <v>200</v>
      </c>
      <c r="BH441" s="7" t="s">
        <v>200</v>
      </c>
      <c r="BI441" s="7"/>
      <c r="BJ441" s="4">
        <v>12</v>
      </c>
      <c r="BK441" s="8">
        <v>389.55</v>
      </c>
      <c r="BL441" s="2" t="s">
        <v>3092</v>
      </c>
      <c r="BM441" s="7"/>
      <c r="BN441" s="7"/>
      <c r="BO441" s="4"/>
      <c r="BP441" s="8"/>
      <c r="BQ441" s="4"/>
      <c r="BR441" s="8"/>
      <c r="BS441" s="7"/>
      <c r="BT441" s="7"/>
      <c r="BU441" s="2" t="s">
        <v>3093</v>
      </c>
      <c r="BV441" s="2" t="s">
        <v>200</v>
      </c>
      <c r="BW441" s="2" t="s">
        <v>200</v>
      </c>
      <c r="BX441" s="2" t="s">
        <v>264</v>
      </c>
      <c r="BY441" s="2" t="s">
        <v>247</v>
      </c>
      <c r="BZ441" s="2" t="s">
        <v>212</v>
      </c>
      <c r="CA441" s="2" t="s">
        <v>3083</v>
      </c>
      <c r="CB441" s="2" t="s">
        <v>3094</v>
      </c>
      <c r="CC441" s="2" t="s">
        <v>213</v>
      </c>
      <c r="CD441" s="2" t="s">
        <v>200</v>
      </c>
      <c r="CE441" s="4">
        <v>210</v>
      </c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>
        <v>180</v>
      </c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</row>
    <row r="442">
      <c r="A442" s="2" t="s">
        <v>3095</v>
      </c>
      <c r="B442" s="2" t="s">
        <v>827</v>
      </c>
      <c r="C442" s="2" t="s">
        <v>231</v>
      </c>
      <c r="D442" s="2" t="s">
        <v>828</v>
      </c>
      <c r="E442" s="2" t="s">
        <v>863</v>
      </c>
      <c r="F442" s="2" t="s">
        <v>3041</v>
      </c>
      <c r="G442" s="2" t="s">
        <v>3042</v>
      </c>
      <c r="H442" s="2" t="s">
        <v>3043</v>
      </c>
      <c r="I442" s="2" t="s">
        <v>3052</v>
      </c>
      <c r="J442" s="2" t="s">
        <v>3057</v>
      </c>
      <c r="K442" s="2" t="s">
        <v>436</v>
      </c>
      <c r="L442" s="3">
        <v>29.25</v>
      </c>
      <c r="M442" s="3">
        <v>30.71</v>
      </c>
      <c r="N442" s="3">
        <v>64.99</v>
      </c>
      <c r="O442" s="2" t="s">
        <v>212</v>
      </c>
      <c r="P442" s="2" t="s">
        <v>258</v>
      </c>
      <c r="Q442" s="2" t="s">
        <v>206</v>
      </c>
      <c r="R442" s="2" t="s">
        <v>200</v>
      </c>
      <c r="S442" s="2" t="s">
        <v>3086</v>
      </c>
      <c r="T442" s="2" t="s">
        <v>378</v>
      </c>
      <c r="U442" s="2" t="s">
        <v>270</v>
      </c>
      <c r="V442" s="2" t="s">
        <v>208</v>
      </c>
      <c r="W442" s="2" t="s">
        <v>379</v>
      </c>
      <c r="X442" s="2" t="s">
        <v>200</v>
      </c>
      <c r="Y442" s="2" t="s">
        <v>2209</v>
      </c>
      <c r="Z442" s="4">
        <v>186</v>
      </c>
      <c r="AA442" s="4">
        <f>=ROUNDDOWN(26.5714285714286,0)</f>
      </c>
      <c r="AB442" s="5">
        <v>7</v>
      </c>
      <c r="AC442" s="2" t="s">
        <v>1141</v>
      </c>
      <c r="AD442" s="4">
        <v>162</v>
      </c>
      <c r="AE442" s="4">
        <v>162</v>
      </c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200</v>
      </c>
      <c r="AM442" s="4"/>
      <c r="AN442" s="4"/>
      <c r="AO442" s="7"/>
      <c r="AP442" s="4"/>
      <c r="AQ442" s="8"/>
      <c r="AR442" s="4"/>
      <c r="AS442" s="8"/>
      <c r="AT442" s="7"/>
      <c r="AU442" s="7"/>
      <c r="AV442" s="4" t="s">
        <v>200</v>
      </c>
      <c r="AW442" s="8" t="s">
        <v>200</v>
      </c>
      <c r="AX442" s="4" t="s">
        <v>200</v>
      </c>
      <c r="AY442" s="8" t="s">
        <v>200</v>
      </c>
      <c r="AZ442" s="7" t="s">
        <v>200</v>
      </c>
      <c r="BA442" s="7" t="s">
        <v>200</v>
      </c>
      <c r="BB442" s="7"/>
      <c r="BC442" s="4" t="s">
        <v>200</v>
      </c>
      <c r="BD442" s="8" t="s">
        <v>200</v>
      </c>
      <c r="BE442" s="4" t="s">
        <v>200</v>
      </c>
      <c r="BF442" s="8" t="s">
        <v>200</v>
      </c>
      <c r="BG442" s="7" t="s">
        <v>200</v>
      </c>
      <c r="BH442" s="7" t="s">
        <v>200</v>
      </c>
      <c r="BI442" s="7"/>
      <c r="BJ442" s="4">
        <v>16</v>
      </c>
      <c r="BK442" s="8">
        <v>566.72</v>
      </c>
      <c r="BL442" s="2" t="s">
        <v>3096</v>
      </c>
      <c r="BM442" s="7"/>
      <c r="BN442" s="7"/>
      <c r="BO442" s="4"/>
      <c r="BP442" s="8"/>
      <c r="BQ442" s="4"/>
      <c r="BR442" s="8"/>
      <c r="BS442" s="7"/>
      <c r="BT442" s="7"/>
      <c r="BU442" s="2" t="s">
        <v>3097</v>
      </c>
      <c r="BV442" s="2" t="s">
        <v>200</v>
      </c>
      <c r="BW442" s="2" t="s">
        <v>200</v>
      </c>
      <c r="BX442" s="2" t="s">
        <v>264</v>
      </c>
      <c r="BY442" s="2" t="s">
        <v>247</v>
      </c>
      <c r="BZ442" s="2" t="s">
        <v>212</v>
      </c>
      <c r="CA442" s="2" t="s">
        <v>3083</v>
      </c>
      <c r="CB442" s="2" t="s">
        <v>3098</v>
      </c>
      <c r="CC442" s="2" t="s">
        <v>213</v>
      </c>
      <c r="CD442" s="2" t="s">
        <v>200</v>
      </c>
      <c r="CE442" s="4">
        <v>186</v>
      </c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>
        <v>162</v>
      </c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</row>
    <row r="443">
      <c r="A443" s="2" t="s">
        <v>3099</v>
      </c>
      <c r="B443" s="2" t="s">
        <v>827</v>
      </c>
      <c r="C443" s="2" t="s">
        <v>231</v>
      </c>
      <c r="D443" s="2" t="s">
        <v>828</v>
      </c>
      <c r="E443" s="2" t="s">
        <v>863</v>
      </c>
      <c r="F443" s="2" t="s">
        <v>3041</v>
      </c>
      <c r="G443" s="2" t="s">
        <v>3042</v>
      </c>
      <c r="H443" s="2" t="s">
        <v>3043</v>
      </c>
      <c r="I443" s="2" t="s">
        <v>3052</v>
      </c>
      <c r="J443" s="2" t="s">
        <v>868</v>
      </c>
      <c r="K443" s="2" t="s">
        <v>436</v>
      </c>
      <c r="L443" s="3">
        <v>32.2</v>
      </c>
      <c r="M443" s="3">
        <v>33.81</v>
      </c>
      <c r="N443" s="3">
        <v>69.99</v>
      </c>
      <c r="O443" s="2" t="s">
        <v>212</v>
      </c>
      <c r="P443" s="2" t="s">
        <v>258</v>
      </c>
      <c r="Q443" s="2" t="s">
        <v>206</v>
      </c>
      <c r="R443" s="2" t="s">
        <v>200</v>
      </c>
      <c r="S443" s="2" t="s">
        <v>3086</v>
      </c>
      <c r="T443" s="2" t="s">
        <v>378</v>
      </c>
      <c r="U443" s="2" t="s">
        <v>270</v>
      </c>
      <c r="V443" s="2" t="s">
        <v>208</v>
      </c>
      <c r="W443" s="2" t="s">
        <v>379</v>
      </c>
      <c r="X443" s="2" t="s">
        <v>200</v>
      </c>
      <c r="Y443" s="2" t="s">
        <v>2209</v>
      </c>
      <c r="Z443" s="4">
        <v>148</v>
      </c>
      <c r="AA443" s="4">
        <f>=ROUNDDOWN(24.6666666666667,0)</f>
      </c>
      <c r="AB443" s="5">
        <v>6</v>
      </c>
      <c r="AC443" s="2" t="s">
        <v>200</v>
      </c>
      <c r="AD443" s="4"/>
      <c r="AE443" s="4"/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200</v>
      </c>
      <c r="AM443" s="4"/>
      <c r="AN443" s="4"/>
      <c r="AO443" s="7"/>
      <c r="AP443" s="4"/>
      <c r="AQ443" s="8"/>
      <c r="AR443" s="4"/>
      <c r="AS443" s="8"/>
      <c r="AT443" s="7"/>
      <c r="AU443" s="7"/>
      <c r="AV443" s="4" t="s">
        <v>200</v>
      </c>
      <c r="AW443" s="8" t="s">
        <v>200</v>
      </c>
      <c r="AX443" s="4" t="s">
        <v>200</v>
      </c>
      <c r="AY443" s="8" t="s">
        <v>200</v>
      </c>
      <c r="AZ443" s="7" t="s">
        <v>200</v>
      </c>
      <c r="BA443" s="7" t="s">
        <v>200</v>
      </c>
      <c r="BB443" s="7"/>
      <c r="BC443" s="4" t="s">
        <v>200</v>
      </c>
      <c r="BD443" s="8" t="s">
        <v>200</v>
      </c>
      <c r="BE443" s="4" t="s">
        <v>200</v>
      </c>
      <c r="BF443" s="8" t="s">
        <v>200</v>
      </c>
      <c r="BG443" s="7" t="s">
        <v>200</v>
      </c>
      <c r="BH443" s="7" t="s">
        <v>200</v>
      </c>
      <c r="BI443" s="7"/>
      <c r="BJ443" s="4">
        <v>31</v>
      </c>
      <c r="BK443" s="8">
        <v>1196.05</v>
      </c>
      <c r="BL443" s="2" t="s">
        <v>3100</v>
      </c>
      <c r="BM443" s="7"/>
      <c r="BN443" s="7"/>
      <c r="BO443" s="4"/>
      <c r="BP443" s="8"/>
      <c r="BQ443" s="4"/>
      <c r="BR443" s="8"/>
      <c r="BS443" s="7"/>
      <c r="BT443" s="7"/>
      <c r="BU443" s="2" t="s">
        <v>3101</v>
      </c>
      <c r="BV443" s="2" t="s">
        <v>200</v>
      </c>
      <c r="BW443" s="2" t="s">
        <v>200</v>
      </c>
      <c r="BX443" s="2" t="s">
        <v>264</v>
      </c>
      <c r="BY443" s="2" t="s">
        <v>247</v>
      </c>
      <c r="BZ443" s="2" t="s">
        <v>212</v>
      </c>
      <c r="CA443" s="2" t="s">
        <v>3083</v>
      </c>
      <c r="CB443" s="2" t="s">
        <v>3102</v>
      </c>
      <c r="CC443" s="2" t="s">
        <v>213</v>
      </c>
      <c r="CD443" s="2" t="s">
        <v>200</v>
      </c>
      <c r="CE443" s="4">
        <v>148</v>
      </c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</row>
    <row r="444">
      <c r="A444" s="2" t="s">
        <v>3103</v>
      </c>
      <c r="B444" s="2" t="s">
        <v>827</v>
      </c>
      <c r="C444" s="2" t="s">
        <v>231</v>
      </c>
      <c r="D444" s="2" t="s">
        <v>828</v>
      </c>
      <c r="E444" s="2" t="s">
        <v>863</v>
      </c>
      <c r="F444" s="2" t="s">
        <v>3041</v>
      </c>
      <c r="G444" s="2" t="s">
        <v>3042</v>
      </c>
      <c r="H444" s="2" t="s">
        <v>3043</v>
      </c>
      <c r="I444" s="2" t="s">
        <v>3052</v>
      </c>
      <c r="J444" s="2" t="s">
        <v>3053</v>
      </c>
      <c r="K444" s="2" t="s">
        <v>436</v>
      </c>
      <c r="L444" s="3">
        <v>34.5</v>
      </c>
      <c r="M444" s="3">
        <v>36.23</v>
      </c>
      <c r="N444" s="3">
        <v>74.99</v>
      </c>
      <c r="O444" s="2" t="s">
        <v>212</v>
      </c>
      <c r="P444" s="2" t="s">
        <v>258</v>
      </c>
      <c r="Q444" s="2" t="s">
        <v>206</v>
      </c>
      <c r="R444" s="2" t="s">
        <v>200</v>
      </c>
      <c r="S444" s="2" t="s">
        <v>3086</v>
      </c>
      <c r="T444" s="2" t="s">
        <v>378</v>
      </c>
      <c r="U444" s="2" t="s">
        <v>270</v>
      </c>
      <c r="V444" s="2" t="s">
        <v>208</v>
      </c>
      <c r="W444" s="2" t="s">
        <v>379</v>
      </c>
      <c r="X444" s="2" t="s">
        <v>200</v>
      </c>
      <c r="Y444" s="2" t="s">
        <v>2209</v>
      </c>
      <c r="Z444" s="4">
        <v>347</v>
      </c>
      <c r="AA444" s="4">
        <f>=ROUNDDOWN(31.5454545454545,0)</f>
      </c>
      <c r="AB444" s="5">
        <v>11</v>
      </c>
      <c r="AC444" s="2" t="s">
        <v>1141</v>
      </c>
      <c r="AD444" s="4">
        <v>282</v>
      </c>
      <c r="AE444" s="4">
        <v>282</v>
      </c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200</v>
      </c>
      <c r="AM444" s="4"/>
      <c r="AN444" s="4"/>
      <c r="AO444" s="7"/>
      <c r="AP444" s="4"/>
      <c r="AQ444" s="8"/>
      <c r="AR444" s="4"/>
      <c r="AS444" s="8"/>
      <c r="AT444" s="7"/>
      <c r="AU444" s="7"/>
      <c r="AV444" s="4" t="s">
        <v>200</v>
      </c>
      <c r="AW444" s="8" t="s">
        <v>200</v>
      </c>
      <c r="AX444" s="4" t="s">
        <v>200</v>
      </c>
      <c r="AY444" s="8" t="s">
        <v>200</v>
      </c>
      <c r="AZ444" s="7" t="s">
        <v>200</v>
      </c>
      <c r="BA444" s="7" t="s">
        <v>200</v>
      </c>
      <c r="BB444" s="7"/>
      <c r="BC444" s="4" t="s">
        <v>200</v>
      </c>
      <c r="BD444" s="8" t="s">
        <v>200</v>
      </c>
      <c r="BE444" s="4" t="s">
        <v>200</v>
      </c>
      <c r="BF444" s="8" t="s">
        <v>200</v>
      </c>
      <c r="BG444" s="7" t="s">
        <v>200</v>
      </c>
      <c r="BH444" s="7" t="s">
        <v>200</v>
      </c>
      <c r="BI444" s="7"/>
      <c r="BJ444" s="4">
        <v>17</v>
      </c>
      <c r="BK444" s="8">
        <v>600.37</v>
      </c>
      <c r="BL444" s="2" t="s">
        <v>3104</v>
      </c>
      <c r="BM444" s="7"/>
      <c r="BN444" s="7"/>
      <c r="BO444" s="4"/>
      <c r="BP444" s="8"/>
      <c r="BQ444" s="4"/>
      <c r="BR444" s="8"/>
      <c r="BS444" s="7"/>
      <c r="BT444" s="7"/>
      <c r="BU444" s="2" t="s">
        <v>3105</v>
      </c>
      <c r="BV444" s="2" t="s">
        <v>200</v>
      </c>
      <c r="BW444" s="2" t="s">
        <v>200</v>
      </c>
      <c r="BX444" s="2" t="s">
        <v>264</v>
      </c>
      <c r="BY444" s="2" t="s">
        <v>247</v>
      </c>
      <c r="BZ444" s="2" t="s">
        <v>212</v>
      </c>
      <c r="CA444" s="2" t="s">
        <v>3083</v>
      </c>
      <c r="CB444" s="2" t="s">
        <v>3106</v>
      </c>
      <c r="CC444" s="2" t="s">
        <v>213</v>
      </c>
      <c r="CD444" s="2" t="s">
        <v>200</v>
      </c>
      <c r="CE444" s="4">
        <v>347</v>
      </c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>
        <v>282</v>
      </c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</row>
    <row r="445">
      <c r="A445" s="2" t="s">
        <v>3107</v>
      </c>
      <c r="B445" s="2" t="s">
        <v>827</v>
      </c>
      <c r="C445" s="2" t="s">
        <v>231</v>
      </c>
      <c r="D445" s="2" t="s">
        <v>828</v>
      </c>
      <c r="E445" s="2" t="s">
        <v>863</v>
      </c>
      <c r="F445" s="2" t="s">
        <v>3041</v>
      </c>
      <c r="G445" s="2" t="s">
        <v>3042</v>
      </c>
      <c r="H445" s="2" t="s">
        <v>3043</v>
      </c>
      <c r="I445" s="2" t="s">
        <v>3052</v>
      </c>
      <c r="J445" s="2" t="s">
        <v>3066</v>
      </c>
      <c r="K445" s="2" t="s">
        <v>436</v>
      </c>
      <c r="L445" s="3">
        <v>38.4</v>
      </c>
      <c r="M445" s="3">
        <v>40.32</v>
      </c>
      <c r="N445" s="3">
        <v>79.99</v>
      </c>
      <c r="O445" s="2" t="s">
        <v>212</v>
      </c>
      <c r="P445" s="2" t="s">
        <v>258</v>
      </c>
      <c r="Q445" s="2" t="s">
        <v>206</v>
      </c>
      <c r="R445" s="2" t="s">
        <v>200</v>
      </c>
      <c r="S445" s="2" t="s">
        <v>3086</v>
      </c>
      <c r="T445" s="2" t="s">
        <v>378</v>
      </c>
      <c r="U445" s="2" t="s">
        <v>270</v>
      </c>
      <c r="V445" s="2" t="s">
        <v>208</v>
      </c>
      <c r="W445" s="2" t="s">
        <v>379</v>
      </c>
      <c r="X445" s="2" t="s">
        <v>200</v>
      </c>
      <c r="Y445" s="2" t="s">
        <v>2209</v>
      </c>
      <c r="Z445" s="4">
        <v>301</v>
      </c>
      <c r="AA445" s="4">
        <f>=ROUNDDOWN(50.1666666666667,0)</f>
      </c>
      <c r="AB445" s="5">
        <v>6</v>
      </c>
      <c r="AC445" s="2" t="s">
        <v>1141</v>
      </c>
      <c r="AD445" s="4">
        <v>84</v>
      </c>
      <c r="AE445" s="4">
        <v>84</v>
      </c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200</v>
      </c>
      <c r="AM445" s="4"/>
      <c r="AN445" s="4"/>
      <c r="AO445" s="7"/>
      <c r="AP445" s="4"/>
      <c r="AQ445" s="8"/>
      <c r="AR445" s="4"/>
      <c r="AS445" s="8"/>
      <c r="AT445" s="7"/>
      <c r="AU445" s="7"/>
      <c r="AV445" s="4" t="s">
        <v>200</v>
      </c>
      <c r="AW445" s="8" t="s">
        <v>200</v>
      </c>
      <c r="AX445" s="4" t="s">
        <v>200</v>
      </c>
      <c r="AY445" s="8" t="s">
        <v>200</v>
      </c>
      <c r="AZ445" s="7" t="s">
        <v>200</v>
      </c>
      <c r="BA445" s="7" t="s">
        <v>200</v>
      </c>
      <c r="BB445" s="7"/>
      <c r="BC445" s="4" t="s">
        <v>200</v>
      </c>
      <c r="BD445" s="8" t="s">
        <v>200</v>
      </c>
      <c r="BE445" s="4" t="s">
        <v>200</v>
      </c>
      <c r="BF445" s="8" t="s">
        <v>200</v>
      </c>
      <c r="BG445" s="7" t="s">
        <v>200</v>
      </c>
      <c r="BH445" s="7" t="s">
        <v>200</v>
      </c>
      <c r="BI445" s="7"/>
      <c r="BJ445" s="4">
        <v>13</v>
      </c>
      <c r="BK445" s="8">
        <v>465.75</v>
      </c>
      <c r="BL445" s="2" t="s">
        <v>3108</v>
      </c>
      <c r="BM445" s="7"/>
      <c r="BN445" s="7"/>
      <c r="BO445" s="4"/>
      <c r="BP445" s="8"/>
      <c r="BQ445" s="4"/>
      <c r="BR445" s="8"/>
      <c r="BS445" s="7"/>
      <c r="BT445" s="7"/>
      <c r="BU445" s="2" t="s">
        <v>3109</v>
      </c>
      <c r="BV445" s="2" t="s">
        <v>200</v>
      </c>
      <c r="BW445" s="2" t="s">
        <v>200</v>
      </c>
      <c r="BX445" s="2" t="s">
        <v>264</v>
      </c>
      <c r="BY445" s="2" t="s">
        <v>247</v>
      </c>
      <c r="BZ445" s="2" t="s">
        <v>212</v>
      </c>
      <c r="CA445" s="2" t="s">
        <v>3083</v>
      </c>
      <c r="CB445" s="2" t="s">
        <v>3094</v>
      </c>
      <c r="CC445" s="2" t="s">
        <v>213</v>
      </c>
      <c r="CD445" s="2" t="s">
        <v>200</v>
      </c>
      <c r="CE445" s="4">
        <v>301</v>
      </c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>
        <v>84</v>
      </c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</row>
    <row r="446">
      <c r="A446" s="2" t="s">
        <v>3110</v>
      </c>
      <c r="B446" s="2" t="s">
        <v>827</v>
      </c>
      <c r="C446" s="2" t="s">
        <v>1010</v>
      </c>
      <c r="D446" s="2" t="s">
        <v>828</v>
      </c>
      <c r="E446" s="2" t="s">
        <v>878</v>
      </c>
      <c r="F446" s="2" t="s">
        <v>3041</v>
      </c>
      <c r="G446" s="2" t="s">
        <v>3042</v>
      </c>
      <c r="H446" s="2" t="s">
        <v>3043</v>
      </c>
      <c r="I446" s="2" t="s">
        <v>3044</v>
      </c>
      <c r="J446" s="2" t="s">
        <v>883</v>
      </c>
      <c r="K446" s="2" t="s">
        <v>1700</v>
      </c>
      <c r="L446" s="3">
        <v>23.65</v>
      </c>
      <c r="M446" s="3">
        <v>24.83</v>
      </c>
      <c r="N446" s="3">
        <v>54.99</v>
      </c>
      <c r="O446" s="2" t="s">
        <v>212</v>
      </c>
      <c r="P446" s="2" t="s">
        <v>258</v>
      </c>
      <c r="Q446" s="2" t="s">
        <v>206</v>
      </c>
      <c r="R446" s="2" t="s">
        <v>200</v>
      </c>
      <c r="S446" s="2" t="s">
        <v>3111</v>
      </c>
      <c r="T446" s="2" t="s">
        <v>378</v>
      </c>
      <c r="U446" s="2" t="s">
        <v>677</v>
      </c>
      <c r="V446" s="2" t="s">
        <v>208</v>
      </c>
      <c r="W446" s="2" t="s">
        <v>379</v>
      </c>
      <c r="X446" s="2" t="s">
        <v>2936</v>
      </c>
      <c r="Y446" s="2" t="s">
        <v>3071</v>
      </c>
      <c r="Z446" s="4">
        <v>292</v>
      </c>
      <c r="AA446" s="4">
        <f>=ROUNDDOWN(73,0)</f>
      </c>
      <c r="AB446" s="5">
        <v>4</v>
      </c>
      <c r="AC446" s="2" t="s">
        <v>200</v>
      </c>
      <c r="AD446" s="4"/>
      <c r="AE446" s="4"/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200</v>
      </c>
      <c r="AM446" s="4"/>
      <c r="AN446" s="4"/>
      <c r="AO446" s="7"/>
      <c r="AP446" s="4"/>
      <c r="AQ446" s="8"/>
      <c r="AR446" s="4"/>
      <c r="AS446" s="8"/>
      <c r="AT446" s="7"/>
      <c r="AU446" s="7"/>
      <c r="AV446" s="4" t="s">
        <v>200</v>
      </c>
      <c r="AW446" s="8" t="s">
        <v>200</v>
      </c>
      <c r="AX446" s="4" t="s">
        <v>200</v>
      </c>
      <c r="AY446" s="8" t="s">
        <v>200</v>
      </c>
      <c r="AZ446" s="7" t="s">
        <v>200</v>
      </c>
      <c r="BA446" s="7" t="s">
        <v>200</v>
      </c>
      <c r="BB446" s="7"/>
      <c r="BC446" s="4" t="s">
        <v>200</v>
      </c>
      <c r="BD446" s="8" t="s">
        <v>200</v>
      </c>
      <c r="BE446" s="4" t="s">
        <v>200</v>
      </c>
      <c r="BF446" s="8" t="s">
        <v>200</v>
      </c>
      <c r="BG446" s="7" t="s">
        <v>200</v>
      </c>
      <c r="BH446" s="7" t="s">
        <v>200</v>
      </c>
      <c r="BI446" s="7"/>
      <c r="BJ446" s="4">
        <v>12</v>
      </c>
      <c r="BK446" s="8">
        <v>257.7</v>
      </c>
      <c r="BL446" s="2" t="s">
        <v>3112</v>
      </c>
      <c r="BM446" s="7"/>
      <c r="BN446" s="7"/>
      <c r="BO446" s="4"/>
      <c r="BP446" s="8"/>
      <c r="BQ446" s="4"/>
      <c r="BR446" s="8"/>
      <c r="BS446" s="7"/>
      <c r="BT446" s="7"/>
      <c r="BU446" s="2" t="s">
        <v>3113</v>
      </c>
      <c r="BV446" s="2" t="s">
        <v>200</v>
      </c>
      <c r="BW446" s="2" t="s">
        <v>200</v>
      </c>
      <c r="BX446" s="2" t="s">
        <v>264</v>
      </c>
      <c r="BY446" s="2" t="s">
        <v>247</v>
      </c>
      <c r="BZ446" s="2" t="s">
        <v>212</v>
      </c>
      <c r="CA446" s="2" t="s">
        <v>3074</v>
      </c>
      <c r="CB446" s="2" t="s">
        <v>3114</v>
      </c>
      <c r="CC446" s="2" t="s">
        <v>213</v>
      </c>
      <c r="CD446" s="2" t="s">
        <v>200</v>
      </c>
      <c r="CE446" s="4">
        <v>68</v>
      </c>
      <c r="CF446" s="4"/>
      <c r="CG446" s="4"/>
      <c r="CH446" s="4">
        <v>224</v>
      </c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</row>
    <row r="447">
      <c r="A447" s="2" t="s">
        <v>3115</v>
      </c>
      <c r="B447" s="2" t="s">
        <v>827</v>
      </c>
      <c r="C447" s="2" t="s">
        <v>1010</v>
      </c>
      <c r="D447" s="2" t="s">
        <v>828</v>
      </c>
      <c r="E447" s="2" t="s">
        <v>878</v>
      </c>
      <c r="F447" s="2" t="s">
        <v>3041</v>
      </c>
      <c r="G447" s="2" t="s">
        <v>3042</v>
      </c>
      <c r="H447" s="2" t="s">
        <v>3043</v>
      </c>
      <c r="I447" s="2" t="s">
        <v>3044</v>
      </c>
      <c r="J447" s="2" t="s">
        <v>3045</v>
      </c>
      <c r="K447" s="2" t="s">
        <v>1700</v>
      </c>
      <c r="L447" s="3">
        <v>25.8</v>
      </c>
      <c r="M447" s="3">
        <v>27.09</v>
      </c>
      <c r="N447" s="3">
        <v>59.99</v>
      </c>
      <c r="O447" s="2" t="s">
        <v>212</v>
      </c>
      <c r="P447" s="2" t="s">
        <v>258</v>
      </c>
      <c r="Q447" s="2" t="s">
        <v>206</v>
      </c>
      <c r="R447" s="2" t="s">
        <v>200</v>
      </c>
      <c r="S447" s="2" t="s">
        <v>3111</v>
      </c>
      <c r="T447" s="2" t="s">
        <v>378</v>
      </c>
      <c r="U447" s="2" t="s">
        <v>677</v>
      </c>
      <c r="V447" s="2" t="s">
        <v>208</v>
      </c>
      <c r="W447" s="2" t="s">
        <v>379</v>
      </c>
      <c r="X447" s="2" t="s">
        <v>2936</v>
      </c>
      <c r="Y447" s="2" t="s">
        <v>3071</v>
      </c>
      <c r="Z447" s="4">
        <v>296</v>
      </c>
      <c r="AA447" s="4">
        <f>=ROUNDDOWN(49.3333333333333,0)</f>
      </c>
      <c r="AB447" s="5">
        <v>6</v>
      </c>
      <c r="AC447" s="2" t="s">
        <v>200</v>
      </c>
      <c r="AD447" s="4"/>
      <c r="AE447" s="4"/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200</v>
      </c>
      <c r="AM447" s="4"/>
      <c r="AN447" s="4"/>
      <c r="AO447" s="7"/>
      <c r="AP447" s="4"/>
      <c r="AQ447" s="8"/>
      <c r="AR447" s="4"/>
      <c r="AS447" s="8"/>
      <c r="AT447" s="7"/>
      <c r="AU447" s="7"/>
      <c r="AV447" s="4" t="s">
        <v>200</v>
      </c>
      <c r="AW447" s="8" t="s">
        <v>200</v>
      </c>
      <c r="AX447" s="4" t="s">
        <v>200</v>
      </c>
      <c r="AY447" s="8" t="s">
        <v>200</v>
      </c>
      <c r="AZ447" s="7" t="s">
        <v>200</v>
      </c>
      <c r="BA447" s="7" t="s">
        <v>200</v>
      </c>
      <c r="BB447" s="7"/>
      <c r="BC447" s="4" t="s">
        <v>200</v>
      </c>
      <c r="BD447" s="8" t="s">
        <v>200</v>
      </c>
      <c r="BE447" s="4" t="s">
        <v>200</v>
      </c>
      <c r="BF447" s="8" t="s">
        <v>200</v>
      </c>
      <c r="BG447" s="7" t="s">
        <v>200</v>
      </c>
      <c r="BH447" s="7" t="s">
        <v>200</v>
      </c>
      <c r="BI447" s="7"/>
      <c r="BJ447" s="4">
        <v>11</v>
      </c>
      <c r="BK447" s="8">
        <v>472.36</v>
      </c>
      <c r="BL447" s="2" t="s">
        <v>3116</v>
      </c>
      <c r="BM447" s="7"/>
      <c r="BN447" s="7"/>
      <c r="BO447" s="4"/>
      <c r="BP447" s="8"/>
      <c r="BQ447" s="4"/>
      <c r="BR447" s="8"/>
      <c r="BS447" s="7"/>
      <c r="BT447" s="7"/>
      <c r="BU447" s="2" t="s">
        <v>3117</v>
      </c>
      <c r="BV447" s="2" t="s">
        <v>200</v>
      </c>
      <c r="BW447" s="2" t="s">
        <v>200</v>
      </c>
      <c r="BX447" s="2" t="s">
        <v>264</v>
      </c>
      <c r="BY447" s="2" t="s">
        <v>247</v>
      </c>
      <c r="BZ447" s="2" t="s">
        <v>212</v>
      </c>
      <c r="CA447" s="2" t="s">
        <v>3074</v>
      </c>
      <c r="CB447" s="2" t="s">
        <v>3118</v>
      </c>
      <c r="CC447" s="2" t="s">
        <v>213</v>
      </c>
      <c r="CD447" s="2" t="s">
        <v>200</v>
      </c>
      <c r="CE447" s="4">
        <v>296</v>
      </c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</row>
    <row r="448">
      <c r="A448" s="2" t="s">
        <v>3119</v>
      </c>
      <c r="B448" s="2" t="s">
        <v>827</v>
      </c>
      <c r="C448" s="2" t="s">
        <v>231</v>
      </c>
      <c r="D448" s="2" t="s">
        <v>828</v>
      </c>
      <c r="E448" s="2" t="s">
        <v>863</v>
      </c>
      <c r="F448" s="2" t="s">
        <v>3041</v>
      </c>
      <c r="G448" s="2" t="s">
        <v>3042</v>
      </c>
      <c r="H448" s="2" t="s">
        <v>3043</v>
      </c>
      <c r="I448" s="2" t="s">
        <v>3052</v>
      </c>
      <c r="J448" s="2" t="s">
        <v>3091</v>
      </c>
      <c r="K448" s="2" t="s">
        <v>1700</v>
      </c>
      <c r="L448" s="3">
        <v>27</v>
      </c>
      <c r="M448" s="3">
        <v>28.35</v>
      </c>
      <c r="N448" s="3">
        <v>59.99</v>
      </c>
      <c r="O448" s="2" t="s">
        <v>212</v>
      </c>
      <c r="P448" s="2" t="s">
        <v>258</v>
      </c>
      <c r="Q448" s="2" t="s">
        <v>206</v>
      </c>
      <c r="R448" s="2" t="s">
        <v>200</v>
      </c>
      <c r="S448" s="2" t="s">
        <v>3111</v>
      </c>
      <c r="T448" s="2" t="s">
        <v>378</v>
      </c>
      <c r="U448" s="2" t="s">
        <v>270</v>
      </c>
      <c r="V448" s="2" t="s">
        <v>208</v>
      </c>
      <c r="W448" s="2" t="s">
        <v>379</v>
      </c>
      <c r="X448" s="2" t="s">
        <v>200</v>
      </c>
      <c r="Y448" s="2" t="s">
        <v>2209</v>
      </c>
      <c r="Z448" s="4">
        <v>108</v>
      </c>
      <c r="AA448" s="4">
        <f>=ROUNDDOWN(18,0)</f>
      </c>
      <c r="AB448" s="5">
        <v>6</v>
      </c>
      <c r="AC448" s="2" t="s">
        <v>1141</v>
      </c>
      <c r="AD448" s="4">
        <v>84</v>
      </c>
      <c r="AE448" s="4">
        <v>84</v>
      </c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200</v>
      </c>
      <c r="AM448" s="4"/>
      <c r="AN448" s="4"/>
      <c r="AO448" s="7"/>
      <c r="AP448" s="4"/>
      <c r="AQ448" s="8"/>
      <c r="AR448" s="4"/>
      <c r="AS448" s="8"/>
      <c r="AT448" s="7"/>
      <c r="AU448" s="7"/>
      <c r="AV448" s="4" t="s">
        <v>200</v>
      </c>
      <c r="AW448" s="8" t="s">
        <v>200</v>
      </c>
      <c r="AX448" s="4" t="s">
        <v>200</v>
      </c>
      <c r="AY448" s="8" t="s">
        <v>200</v>
      </c>
      <c r="AZ448" s="7" t="s">
        <v>200</v>
      </c>
      <c r="BA448" s="7" t="s">
        <v>200</v>
      </c>
      <c r="BB448" s="7"/>
      <c r="BC448" s="4" t="s">
        <v>200</v>
      </c>
      <c r="BD448" s="8" t="s">
        <v>200</v>
      </c>
      <c r="BE448" s="4" t="s">
        <v>200</v>
      </c>
      <c r="BF448" s="8" t="s">
        <v>200</v>
      </c>
      <c r="BG448" s="7" t="s">
        <v>200</v>
      </c>
      <c r="BH448" s="7" t="s">
        <v>200</v>
      </c>
      <c r="BI448" s="7"/>
      <c r="BJ448" s="4">
        <v>1</v>
      </c>
      <c r="BK448" s="8">
        <v>54.99</v>
      </c>
      <c r="BL448" s="2" t="s">
        <v>3120</v>
      </c>
      <c r="BM448" s="7"/>
      <c r="BN448" s="7"/>
      <c r="BO448" s="4"/>
      <c r="BP448" s="8"/>
      <c r="BQ448" s="4"/>
      <c r="BR448" s="8"/>
      <c r="BS448" s="7"/>
      <c r="BT448" s="7"/>
      <c r="BU448" s="2" t="s">
        <v>3121</v>
      </c>
      <c r="BV448" s="2" t="s">
        <v>200</v>
      </c>
      <c r="BW448" s="2" t="s">
        <v>200</v>
      </c>
      <c r="BX448" s="2" t="s">
        <v>264</v>
      </c>
      <c r="BY448" s="2" t="s">
        <v>247</v>
      </c>
      <c r="BZ448" s="2" t="s">
        <v>212</v>
      </c>
      <c r="CA448" s="2" t="s">
        <v>3083</v>
      </c>
      <c r="CB448" s="2" t="s">
        <v>2857</v>
      </c>
      <c r="CC448" s="2" t="s">
        <v>213</v>
      </c>
      <c r="CD448" s="2" t="s">
        <v>200</v>
      </c>
      <c r="CE448" s="4">
        <v>108</v>
      </c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>
        <v>84</v>
      </c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</row>
    <row r="449">
      <c r="A449" s="2" t="s">
        <v>3122</v>
      </c>
      <c r="B449" s="2" t="s">
        <v>827</v>
      </c>
      <c r="C449" s="2" t="s">
        <v>231</v>
      </c>
      <c r="D449" s="2" t="s">
        <v>828</v>
      </c>
      <c r="E449" s="2" t="s">
        <v>863</v>
      </c>
      <c r="F449" s="2" t="s">
        <v>3041</v>
      </c>
      <c r="G449" s="2" t="s">
        <v>3042</v>
      </c>
      <c r="H449" s="2" t="s">
        <v>3043</v>
      </c>
      <c r="I449" s="2" t="s">
        <v>3052</v>
      </c>
      <c r="J449" s="2" t="s">
        <v>3057</v>
      </c>
      <c r="K449" s="2" t="s">
        <v>1700</v>
      </c>
      <c r="L449" s="3">
        <v>29.25</v>
      </c>
      <c r="M449" s="3">
        <v>30.71</v>
      </c>
      <c r="N449" s="3">
        <v>64.99</v>
      </c>
      <c r="O449" s="2" t="s">
        <v>212</v>
      </c>
      <c r="P449" s="2" t="s">
        <v>258</v>
      </c>
      <c r="Q449" s="2" t="s">
        <v>206</v>
      </c>
      <c r="R449" s="2" t="s">
        <v>200</v>
      </c>
      <c r="S449" s="2" t="s">
        <v>3111</v>
      </c>
      <c r="T449" s="2" t="s">
        <v>378</v>
      </c>
      <c r="U449" s="2" t="s">
        <v>270</v>
      </c>
      <c r="V449" s="2" t="s">
        <v>208</v>
      </c>
      <c r="W449" s="2" t="s">
        <v>379</v>
      </c>
      <c r="X449" s="2" t="s">
        <v>200</v>
      </c>
      <c r="Y449" s="2" t="s">
        <v>2209</v>
      </c>
      <c r="Z449" s="4">
        <v>177</v>
      </c>
      <c r="AA449" s="4">
        <f>=ROUNDDOWN(35.4,0)</f>
      </c>
      <c r="AB449" s="5">
        <v>5</v>
      </c>
      <c r="AC449" s="2" t="s">
        <v>1141</v>
      </c>
      <c r="AD449" s="4">
        <v>72</v>
      </c>
      <c r="AE449" s="4">
        <v>72</v>
      </c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200</v>
      </c>
      <c r="AM449" s="4"/>
      <c r="AN449" s="4"/>
      <c r="AO449" s="7"/>
      <c r="AP449" s="4"/>
      <c r="AQ449" s="8"/>
      <c r="AR449" s="4"/>
      <c r="AS449" s="8"/>
      <c r="AT449" s="7"/>
      <c r="AU449" s="7"/>
      <c r="AV449" s="4" t="s">
        <v>200</v>
      </c>
      <c r="AW449" s="8" t="s">
        <v>200</v>
      </c>
      <c r="AX449" s="4" t="s">
        <v>200</v>
      </c>
      <c r="AY449" s="8" t="s">
        <v>200</v>
      </c>
      <c r="AZ449" s="7" t="s">
        <v>200</v>
      </c>
      <c r="BA449" s="7" t="s">
        <v>200</v>
      </c>
      <c r="BB449" s="7"/>
      <c r="BC449" s="4" t="s">
        <v>200</v>
      </c>
      <c r="BD449" s="8" t="s">
        <v>200</v>
      </c>
      <c r="BE449" s="4" t="s">
        <v>200</v>
      </c>
      <c r="BF449" s="8" t="s">
        <v>200</v>
      </c>
      <c r="BG449" s="7" t="s">
        <v>200</v>
      </c>
      <c r="BH449" s="7" t="s">
        <v>200</v>
      </c>
      <c r="BI449" s="7"/>
      <c r="BJ449" s="4">
        <v>3</v>
      </c>
      <c r="BK449" s="8">
        <v>142.63</v>
      </c>
      <c r="BL449" s="2" t="s">
        <v>3123</v>
      </c>
      <c r="BM449" s="7"/>
      <c r="BN449" s="7"/>
      <c r="BO449" s="4"/>
      <c r="BP449" s="8"/>
      <c r="BQ449" s="4"/>
      <c r="BR449" s="8"/>
      <c r="BS449" s="7"/>
      <c r="BT449" s="7"/>
      <c r="BU449" s="2" t="s">
        <v>3124</v>
      </c>
      <c r="BV449" s="2" t="s">
        <v>200</v>
      </c>
      <c r="BW449" s="2" t="s">
        <v>200</v>
      </c>
      <c r="BX449" s="2" t="s">
        <v>264</v>
      </c>
      <c r="BY449" s="2" t="s">
        <v>247</v>
      </c>
      <c r="BZ449" s="2" t="s">
        <v>212</v>
      </c>
      <c r="CA449" s="2" t="s">
        <v>3083</v>
      </c>
      <c r="CB449" s="2" t="s">
        <v>1834</v>
      </c>
      <c r="CC449" s="2" t="s">
        <v>213</v>
      </c>
      <c r="CD449" s="2" t="s">
        <v>200</v>
      </c>
      <c r="CE449" s="4">
        <v>177</v>
      </c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>
        <v>72</v>
      </c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</row>
    <row r="450">
      <c r="A450" s="2" t="s">
        <v>3125</v>
      </c>
      <c r="B450" s="2" t="s">
        <v>827</v>
      </c>
      <c r="C450" s="2" t="s">
        <v>231</v>
      </c>
      <c r="D450" s="2" t="s">
        <v>828</v>
      </c>
      <c r="E450" s="2" t="s">
        <v>863</v>
      </c>
      <c r="F450" s="2" t="s">
        <v>3041</v>
      </c>
      <c r="G450" s="2" t="s">
        <v>3042</v>
      </c>
      <c r="H450" s="2" t="s">
        <v>3043</v>
      </c>
      <c r="I450" s="2" t="s">
        <v>3052</v>
      </c>
      <c r="J450" s="2" t="s">
        <v>868</v>
      </c>
      <c r="K450" s="2" t="s">
        <v>1700</v>
      </c>
      <c r="L450" s="3">
        <v>32.2</v>
      </c>
      <c r="M450" s="3">
        <v>33.81</v>
      </c>
      <c r="N450" s="3">
        <v>69.99</v>
      </c>
      <c r="O450" s="2" t="s">
        <v>212</v>
      </c>
      <c r="P450" s="2" t="s">
        <v>258</v>
      </c>
      <c r="Q450" s="2" t="s">
        <v>206</v>
      </c>
      <c r="R450" s="2" t="s">
        <v>200</v>
      </c>
      <c r="S450" s="2" t="s">
        <v>3111</v>
      </c>
      <c r="T450" s="2" t="s">
        <v>378</v>
      </c>
      <c r="U450" s="2" t="s">
        <v>270</v>
      </c>
      <c r="V450" s="2" t="s">
        <v>208</v>
      </c>
      <c r="W450" s="2" t="s">
        <v>379</v>
      </c>
      <c r="X450" s="2" t="s">
        <v>200</v>
      </c>
      <c r="Y450" s="2" t="s">
        <v>2209</v>
      </c>
      <c r="Z450" s="4">
        <v>259</v>
      </c>
      <c r="AA450" s="4">
        <f>=ROUNDDOWN(51.8,0)</f>
      </c>
      <c r="AB450" s="5">
        <v>5</v>
      </c>
      <c r="AC450" s="2" t="s">
        <v>1141</v>
      </c>
      <c r="AD450" s="4">
        <v>132</v>
      </c>
      <c r="AE450" s="4">
        <v>132</v>
      </c>
      <c r="AF450" s="6">
        <v>65</v>
      </c>
      <c r="AG450" s="6"/>
      <c r="AH450" s="7">
        <v>1</v>
      </c>
      <c r="AI450" s="4"/>
      <c r="AJ450" s="4">
        <f>=ROUNDDOWN({0},0)</f>
      </c>
      <c r="AK450" s="5"/>
      <c r="AL450" s="2" t="s">
        <v>200</v>
      </c>
      <c r="AM450" s="4"/>
      <c r="AN450" s="4"/>
      <c r="AO450" s="7"/>
      <c r="AP450" s="4"/>
      <c r="AQ450" s="8"/>
      <c r="AR450" s="4"/>
      <c r="AS450" s="8"/>
      <c r="AT450" s="7"/>
      <c r="AU450" s="7"/>
      <c r="AV450" s="4" t="s">
        <v>200</v>
      </c>
      <c r="AW450" s="8" t="s">
        <v>200</v>
      </c>
      <c r="AX450" s="4" t="s">
        <v>200</v>
      </c>
      <c r="AY450" s="8" t="s">
        <v>200</v>
      </c>
      <c r="AZ450" s="7" t="s">
        <v>200</v>
      </c>
      <c r="BA450" s="7" t="s">
        <v>200</v>
      </c>
      <c r="BB450" s="7"/>
      <c r="BC450" s="4" t="s">
        <v>200</v>
      </c>
      <c r="BD450" s="8" t="s">
        <v>200</v>
      </c>
      <c r="BE450" s="4" t="s">
        <v>200</v>
      </c>
      <c r="BF450" s="8" t="s">
        <v>200</v>
      </c>
      <c r="BG450" s="7" t="s">
        <v>200</v>
      </c>
      <c r="BH450" s="7" t="s">
        <v>200</v>
      </c>
      <c r="BI450" s="7"/>
      <c r="BJ450" s="4">
        <v>12</v>
      </c>
      <c r="BK450" s="8">
        <v>438.21</v>
      </c>
      <c r="BL450" s="2" t="s">
        <v>3126</v>
      </c>
      <c r="BM450" s="7"/>
      <c r="BN450" s="7"/>
      <c r="BO450" s="4"/>
      <c r="BP450" s="8"/>
      <c r="BQ450" s="4"/>
      <c r="BR450" s="8"/>
      <c r="BS450" s="7"/>
      <c r="BT450" s="7"/>
      <c r="BU450" s="2" t="s">
        <v>3127</v>
      </c>
      <c r="BV450" s="2" t="s">
        <v>200</v>
      </c>
      <c r="BW450" s="2" t="s">
        <v>200</v>
      </c>
      <c r="BX450" s="2" t="s">
        <v>264</v>
      </c>
      <c r="BY450" s="2" t="s">
        <v>247</v>
      </c>
      <c r="BZ450" s="2" t="s">
        <v>212</v>
      </c>
      <c r="CA450" s="2" t="s">
        <v>3083</v>
      </c>
      <c r="CB450" s="2" t="s">
        <v>3106</v>
      </c>
      <c r="CC450" s="2" t="s">
        <v>213</v>
      </c>
      <c r="CD450" s="2" t="s">
        <v>200</v>
      </c>
      <c r="CE450" s="4">
        <v>259</v>
      </c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>
        <v>132</v>
      </c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</row>
    <row r="451">
      <c r="A451" s="2" t="s">
        <v>3128</v>
      </c>
      <c r="B451" s="2" t="s">
        <v>827</v>
      </c>
      <c r="C451" s="2" t="s">
        <v>231</v>
      </c>
      <c r="D451" s="2" t="s">
        <v>828</v>
      </c>
      <c r="E451" s="2" t="s">
        <v>863</v>
      </c>
      <c r="F451" s="2" t="s">
        <v>3041</v>
      </c>
      <c r="G451" s="2" t="s">
        <v>3042</v>
      </c>
      <c r="H451" s="2" t="s">
        <v>3043</v>
      </c>
      <c r="I451" s="2" t="s">
        <v>3052</v>
      </c>
      <c r="J451" s="2" t="s">
        <v>3066</v>
      </c>
      <c r="K451" s="2" t="s">
        <v>1700</v>
      </c>
      <c r="L451" s="3">
        <v>38.4</v>
      </c>
      <c r="M451" s="3">
        <v>40.32</v>
      </c>
      <c r="N451" s="3">
        <v>79.99</v>
      </c>
      <c r="O451" s="2" t="s">
        <v>212</v>
      </c>
      <c r="P451" s="2" t="s">
        <v>258</v>
      </c>
      <c r="Q451" s="2" t="s">
        <v>206</v>
      </c>
      <c r="R451" s="2" t="s">
        <v>200</v>
      </c>
      <c r="S451" s="2" t="s">
        <v>3111</v>
      </c>
      <c r="T451" s="2" t="s">
        <v>378</v>
      </c>
      <c r="U451" s="2" t="s">
        <v>270</v>
      </c>
      <c r="V451" s="2" t="s">
        <v>208</v>
      </c>
      <c r="W451" s="2" t="s">
        <v>379</v>
      </c>
      <c r="X451" s="2" t="s">
        <v>200</v>
      </c>
      <c r="Y451" s="2" t="s">
        <v>2209</v>
      </c>
      <c r="Z451" s="4">
        <v>75</v>
      </c>
      <c r="AA451" s="4">
        <f>=ROUNDDOWN(15,0)</f>
      </c>
      <c r="AB451" s="5">
        <v>5</v>
      </c>
      <c r="AC451" s="2" t="s">
        <v>1141</v>
      </c>
      <c r="AD451" s="4">
        <v>60</v>
      </c>
      <c r="AE451" s="4">
        <v>60</v>
      </c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200</v>
      </c>
      <c r="AM451" s="4"/>
      <c r="AN451" s="4"/>
      <c r="AO451" s="7"/>
      <c r="AP451" s="4"/>
      <c r="AQ451" s="8"/>
      <c r="AR451" s="4"/>
      <c r="AS451" s="8"/>
      <c r="AT451" s="7"/>
      <c r="AU451" s="7"/>
      <c r="AV451" s="4" t="s">
        <v>200</v>
      </c>
      <c r="AW451" s="8" t="s">
        <v>200</v>
      </c>
      <c r="AX451" s="4" t="s">
        <v>200</v>
      </c>
      <c r="AY451" s="8" t="s">
        <v>200</v>
      </c>
      <c r="AZ451" s="7" t="s">
        <v>200</v>
      </c>
      <c r="BA451" s="7" t="s">
        <v>200</v>
      </c>
      <c r="BB451" s="7"/>
      <c r="BC451" s="4" t="s">
        <v>200</v>
      </c>
      <c r="BD451" s="8" t="s">
        <v>200</v>
      </c>
      <c r="BE451" s="4" t="s">
        <v>200</v>
      </c>
      <c r="BF451" s="8" t="s">
        <v>200</v>
      </c>
      <c r="BG451" s="7" t="s">
        <v>200</v>
      </c>
      <c r="BH451" s="7" t="s">
        <v>200</v>
      </c>
      <c r="BI451" s="7"/>
      <c r="BJ451" s="4">
        <v>28</v>
      </c>
      <c r="BK451" s="8">
        <v>1193.44</v>
      </c>
      <c r="BL451" s="2" t="s">
        <v>1756</v>
      </c>
      <c r="BM451" s="7"/>
      <c r="BN451" s="7"/>
      <c r="BO451" s="4"/>
      <c r="BP451" s="8"/>
      <c r="BQ451" s="4"/>
      <c r="BR451" s="8"/>
      <c r="BS451" s="7"/>
      <c r="BT451" s="7"/>
      <c r="BU451" s="2" t="s">
        <v>3129</v>
      </c>
      <c r="BV451" s="2" t="s">
        <v>200</v>
      </c>
      <c r="BW451" s="2" t="s">
        <v>200</v>
      </c>
      <c r="BX451" s="2" t="s">
        <v>264</v>
      </c>
      <c r="BY451" s="2" t="s">
        <v>247</v>
      </c>
      <c r="BZ451" s="2" t="s">
        <v>212</v>
      </c>
      <c r="CA451" s="2" t="s">
        <v>3083</v>
      </c>
      <c r="CB451" s="2" t="s">
        <v>3130</v>
      </c>
      <c r="CC451" s="2" t="s">
        <v>213</v>
      </c>
      <c r="CD451" s="2" t="s">
        <v>200</v>
      </c>
      <c r="CE451" s="4">
        <v>75</v>
      </c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>
        <v>60</v>
      </c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</row>
    <row r="452">
      <c r="A452" s="2" t="s">
        <v>3131</v>
      </c>
      <c r="B452" s="2" t="s">
        <v>250</v>
      </c>
      <c r="C452" s="2" t="s">
        <v>1167</v>
      </c>
      <c r="D452" s="2" t="s">
        <v>2254</v>
      </c>
      <c r="E452" s="2" t="s">
        <v>3132</v>
      </c>
      <c r="F452" s="2" t="s">
        <v>3133</v>
      </c>
      <c r="G452" s="2" t="s">
        <v>3133</v>
      </c>
      <c r="H452" s="2" t="s">
        <v>3133</v>
      </c>
      <c r="I452" s="2" t="s">
        <v>3134</v>
      </c>
      <c r="J452" s="2" t="s">
        <v>1173</v>
      </c>
      <c r="K452" s="2" t="s">
        <v>221</v>
      </c>
      <c r="L452" s="3">
        <v>15.33</v>
      </c>
      <c r="M452" s="3">
        <v>16.1</v>
      </c>
      <c r="N452" s="3">
        <v>34.99</v>
      </c>
      <c r="O452" s="2" t="s">
        <v>212</v>
      </c>
      <c r="P452" s="2" t="s">
        <v>205</v>
      </c>
      <c r="Q452" s="2" t="s">
        <v>206</v>
      </c>
      <c r="R452" s="2" t="s">
        <v>200</v>
      </c>
      <c r="S452" s="2" t="s">
        <v>3135</v>
      </c>
      <c r="T452" s="2" t="s">
        <v>3136</v>
      </c>
      <c r="U452" s="2" t="s">
        <v>270</v>
      </c>
      <c r="V452" s="2" t="s">
        <v>208</v>
      </c>
      <c r="W452" s="2" t="s">
        <v>241</v>
      </c>
      <c r="X452" s="2" t="s">
        <v>200</v>
      </c>
      <c r="Y452" s="2" t="s">
        <v>3137</v>
      </c>
      <c r="Z452" s="4">
        <v>839</v>
      </c>
      <c r="AA452" s="4">
        <f>=ROUNDDOWN(33.56,0)</f>
      </c>
      <c r="AB452" s="5">
        <v>25</v>
      </c>
      <c r="AC452" s="2" t="s">
        <v>200</v>
      </c>
      <c r="AD452" s="4"/>
      <c r="AE452" s="4"/>
      <c r="AF452" s="6">
        <v>65</v>
      </c>
      <c r="AG452" s="6"/>
      <c r="AH452" s="7">
        <v>0.8333</v>
      </c>
      <c r="AI452" s="4"/>
      <c r="AJ452" s="4">
        <f>=ROUNDDOWN({0},0)</f>
      </c>
      <c r="AK452" s="5"/>
      <c r="AL452" s="2" t="s">
        <v>200</v>
      </c>
      <c r="AM452" s="4"/>
      <c r="AN452" s="4"/>
      <c r="AO452" s="7"/>
      <c r="AP452" s="4"/>
      <c r="AQ452" s="8"/>
      <c r="AR452" s="4"/>
      <c r="AS452" s="8"/>
      <c r="AT452" s="7"/>
      <c r="AU452" s="7"/>
      <c r="AV452" s="4"/>
      <c r="AW452" s="8"/>
      <c r="AX452" s="4"/>
      <c r="AY452" s="8"/>
      <c r="AZ452" s="7"/>
      <c r="BA452" s="7"/>
      <c r="BB452" s="7"/>
      <c r="BC452" s="4" t="s">
        <v>200</v>
      </c>
      <c r="BD452" s="8" t="s">
        <v>200</v>
      </c>
      <c r="BE452" s="4" t="s">
        <v>200</v>
      </c>
      <c r="BF452" s="8" t="s">
        <v>200</v>
      </c>
      <c r="BG452" s="7" t="s">
        <v>200</v>
      </c>
      <c r="BH452" s="7" t="s">
        <v>200</v>
      </c>
      <c r="BI452" s="7"/>
      <c r="BJ452" s="4">
        <v>569</v>
      </c>
      <c r="BK452" s="8">
        <v>9661.98</v>
      </c>
      <c r="BL452" s="2" t="s">
        <v>3138</v>
      </c>
      <c r="BM452" s="7"/>
      <c r="BN452" s="7"/>
      <c r="BO452" s="4"/>
      <c r="BP452" s="8"/>
      <c r="BQ452" s="4"/>
      <c r="BR452" s="8"/>
      <c r="BS452" s="7"/>
      <c r="BT452" s="7"/>
      <c r="BU452" s="2" t="s">
        <v>3139</v>
      </c>
      <c r="BV452" s="2" t="s">
        <v>200</v>
      </c>
      <c r="BW452" s="2" t="s">
        <v>200</v>
      </c>
      <c r="BX452" s="2" t="s">
        <v>3140</v>
      </c>
      <c r="BY452" s="2" t="s">
        <v>247</v>
      </c>
      <c r="BZ452" s="2" t="s">
        <v>212</v>
      </c>
      <c r="CA452" s="2" t="s">
        <v>2612</v>
      </c>
      <c r="CB452" s="2" t="s">
        <v>3141</v>
      </c>
      <c r="CC452" s="2" t="s">
        <v>213</v>
      </c>
      <c r="CD452" s="2" t="s">
        <v>200</v>
      </c>
      <c r="CE452" s="4">
        <v>839</v>
      </c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</row>
    <row r="453">
      <c r="A453" s="2" t="s">
        <v>3142</v>
      </c>
      <c r="B453" s="2" t="s">
        <v>250</v>
      </c>
      <c r="C453" s="2" t="s">
        <v>1167</v>
      </c>
      <c r="D453" s="2" t="s">
        <v>2254</v>
      </c>
      <c r="E453" s="2" t="s">
        <v>3132</v>
      </c>
      <c r="F453" s="2" t="s">
        <v>3133</v>
      </c>
      <c r="G453" s="2" t="s">
        <v>3133</v>
      </c>
      <c r="H453" s="2" t="s">
        <v>3133</v>
      </c>
      <c r="I453" s="2" t="s">
        <v>3134</v>
      </c>
      <c r="J453" s="2" t="s">
        <v>1173</v>
      </c>
      <c r="K453" s="2" t="s">
        <v>436</v>
      </c>
      <c r="L453" s="3">
        <v>15.33</v>
      </c>
      <c r="M453" s="3">
        <v>16.1</v>
      </c>
      <c r="N453" s="3">
        <v>34.99</v>
      </c>
      <c r="O453" s="2" t="s">
        <v>212</v>
      </c>
      <c r="P453" s="2" t="s">
        <v>205</v>
      </c>
      <c r="Q453" s="2" t="s">
        <v>206</v>
      </c>
      <c r="R453" s="2" t="s">
        <v>200</v>
      </c>
      <c r="S453" s="2" t="s">
        <v>3143</v>
      </c>
      <c r="T453" s="2" t="s">
        <v>3136</v>
      </c>
      <c r="U453" s="2" t="s">
        <v>270</v>
      </c>
      <c r="V453" s="2" t="s">
        <v>208</v>
      </c>
      <c r="W453" s="2" t="s">
        <v>241</v>
      </c>
      <c r="X453" s="2" t="s">
        <v>200</v>
      </c>
      <c r="Y453" s="2" t="s">
        <v>3137</v>
      </c>
      <c r="Z453" s="4">
        <v>800</v>
      </c>
      <c r="AA453" s="4">
        <f>=ROUNDDOWN(44.4444444444444,0)</f>
      </c>
      <c r="AB453" s="5">
        <v>18</v>
      </c>
      <c r="AC453" s="2" t="s">
        <v>1105</v>
      </c>
      <c r="AD453" s="4">
        <v>800</v>
      </c>
      <c r="AE453" s="4">
        <v>800</v>
      </c>
      <c r="AF453" s="6">
        <v>65</v>
      </c>
      <c r="AG453" s="6"/>
      <c r="AH453" s="7">
        <v>0.8667</v>
      </c>
      <c r="AI453" s="4"/>
      <c r="AJ453" s="4">
        <f>=ROUNDDOWN({0},0)</f>
      </c>
      <c r="AK453" s="5"/>
      <c r="AL453" s="2" t="s">
        <v>200</v>
      </c>
      <c r="AM453" s="4"/>
      <c r="AN453" s="4"/>
      <c r="AO453" s="7"/>
      <c r="AP453" s="4"/>
      <c r="AQ453" s="8"/>
      <c r="AR453" s="4"/>
      <c r="AS453" s="8"/>
      <c r="AT453" s="7"/>
      <c r="AU453" s="7"/>
      <c r="AV453" s="4"/>
      <c r="AW453" s="8"/>
      <c r="AX453" s="4"/>
      <c r="AY453" s="8"/>
      <c r="AZ453" s="7"/>
      <c r="BA453" s="7"/>
      <c r="BB453" s="7"/>
      <c r="BC453" s="4" t="s">
        <v>200</v>
      </c>
      <c r="BD453" s="8" t="s">
        <v>200</v>
      </c>
      <c r="BE453" s="4" t="s">
        <v>200</v>
      </c>
      <c r="BF453" s="8" t="s">
        <v>200</v>
      </c>
      <c r="BG453" s="7" t="s">
        <v>200</v>
      </c>
      <c r="BH453" s="7" t="s">
        <v>200</v>
      </c>
      <c r="BI453" s="7"/>
      <c r="BJ453" s="4">
        <v>586</v>
      </c>
      <c r="BK453" s="8">
        <v>9913.35</v>
      </c>
      <c r="BL453" s="2" t="s">
        <v>913</v>
      </c>
      <c r="BM453" s="7"/>
      <c r="BN453" s="7"/>
      <c r="BO453" s="4"/>
      <c r="BP453" s="8"/>
      <c r="BQ453" s="4"/>
      <c r="BR453" s="8"/>
      <c r="BS453" s="7"/>
      <c r="BT453" s="7"/>
      <c r="BU453" s="2" t="s">
        <v>3144</v>
      </c>
      <c r="BV453" s="2" t="s">
        <v>200</v>
      </c>
      <c r="BW453" s="2" t="s">
        <v>200</v>
      </c>
      <c r="BX453" s="2" t="s">
        <v>3140</v>
      </c>
      <c r="BY453" s="2" t="s">
        <v>247</v>
      </c>
      <c r="BZ453" s="2" t="s">
        <v>212</v>
      </c>
      <c r="CA453" s="2" t="s">
        <v>2612</v>
      </c>
      <c r="CB453" s="2" t="s">
        <v>200</v>
      </c>
      <c r="CC453" s="2" t="s">
        <v>213</v>
      </c>
      <c r="CD453" s="2" t="s">
        <v>200</v>
      </c>
      <c r="CE453" s="4">
        <v>800</v>
      </c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>
        <v>800</v>
      </c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</row>
    <row r="454">
      <c r="A454" s="2" t="s">
        <v>3145</v>
      </c>
      <c r="B454" s="2" t="s">
        <v>250</v>
      </c>
      <c r="C454" s="2" t="s">
        <v>1167</v>
      </c>
      <c r="D454" s="2" t="s">
        <v>2254</v>
      </c>
      <c r="E454" s="2" t="s">
        <v>3132</v>
      </c>
      <c r="F454" s="2" t="s">
        <v>3133</v>
      </c>
      <c r="G454" s="2" t="s">
        <v>3133</v>
      </c>
      <c r="H454" s="2" t="s">
        <v>3133</v>
      </c>
      <c r="I454" s="2" t="s">
        <v>3134</v>
      </c>
      <c r="J454" s="2" t="s">
        <v>1173</v>
      </c>
      <c r="K454" s="2" t="s">
        <v>223</v>
      </c>
      <c r="L454" s="3">
        <v>15.33</v>
      </c>
      <c r="M454" s="3">
        <v>16.1</v>
      </c>
      <c r="N454" s="3">
        <v>34.99</v>
      </c>
      <c r="O454" s="2" t="s">
        <v>212</v>
      </c>
      <c r="P454" s="2" t="s">
        <v>205</v>
      </c>
      <c r="Q454" s="2" t="s">
        <v>206</v>
      </c>
      <c r="R454" s="2" t="s">
        <v>200</v>
      </c>
      <c r="S454" s="2" t="s">
        <v>3146</v>
      </c>
      <c r="T454" s="2" t="s">
        <v>3136</v>
      </c>
      <c r="U454" s="2" t="s">
        <v>270</v>
      </c>
      <c r="V454" s="2" t="s">
        <v>208</v>
      </c>
      <c r="W454" s="2" t="s">
        <v>241</v>
      </c>
      <c r="X454" s="2" t="s">
        <v>200</v>
      </c>
      <c r="Y454" s="2" t="s">
        <v>3137</v>
      </c>
      <c r="Z454" s="4">
        <v>676</v>
      </c>
      <c r="AA454" s="4">
        <f>=ROUNDDOWN(30.7272727272727,0)</f>
      </c>
      <c r="AB454" s="5">
        <v>22</v>
      </c>
      <c r="AC454" s="2" t="s">
        <v>200</v>
      </c>
      <c r="AD454" s="4"/>
      <c r="AE454" s="4"/>
      <c r="AF454" s="6">
        <v>65</v>
      </c>
      <c r="AG454" s="6"/>
      <c r="AH454" s="7">
        <v>0.8</v>
      </c>
      <c r="AI454" s="4"/>
      <c r="AJ454" s="4">
        <f>=ROUNDDOWN({0},0)</f>
      </c>
      <c r="AK454" s="5"/>
      <c r="AL454" s="2" t="s">
        <v>200</v>
      </c>
      <c r="AM454" s="4"/>
      <c r="AN454" s="4"/>
      <c r="AO454" s="7"/>
      <c r="AP454" s="4"/>
      <c r="AQ454" s="8"/>
      <c r="AR454" s="4"/>
      <c r="AS454" s="8"/>
      <c r="AT454" s="7"/>
      <c r="AU454" s="7"/>
      <c r="AV454" s="4"/>
      <c r="AW454" s="8"/>
      <c r="AX454" s="4"/>
      <c r="AY454" s="8"/>
      <c r="AZ454" s="7"/>
      <c r="BA454" s="7"/>
      <c r="BB454" s="7"/>
      <c r="BC454" s="4" t="s">
        <v>200</v>
      </c>
      <c r="BD454" s="8" t="s">
        <v>200</v>
      </c>
      <c r="BE454" s="4" t="s">
        <v>200</v>
      </c>
      <c r="BF454" s="8" t="s">
        <v>200</v>
      </c>
      <c r="BG454" s="7" t="s">
        <v>200</v>
      </c>
      <c r="BH454" s="7" t="s">
        <v>200</v>
      </c>
      <c r="BI454" s="7"/>
      <c r="BJ454" s="4">
        <v>586</v>
      </c>
      <c r="BK454" s="8">
        <v>9949.03</v>
      </c>
      <c r="BL454" s="2" t="s">
        <v>3147</v>
      </c>
      <c r="BM454" s="7"/>
      <c r="BN454" s="7"/>
      <c r="BO454" s="4"/>
      <c r="BP454" s="8"/>
      <c r="BQ454" s="4"/>
      <c r="BR454" s="8"/>
      <c r="BS454" s="7"/>
      <c r="BT454" s="7"/>
      <c r="BU454" s="2" t="s">
        <v>3148</v>
      </c>
      <c r="BV454" s="2" t="s">
        <v>200</v>
      </c>
      <c r="BW454" s="2" t="s">
        <v>200</v>
      </c>
      <c r="BX454" s="2" t="s">
        <v>3140</v>
      </c>
      <c r="BY454" s="2" t="s">
        <v>247</v>
      </c>
      <c r="BZ454" s="2" t="s">
        <v>212</v>
      </c>
      <c r="CA454" s="2" t="s">
        <v>2612</v>
      </c>
      <c r="CB454" s="2" t="s">
        <v>200</v>
      </c>
      <c r="CC454" s="2" t="s">
        <v>213</v>
      </c>
      <c r="CD454" s="2" t="s">
        <v>200</v>
      </c>
      <c r="CE454" s="4">
        <v>676</v>
      </c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</row>
    <row r="455">
      <c r="A455" s="2" t="s">
        <v>3149</v>
      </c>
      <c r="B455" s="2" t="s">
        <v>250</v>
      </c>
      <c r="C455" s="2" t="s">
        <v>1167</v>
      </c>
      <c r="D455" s="2" t="s">
        <v>2254</v>
      </c>
      <c r="E455" s="2" t="s">
        <v>3132</v>
      </c>
      <c r="F455" s="2" t="s">
        <v>3133</v>
      </c>
      <c r="G455" s="2" t="s">
        <v>3133</v>
      </c>
      <c r="H455" s="2" t="s">
        <v>3133</v>
      </c>
      <c r="I455" s="2" t="s">
        <v>3134</v>
      </c>
      <c r="J455" s="2" t="s">
        <v>1173</v>
      </c>
      <c r="K455" s="2" t="s">
        <v>2163</v>
      </c>
      <c r="L455" s="3">
        <v>15.33</v>
      </c>
      <c r="M455" s="3">
        <v>16.1</v>
      </c>
      <c r="N455" s="3">
        <v>34.99</v>
      </c>
      <c r="O455" s="2" t="s">
        <v>212</v>
      </c>
      <c r="P455" s="2" t="s">
        <v>205</v>
      </c>
      <c r="Q455" s="2" t="s">
        <v>206</v>
      </c>
      <c r="R455" s="2" t="s">
        <v>200</v>
      </c>
      <c r="S455" s="2" t="s">
        <v>3150</v>
      </c>
      <c r="T455" s="2" t="s">
        <v>3136</v>
      </c>
      <c r="U455" s="2" t="s">
        <v>270</v>
      </c>
      <c r="V455" s="2" t="s">
        <v>208</v>
      </c>
      <c r="W455" s="2" t="s">
        <v>241</v>
      </c>
      <c r="X455" s="2" t="s">
        <v>200</v>
      </c>
      <c r="Y455" s="2" t="s">
        <v>3137</v>
      </c>
      <c r="Z455" s="4">
        <v>584</v>
      </c>
      <c r="AA455" s="4">
        <f>=ROUNDDOWN(27.8095238095238,0)</f>
      </c>
      <c r="AB455" s="5">
        <v>21</v>
      </c>
      <c r="AC455" s="2" t="s">
        <v>200</v>
      </c>
      <c r="AD455" s="4"/>
      <c r="AE455" s="4"/>
      <c r="AF455" s="6">
        <v>65</v>
      </c>
      <c r="AG455" s="6"/>
      <c r="AH455" s="7">
        <v>0.9</v>
      </c>
      <c r="AI455" s="4"/>
      <c r="AJ455" s="4">
        <f>=ROUNDDOWN({0},0)</f>
      </c>
      <c r="AK455" s="5"/>
      <c r="AL455" s="2" t="s">
        <v>200</v>
      </c>
      <c r="AM455" s="4"/>
      <c r="AN455" s="4"/>
      <c r="AO455" s="7"/>
      <c r="AP455" s="4"/>
      <c r="AQ455" s="8"/>
      <c r="AR455" s="4"/>
      <c r="AS455" s="8"/>
      <c r="AT455" s="7"/>
      <c r="AU455" s="7"/>
      <c r="AV455" s="4"/>
      <c r="AW455" s="8"/>
      <c r="AX455" s="4"/>
      <c r="AY455" s="8"/>
      <c r="AZ455" s="7"/>
      <c r="BA455" s="7"/>
      <c r="BB455" s="7"/>
      <c r="BC455" s="4" t="s">
        <v>200</v>
      </c>
      <c r="BD455" s="8" t="s">
        <v>200</v>
      </c>
      <c r="BE455" s="4" t="s">
        <v>200</v>
      </c>
      <c r="BF455" s="8" t="s">
        <v>200</v>
      </c>
      <c r="BG455" s="7" t="s">
        <v>200</v>
      </c>
      <c r="BH455" s="7" t="s">
        <v>200</v>
      </c>
      <c r="BI455" s="7"/>
      <c r="BJ455" s="4">
        <v>699</v>
      </c>
      <c r="BK455" s="8">
        <v>11832.42</v>
      </c>
      <c r="BL455" s="2" t="s">
        <v>1184</v>
      </c>
      <c r="BM455" s="7"/>
      <c r="BN455" s="7"/>
      <c r="BO455" s="4"/>
      <c r="BP455" s="8"/>
      <c r="BQ455" s="4"/>
      <c r="BR455" s="8"/>
      <c r="BS455" s="7"/>
      <c r="BT455" s="7"/>
      <c r="BU455" s="2" t="s">
        <v>3151</v>
      </c>
      <c r="BV455" s="2" t="s">
        <v>200</v>
      </c>
      <c r="BW455" s="2" t="s">
        <v>200</v>
      </c>
      <c r="BX455" s="2" t="s">
        <v>3140</v>
      </c>
      <c r="BY455" s="2" t="s">
        <v>247</v>
      </c>
      <c r="BZ455" s="2" t="s">
        <v>212</v>
      </c>
      <c r="CA455" s="2" t="s">
        <v>2612</v>
      </c>
      <c r="CB455" s="2" t="s">
        <v>200</v>
      </c>
      <c r="CC455" s="2" t="s">
        <v>213</v>
      </c>
      <c r="CD455" s="2" t="s">
        <v>200</v>
      </c>
      <c r="CE455" s="4">
        <v>584</v>
      </c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</row>
    <row r="456">
      <c r="A456" s="2" t="s">
        <v>3152</v>
      </c>
      <c r="B456" s="2" t="s">
        <v>250</v>
      </c>
      <c r="C456" s="2" t="s">
        <v>1167</v>
      </c>
      <c r="D456" s="2" t="s">
        <v>197</v>
      </c>
      <c r="E456" s="2" t="s">
        <v>2477</v>
      </c>
      <c r="F456" s="2" t="s">
        <v>3133</v>
      </c>
      <c r="G456" s="2" t="s">
        <v>3133</v>
      </c>
      <c r="H456" s="2" t="s">
        <v>3133</v>
      </c>
      <c r="I456" s="2" t="s">
        <v>3153</v>
      </c>
      <c r="J456" s="2" t="s">
        <v>256</v>
      </c>
      <c r="K456" s="2" t="s">
        <v>257</v>
      </c>
      <c r="L456" s="3">
        <v>22.85</v>
      </c>
      <c r="M456" s="3">
        <v>23.99</v>
      </c>
      <c r="N456" s="3">
        <v>49.99</v>
      </c>
      <c r="O456" s="2" t="s">
        <v>212</v>
      </c>
      <c r="P456" s="2" t="s">
        <v>205</v>
      </c>
      <c r="Q456" s="2" t="s">
        <v>206</v>
      </c>
      <c r="R456" s="2" t="s">
        <v>200</v>
      </c>
      <c r="S456" s="2" t="s">
        <v>3154</v>
      </c>
      <c r="T456" s="2" t="s">
        <v>3136</v>
      </c>
      <c r="U456" s="2" t="s">
        <v>270</v>
      </c>
      <c r="V456" s="2" t="s">
        <v>208</v>
      </c>
      <c r="W456" s="2" t="s">
        <v>241</v>
      </c>
      <c r="X456" s="2" t="s">
        <v>200</v>
      </c>
      <c r="Y456" s="2" t="s">
        <v>3155</v>
      </c>
      <c r="Z456" s="4">
        <v>391</v>
      </c>
      <c r="AA456" s="4">
        <f>=ROUNDDOWN(65.1666666666667,0)</f>
      </c>
      <c r="AB456" s="5">
        <v>6</v>
      </c>
      <c r="AC456" s="2" t="s">
        <v>369</v>
      </c>
      <c r="AD456" s="4">
        <v>90</v>
      </c>
      <c r="AE456" s="4">
        <v>90</v>
      </c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200</v>
      </c>
      <c r="AM456" s="4"/>
      <c r="AN456" s="4"/>
      <c r="AO456" s="7"/>
      <c r="AP456" s="4"/>
      <c r="AQ456" s="8"/>
      <c r="AR456" s="4"/>
      <c r="AS456" s="8"/>
      <c r="AT456" s="7"/>
      <c r="AU456" s="7"/>
      <c r="AV456" s="4" t="s">
        <v>200</v>
      </c>
      <c r="AW456" s="8" t="s">
        <v>200</v>
      </c>
      <c r="AX456" s="4" t="s">
        <v>200</v>
      </c>
      <c r="AY456" s="8" t="s">
        <v>200</v>
      </c>
      <c r="AZ456" s="7" t="s">
        <v>200</v>
      </c>
      <c r="BA456" s="7" t="s">
        <v>200</v>
      </c>
      <c r="BB456" s="7" t="s">
        <v>200</v>
      </c>
      <c r="BC456" s="4" t="s">
        <v>200</v>
      </c>
      <c r="BD456" s="8" t="s">
        <v>200</v>
      </c>
      <c r="BE456" s="4" t="s">
        <v>200</v>
      </c>
      <c r="BF456" s="8" t="s">
        <v>200</v>
      </c>
      <c r="BG456" s="7" t="s">
        <v>200</v>
      </c>
      <c r="BH456" s="7" t="s">
        <v>200</v>
      </c>
      <c r="BI456" s="7"/>
      <c r="BJ456" s="4">
        <v>19</v>
      </c>
      <c r="BK456" s="8">
        <v>492.72</v>
      </c>
      <c r="BL456" s="2" t="s">
        <v>3156</v>
      </c>
      <c r="BM456" s="7"/>
      <c r="BN456" s="7"/>
      <c r="BO456" s="4"/>
      <c r="BP456" s="8"/>
      <c r="BQ456" s="4"/>
      <c r="BR456" s="8"/>
      <c r="BS456" s="7"/>
      <c r="BT456" s="7"/>
      <c r="BU456" s="2" t="s">
        <v>3157</v>
      </c>
      <c r="BV456" s="2" t="s">
        <v>200</v>
      </c>
      <c r="BW456" s="2" t="s">
        <v>200</v>
      </c>
      <c r="BX456" s="2" t="s">
        <v>3140</v>
      </c>
      <c r="BY456" s="2" t="s">
        <v>247</v>
      </c>
      <c r="BZ456" s="2" t="s">
        <v>212</v>
      </c>
      <c r="CA456" s="2" t="s">
        <v>963</v>
      </c>
      <c r="CB456" s="2" t="s">
        <v>200</v>
      </c>
      <c r="CC456" s="2" t="s">
        <v>213</v>
      </c>
      <c r="CD456" s="2" t="s">
        <v>200</v>
      </c>
      <c r="CE456" s="4">
        <v>220</v>
      </c>
      <c r="CF456" s="4">
        <v>171</v>
      </c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>
        <v>90</v>
      </c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</row>
    <row r="457">
      <c r="A457" s="2" t="s">
        <v>3158</v>
      </c>
      <c r="B457" s="2" t="s">
        <v>250</v>
      </c>
      <c r="C457" s="2" t="s">
        <v>1167</v>
      </c>
      <c r="D457" s="2" t="s">
        <v>252</v>
      </c>
      <c r="E457" s="2" t="s">
        <v>374</v>
      </c>
      <c r="F457" s="2" t="s">
        <v>3133</v>
      </c>
      <c r="G457" s="2" t="s">
        <v>3133</v>
      </c>
      <c r="H457" s="2" t="s">
        <v>3133</v>
      </c>
      <c r="I457" s="2" t="s">
        <v>3159</v>
      </c>
      <c r="J457" s="2" t="s">
        <v>256</v>
      </c>
      <c r="K457" s="2" t="s">
        <v>257</v>
      </c>
      <c r="L457" s="3">
        <v>20.57</v>
      </c>
      <c r="M457" s="3">
        <v>21.6</v>
      </c>
      <c r="N457" s="3">
        <v>44.99</v>
      </c>
      <c r="O457" s="2" t="s">
        <v>212</v>
      </c>
      <c r="P457" s="2" t="s">
        <v>205</v>
      </c>
      <c r="Q457" s="2" t="s">
        <v>206</v>
      </c>
      <c r="R457" s="2" t="s">
        <v>200</v>
      </c>
      <c r="S457" s="2" t="s">
        <v>3160</v>
      </c>
      <c r="T457" s="2" t="s">
        <v>3136</v>
      </c>
      <c r="U457" s="2" t="s">
        <v>270</v>
      </c>
      <c r="V457" s="2" t="s">
        <v>208</v>
      </c>
      <c r="W457" s="2" t="s">
        <v>241</v>
      </c>
      <c r="X457" s="2" t="s">
        <v>200</v>
      </c>
      <c r="Y457" s="2" t="s">
        <v>3161</v>
      </c>
      <c r="Z457" s="4">
        <v>272</v>
      </c>
      <c r="AA457" s="4">
        <f>=ROUNDDOWN(30.2222222222222,0)</f>
      </c>
      <c r="AB457" s="5">
        <v>9</v>
      </c>
      <c r="AC457" s="2" t="s">
        <v>1105</v>
      </c>
      <c r="AD457" s="4">
        <v>80</v>
      </c>
      <c r="AE457" s="4">
        <v>130</v>
      </c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200</v>
      </c>
      <c r="AM457" s="4"/>
      <c r="AN457" s="4"/>
      <c r="AO457" s="7"/>
      <c r="AP457" s="4"/>
      <c r="AQ457" s="8"/>
      <c r="AR457" s="4"/>
      <c r="AS457" s="8"/>
      <c r="AT457" s="7"/>
      <c r="AU457" s="7"/>
      <c r="AV457" s="4" t="s">
        <v>200</v>
      </c>
      <c r="AW457" s="8" t="s">
        <v>200</v>
      </c>
      <c r="AX457" s="4" t="s">
        <v>200</v>
      </c>
      <c r="AY457" s="8" t="s">
        <v>200</v>
      </c>
      <c r="AZ457" s="7" t="s">
        <v>200</v>
      </c>
      <c r="BA457" s="7" t="s">
        <v>200</v>
      </c>
      <c r="BB457" s="7" t="s">
        <v>200</v>
      </c>
      <c r="BC457" s="4" t="s">
        <v>200</v>
      </c>
      <c r="BD457" s="8" t="s">
        <v>200</v>
      </c>
      <c r="BE457" s="4" t="s">
        <v>200</v>
      </c>
      <c r="BF457" s="8" t="s">
        <v>200</v>
      </c>
      <c r="BG457" s="7" t="s">
        <v>200</v>
      </c>
      <c r="BH457" s="7" t="s">
        <v>200</v>
      </c>
      <c r="BI457" s="7"/>
      <c r="BJ457" s="4">
        <v>22</v>
      </c>
      <c r="BK457" s="8">
        <v>461.71</v>
      </c>
      <c r="BL457" s="2" t="s">
        <v>2760</v>
      </c>
      <c r="BM457" s="7"/>
      <c r="BN457" s="7"/>
      <c r="BO457" s="4"/>
      <c r="BP457" s="8"/>
      <c r="BQ457" s="4"/>
      <c r="BR457" s="8"/>
      <c r="BS457" s="7"/>
      <c r="BT457" s="7"/>
      <c r="BU457" s="2" t="s">
        <v>3162</v>
      </c>
      <c r="BV457" s="2" t="s">
        <v>200</v>
      </c>
      <c r="BW457" s="2" t="s">
        <v>200</v>
      </c>
      <c r="BX457" s="2" t="s">
        <v>3140</v>
      </c>
      <c r="BY457" s="2" t="s">
        <v>247</v>
      </c>
      <c r="BZ457" s="2" t="s">
        <v>212</v>
      </c>
      <c r="CA457" s="2" t="s">
        <v>2641</v>
      </c>
      <c r="CB457" s="2" t="s">
        <v>200</v>
      </c>
      <c r="CC457" s="2" t="s">
        <v>213</v>
      </c>
      <c r="CD457" s="2" t="s">
        <v>200</v>
      </c>
      <c r="CE457" s="4">
        <v>77</v>
      </c>
      <c r="CF457" s="4"/>
      <c r="CG457" s="4"/>
      <c r="CH457" s="4">
        <v>153</v>
      </c>
      <c r="CI457" s="4"/>
      <c r="CJ457" s="4"/>
      <c r="CK457" s="4">
        <v>42</v>
      </c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>
        <v>80</v>
      </c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>
        <v>50</v>
      </c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</row>
    <row r="458">
      <c r="A458" s="2" t="s">
        <v>3163</v>
      </c>
      <c r="B458" s="2" t="s">
        <v>250</v>
      </c>
      <c r="C458" s="2" t="s">
        <v>1167</v>
      </c>
      <c r="D458" s="2" t="s">
        <v>608</v>
      </c>
      <c r="E458" s="2" t="s">
        <v>3015</v>
      </c>
      <c r="F458" s="2" t="s">
        <v>3133</v>
      </c>
      <c r="G458" s="2" t="s">
        <v>3133</v>
      </c>
      <c r="H458" s="2" t="s">
        <v>3133</v>
      </c>
      <c r="I458" s="2" t="s">
        <v>3016</v>
      </c>
      <c r="J458" s="2" t="s">
        <v>1390</v>
      </c>
      <c r="K458" s="2" t="s">
        <v>257</v>
      </c>
      <c r="L458" s="3">
        <v>30.95</v>
      </c>
      <c r="M458" s="3">
        <v>32.5</v>
      </c>
      <c r="N458" s="3">
        <v>64.99</v>
      </c>
      <c r="O458" s="2" t="s">
        <v>212</v>
      </c>
      <c r="P458" s="2" t="s">
        <v>205</v>
      </c>
      <c r="Q458" s="2" t="s">
        <v>206</v>
      </c>
      <c r="R458" s="2" t="s">
        <v>200</v>
      </c>
      <c r="S458" s="2" t="s">
        <v>3164</v>
      </c>
      <c r="T458" s="2" t="s">
        <v>3136</v>
      </c>
      <c r="U458" s="2" t="s">
        <v>270</v>
      </c>
      <c r="V458" s="2" t="s">
        <v>208</v>
      </c>
      <c r="W458" s="2" t="s">
        <v>241</v>
      </c>
      <c r="X458" s="2" t="s">
        <v>200</v>
      </c>
      <c r="Y458" s="2" t="s">
        <v>3165</v>
      </c>
      <c r="Z458" s="4">
        <v>556</v>
      </c>
      <c r="AA458" s="4">
        <f>=ROUNDDOWN(61.7777777777778,0)</f>
      </c>
      <c r="AB458" s="5">
        <v>9</v>
      </c>
      <c r="AC458" s="2" t="s">
        <v>1141</v>
      </c>
      <c r="AD458" s="4">
        <v>50</v>
      </c>
      <c r="AE458" s="4">
        <v>100</v>
      </c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200</v>
      </c>
      <c r="AM458" s="4"/>
      <c r="AN458" s="4"/>
      <c r="AO458" s="7"/>
      <c r="AP458" s="4"/>
      <c r="AQ458" s="8"/>
      <c r="AR458" s="4"/>
      <c r="AS458" s="8"/>
      <c r="AT458" s="7"/>
      <c r="AU458" s="7"/>
      <c r="AV458" s="4" t="s">
        <v>200</v>
      </c>
      <c r="AW458" s="8" t="s">
        <v>200</v>
      </c>
      <c r="AX458" s="4" t="s">
        <v>200</v>
      </c>
      <c r="AY458" s="8" t="s">
        <v>200</v>
      </c>
      <c r="AZ458" s="7" t="s">
        <v>200</v>
      </c>
      <c r="BA458" s="7" t="s">
        <v>200</v>
      </c>
      <c r="BB458" s="7"/>
      <c r="BC458" s="4" t="s">
        <v>200</v>
      </c>
      <c r="BD458" s="8" t="s">
        <v>200</v>
      </c>
      <c r="BE458" s="4" t="s">
        <v>200</v>
      </c>
      <c r="BF458" s="8" t="s">
        <v>200</v>
      </c>
      <c r="BG458" s="7" t="s">
        <v>200</v>
      </c>
      <c r="BH458" s="7" t="s">
        <v>200</v>
      </c>
      <c r="BI458" s="7"/>
      <c r="BJ458" s="4">
        <v>21</v>
      </c>
      <c r="BK458" s="8">
        <v>733.67</v>
      </c>
      <c r="BL458" s="2" t="s">
        <v>3166</v>
      </c>
      <c r="BM458" s="7"/>
      <c r="BN458" s="7"/>
      <c r="BO458" s="4"/>
      <c r="BP458" s="8"/>
      <c r="BQ458" s="4"/>
      <c r="BR458" s="8"/>
      <c r="BS458" s="7"/>
      <c r="BT458" s="7"/>
      <c r="BU458" s="2" t="s">
        <v>3167</v>
      </c>
      <c r="BV458" s="2" t="s">
        <v>200</v>
      </c>
      <c r="BW458" s="2" t="s">
        <v>200</v>
      </c>
      <c r="BX458" s="2" t="s">
        <v>3140</v>
      </c>
      <c r="BY458" s="2" t="s">
        <v>247</v>
      </c>
      <c r="BZ458" s="2" t="s">
        <v>212</v>
      </c>
      <c r="CA458" s="2" t="s">
        <v>2641</v>
      </c>
      <c r="CB458" s="2" t="s">
        <v>1663</v>
      </c>
      <c r="CC458" s="2" t="s">
        <v>213</v>
      </c>
      <c r="CD458" s="2" t="s">
        <v>200</v>
      </c>
      <c r="CE458" s="4">
        <v>416</v>
      </c>
      <c r="CF458" s="4"/>
      <c r="CG458" s="4"/>
      <c r="CH458" s="4">
        <v>140</v>
      </c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>
        <v>50</v>
      </c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>
        <v>50</v>
      </c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</row>
    <row r="459">
      <c r="A459" s="2" t="s">
        <v>3168</v>
      </c>
      <c r="B459" s="2" t="s">
        <v>250</v>
      </c>
      <c r="C459" s="2" t="s">
        <v>1167</v>
      </c>
      <c r="D459" s="2" t="s">
        <v>252</v>
      </c>
      <c r="E459" s="2" t="s">
        <v>374</v>
      </c>
      <c r="F459" s="2" t="s">
        <v>3133</v>
      </c>
      <c r="G459" s="2" t="s">
        <v>3133</v>
      </c>
      <c r="H459" s="2" t="s">
        <v>3133</v>
      </c>
      <c r="I459" s="2" t="s">
        <v>3159</v>
      </c>
      <c r="J459" s="2" t="s">
        <v>277</v>
      </c>
      <c r="K459" s="2" t="s">
        <v>257</v>
      </c>
      <c r="L459" s="3">
        <v>26.19</v>
      </c>
      <c r="M459" s="3">
        <v>27.5</v>
      </c>
      <c r="N459" s="3">
        <v>54.99</v>
      </c>
      <c r="O459" s="2" t="s">
        <v>212</v>
      </c>
      <c r="P459" s="2" t="s">
        <v>205</v>
      </c>
      <c r="Q459" s="2" t="s">
        <v>206</v>
      </c>
      <c r="R459" s="2" t="s">
        <v>200</v>
      </c>
      <c r="S459" s="2" t="s">
        <v>3160</v>
      </c>
      <c r="T459" s="2" t="s">
        <v>3136</v>
      </c>
      <c r="U459" s="2" t="s">
        <v>270</v>
      </c>
      <c r="V459" s="2" t="s">
        <v>208</v>
      </c>
      <c r="W459" s="2" t="s">
        <v>241</v>
      </c>
      <c r="X459" s="2" t="s">
        <v>200</v>
      </c>
      <c r="Y459" s="2" t="s">
        <v>3137</v>
      </c>
      <c r="Z459" s="4">
        <v>333</v>
      </c>
      <c r="AA459" s="4">
        <f>=ROUNDDOWN(27.75,0)</f>
      </c>
      <c r="AB459" s="5">
        <v>12</v>
      </c>
      <c r="AC459" s="2" t="s">
        <v>1105</v>
      </c>
      <c r="AD459" s="4">
        <v>170</v>
      </c>
      <c r="AE459" s="4">
        <v>260</v>
      </c>
      <c r="AF459" s="6">
        <v>65</v>
      </c>
      <c r="AG459" s="6"/>
      <c r="AH459" s="7">
        <v>1</v>
      </c>
      <c r="AI459" s="4"/>
      <c r="AJ459" s="4">
        <f>=ROUNDDOWN({0},0)</f>
      </c>
      <c r="AK459" s="5"/>
      <c r="AL459" s="2" t="s">
        <v>200</v>
      </c>
      <c r="AM459" s="4"/>
      <c r="AN459" s="4"/>
      <c r="AO459" s="7"/>
      <c r="AP459" s="4"/>
      <c r="AQ459" s="8"/>
      <c r="AR459" s="4"/>
      <c r="AS459" s="8"/>
      <c r="AT459" s="7"/>
      <c r="AU459" s="7"/>
      <c r="AV459" s="4" t="s">
        <v>200</v>
      </c>
      <c r="AW459" s="8" t="s">
        <v>200</v>
      </c>
      <c r="AX459" s="4" t="s">
        <v>200</v>
      </c>
      <c r="AY459" s="8" t="s">
        <v>200</v>
      </c>
      <c r="AZ459" s="7" t="s">
        <v>200</v>
      </c>
      <c r="BA459" s="7" t="s">
        <v>200</v>
      </c>
      <c r="BB459" s="7"/>
      <c r="BC459" s="4" t="s">
        <v>200</v>
      </c>
      <c r="BD459" s="8" t="s">
        <v>200</v>
      </c>
      <c r="BE459" s="4" t="s">
        <v>200</v>
      </c>
      <c r="BF459" s="8" t="s">
        <v>200</v>
      </c>
      <c r="BG459" s="7" t="s">
        <v>200</v>
      </c>
      <c r="BH459" s="7" t="s">
        <v>200</v>
      </c>
      <c r="BI459" s="7"/>
      <c r="BJ459" s="4">
        <v>21</v>
      </c>
      <c r="BK459" s="8">
        <v>589.65</v>
      </c>
      <c r="BL459" s="2" t="s">
        <v>3169</v>
      </c>
      <c r="BM459" s="7"/>
      <c r="BN459" s="7"/>
      <c r="BO459" s="4"/>
      <c r="BP459" s="8"/>
      <c r="BQ459" s="4"/>
      <c r="BR459" s="8"/>
      <c r="BS459" s="7"/>
      <c r="BT459" s="7"/>
      <c r="BU459" s="2" t="s">
        <v>3170</v>
      </c>
      <c r="BV459" s="2" t="s">
        <v>200</v>
      </c>
      <c r="BW459" s="2" t="s">
        <v>200</v>
      </c>
      <c r="BX459" s="2" t="s">
        <v>3140</v>
      </c>
      <c r="BY459" s="2" t="s">
        <v>247</v>
      </c>
      <c r="BZ459" s="2" t="s">
        <v>212</v>
      </c>
      <c r="CA459" s="2" t="s">
        <v>2641</v>
      </c>
      <c r="CB459" s="2" t="s">
        <v>200</v>
      </c>
      <c r="CC459" s="2" t="s">
        <v>213</v>
      </c>
      <c r="CD459" s="2" t="s">
        <v>200</v>
      </c>
      <c r="CE459" s="4">
        <v>124</v>
      </c>
      <c r="CF459" s="4"/>
      <c r="CG459" s="4"/>
      <c r="CH459" s="4">
        <v>173</v>
      </c>
      <c r="CI459" s="4"/>
      <c r="CJ459" s="4"/>
      <c r="CK459" s="4">
        <v>36</v>
      </c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>
        <v>170</v>
      </c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>
        <v>90</v>
      </c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</row>
    <row r="460">
      <c r="A460" s="2" t="s">
        <v>3171</v>
      </c>
      <c r="B460" s="2" t="s">
        <v>250</v>
      </c>
      <c r="C460" s="2" t="s">
        <v>1167</v>
      </c>
      <c r="D460" s="2" t="s">
        <v>608</v>
      </c>
      <c r="E460" s="2" t="s">
        <v>3015</v>
      </c>
      <c r="F460" s="2" t="s">
        <v>3133</v>
      </c>
      <c r="G460" s="2" t="s">
        <v>3133</v>
      </c>
      <c r="H460" s="2" t="s">
        <v>3133</v>
      </c>
      <c r="I460" s="2" t="s">
        <v>3016</v>
      </c>
      <c r="J460" s="2" t="s">
        <v>612</v>
      </c>
      <c r="K460" s="2" t="s">
        <v>257</v>
      </c>
      <c r="L460" s="3">
        <v>35.71</v>
      </c>
      <c r="M460" s="3">
        <v>37.5</v>
      </c>
      <c r="N460" s="3">
        <v>74.99</v>
      </c>
      <c r="O460" s="2" t="s">
        <v>212</v>
      </c>
      <c r="P460" s="2" t="s">
        <v>205</v>
      </c>
      <c r="Q460" s="2" t="s">
        <v>206</v>
      </c>
      <c r="R460" s="2" t="s">
        <v>200</v>
      </c>
      <c r="S460" s="2" t="s">
        <v>3164</v>
      </c>
      <c r="T460" s="2" t="s">
        <v>3136</v>
      </c>
      <c r="U460" s="2" t="s">
        <v>270</v>
      </c>
      <c r="V460" s="2" t="s">
        <v>208</v>
      </c>
      <c r="W460" s="2" t="s">
        <v>241</v>
      </c>
      <c r="X460" s="2" t="s">
        <v>200</v>
      </c>
      <c r="Y460" s="2" t="s">
        <v>3137</v>
      </c>
      <c r="Z460" s="4">
        <v>679</v>
      </c>
      <c r="AA460" s="4">
        <f>=ROUNDDOWN(33.95,0)</f>
      </c>
      <c r="AB460" s="5">
        <v>20</v>
      </c>
      <c r="AC460" s="2" t="s">
        <v>1141</v>
      </c>
      <c r="AD460" s="4">
        <v>150</v>
      </c>
      <c r="AE460" s="4">
        <v>400</v>
      </c>
      <c r="AF460" s="6">
        <v>65</v>
      </c>
      <c r="AG460" s="6"/>
      <c r="AH460" s="7">
        <v>1</v>
      </c>
      <c r="AI460" s="4"/>
      <c r="AJ460" s="4">
        <f>=ROUNDDOWN({0},0)</f>
      </c>
      <c r="AK460" s="5"/>
      <c r="AL460" s="2" t="s">
        <v>200</v>
      </c>
      <c r="AM460" s="4"/>
      <c r="AN460" s="4"/>
      <c r="AO460" s="7"/>
      <c r="AP460" s="4"/>
      <c r="AQ460" s="8"/>
      <c r="AR460" s="4"/>
      <c r="AS460" s="8"/>
      <c r="AT460" s="7"/>
      <c r="AU460" s="7"/>
      <c r="AV460" s="4" t="s">
        <v>200</v>
      </c>
      <c r="AW460" s="8" t="s">
        <v>200</v>
      </c>
      <c r="AX460" s="4" t="s">
        <v>200</v>
      </c>
      <c r="AY460" s="8" t="s">
        <v>200</v>
      </c>
      <c r="AZ460" s="7" t="s">
        <v>200</v>
      </c>
      <c r="BA460" s="7" t="s">
        <v>200</v>
      </c>
      <c r="BB460" s="7"/>
      <c r="BC460" s="4" t="s">
        <v>200</v>
      </c>
      <c r="BD460" s="8" t="s">
        <v>200</v>
      </c>
      <c r="BE460" s="4" t="s">
        <v>200</v>
      </c>
      <c r="BF460" s="8" t="s">
        <v>200</v>
      </c>
      <c r="BG460" s="7" t="s">
        <v>200</v>
      </c>
      <c r="BH460" s="7" t="s">
        <v>200</v>
      </c>
      <c r="BI460" s="7"/>
      <c r="BJ460" s="4">
        <v>95</v>
      </c>
      <c r="BK460" s="8">
        <v>3809.21</v>
      </c>
      <c r="BL460" s="2" t="s">
        <v>3172</v>
      </c>
      <c r="BM460" s="7"/>
      <c r="BN460" s="7"/>
      <c r="BO460" s="4"/>
      <c r="BP460" s="8"/>
      <c r="BQ460" s="4"/>
      <c r="BR460" s="8"/>
      <c r="BS460" s="7"/>
      <c r="BT460" s="7"/>
      <c r="BU460" s="2" t="s">
        <v>3173</v>
      </c>
      <c r="BV460" s="2" t="s">
        <v>200</v>
      </c>
      <c r="BW460" s="2" t="s">
        <v>200</v>
      </c>
      <c r="BX460" s="2" t="s">
        <v>3140</v>
      </c>
      <c r="BY460" s="2" t="s">
        <v>247</v>
      </c>
      <c r="BZ460" s="2" t="s">
        <v>212</v>
      </c>
      <c r="CA460" s="2" t="s">
        <v>2641</v>
      </c>
      <c r="CB460" s="2" t="s">
        <v>963</v>
      </c>
      <c r="CC460" s="2" t="s">
        <v>213</v>
      </c>
      <c r="CD460" s="2" t="s">
        <v>200</v>
      </c>
      <c r="CE460" s="4">
        <v>603</v>
      </c>
      <c r="CF460" s="4"/>
      <c r="CG460" s="4"/>
      <c r="CH460" s="4">
        <v>76</v>
      </c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>
        <v>150</v>
      </c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>
        <v>250</v>
      </c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</row>
    <row r="461">
      <c r="A461" s="2" t="s">
        <v>3174</v>
      </c>
      <c r="B461" s="2" t="s">
        <v>250</v>
      </c>
      <c r="C461" s="2" t="s">
        <v>1167</v>
      </c>
      <c r="D461" s="2" t="s">
        <v>252</v>
      </c>
      <c r="E461" s="2" t="s">
        <v>374</v>
      </c>
      <c r="F461" s="2" t="s">
        <v>3133</v>
      </c>
      <c r="G461" s="2" t="s">
        <v>3133</v>
      </c>
      <c r="H461" s="2" t="s">
        <v>3133</v>
      </c>
      <c r="I461" s="2" t="s">
        <v>3159</v>
      </c>
      <c r="J461" s="2" t="s">
        <v>297</v>
      </c>
      <c r="K461" s="2" t="s">
        <v>257</v>
      </c>
      <c r="L461" s="3">
        <v>28.57</v>
      </c>
      <c r="M461" s="3">
        <v>30</v>
      </c>
      <c r="N461" s="3">
        <v>59.99</v>
      </c>
      <c r="O461" s="2" t="s">
        <v>212</v>
      </c>
      <c r="P461" s="2" t="s">
        <v>205</v>
      </c>
      <c r="Q461" s="2" t="s">
        <v>206</v>
      </c>
      <c r="R461" s="2" t="s">
        <v>200</v>
      </c>
      <c r="S461" s="2" t="s">
        <v>3160</v>
      </c>
      <c r="T461" s="2" t="s">
        <v>3136</v>
      </c>
      <c r="U461" s="2" t="s">
        <v>270</v>
      </c>
      <c r="V461" s="2" t="s">
        <v>208</v>
      </c>
      <c r="W461" s="2" t="s">
        <v>241</v>
      </c>
      <c r="X461" s="2" t="s">
        <v>200</v>
      </c>
      <c r="Y461" s="2" t="s">
        <v>3137</v>
      </c>
      <c r="Z461" s="4">
        <v>526</v>
      </c>
      <c r="AA461" s="4">
        <f>=ROUNDDOWN(26.3,0)</f>
      </c>
      <c r="AB461" s="5">
        <v>20</v>
      </c>
      <c r="AC461" s="2" t="s">
        <v>1105</v>
      </c>
      <c r="AD461" s="4">
        <v>180</v>
      </c>
      <c r="AE461" s="4">
        <v>340</v>
      </c>
      <c r="AF461" s="6">
        <v>65</v>
      </c>
      <c r="AG461" s="6"/>
      <c r="AH461" s="7">
        <v>1</v>
      </c>
      <c r="AI461" s="4"/>
      <c r="AJ461" s="4">
        <f>=ROUNDDOWN({0},0)</f>
      </c>
      <c r="AK461" s="5"/>
      <c r="AL461" s="2" t="s">
        <v>200</v>
      </c>
      <c r="AM461" s="4"/>
      <c r="AN461" s="4"/>
      <c r="AO461" s="7"/>
      <c r="AP461" s="4"/>
      <c r="AQ461" s="8"/>
      <c r="AR461" s="4"/>
      <c r="AS461" s="8"/>
      <c r="AT461" s="7"/>
      <c r="AU461" s="7"/>
      <c r="AV461" s="4" t="s">
        <v>200</v>
      </c>
      <c r="AW461" s="8" t="s">
        <v>200</v>
      </c>
      <c r="AX461" s="4" t="s">
        <v>200</v>
      </c>
      <c r="AY461" s="8" t="s">
        <v>200</v>
      </c>
      <c r="AZ461" s="7" t="s">
        <v>200</v>
      </c>
      <c r="BA461" s="7" t="s">
        <v>200</v>
      </c>
      <c r="BB461" s="7"/>
      <c r="BC461" s="4" t="s">
        <v>200</v>
      </c>
      <c r="BD461" s="8" t="s">
        <v>200</v>
      </c>
      <c r="BE461" s="4" t="s">
        <v>200</v>
      </c>
      <c r="BF461" s="8" t="s">
        <v>200</v>
      </c>
      <c r="BG461" s="7" t="s">
        <v>200</v>
      </c>
      <c r="BH461" s="7" t="s">
        <v>200</v>
      </c>
      <c r="BI461" s="7"/>
      <c r="BJ461" s="4">
        <v>79</v>
      </c>
      <c r="BK461" s="8">
        <v>2517.58</v>
      </c>
      <c r="BL461" s="2" t="s">
        <v>3175</v>
      </c>
      <c r="BM461" s="7"/>
      <c r="BN461" s="7"/>
      <c r="BO461" s="4"/>
      <c r="BP461" s="8"/>
      <c r="BQ461" s="4"/>
      <c r="BR461" s="8"/>
      <c r="BS461" s="7"/>
      <c r="BT461" s="7"/>
      <c r="BU461" s="2" t="s">
        <v>3176</v>
      </c>
      <c r="BV461" s="2" t="s">
        <v>200</v>
      </c>
      <c r="BW461" s="2" t="s">
        <v>200</v>
      </c>
      <c r="BX461" s="2" t="s">
        <v>3140</v>
      </c>
      <c r="BY461" s="2" t="s">
        <v>247</v>
      </c>
      <c r="BZ461" s="2" t="s">
        <v>212</v>
      </c>
      <c r="CA461" s="2" t="s">
        <v>2641</v>
      </c>
      <c r="CB461" s="2" t="s">
        <v>2567</v>
      </c>
      <c r="CC461" s="2" t="s">
        <v>213</v>
      </c>
      <c r="CD461" s="2" t="s">
        <v>200</v>
      </c>
      <c r="CE461" s="4">
        <v>222</v>
      </c>
      <c r="CF461" s="4"/>
      <c r="CG461" s="4"/>
      <c r="CH461" s="4">
        <v>304</v>
      </c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>
        <v>180</v>
      </c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>
        <v>160</v>
      </c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</row>
    <row r="462">
      <c r="A462" s="2" t="s">
        <v>3177</v>
      </c>
      <c r="B462" s="2" t="s">
        <v>250</v>
      </c>
      <c r="C462" s="2" t="s">
        <v>1167</v>
      </c>
      <c r="D462" s="2" t="s">
        <v>252</v>
      </c>
      <c r="E462" s="2" t="s">
        <v>374</v>
      </c>
      <c r="F462" s="2" t="s">
        <v>3133</v>
      </c>
      <c r="G462" s="2" t="s">
        <v>3133</v>
      </c>
      <c r="H462" s="2" t="s">
        <v>3133</v>
      </c>
      <c r="I462" s="2" t="s">
        <v>3159</v>
      </c>
      <c r="J462" s="2" t="s">
        <v>302</v>
      </c>
      <c r="K462" s="2" t="s">
        <v>257</v>
      </c>
      <c r="L462" s="3">
        <v>33.33</v>
      </c>
      <c r="M462" s="3">
        <v>35</v>
      </c>
      <c r="N462" s="3">
        <v>69.99</v>
      </c>
      <c r="O462" s="2" t="s">
        <v>212</v>
      </c>
      <c r="P462" s="2" t="s">
        <v>205</v>
      </c>
      <c r="Q462" s="2" t="s">
        <v>206</v>
      </c>
      <c r="R462" s="2" t="s">
        <v>200</v>
      </c>
      <c r="S462" s="2" t="s">
        <v>3160</v>
      </c>
      <c r="T462" s="2" t="s">
        <v>3136</v>
      </c>
      <c r="U462" s="2" t="s">
        <v>270</v>
      </c>
      <c r="V462" s="2" t="s">
        <v>208</v>
      </c>
      <c r="W462" s="2" t="s">
        <v>241</v>
      </c>
      <c r="X462" s="2" t="s">
        <v>200</v>
      </c>
      <c r="Y462" s="2" t="s">
        <v>3165</v>
      </c>
      <c r="Z462" s="4">
        <v>295</v>
      </c>
      <c r="AA462" s="4">
        <f>=ROUNDDOWN(24.5833333333333,0)</f>
      </c>
      <c r="AB462" s="5">
        <v>12</v>
      </c>
      <c r="AC462" s="2" t="s">
        <v>1105</v>
      </c>
      <c r="AD462" s="4">
        <v>170</v>
      </c>
      <c r="AE462" s="4">
        <v>270</v>
      </c>
      <c r="AF462" s="6">
        <v>65</v>
      </c>
      <c r="AG462" s="6"/>
      <c r="AH462" s="7">
        <v>1</v>
      </c>
      <c r="AI462" s="4"/>
      <c r="AJ462" s="4">
        <f>=ROUNDDOWN({0},0)</f>
      </c>
      <c r="AK462" s="5"/>
      <c r="AL462" s="2" t="s">
        <v>200</v>
      </c>
      <c r="AM462" s="4"/>
      <c r="AN462" s="4"/>
      <c r="AO462" s="7"/>
      <c r="AP462" s="4"/>
      <c r="AQ462" s="8"/>
      <c r="AR462" s="4"/>
      <c r="AS462" s="8"/>
      <c r="AT462" s="7"/>
      <c r="AU462" s="7"/>
      <c r="AV462" s="4" t="s">
        <v>200</v>
      </c>
      <c r="AW462" s="8" t="s">
        <v>200</v>
      </c>
      <c r="AX462" s="4" t="s">
        <v>200</v>
      </c>
      <c r="AY462" s="8" t="s">
        <v>200</v>
      </c>
      <c r="AZ462" s="7" t="s">
        <v>200</v>
      </c>
      <c r="BA462" s="7" t="s">
        <v>200</v>
      </c>
      <c r="BB462" s="7"/>
      <c r="BC462" s="4" t="s">
        <v>200</v>
      </c>
      <c r="BD462" s="8" t="s">
        <v>200</v>
      </c>
      <c r="BE462" s="4" t="s">
        <v>200</v>
      </c>
      <c r="BF462" s="8" t="s">
        <v>200</v>
      </c>
      <c r="BG462" s="7" t="s">
        <v>200</v>
      </c>
      <c r="BH462" s="7" t="s">
        <v>200</v>
      </c>
      <c r="BI462" s="7"/>
      <c r="BJ462" s="4">
        <v>33</v>
      </c>
      <c r="BK462" s="8">
        <v>1236.26</v>
      </c>
      <c r="BL462" s="2" t="s">
        <v>1452</v>
      </c>
      <c r="BM462" s="7"/>
      <c r="BN462" s="7"/>
      <c r="BO462" s="4"/>
      <c r="BP462" s="8"/>
      <c r="BQ462" s="4"/>
      <c r="BR462" s="8"/>
      <c r="BS462" s="7"/>
      <c r="BT462" s="7"/>
      <c r="BU462" s="2" t="s">
        <v>3178</v>
      </c>
      <c r="BV462" s="2" t="s">
        <v>200</v>
      </c>
      <c r="BW462" s="2" t="s">
        <v>200</v>
      </c>
      <c r="BX462" s="2" t="s">
        <v>3140</v>
      </c>
      <c r="BY462" s="2" t="s">
        <v>247</v>
      </c>
      <c r="BZ462" s="2" t="s">
        <v>212</v>
      </c>
      <c r="CA462" s="2" t="s">
        <v>2641</v>
      </c>
      <c r="CB462" s="2" t="s">
        <v>915</v>
      </c>
      <c r="CC462" s="2" t="s">
        <v>213</v>
      </c>
      <c r="CD462" s="2" t="s">
        <v>200</v>
      </c>
      <c r="CE462" s="4">
        <v>183</v>
      </c>
      <c r="CF462" s="4"/>
      <c r="CG462" s="4"/>
      <c r="CH462" s="4">
        <v>112</v>
      </c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>
        <v>170</v>
      </c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>
        <v>100</v>
      </c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</row>
    <row r="463">
      <c r="A463" s="2" t="s">
        <v>3179</v>
      </c>
      <c r="B463" s="2" t="s">
        <v>945</v>
      </c>
      <c r="C463" s="2" t="s">
        <v>946</v>
      </c>
      <c r="D463" s="2" t="s">
        <v>947</v>
      </c>
      <c r="E463" s="2" t="s">
        <v>948</v>
      </c>
      <c r="F463" s="2" t="s">
        <v>3180</v>
      </c>
      <c r="G463" s="2" t="s">
        <v>3180</v>
      </c>
      <c r="H463" s="2" t="s">
        <v>3180</v>
      </c>
      <c r="I463" s="2" t="s">
        <v>3181</v>
      </c>
      <c r="J463" s="2" t="s">
        <v>711</v>
      </c>
      <c r="K463" s="2" t="s">
        <v>2163</v>
      </c>
      <c r="L463" s="3">
        <v>22.43</v>
      </c>
      <c r="M463" s="3">
        <v>23.55</v>
      </c>
      <c r="N463" s="3">
        <v>39.99</v>
      </c>
      <c r="O463" s="2" t="s">
        <v>212</v>
      </c>
      <c r="P463" s="2" t="s">
        <v>258</v>
      </c>
      <c r="Q463" s="2" t="s">
        <v>206</v>
      </c>
      <c r="R463" s="2" t="s">
        <v>200</v>
      </c>
      <c r="S463" s="2" t="s">
        <v>200</v>
      </c>
      <c r="T463" s="2" t="s">
        <v>200</v>
      </c>
      <c r="U463" s="2" t="s">
        <v>270</v>
      </c>
      <c r="V463" s="2" t="s">
        <v>616</v>
      </c>
      <c r="W463" s="2" t="s">
        <v>241</v>
      </c>
      <c r="X463" s="2" t="s">
        <v>200</v>
      </c>
      <c r="Y463" s="2" t="s">
        <v>2400</v>
      </c>
      <c r="Z463" s="4">
        <v>444</v>
      </c>
      <c r="AA463" s="4">
        <f>=ROUNDDOWN(74,0)</f>
      </c>
      <c r="AB463" s="5">
        <v>6</v>
      </c>
      <c r="AC463" s="2" t="s">
        <v>200</v>
      </c>
      <c r="AD463" s="4"/>
      <c r="AE463" s="4"/>
      <c r="AF463" s="6">
        <v>65</v>
      </c>
      <c r="AG463" s="6"/>
      <c r="AH463" s="7">
        <v>1</v>
      </c>
      <c r="AI463" s="4"/>
      <c r="AJ463" s="4">
        <f>=ROUNDDOWN({0},0)</f>
      </c>
      <c r="AK463" s="5"/>
      <c r="AL463" s="2" t="s">
        <v>200</v>
      </c>
      <c r="AM463" s="4"/>
      <c r="AN463" s="4"/>
      <c r="AO463" s="7"/>
      <c r="AP463" s="4"/>
      <c r="AQ463" s="8"/>
      <c r="AR463" s="4"/>
      <c r="AS463" s="8"/>
      <c r="AT463" s="7"/>
      <c r="AU463" s="7"/>
      <c r="AV463" s="4"/>
      <c r="AW463" s="8"/>
      <c r="AX463" s="4"/>
      <c r="AY463" s="8"/>
      <c r="AZ463" s="7"/>
      <c r="BA463" s="7"/>
      <c r="BB463" s="7"/>
      <c r="BC463" s="4"/>
      <c r="BD463" s="8"/>
      <c r="BE463" s="4"/>
      <c r="BF463" s="8"/>
      <c r="BG463" s="7"/>
      <c r="BH463" s="7"/>
      <c r="BI463" s="7"/>
      <c r="BJ463" s="4">
        <v>8</v>
      </c>
      <c r="BK463" s="8">
        <v>206.4</v>
      </c>
      <c r="BL463" s="2" t="s">
        <v>1261</v>
      </c>
      <c r="BM463" s="7"/>
      <c r="BN463" s="7"/>
      <c r="BO463" s="4"/>
      <c r="BP463" s="8"/>
      <c r="BQ463" s="4"/>
      <c r="BR463" s="8"/>
      <c r="BS463" s="7"/>
      <c r="BT463" s="7"/>
      <c r="BU463" s="2" t="s">
        <v>3182</v>
      </c>
      <c r="BV463" s="2" t="s">
        <v>200</v>
      </c>
      <c r="BW463" s="2" t="s">
        <v>200</v>
      </c>
      <c r="BX463" s="2" t="s">
        <v>264</v>
      </c>
      <c r="BY463" s="2" t="s">
        <v>247</v>
      </c>
      <c r="BZ463" s="2" t="s">
        <v>212</v>
      </c>
      <c r="CA463" s="2" t="s">
        <v>3183</v>
      </c>
      <c r="CB463" s="2" t="s">
        <v>200</v>
      </c>
      <c r="CC463" s="2" t="s">
        <v>213</v>
      </c>
      <c r="CD463" s="2" t="s">
        <v>200</v>
      </c>
      <c r="CE463" s="4"/>
      <c r="CF463" s="4">
        <v>220</v>
      </c>
      <c r="CG463" s="4"/>
      <c r="CH463" s="4">
        <v>224</v>
      </c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</row>
    <row r="464">
      <c r="A464" s="2" t="s">
        <v>3184</v>
      </c>
      <c r="B464" s="2" t="s">
        <v>932</v>
      </c>
      <c r="C464" s="2" t="s">
        <v>2014</v>
      </c>
      <c r="D464" s="2" t="s">
        <v>608</v>
      </c>
      <c r="E464" s="2" t="s">
        <v>1324</v>
      </c>
      <c r="F464" s="2" t="s">
        <v>3185</v>
      </c>
      <c r="G464" s="2" t="s">
        <v>3186</v>
      </c>
      <c r="H464" s="2" t="s">
        <v>3187</v>
      </c>
      <c r="I464" s="2" t="s">
        <v>3188</v>
      </c>
      <c r="J464" s="2" t="s">
        <v>256</v>
      </c>
      <c r="K464" s="2" t="s">
        <v>3189</v>
      </c>
      <c r="L464" s="3">
        <v>26.19</v>
      </c>
      <c r="M464" s="3">
        <v>27.5</v>
      </c>
      <c r="N464" s="3">
        <v>54.99</v>
      </c>
      <c r="O464" s="2" t="s">
        <v>212</v>
      </c>
      <c r="P464" s="2" t="s">
        <v>205</v>
      </c>
      <c r="Q464" s="2" t="s">
        <v>206</v>
      </c>
      <c r="R464" s="2" t="s">
        <v>200</v>
      </c>
      <c r="S464" s="2" t="s">
        <v>3190</v>
      </c>
      <c r="T464" s="2" t="s">
        <v>1176</v>
      </c>
      <c r="U464" s="2" t="s">
        <v>677</v>
      </c>
      <c r="V464" s="2" t="s">
        <v>3191</v>
      </c>
      <c r="W464" s="2" t="s">
        <v>241</v>
      </c>
      <c r="X464" s="2" t="s">
        <v>200</v>
      </c>
      <c r="Y464" s="2" t="s">
        <v>2132</v>
      </c>
      <c r="Z464" s="4">
        <v>131</v>
      </c>
      <c r="AA464" s="4">
        <f>=ROUNDDOWN(26.2,0)</f>
      </c>
      <c r="AB464" s="5">
        <v>5</v>
      </c>
      <c r="AC464" s="2" t="s">
        <v>200</v>
      </c>
      <c r="AD464" s="4"/>
      <c r="AE464" s="4"/>
      <c r="AF464" s="6">
        <v>65</v>
      </c>
      <c r="AG464" s="6"/>
      <c r="AH464" s="7">
        <v>1</v>
      </c>
      <c r="AI464" s="4"/>
      <c r="AJ464" s="4">
        <f>=ROUNDDOWN({0},0)</f>
      </c>
      <c r="AK464" s="5"/>
      <c r="AL464" s="2" t="s">
        <v>200</v>
      </c>
      <c r="AM464" s="4"/>
      <c r="AN464" s="4"/>
      <c r="AO464" s="7"/>
      <c r="AP464" s="4"/>
      <c r="AQ464" s="8"/>
      <c r="AR464" s="4"/>
      <c r="AS464" s="8"/>
      <c r="AT464" s="7"/>
      <c r="AU464" s="7"/>
      <c r="AV464" s="4" t="s">
        <v>200</v>
      </c>
      <c r="AW464" s="8" t="s">
        <v>200</v>
      </c>
      <c r="AX464" s="4" t="s">
        <v>200</v>
      </c>
      <c r="AY464" s="8" t="s">
        <v>200</v>
      </c>
      <c r="AZ464" s="7" t="s">
        <v>200</v>
      </c>
      <c r="BA464" s="7" t="s">
        <v>200</v>
      </c>
      <c r="BB464" s="7" t="s">
        <v>200</v>
      </c>
      <c r="BC464" s="4" t="s">
        <v>200</v>
      </c>
      <c r="BD464" s="8" t="s">
        <v>200</v>
      </c>
      <c r="BE464" s="4" t="s">
        <v>200</v>
      </c>
      <c r="BF464" s="8" t="s">
        <v>200</v>
      </c>
      <c r="BG464" s="7" t="s">
        <v>200</v>
      </c>
      <c r="BH464" s="7" t="s">
        <v>200</v>
      </c>
      <c r="BI464" s="7"/>
      <c r="BJ464" s="4">
        <v>30</v>
      </c>
      <c r="BK464" s="8">
        <v>893.53</v>
      </c>
      <c r="BL464" s="2" t="s">
        <v>1993</v>
      </c>
      <c r="BM464" s="7"/>
      <c r="BN464" s="7"/>
      <c r="BO464" s="4"/>
      <c r="BP464" s="8"/>
      <c r="BQ464" s="4"/>
      <c r="BR464" s="8"/>
      <c r="BS464" s="7"/>
      <c r="BT464" s="7"/>
      <c r="BU464" s="2" t="s">
        <v>3192</v>
      </c>
      <c r="BV464" s="2" t="s">
        <v>200</v>
      </c>
      <c r="BW464" s="2" t="s">
        <v>200</v>
      </c>
      <c r="BX464" s="2" t="s">
        <v>264</v>
      </c>
      <c r="BY464" s="2" t="s">
        <v>247</v>
      </c>
      <c r="BZ464" s="2" t="s">
        <v>212</v>
      </c>
      <c r="CA464" s="2" t="s">
        <v>1995</v>
      </c>
      <c r="CB464" s="2" t="s">
        <v>2790</v>
      </c>
      <c r="CC464" s="2" t="s">
        <v>213</v>
      </c>
      <c r="CD464" s="2" t="s">
        <v>200</v>
      </c>
      <c r="CE464" s="4">
        <v>131</v>
      </c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</row>
    <row r="465">
      <c r="A465" s="2" t="s">
        <v>3193</v>
      </c>
      <c r="B465" s="2" t="s">
        <v>932</v>
      </c>
      <c r="C465" s="2" t="s">
        <v>2014</v>
      </c>
      <c r="D465" s="2" t="s">
        <v>918</v>
      </c>
      <c r="E465" s="2" t="s">
        <v>919</v>
      </c>
      <c r="F465" s="2" t="s">
        <v>3185</v>
      </c>
      <c r="G465" s="2" t="s">
        <v>3186</v>
      </c>
      <c r="H465" s="2" t="s">
        <v>3187</v>
      </c>
      <c r="I465" s="2" t="s">
        <v>3194</v>
      </c>
      <c r="J465" s="2" t="s">
        <v>256</v>
      </c>
      <c r="K465" s="2" t="s">
        <v>3189</v>
      </c>
      <c r="L465" s="3">
        <v>19.04</v>
      </c>
      <c r="M465" s="3">
        <v>19.99</v>
      </c>
      <c r="N465" s="3">
        <v>39.99</v>
      </c>
      <c r="O465" s="2" t="s">
        <v>212</v>
      </c>
      <c r="P465" s="2" t="s">
        <v>205</v>
      </c>
      <c r="Q465" s="2" t="s">
        <v>206</v>
      </c>
      <c r="R465" s="2" t="s">
        <v>200</v>
      </c>
      <c r="S465" s="2" t="s">
        <v>3190</v>
      </c>
      <c r="T465" s="2" t="s">
        <v>1176</v>
      </c>
      <c r="U465" s="2" t="s">
        <v>677</v>
      </c>
      <c r="V465" s="2" t="s">
        <v>3191</v>
      </c>
      <c r="W465" s="2" t="s">
        <v>241</v>
      </c>
      <c r="X465" s="2" t="s">
        <v>200</v>
      </c>
      <c r="Y465" s="2" t="s">
        <v>2132</v>
      </c>
      <c r="Z465" s="4">
        <v>45</v>
      </c>
      <c r="AA465" s="4">
        <f>=ROUNDDOWN(15,0)</f>
      </c>
      <c r="AB465" s="5">
        <v>3</v>
      </c>
      <c r="AC465" s="2" t="s">
        <v>200</v>
      </c>
      <c r="AD465" s="4"/>
      <c r="AE465" s="4"/>
      <c r="AF465" s="6">
        <v>65</v>
      </c>
      <c r="AG465" s="6"/>
      <c r="AH465" s="7">
        <v>1</v>
      </c>
      <c r="AI465" s="4"/>
      <c r="AJ465" s="4">
        <f>=ROUNDDOWN({0},0)</f>
      </c>
      <c r="AK465" s="5"/>
      <c r="AL465" s="2" t="s">
        <v>200</v>
      </c>
      <c r="AM465" s="4"/>
      <c r="AN465" s="4"/>
      <c r="AO465" s="7"/>
      <c r="AP465" s="4"/>
      <c r="AQ465" s="8"/>
      <c r="AR465" s="4"/>
      <c r="AS465" s="8"/>
      <c r="AT465" s="7"/>
      <c r="AU465" s="7"/>
      <c r="AV465" s="4" t="s">
        <v>200</v>
      </c>
      <c r="AW465" s="8" t="s">
        <v>200</v>
      </c>
      <c r="AX465" s="4" t="s">
        <v>200</v>
      </c>
      <c r="AY465" s="8" t="s">
        <v>200</v>
      </c>
      <c r="AZ465" s="7" t="s">
        <v>200</v>
      </c>
      <c r="BA465" s="7" t="s">
        <v>200</v>
      </c>
      <c r="BB465" s="7" t="s">
        <v>200</v>
      </c>
      <c r="BC465" s="4" t="s">
        <v>200</v>
      </c>
      <c r="BD465" s="8" t="s">
        <v>200</v>
      </c>
      <c r="BE465" s="4" t="s">
        <v>200</v>
      </c>
      <c r="BF465" s="8" t="s">
        <v>200</v>
      </c>
      <c r="BG465" s="7" t="s">
        <v>200</v>
      </c>
      <c r="BH465" s="7" t="s">
        <v>200</v>
      </c>
      <c r="BI465" s="7"/>
      <c r="BJ465" s="4">
        <v>29</v>
      </c>
      <c r="BK465" s="8">
        <v>628.35</v>
      </c>
      <c r="BL465" s="2" t="s">
        <v>3195</v>
      </c>
      <c r="BM465" s="7"/>
      <c r="BN465" s="7"/>
      <c r="BO465" s="4"/>
      <c r="BP465" s="8"/>
      <c r="BQ465" s="4"/>
      <c r="BR465" s="8"/>
      <c r="BS465" s="7"/>
      <c r="BT465" s="7"/>
      <c r="BU465" s="2" t="s">
        <v>3196</v>
      </c>
      <c r="BV465" s="2" t="s">
        <v>200</v>
      </c>
      <c r="BW465" s="2" t="s">
        <v>200</v>
      </c>
      <c r="BX465" s="2" t="s">
        <v>264</v>
      </c>
      <c r="BY465" s="2" t="s">
        <v>247</v>
      </c>
      <c r="BZ465" s="2" t="s">
        <v>212</v>
      </c>
      <c r="CA465" s="2" t="s">
        <v>1995</v>
      </c>
      <c r="CB465" s="2" t="s">
        <v>1990</v>
      </c>
      <c r="CC465" s="2" t="s">
        <v>213</v>
      </c>
      <c r="CD465" s="2" t="s">
        <v>200</v>
      </c>
      <c r="CE465" s="4">
        <v>45</v>
      </c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</row>
    <row r="466">
      <c r="A466" s="2" t="s">
        <v>3197</v>
      </c>
      <c r="B466" s="2" t="s">
        <v>932</v>
      </c>
      <c r="C466" s="2" t="s">
        <v>2014</v>
      </c>
      <c r="D466" s="2" t="s">
        <v>608</v>
      </c>
      <c r="E466" s="2" t="s">
        <v>1324</v>
      </c>
      <c r="F466" s="2" t="s">
        <v>3185</v>
      </c>
      <c r="G466" s="2" t="s">
        <v>3186</v>
      </c>
      <c r="H466" s="2" t="s">
        <v>3187</v>
      </c>
      <c r="I466" s="2" t="s">
        <v>3188</v>
      </c>
      <c r="J466" s="2" t="s">
        <v>612</v>
      </c>
      <c r="K466" s="2" t="s">
        <v>3189</v>
      </c>
      <c r="L466" s="3">
        <v>30.95</v>
      </c>
      <c r="M466" s="3">
        <v>32.5</v>
      </c>
      <c r="N466" s="3">
        <v>64.99</v>
      </c>
      <c r="O466" s="2" t="s">
        <v>212</v>
      </c>
      <c r="P466" s="2" t="s">
        <v>205</v>
      </c>
      <c r="Q466" s="2" t="s">
        <v>206</v>
      </c>
      <c r="R466" s="2" t="s">
        <v>200</v>
      </c>
      <c r="S466" s="2" t="s">
        <v>3190</v>
      </c>
      <c r="T466" s="2" t="s">
        <v>1176</v>
      </c>
      <c r="U466" s="2" t="s">
        <v>454</v>
      </c>
      <c r="V466" s="2" t="s">
        <v>3191</v>
      </c>
      <c r="W466" s="2" t="s">
        <v>241</v>
      </c>
      <c r="X466" s="2" t="s">
        <v>200</v>
      </c>
      <c r="Y466" s="2" t="s">
        <v>2132</v>
      </c>
      <c r="Z466" s="4">
        <v>144</v>
      </c>
      <c r="AA466" s="4">
        <f>=ROUNDDOWN(36,0)</f>
      </c>
      <c r="AB466" s="5">
        <v>4</v>
      </c>
      <c r="AC466" s="2" t="s">
        <v>200</v>
      </c>
      <c r="AD466" s="4"/>
      <c r="AE466" s="4"/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200</v>
      </c>
      <c r="AM466" s="4"/>
      <c r="AN466" s="4"/>
      <c r="AO466" s="7"/>
      <c r="AP466" s="4"/>
      <c r="AQ466" s="8"/>
      <c r="AR466" s="4"/>
      <c r="AS466" s="8"/>
      <c r="AT466" s="7"/>
      <c r="AU466" s="7"/>
      <c r="AV466" s="4" t="s">
        <v>200</v>
      </c>
      <c r="AW466" s="8" t="s">
        <v>200</v>
      </c>
      <c r="AX466" s="4" t="s">
        <v>200</v>
      </c>
      <c r="AY466" s="8" t="s">
        <v>200</v>
      </c>
      <c r="AZ466" s="7" t="s">
        <v>200</v>
      </c>
      <c r="BA466" s="7" t="s">
        <v>200</v>
      </c>
      <c r="BB466" s="7" t="s">
        <v>200</v>
      </c>
      <c r="BC466" s="4" t="s">
        <v>200</v>
      </c>
      <c r="BD466" s="8" t="s">
        <v>200</v>
      </c>
      <c r="BE466" s="4" t="s">
        <v>200</v>
      </c>
      <c r="BF466" s="8" t="s">
        <v>200</v>
      </c>
      <c r="BG466" s="7" t="s">
        <v>200</v>
      </c>
      <c r="BH466" s="7" t="s">
        <v>200</v>
      </c>
      <c r="BI466" s="7"/>
      <c r="BJ466" s="4">
        <v>34</v>
      </c>
      <c r="BK466" s="8">
        <v>1177.51</v>
      </c>
      <c r="BL466" s="2" t="s">
        <v>3198</v>
      </c>
      <c r="BM466" s="7"/>
      <c r="BN466" s="7"/>
      <c r="BO466" s="4"/>
      <c r="BP466" s="8"/>
      <c r="BQ466" s="4"/>
      <c r="BR466" s="8"/>
      <c r="BS466" s="7"/>
      <c r="BT466" s="7"/>
      <c r="BU466" s="2" t="s">
        <v>3199</v>
      </c>
      <c r="BV466" s="2" t="s">
        <v>200</v>
      </c>
      <c r="BW466" s="2" t="s">
        <v>200</v>
      </c>
      <c r="BX466" s="2" t="s">
        <v>264</v>
      </c>
      <c r="BY466" s="2" t="s">
        <v>247</v>
      </c>
      <c r="BZ466" s="2" t="s">
        <v>212</v>
      </c>
      <c r="CA466" s="2" t="s">
        <v>1995</v>
      </c>
      <c r="CB466" s="2" t="s">
        <v>200</v>
      </c>
      <c r="CC466" s="2" t="s">
        <v>213</v>
      </c>
      <c r="CD466" s="2" t="s">
        <v>200</v>
      </c>
      <c r="CE466" s="4">
        <v>144</v>
      </c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</row>
    <row r="467">
      <c r="A467" s="2" t="s">
        <v>3200</v>
      </c>
      <c r="B467" s="2" t="s">
        <v>932</v>
      </c>
      <c r="C467" s="2" t="s">
        <v>2014</v>
      </c>
      <c r="D467" s="2" t="s">
        <v>918</v>
      </c>
      <c r="E467" s="2" t="s">
        <v>919</v>
      </c>
      <c r="F467" s="2" t="s">
        <v>3185</v>
      </c>
      <c r="G467" s="2" t="s">
        <v>3186</v>
      </c>
      <c r="H467" s="2" t="s">
        <v>3187</v>
      </c>
      <c r="I467" s="2" t="s">
        <v>3194</v>
      </c>
      <c r="J467" s="2" t="s">
        <v>612</v>
      </c>
      <c r="K467" s="2" t="s">
        <v>3189</v>
      </c>
      <c r="L467" s="3">
        <v>23.8</v>
      </c>
      <c r="M467" s="3">
        <v>24.99</v>
      </c>
      <c r="N467" s="3">
        <v>49.99</v>
      </c>
      <c r="O467" s="2" t="s">
        <v>212</v>
      </c>
      <c r="P467" s="2" t="s">
        <v>205</v>
      </c>
      <c r="Q467" s="2" t="s">
        <v>206</v>
      </c>
      <c r="R467" s="2" t="s">
        <v>200</v>
      </c>
      <c r="S467" s="2" t="s">
        <v>3190</v>
      </c>
      <c r="T467" s="2" t="s">
        <v>1176</v>
      </c>
      <c r="U467" s="2" t="s">
        <v>454</v>
      </c>
      <c r="V467" s="2" t="s">
        <v>3191</v>
      </c>
      <c r="W467" s="2" t="s">
        <v>241</v>
      </c>
      <c r="X467" s="2" t="s">
        <v>200</v>
      </c>
      <c r="Y467" s="2" t="s">
        <v>2132</v>
      </c>
      <c r="Z467" s="4">
        <v>71</v>
      </c>
      <c r="AA467" s="4">
        <f>=ROUNDDOWN(35.5,0)</f>
      </c>
      <c r="AB467" s="5">
        <v>2</v>
      </c>
      <c r="AC467" s="2" t="s">
        <v>200</v>
      </c>
      <c r="AD467" s="4"/>
      <c r="AE467" s="4"/>
      <c r="AF467" s="6">
        <v>65</v>
      </c>
      <c r="AG467" s="6"/>
      <c r="AH467" s="7">
        <v>1</v>
      </c>
      <c r="AI467" s="4"/>
      <c r="AJ467" s="4">
        <f>=ROUNDDOWN({0},0)</f>
      </c>
      <c r="AK467" s="5"/>
      <c r="AL467" s="2" t="s">
        <v>200</v>
      </c>
      <c r="AM467" s="4"/>
      <c r="AN467" s="4"/>
      <c r="AO467" s="7"/>
      <c r="AP467" s="4"/>
      <c r="AQ467" s="8"/>
      <c r="AR467" s="4"/>
      <c r="AS467" s="8"/>
      <c r="AT467" s="7"/>
      <c r="AU467" s="7"/>
      <c r="AV467" s="4" t="s">
        <v>200</v>
      </c>
      <c r="AW467" s="8" t="s">
        <v>200</v>
      </c>
      <c r="AX467" s="4" t="s">
        <v>200</v>
      </c>
      <c r="AY467" s="8" t="s">
        <v>200</v>
      </c>
      <c r="AZ467" s="7" t="s">
        <v>200</v>
      </c>
      <c r="BA467" s="7" t="s">
        <v>200</v>
      </c>
      <c r="BB467" s="7" t="s">
        <v>200</v>
      </c>
      <c r="BC467" s="4" t="s">
        <v>200</v>
      </c>
      <c r="BD467" s="8" t="s">
        <v>200</v>
      </c>
      <c r="BE467" s="4" t="s">
        <v>200</v>
      </c>
      <c r="BF467" s="8" t="s">
        <v>200</v>
      </c>
      <c r="BG467" s="7" t="s">
        <v>200</v>
      </c>
      <c r="BH467" s="7" t="s">
        <v>200</v>
      </c>
      <c r="BI467" s="7"/>
      <c r="BJ467" s="4">
        <v>7</v>
      </c>
      <c r="BK467" s="8">
        <v>178.64</v>
      </c>
      <c r="BL467" s="2" t="s">
        <v>3201</v>
      </c>
      <c r="BM467" s="7"/>
      <c r="BN467" s="7"/>
      <c r="BO467" s="4"/>
      <c r="BP467" s="8"/>
      <c r="BQ467" s="4"/>
      <c r="BR467" s="8"/>
      <c r="BS467" s="7"/>
      <c r="BT467" s="7"/>
      <c r="BU467" s="2" t="s">
        <v>3202</v>
      </c>
      <c r="BV467" s="2" t="s">
        <v>200</v>
      </c>
      <c r="BW467" s="2" t="s">
        <v>200</v>
      </c>
      <c r="BX467" s="2" t="s">
        <v>264</v>
      </c>
      <c r="BY467" s="2" t="s">
        <v>247</v>
      </c>
      <c r="BZ467" s="2" t="s">
        <v>212</v>
      </c>
      <c r="CA467" s="2" t="s">
        <v>1995</v>
      </c>
      <c r="CB467" s="2" t="s">
        <v>2853</v>
      </c>
      <c r="CC467" s="2" t="s">
        <v>213</v>
      </c>
      <c r="CD467" s="2" t="s">
        <v>200</v>
      </c>
      <c r="CE467" s="4">
        <v>71</v>
      </c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</row>
    <row r="468">
      <c r="A468" s="2" t="s">
        <v>3203</v>
      </c>
      <c r="B468" s="2" t="s">
        <v>195</v>
      </c>
      <c r="C468" s="2" t="s">
        <v>3204</v>
      </c>
      <c r="D468" s="2" t="s">
        <v>1168</v>
      </c>
      <c r="E468" s="2" t="s">
        <v>3205</v>
      </c>
      <c r="F468" s="2" t="s">
        <v>3206</v>
      </c>
      <c r="G468" s="2" t="s">
        <v>3206</v>
      </c>
      <c r="H468" s="2" t="s">
        <v>3206</v>
      </c>
      <c r="I468" s="2" t="s">
        <v>3207</v>
      </c>
      <c r="J468" s="2" t="s">
        <v>297</v>
      </c>
      <c r="K468" s="2" t="s">
        <v>387</v>
      </c>
      <c r="L468" s="3">
        <v>71.42</v>
      </c>
      <c r="M468" s="3">
        <v>74.99</v>
      </c>
      <c r="N468" s="3">
        <v>149.99</v>
      </c>
      <c r="O468" s="2" t="s">
        <v>212</v>
      </c>
      <c r="P468" s="2" t="s">
        <v>258</v>
      </c>
      <c r="Q468" s="2" t="s">
        <v>206</v>
      </c>
      <c r="R468" s="2" t="s">
        <v>200</v>
      </c>
      <c r="S468" s="2" t="s">
        <v>3208</v>
      </c>
      <c r="T468" s="2" t="s">
        <v>2604</v>
      </c>
      <c r="U468" s="2" t="s">
        <v>270</v>
      </c>
      <c r="V468" s="2" t="s">
        <v>208</v>
      </c>
      <c r="W468" s="2" t="s">
        <v>241</v>
      </c>
      <c r="X468" s="2" t="s">
        <v>200</v>
      </c>
      <c r="Y468" s="2" t="s">
        <v>3209</v>
      </c>
      <c r="Z468" s="4">
        <v>152</v>
      </c>
      <c r="AA468" s="4">
        <f>=ROUNDDOWN(76,0)</f>
      </c>
      <c r="AB468" s="5">
        <v>2</v>
      </c>
      <c r="AC468" s="2" t="s">
        <v>200</v>
      </c>
      <c r="AD468" s="4"/>
      <c r="AE468" s="4"/>
      <c r="AF468" s="6">
        <v>65</v>
      </c>
      <c r="AG468" s="6"/>
      <c r="AH468" s="7">
        <v>1</v>
      </c>
      <c r="AI468" s="4"/>
      <c r="AJ468" s="4">
        <f>=ROUNDDOWN({0},0)</f>
      </c>
      <c r="AK468" s="5"/>
      <c r="AL468" s="2" t="s">
        <v>200</v>
      </c>
      <c r="AM468" s="4"/>
      <c r="AN468" s="4"/>
      <c r="AO468" s="7"/>
      <c r="AP468" s="4"/>
      <c r="AQ468" s="8"/>
      <c r="AR468" s="4"/>
      <c r="AS468" s="8"/>
      <c r="AT468" s="7"/>
      <c r="AU468" s="7"/>
      <c r="AV468" s="4"/>
      <c r="AW468" s="8"/>
      <c r="AX468" s="4"/>
      <c r="AY468" s="8"/>
      <c r="AZ468" s="7"/>
      <c r="BA468" s="7"/>
      <c r="BB468" s="7"/>
      <c r="BC468" s="4" t="s">
        <v>200</v>
      </c>
      <c r="BD468" s="8" t="s">
        <v>200</v>
      </c>
      <c r="BE468" s="4" t="s">
        <v>200</v>
      </c>
      <c r="BF468" s="8" t="s">
        <v>200</v>
      </c>
      <c r="BG468" s="7" t="s">
        <v>200</v>
      </c>
      <c r="BH468" s="7" t="s">
        <v>200</v>
      </c>
      <c r="BI468" s="7"/>
      <c r="BJ468" s="4">
        <v>42</v>
      </c>
      <c r="BK468" s="8">
        <v>3379.08</v>
      </c>
      <c r="BL468" s="2" t="s">
        <v>2610</v>
      </c>
      <c r="BM468" s="7"/>
      <c r="BN468" s="7"/>
      <c r="BO468" s="4"/>
      <c r="BP468" s="8"/>
      <c r="BQ468" s="4"/>
      <c r="BR468" s="8"/>
      <c r="BS468" s="7"/>
      <c r="BT468" s="7"/>
      <c r="BU468" s="2" t="s">
        <v>3210</v>
      </c>
      <c r="BV468" s="2" t="s">
        <v>200</v>
      </c>
      <c r="BW468" s="2" t="s">
        <v>200</v>
      </c>
      <c r="BX468" s="2" t="s">
        <v>264</v>
      </c>
      <c r="BY468" s="2" t="s">
        <v>247</v>
      </c>
      <c r="BZ468" s="2" t="s">
        <v>212</v>
      </c>
      <c r="CA468" s="2" t="s">
        <v>3211</v>
      </c>
      <c r="CB468" s="2" t="s">
        <v>365</v>
      </c>
      <c r="CC468" s="2" t="s">
        <v>213</v>
      </c>
      <c r="CD468" s="2" t="s">
        <v>200</v>
      </c>
      <c r="CE468" s="4">
        <v>152</v>
      </c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</row>
    <row r="469">
      <c r="A469" s="2" t="s">
        <v>3212</v>
      </c>
      <c r="B469" s="2" t="s">
        <v>195</v>
      </c>
      <c r="C469" s="2" t="s">
        <v>3204</v>
      </c>
      <c r="D469" s="2" t="s">
        <v>1168</v>
      </c>
      <c r="E469" s="2" t="s">
        <v>3205</v>
      </c>
      <c r="F469" s="2" t="s">
        <v>3206</v>
      </c>
      <c r="G469" s="2" t="s">
        <v>3206</v>
      </c>
      <c r="H469" s="2" t="s">
        <v>3206</v>
      </c>
      <c r="I469" s="2" t="s">
        <v>3207</v>
      </c>
      <c r="J469" s="2" t="s">
        <v>256</v>
      </c>
      <c r="K469" s="2" t="s">
        <v>1174</v>
      </c>
      <c r="L469" s="3">
        <v>45.23</v>
      </c>
      <c r="M469" s="3">
        <v>47.49</v>
      </c>
      <c r="N469" s="3">
        <v>94.99</v>
      </c>
      <c r="O469" s="2" t="s">
        <v>212</v>
      </c>
      <c r="P469" s="2" t="s">
        <v>258</v>
      </c>
      <c r="Q469" s="2" t="s">
        <v>206</v>
      </c>
      <c r="R469" s="2" t="s">
        <v>200</v>
      </c>
      <c r="S469" s="2" t="s">
        <v>3213</v>
      </c>
      <c r="T469" s="2" t="s">
        <v>2604</v>
      </c>
      <c r="U469" s="2" t="s">
        <v>270</v>
      </c>
      <c r="V469" s="2" t="s">
        <v>208</v>
      </c>
      <c r="W469" s="2" t="s">
        <v>241</v>
      </c>
      <c r="X469" s="2" t="s">
        <v>200</v>
      </c>
      <c r="Y469" s="2" t="s">
        <v>3209</v>
      </c>
      <c r="Z469" s="4">
        <v>212</v>
      </c>
      <c r="AA469" s="4">
        <f>=ROUNDDOWN(68.3870967741936,0)</f>
      </c>
      <c r="AB469" s="5">
        <v>3.1</v>
      </c>
      <c r="AC469" s="2" t="s">
        <v>200</v>
      </c>
      <c r="AD469" s="4"/>
      <c r="AE469" s="4"/>
      <c r="AF469" s="6">
        <v>65</v>
      </c>
      <c r="AG469" s="6"/>
      <c r="AH469" s="7">
        <v>1</v>
      </c>
      <c r="AI469" s="4"/>
      <c r="AJ469" s="4">
        <f>=ROUNDDOWN({0},0)</f>
      </c>
      <c r="AK469" s="5"/>
      <c r="AL469" s="2" t="s">
        <v>200</v>
      </c>
      <c r="AM469" s="4"/>
      <c r="AN469" s="4"/>
      <c r="AO469" s="7"/>
      <c r="AP469" s="4"/>
      <c r="AQ469" s="8"/>
      <c r="AR469" s="4"/>
      <c r="AS469" s="8"/>
      <c r="AT469" s="7"/>
      <c r="AU469" s="7"/>
      <c r="AV469" s="4" t="s">
        <v>200</v>
      </c>
      <c r="AW469" s="8" t="s">
        <v>200</v>
      </c>
      <c r="AX469" s="4" t="s">
        <v>200</v>
      </c>
      <c r="AY469" s="8" t="s">
        <v>200</v>
      </c>
      <c r="AZ469" s="7" t="s">
        <v>200</v>
      </c>
      <c r="BA469" s="7" t="s">
        <v>200</v>
      </c>
      <c r="BB469" s="7"/>
      <c r="BC469" s="4" t="s">
        <v>200</v>
      </c>
      <c r="BD469" s="8" t="s">
        <v>200</v>
      </c>
      <c r="BE469" s="4" t="s">
        <v>200</v>
      </c>
      <c r="BF469" s="8" t="s">
        <v>200</v>
      </c>
      <c r="BG469" s="7" t="s">
        <v>200</v>
      </c>
      <c r="BH469" s="7" t="s">
        <v>200</v>
      </c>
      <c r="BI469" s="7"/>
      <c r="BJ469" s="4">
        <v>21</v>
      </c>
      <c r="BK469" s="8">
        <v>1075.67</v>
      </c>
      <c r="BL469" s="2" t="s">
        <v>2633</v>
      </c>
      <c r="BM469" s="7"/>
      <c r="BN469" s="7"/>
      <c r="BO469" s="4"/>
      <c r="BP469" s="8"/>
      <c r="BQ469" s="4"/>
      <c r="BR469" s="8"/>
      <c r="BS469" s="7"/>
      <c r="BT469" s="7"/>
      <c r="BU469" s="2" t="s">
        <v>3214</v>
      </c>
      <c r="BV469" s="2" t="s">
        <v>200</v>
      </c>
      <c r="BW469" s="2" t="s">
        <v>200</v>
      </c>
      <c r="BX469" s="2" t="s">
        <v>264</v>
      </c>
      <c r="BY469" s="2" t="s">
        <v>247</v>
      </c>
      <c r="BZ469" s="2" t="s">
        <v>212</v>
      </c>
      <c r="CA469" s="2" t="s">
        <v>3211</v>
      </c>
      <c r="CB469" s="2" t="s">
        <v>200</v>
      </c>
      <c r="CC469" s="2" t="s">
        <v>213</v>
      </c>
      <c r="CD469" s="2" t="s">
        <v>200</v>
      </c>
      <c r="CE469" s="4">
        <v>212</v>
      </c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</row>
    <row r="470">
      <c r="A470" s="2" t="s">
        <v>3215</v>
      </c>
      <c r="B470" s="2" t="s">
        <v>195</v>
      </c>
      <c r="C470" s="2" t="s">
        <v>3204</v>
      </c>
      <c r="D470" s="2" t="s">
        <v>1168</v>
      </c>
      <c r="E470" s="2" t="s">
        <v>3205</v>
      </c>
      <c r="F470" s="2" t="s">
        <v>3206</v>
      </c>
      <c r="G470" s="2" t="s">
        <v>3206</v>
      </c>
      <c r="H470" s="2" t="s">
        <v>3206</v>
      </c>
      <c r="I470" s="2" t="s">
        <v>3207</v>
      </c>
      <c r="J470" s="2" t="s">
        <v>277</v>
      </c>
      <c r="K470" s="2" t="s">
        <v>1174</v>
      </c>
      <c r="L470" s="3">
        <v>50</v>
      </c>
      <c r="M470" s="3">
        <v>52.5</v>
      </c>
      <c r="N470" s="3">
        <v>104.99</v>
      </c>
      <c r="O470" s="2" t="s">
        <v>212</v>
      </c>
      <c r="P470" s="2" t="s">
        <v>258</v>
      </c>
      <c r="Q470" s="2" t="s">
        <v>206</v>
      </c>
      <c r="R470" s="2" t="s">
        <v>200</v>
      </c>
      <c r="S470" s="2" t="s">
        <v>3213</v>
      </c>
      <c r="T470" s="2" t="s">
        <v>2604</v>
      </c>
      <c r="U470" s="2" t="s">
        <v>270</v>
      </c>
      <c r="V470" s="2" t="s">
        <v>208</v>
      </c>
      <c r="W470" s="2" t="s">
        <v>241</v>
      </c>
      <c r="X470" s="2" t="s">
        <v>200</v>
      </c>
      <c r="Y470" s="2" t="s">
        <v>3209</v>
      </c>
      <c r="Z470" s="4">
        <v>188</v>
      </c>
      <c r="AA470" s="4">
        <f>=ROUNDDOWN(75.2,0)</f>
      </c>
      <c r="AB470" s="5">
        <v>2.5</v>
      </c>
      <c r="AC470" s="2" t="s">
        <v>200</v>
      </c>
      <c r="AD470" s="4"/>
      <c r="AE470" s="4"/>
      <c r="AF470" s="6">
        <v>65</v>
      </c>
      <c r="AG470" s="6"/>
      <c r="AH470" s="7">
        <v>1</v>
      </c>
      <c r="AI470" s="4"/>
      <c r="AJ470" s="4">
        <f>=ROUNDDOWN({0},0)</f>
      </c>
      <c r="AK470" s="5"/>
      <c r="AL470" s="2" t="s">
        <v>200</v>
      </c>
      <c r="AM470" s="4"/>
      <c r="AN470" s="4"/>
      <c r="AO470" s="7"/>
      <c r="AP470" s="4"/>
      <c r="AQ470" s="8"/>
      <c r="AR470" s="4"/>
      <c r="AS470" s="8"/>
      <c r="AT470" s="7"/>
      <c r="AU470" s="7"/>
      <c r="AV470" s="4" t="s">
        <v>200</v>
      </c>
      <c r="AW470" s="8" t="s">
        <v>200</v>
      </c>
      <c r="AX470" s="4" t="s">
        <v>200</v>
      </c>
      <c r="AY470" s="8" t="s">
        <v>200</v>
      </c>
      <c r="AZ470" s="7" t="s">
        <v>200</v>
      </c>
      <c r="BA470" s="7" t="s">
        <v>200</v>
      </c>
      <c r="BB470" s="7"/>
      <c r="BC470" s="4" t="s">
        <v>200</v>
      </c>
      <c r="BD470" s="8" t="s">
        <v>200</v>
      </c>
      <c r="BE470" s="4" t="s">
        <v>200</v>
      </c>
      <c r="BF470" s="8" t="s">
        <v>200</v>
      </c>
      <c r="BG470" s="7" t="s">
        <v>200</v>
      </c>
      <c r="BH470" s="7" t="s">
        <v>200</v>
      </c>
      <c r="BI470" s="7"/>
      <c r="BJ470" s="4">
        <v>21</v>
      </c>
      <c r="BK470" s="8">
        <v>1185.96</v>
      </c>
      <c r="BL470" s="2" t="s">
        <v>3216</v>
      </c>
      <c r="BM470" s="7"/>
      <c r="BN470" s="7"/>
      <c r="BO470" s="4"/>
      <c r="BP470" s="8"/>
      <c r="BQ470" s="4"/>
      <c r="BR470" s="8"/>
      <c r="BS470" s="7"/>
      <c r="BT470" s="7"/>
      <c r="BU470" s="2" t="s">
        <v>3217</v>
      </c>
      <c r="BV470" s="2" t="s">
        <v>200</v>
      </c>
      <c r="BW470" s="2" t="s">
        <v>200</v>
      </c>
      <c r="BX470" s="2" t="s">
        <v>264</v>
      </c>
      <c r="BY470" s="2" t="s">
        <v>247</v>
      </c>
      <c r="BZ470" s="2" t="s">
        <v>212</v>
      </c>
      <c r="CA470" s="2" t="s">
        <v>3211</v>
      </c>
      <c r="CB470" s="2" t="s">
        <v>3218</v>
      </c>
      <c r="CC470" s="2" t="s">
        <v>213</v>
      </c>
      <c r="CD470" s="2" t="s">
        <v>200</v>
      </c>
      <c r="CE470" s="4">
        <v>188</v>
      </c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</row>
    <row r="471">
      <c r="A471" s="2" t="s">
        <v>3219</v>
      </c>
      <c r="B471" s="2" t="s">
        <v>195</v>
      </c>
      <c r="C471" s="2" t="s">
        <v>3204</v>
      </c>
      <c r="D471" s="2" t="s">
        <v>1168</v>
      </c>
      <c r="E471" s="2" t="s">
        <v>3205</v>
      </c>
      <c r="F471" s="2" t="s">
        <v>3206</v>
      </c>
      <c r="G471" s="2" t="s">
        <v>3206</v>
      </c>
      <c r="H471" s="2" t="s">
        <v>3206</v>
      </c>
      <c r="I471" s="2" t="s">
        <v>3207</v>
      </c>
      <c r="J471" s="2" t="s">
        <v>302</v>
      </c>
      <c r="K471" s="2" t="s">
        <v>1174</v>
      </c>
      <c r="L471" s="3">
        <v>78.57</v>
      </c>
      <c r="M471" s="3">
        <v>82.5</v>
      </c>
      <c r="N471" s="3">
        <v>164.99</v>
      </c>
      <c r="O471" s="2" t="s">
        <v>212</v>
      </c>
      <c r="P471" s="2" t="s">
        <v>258</v>
      </c>
      <c r="Q471" s="2" t="s">
        <v>206</v>
      </c>
      <c r="R471" s="2" t="s">
        <v>200</v>
      </c>
      <c r="S471" s="2" t="s">
        <v>3213</v>
      </c>
      <c r="T471" s="2" t="s">
        <v>2604</v>
      </c>
      <c r="U471" s="2" t="s">
        <v>270</v>
      </c>
      <c r="V471" s="2" t="s">
        <v>208</v>
      </c>
      <c r="W471" s="2" t="s">
        <v>241</v>
      </c>
      <c r="X471" s="2" t="s">
        <v>200</v>
      </c>
      <c r="Y471" s="2" t="s">
        <v>3209</v>
      </c>
      <c r="Z471" s="4">
        <v>353</v>
      </c>
      <c r="AA471" s="4">
        <f>=ROUNDDOWN(70.6,0)</f>
      </c>
      <c r="AB471" s="5">
        <v>5</v>
      </c>
      <c r="AC471" s="2" t="s">
        <v>200</v>
      </c>
      <c r="AD471" s="4"/>
      <c r="AE471" s="4"/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200</v>
      </c>
      <c r="AM471" s="4"/>
      <c r="AN471" s="4"/>
      <c r="AO471" s="7"/>
      <c r="AP471" s="4"/>
      <c r="AQ471" s="8"/>
      <c r="AR471" s="4"/>
      <c r="AS471" s="8"/>
      <c r="AT471" s="7"/>
      <c r="AU471" s="7"/>
      <c r="AV471" s="4" t="s">
        <v>200</v>
      </c>
      <c r="AW471" s="8" t="s">
        <v>200</v>
      </c>
      <c r="AX471" s="4" t="s">
        <v>200</v>
      </c>
      <c r="AY471" s="8" t="s">
        <v>200</v>
      </c>
      <c r="AZ471" s="7" t="s">
        <v>200</v>
      </c>
      <c r="BA471" s="7" t="s">
        <v>200</v>
      </c>
      <c r="BB471" s="7"/>
      <c r="BC471" s="4" t="s">
        <v>200</v>
      </c>
      <c r="BD471" s="8" t="s">
        <v>200</v>
      </c>
      <c r="BE471" s="4" t="s">
        <v>200</v>
      </c>
      <c r="BF471" s="8" t="s">
        <v>200</v>
      </c>
      <c r="BG471" s="7" t="s">
        <v>200</v>
      </c>
      <c r="BH471" s="7" t="s">
        <v>200</v>
      </c>
      <c r="BI471" s="7"/>
      <c r="BJ471" s="4">
        <v>28</v>
      </c>
      <c r="BK471" s="8">
        <v>2482.4</v>
      </c>
      <c r="BL471" s="2" t="s">
        <v>245</v>
      </c>
      <c r="BM471" s="7"/>
      <c r="BN471" s="7"/>
      <c r="BO471" s="4"/>
      <c r="BP471" s="8"/>
      <c r="BQ471" s="4"/>
      <c r="BR471" s="8"/>
      <c r="BS471" s="7"/>
      <c r="BT471" s="7"/>
      <c r="BU471" s="2" t="s">
        <v>3220</v>
      </c>
      <c r="BV471" s="2" t="s">
        <v>200</v>
      </c>
      <c r="BW471" s="2" t="s">
        <v>200</v>
      </c>
      <c r="BX471" s="2" t="s">
        <v>264</v>
      </c>
      <c r="BY471" s="2" t="s">
        <v>247</v>
      </c>
      <c r="BZ471" s="2" t="s">
        <v>212</v>
      </c>
      <c r="CA471" s="2" t="s">
        <v>3211</v>
      </c>
      <c r="CB471" s="2" t="s">
        <v>3221</v>
      </c>
      <c r="CC471" s="2" t="s">
        <v>213</v>
      </c>
      <c r="CD471" s="2" t="s">
        <v>200</v>
      </c>
      <c r="CE471" s="4">
        <v>353</v>
      </c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</row>
    <row r="472">
      <c r="A472" s="2" t="s">
        <v>3222</v>
      </c>
      <c r="B472" s="2" t="s">
        <v>195</v>
      </c>
      <c r="C472" s="2" t="s">
        <v>3204</v>
      </c>
      <c r="D472" s="2" t="s">
        <v>1168</v>
      </c>
      <c r="E472" s="2" t="s">
        <v>3205</v>
      </c>
      <c r="F472" s="2" t="s">
        <v>3206</v>
      </c>
      <c r="G472" s="2" t="s">
        <v>3206</v>
      </c>
      <c r="H472" s="2" t="s">
        <v>3206</v>
      </c>
      <c r="I472" s="2" t="s">
        <v>3207</v>
      </c>
      <c r="J472" s="2" t="s">
        <v>256</v>
      </c>
      <c r="K472" s="2" t="s">
        <v>221</v>
      </c>
      <c r="L472" s="3">
        <v>45.23</v>
      </c>
      <c r="M472" s="3">
        <v>47.49</v>
      </c>
      <c r="N472" s="3">
        <v>94.99</v>
      </c>
      <c r="O472" s="2" t="s">
        <v>212</v>
      </c>
      <c r="P472" s="2" t="s">
        <v>258</v>
      </c>
      <c r="Q472" s="2" t="s">
        <v>206</v>
      </c>
      <c r="R472" s="2" t="s">
        <v>200</v>
      </c>
      <c r="S472" s="2" t="s">
        <v>3223</v>
      </c>
      <c r="T472" s="2" t="s">
        <v>2604</v>
      </c>
      <c r="U472" s="2" t="s">
        <v>270</v>
      </c>
      <c r="V472" s="2" t="s">
        <v>208</v>
      </c>
      <c r="W472" s="2" t="s">
        <v>241</v>
      </c>
      <c r="X472" s="2" t="s">
        <v>200</v>
      </c>
      <c r="Y472" s="2" t="s">
        <v>3209</v>
      </c>
      <c r="Z472" s="4">
        <v>143</v>
      </c>
      <c r="AA472" s="4">
        <f>=ROUNDDOWN(47.6666666666667,0)</f>
      </c>
      <c r="AB472" s="5">
        <v>3</v>
      </c>
      <c r="AC472" s="2" t="s">
        <v>200</v>
      </c>
      <c r="AD472" s="4"/>
      <c r="AE472" s="4"/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200</v>
      </c>
      <c r="AM472" s="4"/>
      <c r="AN472" s="4"/>
      <c r="AO472" s="7"/>
      <c r="AP472" s="4"/>
      <c r="AQ472" s="8"/>
      <c r="AR472" s="4"/>
      <c r="AS472" s="8"/>
      <c r="AT472" s="7"/>
      <c r="AU472" s="7"/>
      <c r="AV472" s="4"/>
      <c r="AW472" s="8"/>
      <c r="AX472" s="4"/>
      <c r="AY472" s="8"/>
      <c r="AZ472" s="7"/>
      <c r="BA472" s="7"/>
      <c r="BB472" s="7"/>
      <c r="BC472" s="4" t="s">
        <v>200</v>
      </c>
      <c r="BD472" s="8" t="s">
        <v>200</v>
      </c>
      <c r="BE472" s="4" t="s">
        <v>200</v>
      </c>
      <c r="BF472" s="8" t="s">
        <v>200</v>
      </c>
      <c r="BG472" s="7" t="s">
        <v>200</v>
      </c>
      <c r="BH472" s="7" t="s">
        <v>200</v>
      </c>
      <c r="BI472" s="7"/>
      <c r="BJ472" s="4">
        <v>41</v>
      </c>
      <c r="BK472" s="8">
        <v>2101.47</v>
      </c>
      <c r="BL472" s="2" t="s">
        <v>319</v>
      </c>
      <c r="BM472" s="7"/>
      <c r="BN472" s="7"/>
      <c r="BO472" s="4"/>
      <c r="BP472" s="8"/>
      <c r="BQ472" s="4"/>
      <c r="BR472" s="8"/>
      <c r="BS472" s="7"/>
      <c r="BT472" s="7"/>
      <c r="BU472" s="2" t="s">
        <v>3224</v>
      </c>
      <c r="BV472" s="2" t="s">
        <v>200</v>
      </c>
      <c r="BW472" s="2" t="s">
        <v>200</v>
      </c>
      <c r="BX472" s="2" t="s">
        <v>264</v>
      </c>
      <c r="BY472" s="2" t="s">
        <v>247</v>
      </c>
      <c r="BZ472" s="2" t="s">
        <v>212</v>
      </c>
      <c r="CA472" s="2" t="s">
        <v>3211</v>
      </c>
      <c r="CB472" s="2" t="s">
        <v>3020</v>
      </c>
      <c r="CC472" s="2" t="s">
        <v>213</v>
      </c>
      <c r="CD472" s="2" t="s">
        <v>200</v>
      </c>
      <c r="CE472" s="4">
        <v>143</v>
      </c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</row>
    <row r="473">
      <c r="A473" s="2" t="s">
        <v>3225</v>
      </c>
      <c r="B473" s="2" t="s">
        <v>827</v>
      </c>
      <c r="C473" s="2" t="s">
        <v>1523</v>
      </c>
      <c r="D473" s="2" t="s">
        <v>828</v>
      </c>
      <c r="E473" s="2" t="s">
        <v>1011</v>
      </c>
      <c r="F473" s="2" t="s">
        <v>3226</v>
      </c>
      <c r="G473" s="2" t="s">
        <v>3226</v>
      </c>
      <c r="H473" s="2" t="s">
        <v>3226</v>
      </c>
      <c r="I473" s="2" t="s">
        <v>3227</v>
      </c>
      <c r="J473" s="2" t="s">
        <v>1606</v>
      </c>
      <c r="K473" s="2" t="s">
        <v>436</v>
      </c>
      <c r="L473" s="3">
        <v>17.02</v>
      </c>
      <c r="M473" s="3">
        <v>17.87</v>
      </c>
      <c r="N473" s="3">
        <v>49.99</v>
      </c>
      <c r="O473" s="2" t="s">
        <v>212</v>
      </c>
      <c r="P473" s="2" t="s">
        <v>285</v>
      </c>
      <c r="Q473" s="2" t="s">
        <v>206</v>
      </c>
      <c r="R473" s="2" t="s">
        <v>200</v>
      </c>
      <c r="S473" s="2" t="s">
        <v>200</v>
      </c>
      <c r="T473" s="2" t="s">
        <v>200</v>
      </c>
      <c r="U473" s="2" t="s">
        <v>270</v>
      </c>
      <c r="V473" s="2" t="s">
        <v>208</v>
      </c>
      <c r="W473" s="2" t="s">
        <v>242</v>
      </c>
      <c r="X473" s="2" t="s">
        <v>200</v>
      </c>
      <c r="Y473" s="2" t="s">
        <v>2017</v>
      </c>
      <c r="Z473" s="4">
        <v>103</v>
      </c>
      <c r="AA473" s="4">
        <f>=ROUNDDOWN(171.666666666667,0)</f>
      </c>
      <c r="AB473" s="5">
        <v>0.6</v>
      </c>
      <c r="AC473" s="2" t="s">
        <v>200</v>
      </c>
      <c r="AD473" s="4"/>
      <c r="AE473" s="4"/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200</v>
      </c>
      <c r="AM473" s="4"/>
      <c r="AN473" s="4"/>
      <c r="AO473" s="7"/>
      <c r="AP473" s="4"/>
      <c r="AQ473" s="8"/>
      <c r="AR473" s="4"/>
      <c r="AS473" s="8"/>
      <c r="AT473" s="7"/>
      <c r="AU473" s="7"/>
      <c r="AV473" s="4" t="s">
        <v>200</v>
      </c>
      <c r="AW473" s="8" t="s">
        <v>200</v>
      </c>
      <c r="AX473" s="4" t="s">
        <v>200</v>
      </c>
      <c r="AY473" s="8" t="s">
        <v>200</v>
      </c>
      <c r="AZ473" s="7" t="s">
        <v>200</v>
      </c>
      <c r="BA473" s="7" t="s">
        <v>200</v>
      </c>
      <c r="BB473" s="7"/>
      <c r="BC473" s="4" t="s">
        <v>200</v>
      </c>
      <c r="BD473" s="8" t="s">
        <v>200</v>
      </c>
      <c r="BE473" s="4" t="s">
        <v>200</v>
      </c>
      <c r="BF473" s="8" t="s">
        <v>200</v>
      </c>
      <c r="BG473" s="7" t="s">
        <v>200</v>
      </c>
      <c r="BH473" s="7" t="s">
        <v>200</v>
      </c>
      <c r="BI473" s="7"/>
      <c r="BJ473" s="4">
        <v>2</v>
      </c>
      <c r="BK473" s="8">
        <v>18.76</v>
      </c>
      <c r="BL473" s="2" t="s">
        <v>1618</v>
      </c>
      <c r="BM473" s="7"/>
      <c r="BN473" s="7"/>
      <c r="BO473" s="4"/>
      <c r="BP473" s="8"/>
      <c r="BQ473" s="4"/>
      <c r="BR473" s="8"/>
      <c r="BS473" s="7"/>
      <c r="BT473" s="7"/>
      <c r="BU473" s="2" t="s">
        <v>3228</v>
      </c>
      <c r="BV473" s="2" t="s">
        <v>200</v>
      </c>
      <c r="BW473" s="2" t="s">
        <v>200</v>
      </c>
      <c r="BX473" s="2" t="s">
        <v>289</v>
      </c>
      <c r="BY473" s="2" t="s">
        <v>247</v>
      </c>
      <c r="BZ473" s="2" t="s">
        <v>212</v>
      </c>
      <c r="CA473" s="2" t="s">
        <v>1610</v>
      </c>
      <c r="CB473" s="2" t="s">
        <v>3229</v>
      </c>
      <c r="CC473" s="2" t="s">
        <v>213</v>
      </c>
      <c r="CD473" s="2" t="s">
        <v>200</v>
      </c>
      <c r="CE473" s="4">
        <v>103</v>
      </c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</row>
    <row r="474">
      <c r="A474" s="2" t="s">
        <v>3230</v>
      </c>
      <c r="B474" s="2" t="s">
        <v>827</v>
      </c>
      <c r="C474" s="2" t="s">
        <v>1523</v>
      </c>
      <c r="D474" s="2" t="s">
        <v>828</v>
      </c>
      <c r="E474" s="2" t="s">
        <v>1011</v>
      </c>
      <c r="F474" s="2" t="s">
        <v>3226</v>
      </c>
      <c r="G474" s="2" t="s">
        <v>3226</v>
      </c>
      <c r="H474" s="2" t="s">
        <v>3226</v>
      </c>
      <c r="I474" s="2" t="s">
        <v>3227</v>
      </c>
      <c r="J474" s="2" t="s">
        <v>1613</v>
      </c>
      <c r="K474" s="2" t="s">
        <v>436</v>
      </c>
      <c r="L474" s="3">
        <v>15.32</v>
      </c>
      <c r="M474" s="3">
        <v>16.09</v>
      </c>
      <c r="N474" s="3">
        <v>44.99</v>
      </c>
      <c r="O474" s="2" t="s">
        <v>212</v>
      </c>
      <c r="P474" s="2" t="s">
        <v>285</v>
      </c>
      <c r="Q474" s="2" t="s">
        <v>206</v>
      </c>
      <c r="R474" s="2" t="s">
        <v>200</v>
      </c>
      <c r="S474" s="2" t="s">
        <v>200</v>
      </c>
      <c r="T474" s="2" t="s">
        <v>200</v>
      </c>
      <c r="U474" s="2" t="s">
        <v>270</v>
      </c>
      <c r="V474" s="2" t="s">
        <v>208</v>
      </c>
      <c r="W474" s="2" t="s">
        <v>242</v>
      </c>
      <c r="X474" s="2" t="s">
        <v>200</v>
      </c>
      <c r="Y474" s="2" t="s">
        <v>2017</v>
      </c>
      <c r="Z474" s="4">
        <v>234</v>
      </c>
      <c r="AA474" s="4">
        <f>=ROUNDDOWN(234,0)</f>
      </c>
      <c r="AB474" s="5">
        <v>1</v>
      </c>
      <c r="AC474" s="2" t="s">
        <v>200</v>
      </c>
      <c r="AD474" s="4"/>
      <c r="AE474" s="4"/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200</v>
      </c>
      <c r="AM474" s="4"/>
      <c r="AN474" s="4"/>
      <c r="AO474" s="7"/>
      <c r="AP474" s="4"/>
      <c r="AQ474" s="8"/>
      <c r="AR474" s="4"/>
      <c r="AS474" s="8"/>
      <c r="AT474" s="7"/>
      <c r="AU474" s="7"/>
      <c r="AV474" s="4" t="s">
        <v>200</v>
      </c>
      <c r="AW474" s="8" t="s">
        <v>200</v>
      </c>
      <c r="AX474" s="4" t="s">
        <v>200</v>
      </c>
      <c r="AY474" s="8" t="s">
        <v>200</v>
      </c>
      <c r="AZ474" s="7" t="s">
        <v>200</v>
      </c>
      <c r="BA474" s="7" t="s">
        <v>200</v>
      </c>
      <c r="BB474" s="7"/>
      <c r="BC474" s="4" t="s">
        <v>200</v>
      </c>
      <c r="BD474" s="8" t="s">
        <v>200</v>
      </c>
      <c r="BE474" s="4" t="s">
        <v>200</v>
      </c>
      <c r="BF474" s="8" t="s">
        <v>200</v>
      </c>
      <c r="BG474" s="7" t="s">
        <v>200</v>
      </c>
      <c r="BH474" s="7" t="s">
        <v>200</v>
      </c>
      <c r="BI474" s="7"/>
      <c r="BJ474" s="4">
        <v>16</v>
      </c>
      <c r="BK474" s="8">
        <v>254.36</v>
      </c>
      <c r="BL474" s="2" t="s">
        <v>3231</v>
      </c>
      <c r="BM474" s="7"/>
      <c r="BN474" s="7"/>
      <c r="BO474" s="4"/>
      <c r="BP474" s="8"/>
      <c r="BQ474" s="4"/>
      <c r="BR474" s="8"/>
      <c r="BS474" s="7"/>
      <c r="BT474" s="7"/>
      <c r="BU474" s="2" t="s">
        <v>3232</v>
      </c>
      <c r="BV474" s="2" t="s">
        <v>200</v>
      </c>
      <c r="BW474" s="2" t="s">
        <v>200</v>
      </c>
      <c r="BX474" s="2" t="s">
        <v>289</v>
      </c>
      <c r="BY474" s="2" t="s">
        <v>247</v>
      </c>
      <c r="BZ474" s="2" t="s">
        <v>212</v>
      </c>
      <c r="CA474" s="2" t="s">
        <v>1610</v>
      </c>
      <c r="CB474" s="2" t="s">
        <v>2615</v>
      </c>
      <c r="CC474" s="2" t="s">
        <v>213</v>
      </c>
      <c r="CD474" s="2" t="s">
        <v>200</v>
      </c>
      <c r="CE474" s="4">
        <v>234</v>
      </c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</row>
    <row r="475">
      <c r="A475" s="2" t="s">
        <v>3233</v>
      </c>
      <c r="B475" s="2" t="s">
        <v>827</v>
      </c>
      <c r="C475" s="2" t="s">
        <v>1523</v>
      </c>
      <c r="D475" s="2" t="s">
        <v>828</v>
      </c>
      <c r="E475" s="2" t="s">
        <v>1011</v>
      </c>
      <c r="F475" s="2" t="s">
        <v>3226</v>
      </c>
      <c r="G475" s="2" t="s">
        <v>3226</v>
      </c>
      <c r="H475" s="2" t="s">
        <v>3226</v>
      </c>
      <c r="I475" s="2" t="s">
        <v>3227</v>
      </c>
      <c r="J475" s="2" t="s">
        <v>1606</v>
      </c>
      <c r="K475" s="2" t="s">
        <v>257</v>
      </c>
      <c r="L475" s="3">
        <v>17.02</v>
      </c>
      <c r="M475" s="3">
        <v>17.87</v>
      </c>
      <c r="N475" s="3">
        <v>49.99</v>
      </c>
      <c r="O475" s="2" t="s">
        <v>212</v>
      </c>
      <c r="P475" s="2" t="s">
        <v>285</v>
      </c>
      <c r="Q475" s="2" t="s">
        <v>206</v>
      </c>
      <c r="R475" s="2" t="s">
        <v>200</v>
      </c>
      <c r="S475" s="2" t="s">
        <v>200</v>
      </c>
      <c r="T475" s="2" t="s">
        <v>200</v>
      </c>
      <c r="U475" s="2" t="s">
        <v>270</v>
      </c>
      <c r="V475" s="2" t="s">
        <v>208</v>
      </c>
      <c r="W475" s="2" t="s">
        <v>242</v>
      </c>
      <c r="X475" s="2" t="s">
        <v>200</v>
      </c>
      <c r="Y475" s="2" t="s">
        <v>2017</v>
      </c>
      <c r="Z475" s="4">
        <v>110</v>
      </c>
      <c r="AA475" s="4">
        <f>=ROUNDDOWN(55,0)</f>
      </c>
      <c r="AB475" s="5">
        <v>2</v>
      </c>
      <c r="AC475" s="2" t="s">
        <v>200</v>
      </c>
      <c r="AD475" s="4"/>
      <c r="AE475" s="4"/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200</v>
      </c>
      <c r="AM475" s="4"/>
      <c r="AN475" s="4"/>
      <c r="AO475" s="7"/>
      <c r="AP475" s="4"/>
      <c r="AQ475" s="8"/>
      <c r="AR475" s="4"/>
      <c r="AS475" s="8"/>
      <c r="AT475" s="7"/>
      <c r="AU475" s="7"/>
      <c r="AV475" s="4" t="s">
        <v>200</v>
      </c>
      <c r="AW475" s="8" t="s">
        <v>200</v>
      </c>
      <c r="AX475" s="4" t="s">
        <v>200</v>
      </c>
      <c r="AY475" s="8" t="s">
        <v>200</v>
      </c>
      <c r="AZ475" s="7" t="s">
        <v>200</v>
      </c>
      <c r="BA475" s="7" t="s">
        <v>200</v>
      </c>
      <c r="BB475" s="7"/>
      <c r="BC475" s="4" t="s">
        <v>200</v>
      </c>
      <c r="BD475" s="8" t="s">
        <v>200</v>
      </c>
      <c r="BE475" s="4" t="s">
        <v>200</v>
      </c>
      <c r="BF475" s="8" t="s">
        <v>200</v>
      </c>
      <c r="BG475" s="7" t="s">
        <v>200</v>
      </c>
      <c r="BH475" s="7" t="s">
        <v>200</v>
      </c>
      <c r="BI475" s="7"/>
      <c r="BJ475" s="4"/>
      <c r="BK475" s="8"/>
      <c r="BL475" s="2" t="s">
        <v>200</v>
      </c>
      <c r="BM475" s="7"/>
      <c r="BN475" s="7"/>
      <c r="BO475" s="4"/>
      <c r="BP475" s="8"/>
      <c r="BQ475" s="4"/>
      <c r="BR475" s="8"/>
      <c r="BS475" s="7"/>
      <c r="BT475" s="7"/>
      <c r="BU475" s="2" t="s">
        <v>3234</v>
      </c>
      <c r="BV475" s="2" t="s">
        <v>200</v>
      </c>
      <c r="BW475" s="2" t="s">
        <v>200</v>
      </c>
      <c r="BX475" s="2" t="s">
        <v>289</v>
      </c>
      <c r="BY475" s="2" t="s">
        <v>247</v>
      </c>
      <c r="BZ475" s="2" t="s">
        <v>212</v>
      </c>
      <c r="CA475" s="2" t="s">
        <v>1610</v>
      </c>
      <c r="CB475" s="2" t="s">
        <v>200</v>
      </c>
      <c r="CC475" s="2" t="s">
        <v>213</v>
      </c>
      <c r="CD475" s="2" t="s">
        <v>200</v>
      </c>
      <c r="CE475" s="4">
        <v>110</v>
      </c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</row>
    <row r="476">
      <c r="A476" s="2" t="s">
        <v>3235</v>
      </c>
      <c r="B476" s="2" t="s">
        <v>827</v>
      </c>
      <c r="C476" s="2" t="s">
        <v>1523</v>
      </c>
      <c r="D476" s="2" t="s">
        <v>828</v>
      </c>
      <c r="E476" s="2" t="s">
        <v>1011</v>
      </c>
      <c r="F476" s="2" t="s">
        <v>3226</v>
      </c>
      <c r="G476" s="2" t="s">
        <v>3226</v>
      </c>
      <c r="H476" s="2" t="s">
        <v>3226</v>
      </c>
      <c r="I476" s="2" t="s">
        <v>3227</v>
      </c>
      <c r="J476" s="2" t="s">
        <v>1613</v>
      </c>
      <c r="K476" s="2" t="s">
        <v>257</v>
      </c>
      <c r="L476" s="3">
        <v>15.32</v>
      </c>
      <c r="M476" s="3">
        <v>16.09</v>
      </c>
      <c r="N476" s="3">
        <v>44.99</v>
      </c>
      <c r="O476" s="2" t="s">
        <v>212</v>
      </c>
      <c r="P476" s="2" t="s">
        <v>285</v>
      </c>
      <c r="Q476" s="2" t="s">
        <v>206</v>
      </c>
      <c r="R476" s="2" t="s">
        <v>200</v>
      </c>
      <c r="S476" s="2" t="s">
        <v>200</v>
      </c>
      <c r="T476" s="2" t="s">
        <v>200</v>
      </c>
      <c r="U476" s="2" t="s">
        <v>270</v>
      </c>
      <c r="V476" s="2" t="s">
        <v>208</v>
      </c>
      <c r="W476" s="2" t="s">
        <v>242</v>
      </c>
      <c r="X476" s="2" t="s">
        <v>200</v>
      </c>
      <c r="Y476" s="2" t="s">
        <v>2017</v>
      </c>
      <c r="Z476" s="4">
        <v>263</v>
      </c>
      <c r="AA476" s="4">
        <f>=ROUNDDOWN(131.5,0)</f>
      </c>
      <c r="AB476" s="5">
        <v>2</v>
      </c>
      <c r="AC476" s="2" t="s">
        <v>200</v>
      </c>
      <c r="AD476" s="4"/>
      <c r="AE476" s="4"/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200</v>
      </c>
      <c r="AM476" s="4"/>
      <c r="AN476" s="4"/>
      <c r="AO476" s="7"/>
      <c r="AP476" s="4"/>
      <c r="AQ476" s="8"/>
      <c r="AR476" s="4"/>
      <c r="AS476" s="8"/>
      <c r="AT476" s="7"/>
      <c r="AU476" s="7"/>
      <c r="AV476" s="4" t="s">
        <v>200</v>
      </c>
      <c r="AW476" s="8" t="s">
        <v>200</v>
      </c>
      <c r="AX476" s="4" t="s">
        <v>200</v>
      </c>
      <c r="AY476" s="8" t="s">
        <v>200</v>
      </c>
      <c r="AZ476" s="7" t="s">
        <v>200</v>
      </c>
      <c r="BA476" s="7" t="s">
        <v>200</v>
      </c>
      <c r="BB476" s="7"/>
      <c r="BC476" s="4" t="s">
        <v>200</v>
      </c>
      <c r="BD476" s="8" t="s">
        <v>200</v>
      </c>
      <c r="BE476" s="4" t="s">
        <v>200</v>
      </c>
      <c r="BF476" s="8" t="s">
        <v>200</v>
      </c>
      <c r="BG476" s="7" t="s">
        <v>200</v>
      </c>
      <c r="BH476" s="7" t="s">
        <v>200</v>
      </c>
      <c r="BI476" s="7"/>
      <c r="BJ476" s="4">
        <v>14</v>
      </c>
      <c r="BK476" s="8">
        <v>118.3</v>
      </c>
      <c r="BL476" s="2" t="s">
        <v>1618</v>
      </c>
      <c r="BM476" s="7"/>
      <c r="BN476" s="7"/>
      <c r="BO476" s="4"/>
      <c r="BP476" s="8"/>
      <c r="BQ476" s="4"/>
      <c r="BR476" s="8"/>
      <c r="BS476" s="7"/>
      <c r="BT476" s="7"/>
      <c r="BU476" s="2" t="s">
        <v>3236</v>
      </c>
      <c r="BV476" s="2" t="s">
        <v>200</v>
      </c>
      <c r="BW476" s="2" t="s">
        <v>200</v>
      </c>
      <c r="BX476" s="2" t="s">
        <v>289</v>
      </c>
      <c r="BY476" s="2" t="s">
        <v>247</v>
      </c>
      <c r="BZ476" s="2" t="s">
        <v>212</v>
      </c>
      <c r="CA476" s="2" t="s">
        <v>1610</v>
      </c>
      <c r="CB476" s="2" t="s">
        <v>344</v>
      </c>
      <c r="CC476" s="2" t="s">
        <v>213</v>
      </c>
      <c r="CD476" s="2" t="s">
        <v>200</v>
      </c>
      <c r="CE476" s="4">
        <v>263</v>
      </c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</row>
    <row r="477">
      <c r="A477" s="2" t="s">
        <v>3237</v>
      </c>
      <c r="B477" s="2" t="s">
        <v>1099</v>
      </c>
      <c r="C477" s="2" t="s">
        <v>756</v>
      </c>
      <c r="D477" s="2" t="s">
        <v>3238</v>
      </c>
      <c r="E477" s="2" t="s">
        <v>3239</v>
      </c>
      <c r="F477" s="2" t="s">
        <v>3240</v>
      </c>
      <c r="G477" s="2" t="s">
        <v>3240</v>
      </c>
      <c r="H477" s="2" t="s">
        <v>3240</v>
      </c>
      <c r="I477" s="2" t="s">
        <v>3241</v>
      </c>
      <c r="J477" s="2" t="s">
        <v>2449</v>
      </c>
      <c r="K477" s="2" t="s">
        <v>637</v>
      </c>
      <c r="L477" s="3">
        <v>7.24</v>
      </c>
      <c r="M477" s="3">
        <v>7.6</v>
      </c>
      <c r="N477" s="3">
        <v>21.99</v>
      </c>
      <c r="O477" s="2" t="s">
        <v>212</v>
      </c>
      <c r="P477" s="2" t="s">
        <v>285</v>
      </c>
      <c r="Q477" s="2" t="s">
        <v>206</v>
      </c>
      <c r="R477" s="2" t="s">
        <v>200</v>
      </c>
      <c r="S477" s="2" t="s">
        <v>200</v>
      </c>
      <c r="T477" s="2" t="s">
        <v>200</v>
      </c>
      <c r="U477" s="2" t="s">
        <v>270</v>
      </c>
      <c r="V477" s="2" t="s">
        <v>724</v>
      </c>
      <c r="W477" s="2" t="s">
        <v>242</v>
      </c>
      <c r="X477" s="2" t="s">
        <v>200</v>
      </c>
      <c r="Y477" s="2" t="s">
        <v>3242</v>
      </c>
      <c r="Z477" s="4">
        <v>117</v>
      </c>
      <c r="AA477" s="4">
        <f>=ROUNDDOWN(130,0)</f>
      </c>
      <c r="AB477" s="5">
        <v>0.9</v>
      </c>
      <c r="AC477" s="2" t="s">
        <v>200</v>
      </c>
      <c r="AD477" s="4"/>
      <c r="AE477" s="4"/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200</v>
      </c>
      <c r="AM477" s="4"/>
      <c r="AN477" s="4"/>
      <c r="AO477" s="7"/>
      <c r="AP477" s="4"/>
      <c r="AQ477" s="8"/>
      <c r="AR477" s="4"/>
      <c r="AS477" s="8"/>
      <c r="AT477" s="7"/>
      <c r="AU477" s="7"/>
      <c r="AV477" s="4"/>
      <c r="AW477" s="8"/>
      <c r="AX477" s="4"/>
      <c r="AY477" s="8"/>
      <c r="AZ477" s="7"/>
      <c r="BA477" s="7"/>
      <c r="BB477" s="7"/>
      <c r="BC477" s="4"/>
      <c r="BD477" s="8"/>
      <c r="BE477" s="4"/>
      <c r="BF477" s="8"/>
      <c r="BG477" s="7"/>
      <c r="BH477" s="7"/>
      <c r="BI477" s="7"/>
      <c r="BJ477" s="4">
        <v>2</v>
      </c>
      <c r="BK477" s="8">
        <v>9.12</v>
      </c>
      <c r="BL477" s="2" t="s">
        <v>2524</v>
      </c>
      <c r="BM477" s="7"/>
      <c r="BN477" s="7"/>
      <c r="BO477" s="4"/>
      <c r="BP477" s="8"/>
      <c r="BQ477" s="4"/>
      <c r="BR477" s="8"/>
      <c r="BS477" s="7"/>
      <c r="BT477" s="7"/>
      <c r="BU477" s="2" t="s">
        <v>3243</v>
      </c>
      <c r="BV477" s="2" t="s">
        <v>200</v>
      </c>
      <c r="BW477" s="2" t="s">
        <v>200</v>
      </c>
      <c r="BX477" s="2" t="s">
        <v>289</v>
      </c>
      <c r="BY477" s="2" t="s">
        <v>247</v>
      </c>
      <c r="BZ477" s="2" t="s">
        <v>212</v>
      </c>
      <c r="CA477" s="2" t="s">
        <v>3244</v>
      </c>
      <c r="CB477" s="2" t="s">
        <v>3245</v>
      </c>
      <c r="CC477" s="2" t="s">
        <v>213</v>
      </c>
      <c r="CD477" s="2" t="s">
        <v>200</v>
      </c>
      <c r="CE477" s="4">
        <v>117</v>
      </c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</row>
    <row r="478">
      <c r="A478" s="2" t="s">
        <v>3246</v>
      </c>
      <c r="B478" s="2" t="s">
        <v>719</v>
      </c>
      <c r="C478" s="2" t="s">
        <v>1839</v>
      </c>
      <c r="D478" s="2" t="s">
        <v>1554</v>
      </c>
      <c r="E478" s="2" t="s">
        <v>721</v>
      </c>
      <c r="F478" s="2" t="s">
        <v>3247</v>
      </c>
      <c r="G478" s="2" t="s">
        <v>3247</v>
      </c>
      <c r="H478" s="2" t="s">
        <v>3247</v>
      </c>
      <c r="I478" s="2" t="s">
        <v>3248</v>
      </c>
      <c r="J478" s="2" t="s">
        <v>711</v>
      </c>
      <c r="K478" s="2" t="s">
        <v>3249</v>
      </c>
      <c r="L478" s="3">
        <v>37.27</v>
      </c>
      <c r="M478" s="3">
        <v>39.13</v>
      </c>
      <c r="N478" s="3">
        <v>76.49</v>
      </c>
      <c r="O478" s="2" t="s">
        <v>212</v>
      </c>
      <c r="P478" s="2" t="s">
        <v>750</v>
      </c>
      <c r="Q478" s="2" t="s">
        <v>206</v>
      </c>
      <c r="R478" s="2" t="s">
        <v>200</v>
      </c>
      <c r="S478" s="2" t="s">
        <v>3250</v>
      </c>
      <c r="T478" s="2" t="s">
        <v>200</v>
      </c>
      <c r="U478" s="2" t="s">
        <v>454</v>
      </c>
      <c r="V478" s="2" t="s">
        <v>885</v>
      </c>
      <c r="W478" s="2" t="s">
        <v>379</v>
      </c>
      <c r="X478" s="2" t="s">
        <v>712</v>
      </c>
      <c r="Y478" s="2" t="s">
        <v>3251</v>
      </c>
      <c r="Z478" s="4">
        <v>77</v>
      </c>
      <c r="AA478" s="4">
        <f>=ROUNDDOWN(32.0833333333333,0)</f>
      </c>
      <c r="AB478" s="5">
        <v>2.4</v>
      </c>
      <c r="AC478" s="2" t="s">
        <v>200</v>
      </c>
      <c r="AD478" s="4"/>
      <c r="AE478" s="4"/>
      <c r="AF478" s="6">
        <v>61</v>
      </c>
      <c r="AG478" s="6"/>
      <c r="AH478" s="7">
        <v>1</v>
      </c>
      <c r="AI478" s="4"/>
      <c r="AJ478" s="4">
        <f>=ROUNDDOWN({0},0)</f>
      </c>
      <c r="AK478" s="5"/>
      <c r="AL478" s="2" t="s">
        <v>200</v>
      </c>
      <c r="AM478" s="4"/>
      <c r="AN478" s="4"/>
      <c r="AO478" s="7"/>
      <c r="AP478" s="4"/>
      <c r="AQ478" s="8"/>
      <c r="AR478" s="4"/>
      <c r="AS478" s="8"/>
      <c r="AT478" s="7"/>
      <c r="AU478" s="7"/>
      <c r="AV478" s="4"/>
      <c r="AW478" s="8"/>
      <c r="AX478" s="4"/>
      <c r="AY478" s="8"/>
      <c r="AZ478" s="7"/>
      <c r="BA478" s="7"/>
      <c r="BB478" s="7"/>
      <c r="BC478" s="4"/>
      <c r="BD478" s="8"/>
      <c r="BE478" s="4"/>
      <c r="BF478" s="8"/>
      <c r="BG478" s="7"/>
      <c r="BH478" s="7"/>
      <c r="BI478" s="7"/>
      <c r="BJ478" s="4">
        <v>12</v>
      </c>
      <c r="BK478" s="8">
        <v>470.95</v>
      </c>
      <c r="BL478" s="2" t="s">
        <v>3252</v>
      </c>
      <c r="BM478" s="7"/>
      <c r="BN478" s="7"/>
      <c r="BO478" s="4"/>
      <c r="BP478" s="8"/>
      <c r="BQ478" s="4"/>
      <c r="BR478" s="8"/>
      <c r="BS478" s="7"/>
      <c r="BT478" s="7"/>
      <c r="BU478" s="2" t="s">
        <v>3253</v>
      </c>
      <c r="BV478" s="2" t="s">
        <v>200</v>
      </c>
      <c r="BW478" s="2" t="s">
        <v>200</v>
      </c>
      <c r="BX478" s="2" t="s">
        <v>264</v>
      </c>
      <c r="BY478" s="2" t="s">
        <v>247</v>
      </c>
      <c r="BZ478" s="2" t="s">
        <v>212</v>
      </c>
      <c r="CA478" s="2" t="s">
        <v>3254</v>
      </c>
      <c r="CB478" s="2" t="s">
        <v>3255</v>
      </c>
      <c r="CC478" s="2" t="s">
        <v>213</v>
      </c>
      <c r="CD478" s="2" t="s">
        <v>200</v>
      </c>
      <c r="CE478" s="4"/>
      <c r="CF478" s="4">
        <v>77</v>
      </c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</row>
    <row r="479">
      <c r="A479" s="2" t="s">
        <v>3256</v>
      </c>
      <c r="B479" s="2" t="s">
        <v>827</v>
      </c>
      <c r="C479" s="2" t="s">
        <v>1375</v>
      </c>
      <c r="D479" s="2" t="s">
        <v>3257</v>
      </c>
      <c r="E479" s="2" t="s">
        <v>3257</v>
      </c>
      <c r="F479" s="2" t="s">
        <v>3258</v>
      </c>
      <c r="G479" s="2" t="s">
        <v>3259</v>
      </c>
      <c r="H479" s="2" t="s">
        <v>3259</v>
      </c>
      <c r="I479" s="2" t="s">
        <v>3260</v>
      </c>
      <c r="J479" s="2" t="s">
        <v>3261</v>
      </c>
      <c r="K479" s="2" t="s">
        <v>3262</v>
      </c>
      <c r="L479" s="3">
        <v>14.71</v>
      </c>
      <c r="M479" s="3">
        <v>15.45</v>
      </c>
      <c r="N479" s="3">
        <v>32.99</v>
      </c>
      <c r="O479" s="2" t="s">
        <v>212</v>
      </c>
      <c r="P479" s="2" t="s">
        <v>205</v>
      </c>
      <c r="Q479" s="2" t="s">
        <v>206</v>
      </c>
      <c r="R479" s="2" t="s">
        <v>200</v>
      </c>
      <c r="S479" s="2" t="s">
        <v>3263</v>
      </c>
      <c r="T479" s="2" t="s">
        <v>200</v>
      </c>
      <c r="U479" s="2" t="s">
        <v>270</v>
      </c>
      <c r="V479" s="2" t="s">
        <v>339</v>
      </c>
      <c r="W479" s="2" t="s">
        <v>200</v>
      </c>
      <c r="X479" s="2" t="s">
        <v>200</v>
      </c>
      <c r="Y479" s="2" t="s">
        <v>3165</v>
      </c>
      <c r="Z479" s="4">
        <v>134</v>
      </c>
      <c r="AA479" s="4">
        <f>=ROUNDDOWN(22.3333333333333,0)</f>
      </c>
      <c r="AB479" s="5">
        <v>6</v>
      </c>
      <c r="AC479" s="2" t="s">
        <v>200</v>
      </c>
      <c r="AD479" s="4"/>
      <c r="AE479" s="4"/>
      <c r="AF479" s="6">
        <v>65</v>
      </c>
      <c r="AG479" s="6"/>
      <c r="AH479" s="7">
        <v>1</v>
      </c>
      <c r="AI479" s="4"/>
      <c r="AJ479" s="4">
        <f>=ROUNDDOWN({0},0)</f>
      </c>
      <c r="AK479" s="5"/>
      <c r="AL479" s="2" t="s">
        <v>200</v>
      </c>
      <c r="AM479" s="4"/>
      <c r="AN479" s="4"/>
      <c r="AO479" s="7"/>
      <c r="AP479" s="4"/>
      <c r="AQ479" s="8"/>
      <c r="AR479" s="4"/>
      <c r="AS479" s="8"/>
      <c r="AT479" s="7"/>
      <c r="AU479" s="7"/>
      <c r="AV479" s="4"/>
      <c r="AW479" s="8"/>
      <c r="AX479" s="4"/>
      <c r="AY479" s="8"/>
      <c r="AZ479" s="7"/>
      <c r="BA479" s="7"/>
      <c r="BB479" s="7"/>
      <c r="BC479" s="4"/>
      <c r="BD479" s="8"/>
      <c r="BE479" s="4"/>
      <c r="BF479" s="8"/>
      <c r="BG479" s="7"/>
      <c r="BH479" s="7"/>
      <c r="BI479" s="7"/>
      <c r="BJ479" s="4">
        <v>12</v>
      </c>
      <c r="BK479" s="8">
        <v>203.04</v>
      </c>
      <c r="BL479" s="2" t="s">
        <v>1259</v>
      </c>
      <c r="BM479" s="7"/>
      <c r="BN479" s="7"/>
      <c r="BO479" s="4"/>
      <c r="BP479" s="8"/>
      <c r="BQ479" s="4"/>
      <c r="BR479" s="8"/>
      <c r="BS479" s="7"/>
      <c r="BT479" s="7"/>
      <c r="BU479" s="2" t="s">
        <v>3264</v>
      </c>
      <c r="BV479" s="2" t="s">
        <v>200</v>
      </c>
      <c r="BW479" s="2" t="s">
        <v>200</v>
      </c>
      <c r="BX479" s="2" t="s">
        <v>3140</v>
      </c>
      <c r="BY479" s="2" t="s">
        <v>247</v>
      </c>
      <c r="BZ479" s="2" t="s">
        <v>212</v>
      </c>
      <c r="CA479" s="2" t="s">
        <v>3265</v>
      </c>
      <c r="CB479" s="2" t="s">
        <v>200</v>
      </c>
      <c r="CC479" s="2" t="s">
        <v>213</v>
      </c>
      <c r="CD479" s="2" t="s">
        <v>200</v>
      </c>
      <c r="CE479" s="4">
        <v>134</v>
      </c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</row>
    <row r="480">
      <c r="A480" s="2" t="s">
        <v>3266</v>
      </c>
      <c r="B480" s="2" t="s">
        <v>230</v>
      </c>
      <c r="C480" s="2" t="s">
        <v>1252</v>
      </c>
      <c r="D480" s="2" t="s">
        <v>232</v>
      </c>
      <c r="E480" s="2" t="s">
        <v>233</v>
      </c>
      <c r="F480" s="2" t="s">
        <v>3267</v>
      </c>
      <c r="G480" s="2" t="s">
        <v>3267</v>
      </c>
      <c r="H480" s="2" t="s">
        <v>3267</v>
      </c>
      <c r="I480" s="2" t="s">
        <v>3268</v>
      </c>
      <c r="J480" s="2" t="s">
        <v>236</v>
      </c>
      <c r="K480" s="2" t="s">
        <v>3269</v>
      </c>
      <c r="L480" s="3">
        <v>23.75</v>
      </c>
      <c r="M480" s="3">
        <v>24.94</v>
      </c>
      <c r="N480" s="3">
        <v>39.99</v>
      </c>
      <c r="O480" s="2" t="s">
        <v>417</v>
      </c>
      <c r="P480" s="2" t="s">
        <v>1258</v>
      </c>
      <c r="Q480" s="2" t="s">
        <v>206</v>
      </c>
      <c r="R480" s="2" t="s">
        <v>1259</v>
      </c>
      <c r="S480" s="2" t="s">
        <v>200</v>
      </c>
      <c r="T480" s="2" t="s">
        <v>312</v>
      </c>
      <c r="U480" s="2" t="s">
        <v>240</v>
      </c>
      <c r="V480" s="2" t="s">
        <v>3270</v>
      </c>
      <c r="W480" s="2" t="s">
        <v>200</v>
      </c>
      <c r="X480" s="2" t="s">
        <v>200</v>
      </c>
      <c r="Y480" s="2" t="s">
        <v>3271</v>
      </c>
      <c r="Z480" s="4">
        <v>1</v>
      </c>
      <c r="AA480" s="4">
        <f>=ROUNDDOWN(5,0)</f>
      </c>
      <c r="AB480" s="5">
        <v>0.2</v>
      </c>
      <c r="AC480" s="2" t="s">
        <v>200</v>
      </c>
      <c r="AD480" s="4"/>
      <c r="AE480" s="4"/>
      <c r="AF480" s="6">
        <v>63</v>
      </c>
      <c r="AG480" s="6"/>
      <c r="AH480" s="7">
        <v>0.9</v>
      </c>
      <c r="AI480" s="4"/>
      <c r="AJ480" s="4">
        <f>=ROUNDDOWN({0},0)</f>
      </c>
      <c r="AK480" s="5"/>
      <c r="AL480" s="2" t="s">
        <v>200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/>
      <c r="AW480" s="8"/>
      <c r="AX480" s="4"/>
      <c r="AY480" s="8"/>
      <c r="AZ480" s="7"/>
      <c r="BA480" s="7"/>
      <c r="BB480" s="7"/>
      <c r="BC480" s="4"/>
      <c r="BD480" s="8"/>
      <c r="BE480" s="4"/>
      <c r="BF480" s="8"/>
      <c r="BG480" s="7"/>
      <c r="BH480" s="7"/>
      <c r="BI480" s="7"/>
      <c r="BJ480" s="4"/>
      <c r="BK480" s="8"/>
      <c r="BL480" s="2" t="s">
        <v>1029</v>
      </c>
      <c r="BM480" s="7"/>
      <c r="BN480" s="7"/>
      <c r="BO480" s="4"/>
      <c r="BP480" s="8"/>
      <c r="BQ480" s="4"/>
      <c r="BR480" s="8"/>
      <c r="BS480" s="7"/>
      <c r="BT480" s="7"/>
      <c r="BU480" s="2" t="s">
        <v>3272</v>
      </c>
      <c r="BV480" s="2" t="s">
        <v>200</v>
      </c>
      <c r="BW480" s="2" t="s">
        <v>200</v>
      </c>
      <c r="BX480" s="2" t="s">
        <v>264</v>
      </c>
      <c r="BY480" s="2" t="s">
        <v>247</v>
      </c>
      <c r="BZ480" s="2" t="s">
        <v>212</v>
      </c>
      <c r="CA480" s="2" t="s">
        <v>3273</v>
      </c>
      <c r="CB480" s="2" t="s">
        <v>3274</v>
      </c>
      <c r="CC480" s="2" t="s">
        <v>213</v>
      </c>
      <c r="CD480" s="2" t="s">
        <v>200</v>
      </c>
      <c r="CE480" s="4">
        <v>1</v>
      </c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</row>
    <row r="481">
      <c r="A481" s="2" t="s">
        <v>3275</v>
      </c>
      <c r="B481" s="2" t="s">
        <v>195</v>
      </c>
      <c r="C481" s="2" t="s">
        <v>624</v>
      </c>
      <c r="D481" s="2" t="s">
        <v>3276</v>
      </c>
      <c r="E481" s="2" t="s">
        <v>3277</v>
      </c>
      <c r="F481" s="2" t="s">
        <v>3278</v>
      </c>
      <c r="G481" s="2" t="s">
        <v>3278</v>
      </c>
      <c r="H481" s="2" t="s">
        <v>3278</v>
      </c>
      <c r="I481" s="2" t="s">
        <v>3279</v>
      </c>
      <c r="J481" s="2" t="s">
        <v>277</v>
      </c>
      <c r="K481" s="2" t="s">
        <v>257</v>
      </c>
      <c r="L481" s="3">
        <v>50</v>
      </c>
      <c r="M481" s="3">
        <v>52.5</v>
      </c>
      <c r="N481" s="3">
        <v>99.99</v>
      </c>
      <c r="O481" s="2" t="s">
        <v>212</v>
      </c>
      <c r="P481" s="2" t="s">
        <v>3280</v>
      </c>
      <c r="Q481" s="2" t="s">
        <v>206</v>
      </c>
      <c r="R481" s="2" t="s">
        <v>200</v>
      </c>
      <c r="S481" s="2" t="s">
        <v>3281</v>
      </c>
      <c r="T481" s="2" t="s">
        <v>239</v>
      </c>
      <c r="U481" s="2" t="s">
        <v>200</v>
      </c>
      <c r="V481" s="2" t="s">
        <v>208</v>
      </c>
      <c r="W481" s="2" t="s">
        <v>241</v>
      </c>
      <c r="X481" s="2" t="s">
        <v>200</v>
      </c>
      <c r="Y481" s="2" t="s">
        <v>261</v>
      </c>
      <c r="Z481" s="4">
        <v>2666</v>
      </c>
      <c r="AA481" s="4">
        <f>=ROUNDDOWN(40.2719033232628,0)</f>
      </c>
      <c r="AB481" s="5">
        <v>66.2</v>
      </c>
      <c r="AC481" s="2" t="s">
        <v>107</v>
      </c>
      <c r="AD481" s="4">
        <v>600</v>
      </c>
      <c r="AE481" s="4">
        <v>750</v>
      </c>
      <c r="AF481" s="6">
        <v>65</v>
      </c>
      <c r="AG481" s="6"/>
      <c r="AH481" s="7">
        <v>1</v>
      </c>
      <c r="AI481" s="4"/>
      <c r="AJ481" s="4">
        <f>=ROUNDDOWN({0},0)</f>
      </c>
      <c r="AK481" s="5"/>
      <c r="AL481" s="2" t="s">
        <v>200</v>
      </c>
      <c r="AM481" s="4"/>
      <c r="AN481" s="4"/>
      <c r="AO481" s="7"/>
      <c r="AP481" s="4"/>
      <c r="AQ481" s="8"/>
      <c r="AR481" s="4"/>
      <c r="AS481" s="8"/>
      <c r="AT481" s="7"/>
      <c r="AU481" s="7"/>
      <c r="AV481" s="4"/>
      <c r="AW481" s="8"/>
      <c r="AX481" s="4"/>
      <c r="AY481" s="8"/>
      <c r="AZ481" s="7"/>
      <c r="BA481" s="7"/>
      <c r="BB481" s="7"/>
      <c r="BC481" s="4"/>
      <c r="BD481" s="8"/>
      <c r="BE481" s="4"/>
      <c r="BF481" s="8"/>
      <c r="BG481" s="7"/>
      <c r="BH481" s="7"/>
      <c r="BI481" s="7"/>
      <c r="BJ481" s="4">
        <v>59</v>
      </c>
      <c r="BK481" s="8">
        <v>2827.26</v>
      </c>
      <c r="BL481" s="2" t="s">
        <v>3282</v>
      </c>
      <c r="BM481" s="7"/>
      <c r="BN481" s="7"/>
      <c r="BO481" s="4"/>
      <c r="BP481" s="8"/>
      <c r="BQ481" s="4"/>
      <c r="BR481" s="8"/>
      <c r="BS481" s="7"/>
      <c r="BT481" s="7"/>
      <c r="BU481" s="2" t="s">
        <v>3283</v>
      </c>
      <c r="BV481" s="2" t="s">
        <v>200</v>
      </c>
      <c r="BW481" s="2" t="s">
        <v>200</v>
      </c>
      <c r="BX481" s="2" t="s">
        <v>264</v>
      </c>
      <c r="BY481" s="2" t="s">
        <v>247</v>
      </c>
      <c r="BZ481" s="2" t="s">
        <v>212</v>
      </c>
      <c r="CA481" s="2" t="s">
        <v>265</v>
      </c>
      <c r="CB481" s="2" t="s">
        <v>3284</v>
      </c>
      <c r="CC481" s="2" t="s">
        <v>213</v>
      </c>
      <c r="CD481" s="2" t="s">
        <v>200</v>
      </c>
      <c r="CE481" s="4">
        <v>1329</v>
      </c>
      <c r="CF481" s="4">
        <v>823</v>
      </c>
      <c r="CG481" s="4"/>
      <c r="CH481" s="4">
        <v>514</v>
      </c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>
        <v>600</v>
      </c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>
        <v>150</v>
      </c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</row>
    <row r="482">
      <c r="A482" s="2" t="s">
        <v>3285</v>
      </c>
      <c r="B482" s="2" t="s">
        <v>230</v>
      </c>
      <c r="C482" s="2" t="s">
        <v>877</v>
      </c>
      <c r="D482" s="2" t="s">
        <v>232</v>
      </c>
      <c r="E482" s="2" t="s">
        <v>233</v>
      </c>
      <c r="F482" s="2" t="s">
        <v>3286</v>
      </c>
      <c r="G482" s="2" t="s">
        <v>3286</v>
      </c>
      <c r="H482" s="2" t="s">
        <v>3286</v>
      </c>
      <c r="I482" s="2" t="s">
        <v>3287</v>
      </c>
      <c r="J482" s="2" t="s">
        <v>256</v>
      </c>
      <c r="K482" s="2" t="s">
        <v>499</v>
      </c>
      <c r="L482" s="3">
        <v>18.8</v>
      </c>
      <c r="M482" s="3">
        <v>19.74</v>
      </c>
      <c r="N482" s="3">
        <v>39.99</v>
      </c>
      <c r="O482" s="2" t="s">
        <v>212</v>
      </c>
      <c r="P482" s="2" t="s">
        <v>205</v>
      </c>
      <c r="Q482" s="2" t="s">
        <v>206</v>
      </c>
      <c r="R482" s="2" t="s">
        <v>200</v>
      </c>
      <c r="S482" s="2" t="s">
        <v>3288</v>
      </c>
      <c r="T482" s="2" t="s">
        <v>3009</v>
      </c>
      <c r="U482" s="2" t="s">
        <v>454</v>
      </c>
      <c r="V482" s="2" t="s">
        <v>208</v>
      </c>
      <c r="W482" s="2" t="s">
        <v>241</v>
      </c>
      <c r="X482" s="2" t="s">
        <v>200</v>
      </c>
      <c r="Y482" s="2" t="s">
        <v>3289</v>
      </c>
      <c r="Z482" s="4">
        <v>317</v>
      </c>
      <c r="AA482" s="4">
        <f>=ROUNDDOWN(11.7407407407407,0)</f>
      </c>
      <c r="AB482" s="5">
        <v>27</v>
      </c>
      <c r="AC482" s="2" t="s">
        <v>200</v>
      </c>
      <c r="AD482" s="4"/>
      <c r="AE482" s="4"/>
      <c r="AF482" s="6">
        <v>65</v>
      </c>
      <c r="AG482" s="6"/>
      <c r="AH482" s="7">
        <v>1</v>
      </c>
      <c r="AI482" s="4"/>
      <c r="AJ482" s="4">
        <f>=ROUNDDOWN({0},0)</f>
      </c>
      <c r="AK482" s="5"/>
      <c r="AL482" s="2" t="s">
        <v>200</v>
      </c>
      <c r="AM482" s="4"/>
      <c r="AN482" s="4"/>
      <c r="AO482" s="7"/>
      <c r="AP482" s="4"/>
      <c r="AQ482" s="8"/>
      <c r="AR482" s="4"/>
      <c r="AS482" s="8"/>
      <c r="AT482" s="7"/>
      <c r="AU482" s="7"/>
      <c r="AV482" s="4" t="s">
        <v>200</v>
      </c>
      <c r="AW482" s="8" t="s">
        <v>200</v>
      </c>
      <c r="AX482" s="4" t="s">
        <v>200</v>
      </c>
      <c r="AY482" s="8" t="s">
        <v>200</v>
      </c>
      <c r="AZ482" s="7" t="s">
        <v>200</v>
      </c>
      <c r="BA482" s="7" t="s">
        <v>200</v>
      </c>
      <c r="BB482" s="7"/>
      <c r="BC482" s="4" t="s">
        <v>200</v>
      </c>
      <c r="BD482" s="8" t="s">
        <v>200</v>
      </c>
      <c r="BE482" s="4" t="s">
        <v>200</v>
      </c>
      <c r="BF482" s="8" t="s">
        <v>200</v>
      </c>
      <c r="BG482" s="7" t="s">
        <v>200</v>
      </c>
      <c r="BH482" s="7" t="s">
        <v>200</v>
      </c>
      <c r="BI482" s="7"/>
      <c r="BJ482" s="4">
        <v>43</v>
      </c>
      <c r="BK482" s="8">
        <v>917.36</v>
      </c>
      <c r="BL482" s="2" t="s">
        <v>3290</v>
      </c>
      <c r="BM482" s="7"/>
      <c r="BN482" s="7"/>
      <c r="BO482" s="4"/>
      <c r="BP482" s="8"/>
      <c r="BQ482" s="4"/>
      <c r="BR482" s="8"/>
      <c r="BS482" s="7"/>
      <c r="BT482" s="7"/>
      <c r="BU482" s="2" t="s">
        <v>3291</v>
      </c>
      <c r="BV482" s="2" t="s">
        <v>200</v>
      </c>
      <c r="BW482" s="2" t="s">
        <v>200</v>
      </c>
      <c r="BX482" s="2" t="s">
        <v>264</v>
      </c>
      <c r="BY482" s="2" t="s">
        <v>247</v>
      </c>
      <c r="BZ482" s="2" t="s">
        <v>212</v>
      </c>
      <c r="CA482" s="2" t="s">
        <v>630</v>
      </c>
      <c r="CB482" s="2" t="s">
        <v>200</v>
      </c>
      <c r="CC482" s="2" t="s">
        <v>213</v>
      </c>
      <c r="CD482" s="2" t="s">
        <v>200</v>
      </c>
      <c r="CE482" s="4">
        <v>317</v>
      </c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</row>
    <row r="483">
      <c r="A483" s="2" t="s">
        <v>3292</v>
      </c>
      <c r="B483" s="2" t="s">
        <v>230</v>
      </c>
      <c r="C483" s="2" t="s">
        <v>877</v>
      </c>
      <c r="D483" s="2" t="s">
        <v>232</v>
      </c>
      <c r="E483" s="2" t="s">
        <v>233</v>
      </c>
      <c r="F483" s="2" t="s">
        <v>3286</v>
      </c>
      <c r="G483" s="2" t="s">
        <v>3286</v>
      </c>
      <c r="H483" s="2" t="s">
        <v>3286</v>
      </c>
      <c r="I483" s="2" t="s">
        <v>3287</v>
      </c>
      <c r="J483" s="2" t="s">
        <v>269</v>
      </c>
      <c r="K483" s="2" t="s">
        <v>499</v>
      </c>
      <c r="L483" s="3">
        <v>20.16</v>
      </c>
      <c r="M483" s="3">
        <v>21.17</v>
      </c>
      <c r="N483" s="3">
        <v>41.99</v>
      </c>
      <c r="O483" s="2" t="s">
        <v>212</v>
      </c>
      <c r="P483" s="2" t="s">
        <v>205</v>
      </c>
      <c r="Q483" s="2" t="s">
        <v>206</v>
      </c>
      <c r="R483" s="2" t="s">
        <v>200</v>
      </c>
      <c r="S483" s="2" t="s">
        <v>3288</v>
      </c>
      <c r="T483" s="2" t="s">
        <v>3009</v>
      </c>
      <c r="U483" s="2" t="s">
        <v>454</v>
      </c>
      <c r="V483" s="2" t="s">
        <v>208</v>
      </c>
      <c r="W483" s="2" t="s">
        <v>241</v>
      </c>
      <c r="X483" s="2" t="s">
        <v>200</v>
      </c>
      <c r="Y483" s="2" t="s">
        <v>3289</v>
      </c>
      <c r="Z483" s="4">
        <v>138</v>
      </c>
      <c r="AA483" s="4">
        <f>=ROUNDDOWN(8.11764705882353,0)</f>
      </c>
      <c r="AB483" s="5">
        <v>17</v>
      </c>
      <c r="AC483" s="2" t="s">
        <v>200</v>
      </c>
      <c r="AD483" s="4"/>
      <c r="AE483" s="4"/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200</v>
      </c>
      <c r="AM483" s="4"/>
      <c r="AN483" s="4"/>
      <c r="AO483" s="7"/>
      <c r="AP483" s="4"/>
      <c r="AQ483" s="8"/>
      <c r="AR483" s="4"/>
      <c r="AS483" s="8"/>
      <c r="AT483" s="7"/>
      <c r="AU483" s="7"/>
      <c r="AV483" s="4" t="s">
        <v>200</v>
      </c>
      <c r="AW483" s="8" t="s">
        <v>200</v>
      </c>
      <c r="AX483" s="4" t="s">
        <v>200</v>
      </c>
      <c r="AY483" s="8" t="s">
        <v>200</v>
      </c>
      <c r="AZ483" s="7" t="s">
        <v>200</v>
      </c>
      <c r="BA483" s="7" t="s">
        <v>200</v>
      </c>
      <c r="BB483" s="7"/>
      <c r="BC483" s="4" t="s">
        <v>200</v>
      </c>
      <c r="BD483" s="8" t="s">
        <v>200</v>
      </c>
      <c r="BE483" s="4" t="s">
        <v>200</v>
      </c>
      <c r="BF483" s="8" t="s">
        <v>200</v>
      </c>
      <c r="BG483" s="7" t="s">
        <v>200</v>
      </c>
      <c r="BH483" s="7" t="s">
        <v>200</v>
      </c>
      <c r="BI483" s="7"/>
      <c r="BJ483" s="4">
        <v>9</v>
      </c>
      <c r="BK483" s="8">
        <v>207.67</v>
      </c>
      <c r="BL483" s="2" t="s">
        <v>3293</v>
      </c>
      <c r="BM483" s="7"/>
      <c r="BN483" s="7"/>
      <c r="BO483" s="4"/>
      <c r="BP483" s="8"/>
      <c r="BQ483" s="4"/>
      <c r="BR483" s="8"/>
      <c r="BS483" s="7"/>
      <c r="BT483" s="7"/>
      <c r="BU483" s="2" t="s">
        <v>3294</v>
      </c>
      <c r="BV483" s="2" t="s">
        <v>200</v>
      </c>
      <c r="BW483" s="2" t="s">
        <v>200</v>
      </c>
      <c r="BX483" s="2" t="s">
        <v>264</v>
      </c>
      <c r="BY483" s="2" t="s">
        <v>247</v>
      </c>
      <c r="BZ483" s="2" t="s">
        <v>212</v>
      </c>
      <c r="CA483" s="2" t="s">
        <v>630</v>
      </c>
      <c r="CB483" s="2" t="s">
        <v>200</v>
      </c>
      <c r="CC483" s="2" t="s">
        <v>213</v>
      </c>
      <c r="CD483" s="2" t="s">
        <v>200</v>
      </c>
      <c r="CE483" s="4">
        <v>138</v>
      </c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</row>
    <row r="484">
      <c r="A484" s="2" t="s">
        <v>3295</v>
      </c>
      <c r="B484" s="2" t="s">
        <v>230</v>
      </c>
      <c r="C484" s="2" t="s">
        <v>877</v>
      </c>
      <c r="D484" s="2" t="s">
        <v>232</v>
      </c>
      <c r="E484" s="2" t="s">
        <v>233</v>
      </c>
      <c r="F484" s="2" t="s">
        <v>3286</v>
      </c>
      <c r="G484" s="2" t="s">
        <v>3286</v>
      </c>
      <c r="H484" s="2" t="s">
        <v>3286</v>
      </c>
      <c r="I484" s="2" t="s">
        <v>3287</v>
      </c>
      <c r="J484" s="2" t="s">
        <v>256</v>
      </c>
      <c r="K484" s="2" t="s">
        <v>857</v>
      </c>
      <c r="L484" s="3">
        <v>18.8</v>
      </c>
      <c r="M484" s="3">
        <v>19.74</v>
      </c>
      <c r="N484" s="3">
        <v>39.99</v>
      </c>
      <c r="O484" s="2" t="s">
        <v>212</v>
      </c>
      <c r="P484" s="2" t="s">
        <v>205</v>
      </c>
      <c r="Q484" s="2" t="s">
        <v>206</v>
      </c>
      <c r="R484" s="2" t="s">
        <v>200</v>
      </c>
      <c r="S484" s="2" t="s">
        <v>3296</v>
      </c>
      <c r="T484" s="2" t="s">
        <v>3009</v>
      </c>
      <c r="U484" s="2" t="s">
        <v>454</v>
      </c>
      <c r="V484" s="2" t="s">
        <v>208</v>
      </c>
      <c r="W484" s="2" t="s">
        <v>241</v>
      </c>
      <c r="X484" s="2" t="s">
        <v>200</v>
      </c>
      <c r="Y484" s="2" t="s">
        <v>3289</v>
      </c>
      <c r="Z484" s="4">
        <v>156</v>
      </c>
      <c r="AA484" s="4">
        <f>=ROUNDDOWN(13,0)</f>
      </c>
      <c r="AB484" s="5">
        <v>12</v>
      </c>
      <c r="AC484" s="2" t="s">
        <v>200</v>
      </c>
      <c r="AD484" s="4"/>
      <c r="AE484" s="4"/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200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 t="s">
        <v>200</v>
      </c>
      <c r="AW484" s="8" t="s">
        <v>200</v>
      </c>
      <c r="AX484" s="4" t="s">
        <v>200</v>
      </c>
      <c r="AY484" s="8" t="s">
        <v>200</v>
      </c>
      <c r="AZ484" s="7" t="s">
        <v>200</v>
      </c>
      <c r="BA484" s="7" t="s">
        <v>200</v>
      </c>
      <c r="BB484" s="7"/>
      <c r="BC484" s="4" t="s">
        <v>200</v>
      </c>
      <c r="BD484" s="8" t="s">
        <v>200</v>
      </c>
      <c r="BE484" s="4" t="s">
        <v>200</v>
      </c>
      <c r="BF484" s="8" t="s">
        <v>200</v>
      </c>
      <c r="BG484" s="7" t="s">
        <v>200</v>
      </c>
      <c r="BH484" s="7" t="s">
        <v>200</v>
      </c>
      <c r="BI484" s="7"/>
      <c r="BJ484" s="4">
        <v>15</v>
      </c>
      <c r="BK484" s="8">
        <v>314.27</v>
      </c>
      <c r="BL484" s="2" t="s">
        <v>3108</v>
      </c>
      <c r="BM484" s="7"/>
      <c r="BN484" s="7"/>
      <c r="BO484" s="4"/>
      <c r="BP484" s="8"/>
      <c r="BQ484" s="4"/>
      <c r="BR484" s="8"/>
      <c r="BS484" s="7"/>
      <c r="BT484" s="7"/>
      <c r="BU484" s="2" t="s">
        <v>3297</v>
      </c>
      <c r="BV484" s="2" t="s">
        <v>200</v>
      </c>
      <c r="BW484" s="2" t="s">
        <v>200</v>
      </c>
      <c r="BX484" s="2" t="s">
        <v>264</v>
      </c>
      <c r="BY484" s="2" t="s">
        <v>247</v>
      </c>
      <c r="BZ484" s="2" t="s">
        <v>212</v>
      </c>
      <c r="CA484" s="2" t="s">
        <v>630</v>
      </c>
      <c r="CB484" s="2" t="s">
        <v>200</v>
      </c>
      <c r="CC484" s="2" t="s">
        <v>213</v>
      </c>
      <c r="CD484" s="2" t="s">
        <v>200</v>
      </c>
      <c r="CE484" s="4">
        <v>156</v>
      </c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</row>
    <row r="485">
      <c r="A485" s="2" t="s">
        <v>3298</v>
      </c>
      <c r="B485" s="2" t="s">
        <v>230</v>
      </c>
      <c r="C485" s="2" t="s">
        <v>877</v>
      </c>
      <c r="D485" s="2" t="s">
        <v>232</v>
      </c>
      <c r="E485" s="2" t="s">
        <v>233</v>
      </c>
      <c r="F485" s="2" t="s">
        <v>3286</v>
      </c>
      <c r="G485" s="2" t="s">
        <v>3286</v>
      </c>
      <c r="H485" s="2" t="s">
        <v>3286</v>
      </c>
      <c r="I485" s="2" t="s">
        <v>3287</v>
      </c>
      <c r="J485" s="2" t="s">
        <v>269</v>
      </c>
      <c r="K485" s="2" t="s">
        <v>857</v>
      </c>
      <c r="L485" s="3">
        <v>20.16</v>
      </c>
      <c r="M485" s="3">
        <v>21.17</v>
      </c>
      <c r="N485" s="3">
        <v>41.99</v>
      </c>
      <c r="O485" s="2" t="s">
        <v>212</v>
      </c>
      <c r="P485" s="2" t="s">
        <v>205</v>
      </c>
      <c r="Q485" s="2" t="s">
        <v>206</v>
      </c>
      <c r="R485" s="2" t="s">
        <v>200</v>
      </c>
      <c r="S485" s="2" t="s">
        <v>3296</v>
      </c>
      <c r="T485" s="2" t="s">
        <v>3009</v>
      </c>
      <c r="U485" s="2" t="s">
        <v>454</v>
      </c>
      <c r="V485" s="2" t="s">
        <v>208</v>
      </c>
      <c r="W485" s="2" t="s">
        <v>241</v>
      </c>
      <c r="X485" s="2" t="s">
        <v>200</v>
      </c>
      <c r="Y485" s="2" t="s">
        <v>3289</v>
      </c>
      <c r="Z485" s="4">
        <v>84</v>
      </c>
      <c r="AA485" s="4">
        <f>=ROUNDDOWN(7.63636363636364,0)</f>
      </c>
      <c r="AB485" s="5">
        <v>11</v>
      </c>
      <c r="AC485" s="2" t="s">
        <v>200</v>
      </c>
      <c r="AD485" s="4"/>
      <c r="AE485" s="4"/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200</v>
      </c>
      <c r="AM485" s="4"/>
      <c r="AN485" s="4"/>
      <c r="AO485" s="7"/>
      <c r="AP485" s="4"/>
      <c r="AQ485" s="8"/>
      <c r="AR485" s="4"/>
      <c r="AS485" s="8"/>
      <c r="AT485" s="7"/>
      <c r="AU485" s="7"/>
      <c r="AV485" s="4" t="s">
        <v>200</v>
      </c>
      <c r="AW485" s="8" t="s">
        <v>200</v>
      </c>
      <c r="AX485" s="4" t="s">
        <v>200</v>
      </c>
      <c r="AY485" s="8" t="s">
        <v>200</v>
      </c>
      <c r="AZ485" s="7" t="s">
        <v>200</v>
      </c>
      <c r="BA485" s="7" t="s">
        <v>200</v>
      </c>
      <c r="BB485" s="7"/>
      <c r="BC485" s="4" t="s">
        <v>200</v>
      </c>
      <c r="BD485" s="8" t="s">
        <v>200</v>
      </c>
      <c r="BE485" s="4" t="s">
        <v>200</v>
      </c>
      <c r="BF485" s="8" t="s">
        <v>200</v>
      </c>
      <c r="BG485" s="7" t="s">
        <v>200</v>
      </c>
      <c r="BH485" s="7" t="s">
        <v>200</v>
      </c>
      <c r="BI485" s="7"/>
      <c r="BJ485" s="4">
        <v>13</v>
      </c>
      <c r="BK485" s="8">
        <v>294.79</v>
      </c>
      <c r="BL485" s="2" t="s">
        <v>3299</v>
      </c>
      <c r="BM485" s="7"/>
      <c r="BN485" s="7"/>
      <c r="BO485" s="4"/>
      <c r="BP485" s="8"/>
      <c r="BQ485" s="4"/>
      <c r="BR485" s="8"/>
      <c r="BS485" s="7"/>
      <c r="BT485" s="7"/>
      <c r="BU485" s="2" t="s">
        <v>3300</v>
      </c>
      <c r="BV485" s="2" t="s">
        <v>200</v>
      </c>
      <c r="BW485" s="2" t="s">
        <v>200</v>
      </c>
      <c r="BX485" s="2" t="s">
        <v>264</v>
      </c>
      <c r="BY485" s="2" t="s">
        <v>247</v>
      </c>
      <c r="BZ485" s="2" t="s">
        <v>212</v>
      </c>
      <c r="CA485" s="2" t="s">
        <v>630</v>
      </c>
      <c r="CB485" s="2" t="s">
        <v>200</v>
      </c>
      <c r="CC485" s="2" t="s">
        <v>213</v>
      </c>
      <c r="CD485" s="2" t="s">
        <v>200</v>
      </c>
      <c r="CE485" s="4">
        <v>84</v>
      </c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</row>
    <row r="486">
      <c r="A486" s="2" t="s">
        <v>3301</v>
      </c>
      <c r="B486" s="2" t="s">
        <v>230</v>
      </c>
      <c r="C486" s="2" t="s">
        <v>877</v>
      </c>
      <c r="D486" s="2" t="s">
        <v>232</v>
      </c>
      <c r="E486" s="2" t="s">
        <v>233</v>
      </c>
      <c r="F486" s="2" t="s">
        <v>3286</v>
      </c>
      <c r="G486" s="2" t="s">
        <v>3286</v>
      </c>
      <c r="H486" s="2" t="s">
        <v>3286</v>
      </c>
      <c r="I486" s="2" t="s">
        <v>3287</v>
      </c>
      <c r="J486" s="2" t="s">
        <v>277</v>
      </c>
      <c r="K486" s="2" t="s">
        <v>857</v>
      </c>
      <c r="L486" s="3">
        <v>21.6</v>
      </c>
      <c r="M486" s="3">
        <v>22.68</v>
      </c>
      <c r="N486" s="3">
        <v>44.99</v>
      </c>
      <c r="O486" s="2" t="s">
        <v>212</v>
      </c>
      <c r="P486" s="2" t="s">
        <v>205</v>
      </c>
      <c r="Q486" s="2" t="s">
        <v>206</v>
      </c>
      <c r="R486" s="2" t="s">
        <v>200</v>
      </c>
      <c r="S486" s="2" t="s">
        <v>3296</v>
      </c>
      <c r="T486" s="2" t="s">
        <v>3009</v>
      </c>
      <c r="U486" s="2" t="s">
        <v>240</v>
      </c>
      <c r="V486" s="2" t="s">
        <v>208</v>
      </c>
      <c r="W486" s="2" t="s">
        <v>241</v>
      </c>
      <c r="X486" s="2" t="s">
        <v>200</v>
      </c>
      <c r="Y486" s="2" t="s">
        <v>3302</v>
      </c>
      <c r="Z486" s="4">
        <v>118</v>
      </c>
      <c r="AA486" s="4">
        <f>=ROUNDDOWN(8.42857142857143,0)</f>
      </c>
      <c r="AB486" s="5">
        <v>14</v>
      </c>
      <c r="AC486" s="2" t="s">
        <v>200</v>
      </c>
      <c r="AD486" s="4"/>
      <c r="AE486" s="4"/>
      <c r="AF486" s="6">
        <v>65</v>
      </c>
      <c r="AG486" s="6"/>
      <c r="AH486" s="7">
        <v>1</v>
      </c>
      <c r="AI486" s="4"/>
      <c r="AJ486" s="4">
        <f>=ROUNDDOWN({0},0)</f>
      </c>
      <c r="AK486" s="5"/>
      <c r="AL486" s="2" t="s">
        <v>200</v>
      </c>
      <c r="AM486" s="4"/>
      <c r="AN486" s="4"/>
      <c r="AO486" s="7"/>
      <c r="AP486" s="4"/>
      <c r="AQ486" s="8"/>
      <c r="AR486" s="4"/>
      <c r="AS486" s="8"/>
      <c r="AT486" s="7"/>
      <c r="AU486" s="7"/>
      <c r="AV486" s="4" t="s">
        <v>200</v>
      </c>
      <c r="AW486" s="8" t="s">
        <v>200</v>
      </c>
      <c r="AX486" s="4" t="s">
        <v>200</v>
      </c>
      <c r="AY486" s="8" t="s">
        <v>200</v>
      </c>
      <c r="AZ486" s="7" t="s">
        <v>200</v>
      </c>
      <c r="BA486" s="7" t="s">
        <v>200</v>
      </c>
      <c r="BB486" s="7"/>
      <c r="BC486" s="4" t="s">
        <v>200</v>
      </c>
      <c r="BD486" s="8" t="s">
        <v>200</v>
      </c>
      <c r="BE486" s="4" t="s">
        <v>200</v>
      </c>
      <c r="BF486" s="8" t="s">
        <v>200</v>
      </c>
      <c r="BG486" s="7" t="s">
        <v>200</v>
      </c>
      <c r="BH486" s="7" t="s">
        <v>200</v>
      </c>
      <c r="BI486" s="7"/>
      <c r="BJ486" s="4">
        <v>24</v>
      </c>
      <c r="BK486" s="8">
        <v>582.09</v>
      </c>
      <c r="BL486" s="2" t="s">
        <v>3108</v>
      </c>
      <c r="BM486" s="7"/>
      <c r="BN486" s="7"/>
      <c r="BO486" s="4"/>
      <c r="BP486" s="8"/>
      <c r="BQ486" s="4"/>
      <c r="BR486" s="8"/>
      <c r="BS486" s="7"/>
      <c r="BT486" s="7"/>
      <c r="BU486" s="2" t="s">
        <v>3303</v>
      </c>
      <c r="BV486" s="2" t="s">
        <v>200</v>
      </c>
      <c r="BW486" s="2" t="s">
        <v>200</v>
      </c>
      <c r="BX486" s="2" t="s">
        <v>264</v>
      </c>
      <c r="BY486" s="2" t="s">
        <v>247</v>
      </c>
      <c r="BZ486" s="2" t="s">
        <v>212</v>
      </c>
      <c r="CA486" s="2" t="s">
        <v>630</v>
      </c>
      <c r="CB486" s="2" t="s">
        <v>200</v>
      </c>
      <c r="CC486" s="2" t="s">
        <v>213</v>
      </c>
      <c r="CD486" s="2" t="s">
        <v>200</v>
      </c>
      <c r="CE486" s="4">
        <v>118</v>
      </c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</row>
    <row r="487">
      <c r="A487" s="2" t="s">
        <v>3304</v>
      </c>
      <c r="B487" s="2" t="s">
        <v>230</v>
      </c>
      <c r="C487" s="2" t="s">
        <v>877</v>
      </c>
      <c r="D487" s="2" t="s">
        <v>232</v>
      </c>
      <c r="E487" s="2" t="s">
        <v>233</v>
      </c>
      <c r="F487" s="2" t="s">
        <v>3286</v>
      </c>
      <c r="G487" s="2" t="s">
        <v>3286</v>
      </c>
      <c r="H487" s="2" t="s">
        <v>3286</v>
      </c>
      <c r="I487" s="2" t="s">
        <v>3287</v>
      </c>
      <c r="J487" s="2" t="s">
        <v>256</v>
      </c>
      <c r="K487" s="2" t="s">
        <v>221</v>
      </c>
      <c r="L487" s="3">
        <v>18.8</v>
      </c>
      <c r="M487" s="3">
        <v>19.74</v>
      </c>
      <c r="N487" s="3">
        <v>39.99</v>
      </c>
      <c r="O487" s="2" t="s">
        <v>212</v>
      </c>
      <c r="P487" s="2" t="s">
        <v>205</v>
      </c>
      <c r="Q487" s="2" t="s">
        <v>206</v>
      </c>
      <c r="R487" s="2" t="s">
        <v>200</v>
      </c>
      <c r="S487" s="2" t="s">
        <v>3305</v>
      </c>
      <c r="T487" s="2" t="s">
        <v>3009</v>
      </c>
      <c r="U487" s="2" t="s">
        <v>454</v>
      </c>
      <c r="V487" s="2" t="s">
        <v>208</v>
      </c>
      <c r="W487" s="2" t="s">
        <v>241</v>
      </c>
      <c r="X487" s="2" t="s">
        <v>200</v>
      </c>
      <c r="Y487" s="2" t="s">
        <v>1650</v>
      </c>
      <c r="Z487" s="4">
        <v>68</v>
      </c>
      <c r="AA487" s="4">
        <f>=ROUNDDOWN(5.66666666666667,0)</f>
      </c>
      <c r="AB487" s="5">
        <v>12</v>
      </c>
      <c r="AC487" s="2" t="s">
        <v>200</v>
      </c>
      <c r="AD487" s="4"/>
      <c r="AE487" s="4"/>
      <c r="AF487" s="6">
        <v>65</v>
      </c>
      <c r="AG487" s="6"/>
      <c r="AH487" s="7">
        <v>1</v>
      </c>
      <c r="AI487" s="4"/>
      <c r="AJ487" s="4">
        <f>=ROUNDDOWN({0},0)</f>
      </c>
      <c r="AK487" s="5"/>
      <c r="AL487" s="2" t="s">
        <v>200</v>
      </c>
      <c r="AM487" s="4"/>
      <c r="AN487" s="4"/>
      <c r="AO487" s="7"/>
      <c r="AP487" s="4"/>
      <c r="AQ487" s="8"/>
      <c r="AR487" s="4"/>
      <c r="AS487" s="8"/>
      <c r="AT487" s="7"/>
      <c r="AU487" s="7"/>
      <c r="AV487" s="4" t="s">
        <v>200</v>
      </c>
      <c r="AW487" s="8" t="s">
        <v>200</v>
      </c>
      <c r="AX487" s="4" t="s">
        <v>200</v>
      </c>
      <c r="AY487" s="8" t="s">
        <v>200</v>
      </c>
      <c r="AZ487" s="7" t="s">
        <v>200</v>
      </c>
      <c r="BA487" s="7" t="s">
        <v>200</v>
      </c>
      <c r="BB487" s="7"/>
      <c r="BC487" s="4" t="s">
        <v>200</v>
      </c>
      <c r="BD487" s="8" t="s">
        <v>200</v>
      </c>
      <c r="BE487" s="4" t="s">
        <v>200</v>
      </c>
      <c r="BF487" s="8" t="s">
        <v>200</v>
      </c>
      <c r="BG487" s="7" t="s">
        <v>200</v>
      </c>
      <c r="BH487" s="7" t="s">
        <v>200</v>
      </c>
      <c r="BI487" s="7"/>
      <c r="BJ487" s="4">
        <v>12</v>
      </c>
      <c r="BK487" s="8">
        <v>257.96</v>
      </c>
      <c r="BL487" s="2" t="s">
        <v>1656</v>
      </c>
      <c r="BM487" s="7"/>
      <c r="BN487" s="7"/>
      <c r="BO487" s="4"/>
      <c r="BP487" s="8"/>
      <c r="BQ487" s="4"/>
      <c r="BR487" s="8"/>
      <c r="BS487" s="7"/>
      <c r="BT487" s="7"/>
      <c r="BU487" s="2" t="s">
        <v>210</v>
      </c>
      <c r="BV487" s="2" t="s">
        <v>200</v>
      </c>
      <c r="BW487" s="2" t="s">
        <v>200</v>
      </c>
      <c r="BX487" s="2" t="s">
        <v>264</v>
      </c>
      <c r="BY487" s="2" t="s">
        <v>3306</v>
      </c>
      <c r="BZ487" s="2" t="s">
        <v>212</v>
      </c>
      <c r="CA487" s="2" t="s">
        <v>200</v>
      </c>
      <c r="CB487" s="2" t="s">
        <v>200</v>
      </c>
      <c r="CC487" s="2" t="s">
        <v>213</v>
      </c>
      <c r="CD487" s="2" t="s">
        <v>200</v>
      </c>
      <c r="CE487" s="4">
        <v>68</v>
      </c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</row>
    <row r="488">
      <c r="A488" s="2" t="s">
        <v>3307</v>
      </c>
      <c r="B488" s="2" t="s">
        <v>230</v>
      </c>
      <c r="C488" s="2" t="s">
        <v>877</v>
      </c>
      <c r="D488" s="2" t="s">
        <v>232</v>
      </c>
      <c r="E488" s="2" t="s">
        <v>233</v>
      </c>
      <c r="F488" s="2" t="s">
        <v>3286</v>
      </c>
      <c r="G488" s="2" t="s">
        <v>3286</v>
      </c>
      <c r="H488" s="2" t="s">
        <v>3286</v>
      </c>
      <c r="I488" s="2" t="s">
        <v>3287</v>
      </c>
      <c r="J488" s="2" t="s">
        <v>269</v>
      </c>
      <c r="K488" s="2" t="s">
        <v>221</v>
      </c>
      <c r="L488" s="3">
        <v>20.16</v>
      </c>
      <c r="M488" s="3">
        <v>21.17</v>
      </c>
      <c r="N488" s="3">
        <v>41.99</v>
      </c>
      <c r="O488" s="2" t="s">
        <v>212</v>
      </c>
      <c r="P488" s="2" t="s">
        <v>205</v>
      </c>
      <c r="Q488" s="2" t="s">
        <v>206</v>
      </c>
      <c r="R488" s="2" t="s">
        <v>200</v>
      </c>
      <c r="S488" s="2" t="s">
        <v>3305</v>
      </c>
      <c r="T488" s="2" t="s">
        <v>3009</v>
      </c>
      <c r="U488" s="2" t="s">
        <v>454</v>
      </c>
      <c r="V488" s="2" t="s">
        <v>208</v>
      </c>
      <c r="W488" s="2" t="s">
        <v>241</v>
      </c>
      <c r="X488" s="2" t="s">
        <v>200</v>
      </c>
      <c r="Y488" s="2" t="s">
        <v>1650</v>
      </c>
      <c r="Z488" s="4">
        <v>140</v>
      </c>
      <c r="AA488" s="4">
        <f>=ROUNDDOWN(12.7272727272727,0)</f>
      </c>
      <c r="AB488" s="5">
        <v>11</v>
      </c>
      <c r="AC488" s="2" t="s">
        <v>200</v>
      </c>
      <c r="AD488" s="4"/>
      <c r="AE488" s="4"/>
      <c r="AF488" s="6">
        <v>65</v>
      </c>
      <c r="AG488" s="6"/>
      <c r="AH488" s="7">
        <v>1</v>
      </c>
      <c r="AI488" s="4"/>
      <c r="AJ488" s="4">
        <f>=ROUNDDOWN({0},0)</f>
      </c>
      <c r="AK488" s="5"/>
      <c r="AL488" s="2" t="s">
        <v>200</v>
      </c>
      <c r="AM488" s="4"/>
      <c r="AN488" s="4"/>
      <c r="AO488" s="7"/>
      <c r="AP488" s="4"/>
      <c r="AQ488" s="8"/>
      <c r="AR488" s="4"/>
      <c r="AS488" s="8"/>
      <c r="AT488" s="7"/>
      <c r="AU488" s="7"/>
      <c r="AV488" s="4" t="s">
        <v>200</v>
      </c>
      <c r="AW488" s="8" t="s">
        <v>200</v>
      </c>
      <c r="AX488" s="4" t="s">
        <v>200</v>
      </c>
      <c r="AY488" s="8" t="s">
        <v>200</v>
      </c>
      <c r="AZ488" s="7" t="s">
        <v>200</v>
      </c>
      <c r="BA488" s="7" t="s">
        <v>200</v>
      </c>
      <c r="BB488" s="7"/>
      <c r="BC488" s="4" t="s">
        <v>200</v>
      </c>
      <c r="BD488" s="8" t="s">
        <v>200</v>
      </c>
      <c r="BE488" s="4" t="s">
        <v>200</v>
      </c>
      <c r="BF488" s="8" t="s">
        <v>200</v>
      </c>
      <c r="BG488" s="7" t="s">
        <v>200</v>
      </c>
      <c r="BH488" s="7" t="s">
        <v>200</v>
      </c>
      <c r="BI488" s="7"/>
      <c r="BJ488" s="4">
        <v>16</v>
      </c>
      <c r="BK488" s="8">
        <v>362.77</v>
      </c>
      <c r="BL488" s="2" t="s">
        <v>3299</v>
      </c>
      <c r="BM488" s="7"/>
      <c r="BN488" s="7"/>
      <c r="BO488" s="4"/>
      <c r="BP488" s="8"/>
      <c r="BQ488" s="4"/>
      <c r="BR488" s="8"/>
      <c r="BS488" s="7"/>
      <c r="BT488" s="7"/>
      <c r="BU488" s="2" t="s">
        <v>210</v>
      </c>
      <c r="BV488" s="2" t="s">
        <v>200</v>
      </c>
      <c r="BW488" s="2" t="s">
        <v>200</v>
      </c>
      <c r="BX488" s="2" t="s">
        <v>264</v>
      </c>
      <c r="BY488" s="2" t="s">
        <v>3306</v>
      </c>
      <c r="BZ488" s="2" t="s">
        <v>212</v>
      </c>
      <c r="CA488" s="2" t="s">
        <v>200</v>
      </c>
      <c r="CB488" s="2" t="s">
        <v>200</v>
      </c>
      <c r="CC488" s="2" t="s">
        <v>213</v>
      </c>
      <c r="CD488" s="2" t="s">
        <v>200</v>
      </c>
      <c r="CE488" s="4">
        <v>140</v>
      </c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</row>
    <row r="489">
      <c r="A489" s="2" t="s">
        <v>3308</v>
      </c>
      <c r="B489" s="2" t="s">
        <v>230</v>
      </c>
      <c r="C489" s="2" t="s">
        <v>1894</v>
      </c>
      <c r="D489" s="2" t="s">
        <v>232</v>
      </c>
      <c r="E489" s="2" t="s">
        <v>233</v>
      </c>
      <c r="F489" s="2" t="s">
        <v>3309</v>
      </c>
      <c r="G489" s="2" t="s">
        <v>3309</v>
      </c>
      <c r="H489" s="2" t="s">
        <v>3309</v>
      </c>
      <c r="I489" s="2" t="s">
        <v>309</v>
      </c>
      <c r="J489" s="2" t="s">
        <v>256</v>
      </c>
      <c r="K489" s="2" t="s">
        <v>3310</v>
      </c>
      <c r="L489" s="3">
        <v>19.8</v>
      </c>
      <c r="M489" s="3">
        <v>20.79</v>
      </c>
      <c r="N489" s="3">
        <v>44.99</v>
      </c>
      <c r="O489" s="2" t="s">
        <v>212</v>
      </c>
      <c r="P489" s="2" t="s">
        <v>205</v>
      </c>
      <c r="Q489" s="2" t="s">
        <v>206</v>
      </c>
      <c r="R489" s="2" t="s">
        <v>200</v>
      </c>
      <c r="S489" s="2" t="s">
        <v>3311</v>
      </c>
      <c r="T489" s="2" t="s">
        <v>3312</v>
      </c>
      <c r="U489" s="2" t="s">
        <v>454</v>
      </c>
      <c r="V489" s="2" t="s">
        <v>3270</v>
      </c>
      <c r="W489" s="2" t="s">
        <v>1900</v>
      </c>
      <c r="X489" s="2" t="s">
        <v>241</v>
      </c>
      <c r="Y489" s="2" t="s">
        <v>3313</v>
      </c>
      <c r="Z489" s="4">
        <v>766</v>
      </c>
      <c r="AA489" s="4">
        <f>=ROUNDDOWN(51.0666666666667,0)</f>
      </c>
      <c r="AB489" s="5">
        <v>15</v>
      </c>
      <c r="AC489" s="2" t="s">
        <v>1105</v>
      </c>
      <c r="AD489" s="4">
        <v>1</v>
      </c>
      <c r="AE489" s="4">
        <v>1</v>
      </c>
      <c r="AF489" s="6">
        <v>69</v>
      </c>
      <c r="AG489" s="6"/>
      <c r="AH489" s="7">
        <v>0.3333</v>
      </c>
      <c r="AI489" s="4"/>
      <c r="AJ489" s="4">
        <f>=ROUNDDOWN({0},0)</f>
      </c>
      <c r="AK489" s="5"/>
      <c r="AL489" s="2" t="s">
        <v>200</v>
      </c>
      <c r="AM489" s="4"/>
      <c r="AN489" s="4"/>
      <c r="AO489" s="7"/>
      <c r="AP489" s="4"/>
      <c r="AQ489" s="8"/>
      <c r="AR489" s="4"/>
      <c r="AS489" s="8"/>
      <c r="AT489" s="7"/>
      <c r="AU489" s="7"/>
      <c r="AV489" s="4" t="s">
        <v>200</v>
      </c>
      <c r="AW489" s="8" t="s">
        <v>200</v>
      </c>
      <c r="AX489" s="4" t="s">
        <v>200</v>
      </c>
      <c r="AY489" s="8" t="s">
        <v>200</v>
      </c>
      <c r="AZ489" s="7" t="s">
        <v>200</v>
      </c>
      <c r="BA489" s="7" t="s">
        <v>200</v>
      </c>
      <c r="BB489" s="7"/>
      <c r="BC489" s="4" t="s">
        <v>200</v>
      </c>
      <c r="BD489" s="8" t="s">
        <v>200</v>
      </c>
      <c r="BE489" s="4" t="s">
        <v>200</v>
      </c>
      <c r="BF489" s="8" t="s">
        <v>200</v>
      </c>
      <c r="BG489" s="7" t="s">
        <v>200</v>
      </c>
      <c r="BH489" s="7" t="s">
        <v>200</v>
      </c>
      <c r="BI489" s="7"/>
      <c r="BJ489" s="4">
        <v>43</v>
      </c>
      <c r="BK489" s="8">
        <v>1043.78</v>
      </c>
      <c r="BL489" s="2" t="s">
        <v>3314</v>
      </c>
      <c r="BM489" s="7"/>
      <c r="BN489" s="7"/>
      <c r="BO489" s="4"/>
      <c r="BP489" s="8"/>
      <c r="BQ489" s="4"/>
      <c r="BR489" s="8"/>
      <c r="BS489" s="7"/>
      <c r="BT489" s="7"/>
      <c r="BU489" s="2" t="s">
        <v>3315</v>
      </c>
      <c r="BV489" s="2" t="s">
        <v>200</v>
      </c>
      <c r="BW489" s="2" t="s">
        <v>200</v>
      </c>
      <c r="BX489" s="2" t="s">
        <v>3316</v>
      </c>
      <c r="BY489" s="2" t="s">
        <v>247</v>
      </c>
      <c r="BZ489" s="2" t="s">
        <v>212</v>
      </c>
      <c r="CA489" s="2" t="s">
        <v>1653</v>
      </c>
      <c r="CB489" s="2" t="s">
        <v>200</v>
      </c>
      <c r="CC489" s="2" t="s">
        <v>213</v>
      </c>
      <c r="CD489" s="2" t="s">
        <v>200</v>
      </c>
      <c r="CE489" s="4">
        <v>766</v>
      </c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>
        <v>1</v>
      </c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</row>
    <row r="490">
      <c r="A490" s="2" t="s">
        <v>3317</v>
      </c>
      <c r="B490" s="2" t="s">
        <v>230</v>
      </c>
      <c r="C490" s="2" t="s">
        <v>1894</v>
      </c>
      <c r="D490" s="2" t="s">
        <v>232</v>
      </c>
      <c r="E490" s="2" t="s">
        <v>233</v>
      </c>
      <c r="F490" s="2" t="s">
        <v>3309</v>
      </c>
      <c r="G490" s="2" t="s">
        <v>3309</v>
      </c>
      <c r="H490" s="2" t="s">
        <v>3309</v>
      </c>
      <c r="I490" s="2" t="s">
        <v>309</v>
      </c>
      <c r="J490" s="2" t="s">
        <v>277</v>
      </c>
      <c r="K490" s="2" t="s">
        <v>3310</v>
      </c>
      <c r="L490" s="3">
        <v>21.78</v>
      </c>
      <c r="M490" s="3">
        <v>22.87</v>
      </c>
      <c r="N490" s="3">
        <v>49.99</v>
      </c>
      <c r="O490" s="2" t="s">
        <v>212</v>
      </c>
      <c r="P490" s="2" t="s">
        <v>205</v>
      </c>
      <c r="Q490" s="2" t="s">
        <v>206</v>
      </c>
      <c r="R490" s="2" t="s">
        <v>200</v>
      </c>
      <c r="S490" s="2" t="s">
        <v>3311</v>
      </c>
      <c r="T490" s="2" t="s">
        <v>3312</v>
      </c>
      <c r="U490" s="2" t="s">
        <v>240</v>
      </c>
      <c r="V490" s="2" t="s">
        <v>3270</v>
      </c>
      <c r="W490" s="2" t="s">
        <v>1900</v>
      </c>
      <c r="X490" s="2" t="s">
        <v>241</v>
      </c>
      <c r="Y490" s="2" t="s">
        <v>3313</v>
      </c>
      <c r="Z490" s="4">
        <v>469</v>
      </c>
      <c r="AA490" s="4">
        <f>=ROUNDDOWN(33.5,0)</f>
      </c>
      <c r="AB490" s="5">
        <v>14</v>
      </c>
      <c r="AC490" s="2" t="s">
        <v>200</v>
      </c>
      <c r="AD490" s="4"/>
      <c r="AE490" s="4"/>
      <c r="AF490" s="6">
        <v>69</v>
      </c>
      <c r="AG490" s="6"/>
      <c r="AH490" s="7">
        <v>0.3333</v>
      </c>
      <c r="AI490" s="4"/>
      <c r="AJ490" s="4">
        <f>=ROUNDDOWN({0},0)</f>
      </c>
      <c r="AK490" s="5"/>
      <c r="AL490" s="2" t="s">
        <v>200</v>
      </c>
      <c r="AM490" s="4"/>
      <c r="AN490" s="4"/>
      <c r="AO490" s="7"/>
      <c r="AP490" s="4"/>
      <c r="AQ490" s="8"/>
      <c r="AR490" s="4"/>
      <c r="AS490" s="8"/>
      <c r="AT490" s="7"/>
      <c r="AU490" s="7"/>
      <c r="AV490" s="4" t="s">
        <v>200</v>
      </c>
      <c r="AW490" s="8" t="s">
        <v>200</v>
      </c>
      <c r="AX490" s="4" t="s">
        <v>200</v>
      </c>
      <c r="AY490" s="8" t="s">
        <v>200</v>
      </c>
      <c r="AZ490" s="7" t="s">
        <v>200</v>
      </c>
      <c r="BA490" s="7" t="s">
        <v>200</v>
      </c>
      <c r="BB490" s="7"/>
      <c r="BC490" s="4" t="s">
        <v>200</v>
      </c>
      <c r="BD490" s="8" t="s">
        <v>200</v>
      </c>
      <c r="BE490" s="4" t="s">
        <v>200</v>
      </c>
      <c r="BF490" s="8" t="s">
        <v>200</v>
      </c>
      <c r="BG490" s="7" t="s">
        <v>200</v>
      </c>
      <c r="BH490" s="7" t="s">
        <v>200</v>
      </c>
      <c r="BI490" s="7"/>
      <c r="BJ490" s="4">
        <v>98</v>
      </c>
      <c r="BK490" s="8">
        <v>2648.72</v>
      </c>
      <c r="BL490" s="2" t="s">
        <v>3318</v>
      </c>
      <c r="BM490" s="7"/>
      <c r="BN490" s="7"/>
      <c r="BO490" s="4"/>
      <c r="BP490" s="8"/>
      <c r="BQ490" s="4"/>
      <c r="BR490" s="8"/>
      <c r="BS490" s="7"/>
      <c r="BT490" s="7"/>
      <c r="BU490" s="2" t="s">
        <v>3319</v>
      </c>
      <c r="BV490" s="2" t="s">
        <v>200</v>
      </c>
      <c r="BW490" s="2" t="s">
        <v>200</v>
      </c>
      <c r="BX490" s="2" t="s">
        <v>3316</v>
      </c>
      <c r="BY490" s="2" t="s">
        <v>247</v>
      </c>
      <c r="BZ490" s="2" t="s">
        <v>212</v>
      </c>
      <c r="CA490" s="2" t="s">
        <v>1653</v>
      </c>
      <c r="CB490" s="2" t="s">
        <v>200</v>
      </c>
      <c r="CC490" s="2" t="s">
        <v>213</v>
      </c>
      <c r="CD490" s="2" t="s">
        <v>200</v>
      </c>
      <c r="CE490" s="4">
        <v>469</v>
      </c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</row>
    <row r="491">
      <c r="A491" s="2" t="s">
        <v>3320</v>
      </c>
      <c r="B491" s="2" t="s">
        <v>230</v>
      </c>
      <c r="C491" s="2" t="s">
        <v>1894</v>
      </c>
      <c r="D491" s="2" t="s">
        <v>232</v>
      </c>
      <c r="E491" s="2" t="s">
        <v>233</v>
      </c>
      <c r="F491" s="2" t="s">
        <v>3309</v>
      </c>
      <c r="G491" s="2" t="s">
        <v>3309</v>
      </c>
      <c r="H491" s="2" t="s">
        <v>3309</v>
      </c>
      <c r="I491" s="2" t="s">
        <v>309</v>
      </c>
      <c r="J491" s="2" t="s">
        <v>277</v>
      </c>
      <c r="K491" s="2" t="s">
        <v>3321</v>
      </c>
      <c r="L491" s="3">
        <v>21.78</v>
      </c>
      <c r="M491" s="3">
        <v>22.87</v>
      </c>
      <c r="N491" s="3">
        <v>49.99</v>
      </c>
      <c r="O491" s="2" t="s">
        <v>212</v>
      </c>
      <c r="P491" s="2" t="s">
        <v>205</v>
      </c>
      <c r="Q491" s="2" t="s">
        <v>206</v>
      </c>
      <c r="R491" s="2" t="s">
        <v>200</v>
      </c>
      <c r="S491" s="2" t="s">
        <v>3322</v>
      </c>
      <c r="T491" s="2" t="s">
        <v>3312</v>
      </c>
      <c r="U491" s="2" t="s">
        <v>240</v>
      </c>
      <c r="V491" s="2" t="s">
        <v>3323</v>
      </c>
      <c r="W491" s="2" t="s">
        <v>1900</v>
      </c>
      <c r="X491" s="2" t="s">
        <v>241</v>
      </c>
      <c r="Y491" s="2" t="s">
        <v>3313</v>
      </c>
      <c r="Z491" s="4">
        <v>315</v>
      </c>
      <c r="AA491" s="4">
        <f>=ROUNDDOWN(19.6875,0)</f>
      </c>
      <c r="AB491" s="5">
        <v>16</v>
      </c>
      <c r="AC491" s="2" t="s">
        <v>107</v>
      </c>
      <c r="AD491" s="4">
        <v>1</v>
      </c>
      <c r="AE491" s="4">
        <v>100</v>
      </c>
      <c r="AF491" s="6">
        <v>69</v>
      </c>
      <c r="AG491" s="6"/>
      <c r="AH491" s="7">
        <v>0.2</v>
      </c>
      <c r="AI491" s="4"/>
      <c r="AJ491" s="4">
        <f>=ROUNDDOWN({0},0)</f>
      </c>
      <c r="AK491" s="5"/>
      <c r="AL491" s="2" t="s">
        <v>200</v>
      </c>
      <c r="AM491" s="4"/>
      <c r="AN491" s="4"/>
      <c r="AO491" s="7"/>
      <c r="AP491" s="4"/>
      <c r="AQ491" s="8"/>
      <c r="AR491" s="4"/>
      <c r="AS491" s="8"/>
      <c r="AT491" s="7"/>
      <c r="AU491" s="7"/>
      <c r="AV491" s="4"/>
      <c r="AW491" s="8"/>
      <c r="AX491" s="4"/>
      <c r="AY491" s="8"/>
      <c r="AZ491" s="7"/>
      <c r="BA491" s="7"/>
      <c r="BB491" s="7"/>
      <c r="BC491" s="4" t="s">
        <v>200</v>
      </c>
      <c r="BD491" s="8" t="s">
        <v>200</v>
      </c>
      <c r="BE491" s="4" t="s">
        <v>200</v>
      </c>
      <c r="BF491" s="8" t="s">
        <v>200</v>
      </c>
      <c r="BG491" s="7" t="s">
        <v>200</v>
      </c>
      <c r="BH491" s="7" t="s">
        <v>200</v>
      </c>
      <c r="BI491" s="7"/>
      <c r="BJ491" s="4">
        <v>36</v>
      </c>
      <c r="BK491" s="8">
        <v>935.43</v>
      </c>
      <c r="BL491" s="2" t="s">
        <v>3324</v>
      </c>
      <c r="BM491" s="7"/>
      <c r="BN491" s="7"/>
      <c r="BO491" s="4"/>
      <c r="BP491" s="8"/>
      <c r="BQ491" s="4"/>
      <c r="BR491" s="8"/>
      <c r="BS491" s="7"/>
      <c r="BT491" s="7"/>
      <c r="BU491" s="2" t="s">
        <v>3325</v>
      </c>
      <c r="BV491" s="2" t="s">
        <v>200</v>
      </c>
      <c r="BW491" s="2" t="s">
        <v>200</v>
      </c>
      <c r="BX491" s="2" t="s">
        <v>3316</v>
      </c>
      <c r="BY491" s="2" t="s">
        <v>247</v>
      </c>
      <c r="BZ491" s="2" t="s">
        <v>212</v>
      </c>
      <c r="CA491" s="2" t="s">
        <v>3141</v>
      </c>
      <c r="CB491" s="2" t="s">
        <v>3326</v>
      </c>
      <c r="CC491" s="2" t="s">
        <v>213</v>
      </c>
      <c r="CD491" s="2" t="s">
        <v>200</v>
      </c>
      <c r="CE491" s="4">
        <v>315</v>
      </c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>
        <v>1</v>
      </c>
      <c r="CT491" s="4"/>
      <c r="CU491" s="4"/>
      <c r="CV491" s="4"/>
      <c r="CW491" s="4">
        <v>99</v>
      </c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</row>
    <row r="492">
      <c r="A492" s="2" t="s">
        <v>3327</v>
      </c>
      <c r="B492" s="2" t="s">
        <v>230</v>
      </c>
      <c r="C492" s="2" t="s">
        <v>1894</v>
      </c>
      <c r="D492" s="2" t="s">
        <v>232</v>
      </c>
      <c r="E492" s="2" t="s">
        <v>233</v>
      </c>
      <c r="F492" s="2" t="s">
        <v>3309</v>
      </c>
      <c r="G492" s="2" t="s">
        <v>3309</v>
      </c>
      <c r="H492" s="2" t="s">
        <v>3309</v>
      </c>
      <c r="I492" s="2" t="s">
        <v>309</v>
      </c>
      <c r="J492" s="2" t="s">
        <v>256</v>
      </c>
      <c r="K492" s="2" t="s">
        <v>1897</v>
      </c>
      <c r="L492" s="3">
        <v>19.8</v>
      </c>
      <c r="M492" s="3">
        <v>20.79</v>
      </c>
      <c r="N492" s="3">
        <v>44.99</v>
      </c>
      <c r="O492" s="2" t="s">
        <v>212</v>
      </c>
      <c r="P492" s="2" t="s">
        <v>205</v>
      </c>
      <c r="Q492" s="2" t="s">
        <v>206</v>
      </c>
      <c r="R492" s="2" t="s">
        <v>200</v>
      </c>
      <c r="S492" s="2" t="s">
        <v>3328</v>
      </c>
      <c r="T492" s="2" t="s">
        <v>3312</v>
      </c>
      <c r="U492" s="2" t="s">
        <v>240</v>
      </c>
      <c r="V492" s="2" t="s">
        <v>1198</v>
      </c>
      <c r="W492" s="2" t="s">
        <v>1900</v>
      </c>
      <c r="X492" s="2" t="s">
        <v>241</v>
      </c>
      <c r="Y492" s="2" t="s">
        <v>3329</v>
      </c>
      <c r="Z492" s="4">
        <v>1129</v>
      </c>
      <c r="AA492" s="4">
        <f>=ROUNDDOWN(45.16,0)</f>
      </c>
      <c r="AB492" s="5">
        <v>25</v>
      </c>
      <c r="AC492" s="2" t="s">
        <v>108</v>
      </c>
      <c r="AD492" s="4">
        <v>308</v>
      </c>
      <c r="AE492" s="4">
        <v>308</v>
      </c>
      <c r="AF492" s="6">
        <v>69</v>
      </c>
      <c r="AG492" s="6"/>
      <c r="AH492" s="7">
        <v>0.3333</v>
      </c>
      <c r="AI492" s="4"/>
      <c r="AJ492" s="4">
        <f>=ROUNDDOWN({0},0)</f>
      </c>
      <c r="AK492" s="5"/>
      <c r="AL492" s="2" t="s">
        <v>200</v>
      </c>
      <c r="AM492" s="4"/>
      <c r="AN492" s="4"/>
      <c r="AO492" s="7"/>
      <c r="AP492" s="4"/>
      <c r="AQ492" s="8"/>
      <c r="AR492" s="4"/>
      <c r="AS492" s="8"/>
      <c r="AT492" s="7"/>
      <c r="AU492" s="7"/>
      <c r="AV492" s="4" t="s">
        <v>200</v>
      </c>
      <c r="AW492" s="8" t="s">
        <v>200</v>
      </c>
      <c r="AX492" s="4" t="s">
        <v>200</v>
      </c>
      <c r="AY492" s="8" t="s">
        <v>200</v>
      </c>
      <c r="AZ492" s="7" t="s">
        <v>200</v>
      </c>
      <c r="BA492" s="7" t="s">
        <v>200</v>
      </c>
      <c r="BB492" s="7"/>
      <c r="BC492" s="4" t="s">
        <v>200</v>
      </c>
      <c r="BD492" s="8" t="s">
        <v>200</v>
      </c>
      <c r="BE492" s="4" t="s">
        <v>200</v>
      </c>
      <c r="BF492" s="8" t="s">
        <v>200</v>
      </c>
      <c r="BG492" s="7" t="s">
        <v>200</v>
      </c>
      <c r="BH492" s="7" t="s">
        <v>200</v>
      </c>
      <c r="BI492" s="7"/>
      <c r="BJ492" s="4">
        <v>42</v>
      </c>
      <c r="BK492" s="8">
        <v>1023.65</v>
      </c>
      <c r="BL492" s="2" t="s">
        <v>3330</v>
      </c>
      <c r="BM492" s="7"/>
      <c r="BN492" s="7"/>
      <c r="BO492" s="4"/>
      <c r="BP492" s="8"/>
      <c r="BQ492" s="4"/>
      <c r="BR492" s="8"/>
      <c r="BS492" s="7"/>
      <c r="BT492" s="7"/>
      <c r="BU492" s="2" t="s">
        <v>3331</v>
      </c>
      <c r="BV492" s="2" t="s">
        <v>200</v>
      </c>
      <c r="BW492" s="2" t="s">
        <v>200</v>
      </c>
      <c r="BX492" s="2" t="s">
        <v>3316</v>
      </c>
      <c r="BY492" s="2" t="s">
        <v>247</v>
      </c>
      <c r="BZ492" s="2" t="s">
        <v>212</v>
      </c>
      <c r="CA492" s="2" t="s">
        <v>1653</v>
      </c>
      <c r="CB492" s="2" t="s">
        <v>1105</v>
      </c>
      <c r="CC492" s="2" t="s">
        <v>213</v>
      </c>
      <c r="CD492" s="2" t="s">
        <v>200</v>
      </c>
      <c r="CE492" s="4">
        <v>1129</v>
      </c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>
        <v>308</v>
      </c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</row>
    <row r="493">
      <c r="A493" s="2" t="s">
        <v>3332</v>
      </c>
      <c r="B493" s="2" t="s">
        <v>230</v>
      </c>
      <c r="C493" s="2" t="s">
        <v>1894</v>
      </c>
      <c r="D493" s="2" t="s">
        <v>232</v>
      </c>
      <c r="E493" s="2" t="s">
        <v>233</v>
      </c>
      <c r="F493" s="2" t="s">
        <v>3309</v>
      </c>
      <c r="G493" s="2" t="s">
        <v>3309</v>
      </c>
      <c r="H493" s="2" t="s">
        <v>3309</v>
      </c>
      <c r="I493" s="2" t="s">
        <v>309</v>
      </c>
      <c r="J493" s="2" t="s">
        <v>277</v>
      </c>
      <c r="K493" s="2" t="s">
        <v>1897</v>
      </c>
      <c r="L493" s="3">
        <v>21.78</v>
      </c>
      <c r="M493" s="3">
        <v>22.87</v>
      </c>
      <c r="N493" s="3">
        <v>49.99</v>
      </c>
      <c r="O493" s="2" t="s">
        <v>212</v>
      </c>
      <c r="P493" s="2" t="s">
        <v>205</v>
      </c>
      <c r="Q493" s="2" t="s">
        <v>206</v>
      </c>
      <c r="R493" s="2" t="s">
        <v>200</v>
      </c>
      <c r="S493" s="2" t="s">
        <v>3328</v>
      </c>
      <c r="T493" s="2" t="s">
        <v>3312</v>
      </c>
      <c r="U493" s="2" t="s">
        <v>240</v>
      </c>
      <c r="V493" s="2" t="s">
        <v>1198</v>
      </c>
      <c r="W493" s="2" t="s">
        <v>1900</v>
      </c>
      <c r="X493" s="2" t="s">
        <v>241</v>
      </c>
      <c r="Y493" s="2" t="s">
        <v>3329</v>
      </c>
      <c r="Z493" s="4">
        <v>757</v>
      </c>
      <c r="AA493" s="4">
        <f>=ROUNDDOWN(31.5416666666667,0)</f>
      </c>
      <c r="AB493" s="5">
        <v>24</v>
      </c>
      <c r="AC493" s="2" t="s">
        <v>108</v>
      </c>
      <c r="AD493" s="4">
        <v>238</v>
      </c>
      <c r="AE493" s="4">
        <v>238</v>
      </c>
      <c r="AF493" s="6">
        <v>69</v>
      </c>
      <c r="AG493" s="6"/>
      <c r="AH493" s="7">
        <v>0.3333</v>
      </c>
      <c r="AI493" s="4"/>
      <c r="AJ493" s="4">
        <f>=ROUNDDOWN({0},0)</f>
      </c>
      <c r="AK493" s="5"/>
      <c r="AL493" s="2" t="s">
        <v>200</v>
      </c>
      <c r="AM493" s="4"/>
      <c r="AN493" s="4"/>
      <c r="AO493" s="7"/>
      <c r="AP493" s="4"/>
      <c r="AQ493" s="8"/>
      <c r="AR493" s="4"/>
      <c r="AS493" s="8"/>
      <c r="AT493" s="7"/>
      <c r="AU493" s="7"/>
      <c r="AV493" s="4" t="s">
        <v>200</v>
      </c>
      <c r="AW493" s="8" t="s">
        <v>200</v>
      </c>
      <c r="AX493" s="4" t="s">
        <v>200</v>
      </c>
      <c r="AY493" s="8" t="s">
        <v>200</v>
      </c>
      <c r="AZ493" s="7" t="s">
        <v>200</v>
      </c>
      <c r="BA493" s="7" t="s">
        <v>200</v>
      </c>
      <c r="BB493" s="7"/>
      <c r="BC493" s="4" t="s">
        <v>200</v>
      </c>
      <c r="BD493" s="8" t="s">
        <v>200</v>
      </c>
      <c r="BE493" s="4" t="s">
        <v>200</v>
      </c>
      <c r="BF493" s="8" t="s">
        <v>200</v>
      </c>
      <c r="BG493" s="7" t="s">
        <v>200</v>
      </c>
      <c r="BH493" s="7" t="s">
        <v>200</v>
      </c>
      <c r="BI493" s="7"/>
      <c r="BJ493" s="4">
        <v>83</v>
      </c>
      <c r="BK493" s="8">
        <v>2215.74</v>
      </c>
      <c r="BL493" s="2" t="s">
        <v>3330</v>
      </c>
      <c r="BM493" s="7"/>
      <c r="BN493" s="7"/>
      <c r="BO493" s="4"/>
      <c r="BP493" s="8"/>
      <c r="BQ493" s="4"/>
      <c r="BR493" s="8"/>
      <c r="BS493" s="7"/>
      <c r="BT493" s="7"/>
      <c r="BU493" s="2" t="s">
        <v>3333</v>
      </c>
      <c r="BV493" s="2" t="s">
        <v>200</v>
      </c>
      <c r="BW493" s="2" t="s">
        <v>200</v>
      </c>
      <c r="BX493" s="2" t="s">
        <v>3316</v>
      </c>
      <c r="BY493" s="2" t="s">
        <v>247</v>
      </c>
      <c r="BZ493" s="2" t="s">
        <v>212</v>
      </c>
      <c r="CA493" s="2" t="s">
        <v>1653</v>
      </c>
      <c r="CB493" s="2" t="s">
        <v>200</v>
      </c>
      <c r="CC493" s="2" t="s">
        <v>213</v>
      </c>
      <c r="CD493" s="2" t="s">
        <v>200</v>
      </c>
      <c r="CE493" s="4">
        <v>757</v>
      </c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>
        <v>238</v>
      </c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</row>
    <row r="494">
      <c r="A494" s="2" t="s">
        <v>3334</v>
      </c>
      <c r="B494" s="2" t="s">
        <v>230</v>
      </c>
      <c r="C494" s="2" t="s">
        <v>1894</v>
      </c>
      <c r="D494" s="2" t="s">
        <v>232</v>
      </c>
      <c r="E494" s="2" t="s">
        <v>233</v>
      </c>
      <c r="F494" s="2" t="s">
        <v>3309</v>
      </c>
      <c r="G494" s="2" t="s">
        <v>3309</v>
      </c>
      <c r="H494" s="2" t="s">
        <v>3309</v>
      </c>
      <c r="I494" s="2" t="s">
        <v>309</v>
      </c>
      <c r="J494" s="2" t="s">
        <v>236</v>
      </c>
      <c r="K494" s="2" t="s">
        <v>1897</v>
      </c>
      <c r="L494" s="3">
        <v>28.98</v>
      </c>
      <c r="M494" s="3">
        <v>30.43</v>
      </c>
      <c r="N494" s="3">
        <v>64.99</v>
      </c>
      <c r="O494" s="2" t="s">
        <v>212</v>
      </c>
      <c r="P494" s="2" t="s">
        <v>205</v>
      </c>
      <c r="Q494" s="2" t="s">
        <v>206</v>
      </c>
      <c r="R494" s="2" t="s">
        <v>200</v>
      </c>
      <c r="S494" s="2" t="s">
        <v>3328</v>
      </c>
      <c r="T494" s="2" t="s">
        <v>3312</v>
      </c>
      <c r="U494" s="2" t="s">
        <v>240</v>
      </c>
      <c r="V494" s="2" t="s">
        <v>1198</v>
      </c>
      <c r="W494" s="2" t="s">
        <v>1900</v>
      </c>
      <c r="X494" s="2" t="s">
        <v>241</v>
      </c>
      <c r="Y494" s="2" t="s">
        <v>3313</v>
      </c>
      <c r="Z494" s="4">
        <v>471</v>
      </c>
      <c r="AA494" s="4">
        <f>=ROUNDDOWN(36.2307692307692,0)</f>
      </c>
      <c r="AB494" s="5">
        <v>13</v>
      </c>
      <c r="AC494" s="2" t="s">
        <v>108</v>
      </c>
      <c r="AD494" s="4">
        <v>126</v>
      </c>
      <c r="AE494" s="4">
        <v>126</v>
      </c>
      <c r="AF494" s="6">
        <v>69</v>
      </c>
      <c r="AG494" s="6"/>
      <c r="AH494" s="7">
        <v>0.3333</v>
      </c>
      <c r="AI494" s="4"/>
      <c r="AJ494" s="4">
        <f>=ROUNDDOWN({0},0)</f>
      </c>
      <c r="AK494" s="5"/>
      <c r="AL494" s="2" t="s">
        <v>200</v>
      </c>
      <c r="AM494" s="4"/>
      <c r="AN494" s="4"/>
      <c r="AO494" s="7"/>
      <c r="AP494" s="4"/>
      <c r="AQ494" s="8"/>
      <c r="AR494" s="4"/>
      <c r="AS494" s="8"/>
      <c r="AT494" s="7"/>
      <c r="AU494" s="7"/>
      <c r="AV494" s="4" t="s">
        <v>200</v>
      </c>
      <c r="AW494" s="8" t="s">
        <v>200</v>
      </c>
      <c r="AX494" s="4" t="s">
        <v>200</v>
      </c>
      <c r="AY494" s="8" t="s">
        <v>200</v>
      </c>
      <c r="AZ494" s="7" t="s">
        <v>200</v>
      </c>
      <c r="BA494" s="7" t="s">
        <v>200</v>
      </c>
      <c r="BB494" s="7"/>
      <c r="BC494" s="4" t="s">
        <v>200</v>
      </c>
      <c r="BD494" s="8" t="s">
        <v>200</v>
      </c>
      <c r="BE494" s="4" t="s">
        <v>200</v>
      </c>
      <c r="BF494" s="8" t="s">
        <v>200</v>
      </c>
      <c r="BG494" s="7" t="s">
        <v>200</v>
      </c>
      <c r="BH494" s="7" t="s">
        <v>200</v>
      </c>
      <c r="BI494" s="7"/>
      <c r="BJ494" s="4">
        <v>32</v>
      </c>
      <c r="BK494" s="8">
        <v>1103.03</v>
      </c>
      <c r="BL494" s="2" t="s">
        <v>3330</v>
      </c>
      <c r="BM494" s="7"/>
      <c r="BN494" s="7"/>
      <c r="BO494" s="4"/>
      <c r="BP494" s="8"/>
      <c r="BQ494" s="4"/>
      <c r="BR494" s="8"/>
      <c r="BS494" s="7"/>
      <c r="BT494" s="7"/>
      <c r="BU494" s="2" t="s">
        <v>3335</v>
      </c>
      <c r="BV494" s="2" t="s">
        <v>200</v>
      </c>
      <c r="BW494" s="2" t="s">
        <v>200</v>
      </c>
      <c r="BX494" s="2" t="s">
        <v>3316</v>
      </c>
      <c r="BY494" s="2" t="s">
        <v>247</v>
      </c>
      <c r="BZ494" s="2" t="s">
        <v>212</v>
      </c>
      <c r="CA494" s="2" t="s">
        <v>1653</v>
      </c>
      <c r="CB494" s="2" t="s">
        <v>200</v>
      </c>
      <c r="CC494" s="2" t="s">
        <v>213</v>
      </c>
      <c r="CD494" s="2" t="s">
        <v>200</v>
      </c>
      <c r="CE494" s="4">
        <v>471</v>
      </c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>
        <v>126</v>
      </c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</row>
    <row r="495">
      <c r="A495" s="2" t="s">
        <v>3336</v>
      </c>
      <c r="B495" s="2" t="s">
        <v>230</v>
      </c>
      <c r="C495" s="2" t="s">
        <v>1894</v>
      </c>
      <c r="D495" s="2" t="s">
        <v>232</v>
      </c>
      <c r="E495" s="2" t="s">
        <v>233</v>
      </c>
      <c r="F495" s="2" t="s">
        <v>3309</v>
      </c>
      <c r="G495" s="2" t="s">
        <v>3309</v>
      </c>
      <c r="H495" s="2" t="s">
        <v>3309</v>
      </c>
      <c r="I495" s="2" t="s">
        <v>309</v>
      </c>
      <c r="J495" s="2" t="s">
        <v>256</v>
      </c>
      <c r="K495" s="2" t="s">
        <v>3337</v>
      </c>
      <c r="L495" s="3">
        <v>19.8</v>
      </c>
      <c r="M495" s="3">
        <v>20.79</v>
      </c>
      <c r="N495" s="3">
        <v>44.99</v>
      </c>
      <c r="O495" s="2" t="s">
        <v>212</v>
      </c>
      <c r="P495" s="2" t="s">
        <v>205</v>
      </c>
      <c r="Q495" s="2" t="s">
        <v>206</v>
      </c>
      <c r="R495" s="2" t="s">
        <v>200</v>
      </c>
      <c r="S495" s="2" t="s">
        <v>3338</v>
      </c>
      <c r="T495" s="2" t="s">
        <v>3312</v>
      </c>
      <c r="U495" s="2" t="s">
        <v>454</v>
      </c>
      <c r="V495" s="2" t="s">
        <v>3270</v>
      </c>
      <c r="W495" s="2" t="s">
        <v>1900</v>
      </c>
      <c r="X495" s="2" t="s">
        <v>241</v>
      </c>
      <c r="Y495" s="2" t="s">
        <v>3313</v>
      </c>
      <c r="Z495" s="4">
        <v>800</v>
      </c>
      <c r="AA495" s="4">
        <f>=ROUNDDOWN(66.6666666666667,0)</f>
      </c>
      <c r="AB495" s="5">
        <v>12</v>
      </c>
      <c r="AC495" s="2" t="s">
        <v>1105</v>
      </c>
      <c r="AD495" s="4">
        <v>177</v>
      </c>
      <c r="AE495" s="4">
        <v>177</v>
      </c>
      <c r="AF495" s="6">
        <v>69</v>
      </c>
      <c r="AG495" s="6"/>
      <c r="AH495" s="7">
        <v>1</v>
      </c>
      <c r="AI495" s="4"/>
      <c r="AJ495" s="4">
        <f>=ROUNDDOWN({0},0)</f>
      </c>
      <c r="AK495" s="5"/>
      <c r="AL495" s="2" t="s">
        <v>200</v>
      </c>
      <c r="AM495" s="4"/>
      <c r="AN495" s="4"/>
      <c r="AO495" s="7"/>
      <c r="AP495" s="4"/>
      <c r="AQ495" s="8"/>
      <c r="AR495" s="4"/>
      <c r="AS495" s="8"/>
      <c r="AT495" s="7"/>
      <c r="AU495" s="7"/>
      <c r="AV495" s="4" t="s">
        <v>200</v>
      </c>
      <c r="AW495" s="8" t="s">
        <v>200</v>
      </c>
      <c r="AX495" s="4" t="s">
        <v>200</v>
      </c>
      <c r="AY495" s="8" t="s">
        <v>200</v>
      </c>
      <c r="AZ495" s="7" t="s">
        <v>200</v>
      </c>
      <c r="BA495" s="7" t="s">
        <v>200</v>
      </c>
      <c r="BB495" s="7"/>
      <c r="BC495" s="4" t="s">
        <v>200</v>
      </c>
      <c r="BD495" s="8" t="s">
        <v>200</v>
      </c>
      <c r="BE495" s="4" t="s">
        <v>200</v>
      </c>
      <c r="BF495" s="8" t="s">
        <v>200</v>
      </c>
      <c r="BG495" s="7" t="s">
        <v>200</v>
      </c>
      <c r="BH495" s="7" t="s">
        <v>200</v>
      </c>
      <c r="BI495" s="7"/>
      <c r="BJ495" s="4">
        <v>151</v>
      </c>
      <c r="BK495" s="8">
        <v>3680.52</v>
      </c>
      <c r="BL495" s="2" t="s">
        <v>1993</v>
      </c>
      <c r="BM495" s="7"/>
      <c r="BN495" s="7"/>
      <c r="BO495" s="4"/>
      <c r="BP495" s="8"/>
      <c r="BQ495" s="4"/>
      <c r="BR495" s="8"/>
      <c r="BS495" s="7"/>
      <c r="BT495" s="7"/>
      <c r="BU495" s="2" t="s">
        <v>3339</v>
      </c>
      <c r="BV495" s="2" t="s">
        <v>200</v>
      </c>
      <c r="BW495" s="2" t="s">
        <v>200</v>
      </c>
      <c r="BX495" s="2" t="s">
        <v>3316</v>
      </c>
      <c r="BY495" s="2" t="s">
        <v>247</v>
      </c>
      <c r="BZ495" s="2" t="s">
        <v>212</v>
      </c>
      <c r="CA495" s="2" t="s">
        <v>1458</v>
      </c>
      <c r="CB495" s="2" t="s">
        <v>200</v>
      </c>
      <c r="CC495" s="2" t="s">
        <v>213</v>
      </c>
      <c r="CD495" s="2" t="s">
        <v>200</v>
      </c>
      <c r="CE495" s="4">
        <v>800</v>
      </c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>
        <v>177</v>
      </c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</row>
    <row r="496">
      <c r="A496" s="2" t="s">
        <v>3340</v>
      </c>
      <c r="B496" s="2" t="s">
        <v>230</v>
      </c>
      <c r="C496" s="2" t="s">
        <v>1894</v>
      </c>
      <c r="D496" s="2" t="s">
        <v>232</v>
      </c>
      <c r="E496" s="2" t="s">
        <v>233</v>
      </c>
      <c r="F496" s="2" t="s">
        <v>3309</v>
      </c>
      <c r="G496" s="2" t="s">
        <v>3309</v>
      </c>
      <c r="H496" s="2" t="s">
        <v>3309</v>
      </c>
      <c r="I496" s="2" t="s">
        <v>309</v>
      </c>
      <c r="J496" s="2" t="s">
        <v>277</v>
      </c>
      <c r="K496" s="2" t="s">
        <v>3337</v>
      </c>
      <c r="L496" s="3">
        <v>21.78</v>
      </c>
      <c r="M496" s="3">
        <v>22.87</v>
      </c>
      <c r="N496" s="3">
        <v>49.99</v>
      </c>
      <c r="O496" s="2" t="s">
        <v>212</v>
      </c>
      <c r="P496" s="2" t="s">
        <v>205</v>
      </c>
      <c r="Q496" s="2" t="s">
        <v>206</v>
      </c>
      <c r="R496" s="2" t="s">
        <v>200</v>
      </c>
      <c r="S496" s="2" t="s">
        <v>3338</v>
      </c>
      <c r="T496" s="2" t="s">
        <v>3312</v>
      </c>
      <c r="U496" s="2" t="s">
        <v>240</v>
      </c>
      <c r="V496" s="2" t="s">
        <v>3270</v>
      </c>
      <c r="W496" s="2" t="s">
        <v>1900</v>
      </c>
      <c r="X496" s="2" t="s">
        <v>241</v>
      </c>
      <c r="Y496" s="2" t="s">
        <v>3313</v>
      </c>
      <c r="Z496" s="4">
        <v>1732</v>
      </c>
      <c r="AA496" s="4">
        <f>=ROUNDDOWN(64.1481481481481,0)</f>
      </c>
      <c r="AB496" s="5">
        <v>27</v>
      </c>
      <c r="AC496" s="2" t="s">
        <v>1105</v>
      </c>
      <c r="AD496" s="4">
        <v>377</v>
      </c>
      <c r="AE496" s="4">
        <v>377</v>
      </c>
      <c r="AF496" s="6">
        <v>69</v>
      </c>
      <c r="AG496" s="6"/>
      <c r="AH496" s="7">
        <v>1</v>
      </c>
      <c r="AI496" s="4"/>
      <c r="AJ496" s="4">
        <f>=ROUNDDOWN({0},0)</f>
      </c>
      <c r="AK496" s="5"/>
      <c r="AL496" s="2" t="s">
        <v>200</v>
      </c>
      <c r="AM496" s="4"/>
      <c r="AN496" s="4"/>
      <c r="AO496" s="7"/>
      <c r="AP496" s="4"/>
      <c r="AQ496" s="8"/>
      <c r="AR496" s="4"/>
      <c r="AS496" s="8"/>
      <c r="AT496" s="7"/>
      <c r="AU496" s="7"/>
      <c r="AV496" s="4" t="s">
        <v>200</v>
      </c>
      <c r="AW496" s="8" t="s">
        <v>200</v>
      </c>
      <c r="AX496" s="4" t="s">
        <v>200</v>
      </c>
      <c r="AY496" s="8" t="s">
        <v>200</v>
      </c>
      <c r="AZ496" s="7" t="s">
        <v>200</v>
      </c>
      <c r="BA496" s="7" t="s">
        <v>200</v>
      </c>
      <c r="BB496" s="7"/>
      <c r="BC496" s="4" t="s">
        <v>200</v>
      </c>
      <c r="BD496" s="8" t="s">
        <v>200</v>
      </c>
      <c r="BE496" s="4" t="s">
        <v>200</v>
      </c>
      <c r="BF496" s="8" t="s">
        <v>200</v>
      </c>
      <c r="BG496" s="7" t="s">
        <v>200</v>
      </c>
      <c r="BH496" s="7" t="s">
        <v>200</v>
      </c>
      <c r="BI496" s="7"/>
      <c r="BJ496" s="4">
        <v>179</v>
      </c>
      <c r="BK496" s="8">
        <v>4860.48</v>
      </c>
      <c r="BL496" s="2" t="s">
        <v>1184</v>
      </c>
      <c r="BM496" s="7"/>
      <c r="BN496" s="7"/>
      <c r="BO496" s="4"/>
      <c r="BP496" s="8"/>
      <c r="BQ496" s="4"/>
      <c r="BR496" s="8"/>
      <c r="BS496" s="7"/>
      <c r="BT496" s="7"/>
      <c r="BU496" s="2" t="s">
        <v>3341</v>
      </c>
      <c r="BV496" s="2" t="s">
        <v>200</v>
      </c>
      <c r="BW496" s="2" t="s">
        <v>200</v>
      </c>
      <c r="BX496" s="2" t="s">
        <v>3316</v>
      </c>
      <c r="BY496" s="2" t="s">
        <v>247</v>
      </c>
      <c r="BZ496" s="2" t="s">
        <v>212</v>
      </c>
      <c r="CA496" s="2" t="s">
        <v>3141</v>
      </c>
      <c r="CB496" s="2" t="s">
        <v>200</v>
      </c>
      <c r="CC496" s="2" t="s">
        <v>213</v>
      </c>
      <c r="CD496" s="2" t="s">
        <v>200</v>
      </c>
      <c r="CE496" s="4">
        <v>1732</v>
      </c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>
        <v>377</v>
      </c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</row>
    <row r="497">
      <c r="A497" s="2" t="s">
        <v>3342</v>
      </c>
      <c r="B497" s="2" t="s">
        <v>230</v>
      </c>
      <c r="C497" s="2" t="s">
        <v>1894</v>
      </c>
      <c r="D497" s="2" t="s">
        <v>232</v>
      </c>
      <c r="E497" s="2" t="s">
        <v>233</v>
      </c>
      <c r="F497" s="2" t="s">
        <v>3309</v>
      </c>
      <c r="G497" s="2" t="s">
        <v>3309</v>
      </c>
      <c r="H497" s="2" t="s">
        <v>3309</v>
      </c>
      <c r="I497" s="2" t="s">
        <v>309</v>
      </c>
      <c r="J497" s="2" t="s">
        <v>297</v>
      </c>
      <c r="K497" s="2" t="s">
        <v>3337</v>
      </c>
      <c r="L497" s="3">
        <v>24.3</v>
      </c>
      <c r="M497" s="3">
        <v>25.52</v>
      </c>
      <c r="N497" s="3">
        <v>54.99</v>
      </c>
      <c r="O497" s="2" t="s">
        <v>212</v>
      </c>
      <c r="P497" s="2" t="s">
        <v>205</v>
      </c>
      <c r="Q497" s="2" t="s">
        <v>206</v>
      </c>
      <c r="R497" s="2" t="s">
        <v>200</v>
      </c>
      <c r="S497" s="2" t="s">
        <v>3338</v>
      </c>
      <c r="T497" s="2" t="s">
        <v>3312</v>
      </c>
      <c r="U497" s="2" t="s">
        <v>240</v>
      </c>
      <c r="V497" s="2" t="s">
        <v>3270</v>
      </c>
      <c r="W497" s="2" t="s">
        <v>1900</v>
      </c>
      <c r="X497" s="2" t="s">
        <v>241</v>
      </c>
      <c r="Y497" s="2" t="s">
        <v>3313</v>
      </c>
      <c r="Z497" s="4">
        <v>2956</v>
      </c>
      <c r="AA497" s="4">
        <f>=ROUNDDOWN(95.3548387096774,0)</f>
      </c>
      <c r="AB497" s="5">
        <v>31</v>
      </c>
      <c r="AC497" s="2" t="s">
        <v>1105</v>
      </c>
      <c r="AD497" s="4">
        <v>617</v>
      </c>
      <c r="AE497" s="4">
        <v>617</v>
      </c>
      <c r="AF497" s="6">
        <v>69</v>
      </c>
      <c r="AG497" s="6"/>
      <c r="AH497" s="7">
        <v>1</v>
      </c>
      <c r="AI497" s="4"/>
      <c r="AJ497" s="4">
        <f>=ROUNDDOWN({0},0)</f>
      </c>
      <c r="AK497" s="5"/>
      <c r="AL497" s="2" t="s">
        <v>200</v>
      </c>
      <c r="AM497" s="4"/>
      <c r="AN497" s="4"/>
      <c r="AO497" s="7"/>
      <c r="AP497" s="4"/>
      <c r="AQ497" s="8"/>
      <c r="AR497" s="4"/>
      <c r="AS497" s="8"/>
      <c r="AT497" s="7"/>
      <c r="AU497" s="7"/>
      <c r="AV497" s="4" t="s">
        <v>200</v>
      </c>
      <c r="AW497" s="8" t="s">
        <v>200</v>
      </c>
      <c r="AX497" s="4" t="s">
        <v>200</v>
      </c>
      <c r="AY497" s="8" t="s">
        <v>200</v>
      </c>
      <c r="AZ497" s="7" t="s">
        <v>200</v>
      </c>
      <c r="BA497" s="7" t="s">
        <v>200</v>
      </c>
      <c r="BB497" s="7"/>
      <c r="BC497" s="4" t="s">
        <v>200</v>
      </c>
      <c r="BD497" s="8" t="s">
        <v>200</v>
      </c>
      <c r="BE497" s="4" t="s">
        <v>200</v>
      </c>
      <c r="BF497" s="8" t="s">
        <v>200</v>
      </c>
      <c r="BG497" s="7" t="s">
        <v>200</v>
      </c>
      <c r="BH497" s="7" t="s">
        <v>200</v>
      </c>
      <c r="BI497" s="7"/>
      <c r="BJ497" s="4">
        <v>257</v>
      </c>
      <c r="BK497" s="8">
        <v>7776.34</v>
      </c>
      <c r="BL497" s="2" t="s">
        <v>3343</v>
      </c>
      <c r="BM497" s="7"/>
      <c r="BN497" s="7"/>
      <c r="BO497" s="4"/>
      <c r="BP497" s="8"/>
      <c r="BQ497" s="4"/>
      <c r="BR497" s="8"/>
      <c r="BS497" s="7"/>
      <c r="BT497" s="7"/>
      <c r="BU497" s="2" t="s">
        <v>3344</v>
      </c>
      <c r="BV497" s="2" t="s">
        <v>200</v>
      </c>
      <c r="BW497" s="2" t="s">
        <v>200</v>
      </c>
      <c r="BX497" s="2" t="s">
        <v>3316</v>
      </c>
      <c r="BY497" s="2" t="s">
        <v>247</v>
      </c>
      <c r="BZ497" s="2" t="s">
        <v>212</v>
      </c>
      <c r="CA497" s="2" t="s">
        <v>3141</v>
      </c>
      <c r="CB497" s="2" t="s">
        <v>200</v>
      </c>
      <c r="CC497" s="2" t="s">
        <v>213</v>
      </c>
      <c r="CD497" s="2" t="s">
        <v>200</v>
      </c>
      <c r="CE497" s="4">
        <v>2956</v>
      </c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>
        <v>617</v>
      </c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</row>
    <row r="498">
      <c r="A498" s="2" t="s">
        <v>3345</v>
      </c>
      <c r="B498" s="2" t="s">
        <v>230</v>
      </c>
      <c r="C498" s="2" t="s">
        <v>1894</v>
      </c>
      <c r="D498" s="2" t="s">
        <v>232</v>
      </c>
      <c r="E498" s="2" t="s">
        <v>233</v>
      </c>
      <c r="F498" s="2" t="s">
        <v>3309</v>
      </c>
      <c r="G498" s="2" t="s">
        <v>3309</v>
      </c>
      <c r="H498" s="2" t="s">
        <v>3309</v>
      </c>
      <c r="I498" s="2" t="s">
        <v>309</v>
      </c>
      <c r="J498" s="2" t="s">
        <v>302</v>
      </c>
      <c r="K498" s="2" t="s">
        <v>3337</v>
      </c>
      <c r="L498" s="3">
        <v>28.98</v>
      </c>
      <c r="M498" s="3">
        <v>30.43</v>
      </c>
      <c r="N498" s="3">
        <v>64.99</v>
      </c>
      <c r="O498" s="2" t="s">
        <v>212</v>
      </c>
      <c r="P498" s="2" t="s">
        <v>205</v>
      </c>
      <c r="Q498" s="2" t="s">
        <v>206</v>
      </c>
      <c r="R498" s="2" t="s">
        <v>200</v>
      </c>
      <c r="S498" s="2" t="s">
        <v>3338</v>
      </c>
      <c r="T498" s="2" t="s">
        <v>3312</v>
      </c>
      <c r="U498" s="2" t="s">
        <v>240</v>
      </c>
      <c r="V498" s="2" t="s">
        <v>3270</v>
      </c>
      <c r="W498" s="2" t="s">
        <v>1900</v>
      </c>
      <c r="X498" s="2" t="s">
        <v>241</v>
      </c>
      <c r="Y498" s="2" t="s">
        <v>3313</v>
      </c>
      <c r="Z498" s="4">
        <v>1292</v>
      </c>
      <c r="AA498" s="4">
        <f>=ROUNDDOWN(143.555555555556,0)</f>
      </c>
      <c r="AB498" s="5">
        <v>9</v>
      </c>
      <c r="AC498" s="2" t="s">
        <v>1105</v>
      </c>
      <c r="AD498" s="4">
        <v>253</v>
      </c>
      <c r="AE498" s="4">
        <v>253</v>
      </c>
      <c r="AF498" s="6">
        <v>69</v>
      </c>
      <c r="AG498" s="6"/>
      <c r="AH498" s="7">
        <v>1</v>
      </c>
      <c r="AI498" s="4"/>
      <c r="AJ498" s="4">
        <f>=ROUNDDOWN({0},0)</f>
      </c>
      <c r="AK498" s="5"/>
      <c r="AL498" s="2" t="s">
        <v>200</v>
      </c>
      <c r="AM498" s="4"/>
      <c r="AN498" s="4"/>
      <c r="AO498" s="7"/>
      <c r="AP498" s="4"/>
      <c r="AQ498" s="8"/>
      <c r="AR498" s="4"/>
      <c r="AS498" s="8"/>
      <c r="AT498" s="7"/>
      <c r="AU498" s="7"/>
      <c r="AV498" s="4" t="s">
        <v>200</v>
      </c>
      <c r="AW498" s="8" t="s">
        <v>200</v>
      </c>
      <c r="AX498" s="4" t="s">
        <v>200</v>
      </c>
      <c r="AY498" s="8" t="s">
        <v>200</v>
      </c>
      <c r="AZ498" s="7" t="s">
        <v>200</v>
      </c>
      <c r="BA498" s="7" t="s">
        <v>200</v>
      </c>
      <c r="BB498" s="7"/>
      <c r="BC498" s="4" t="s">
        <v>200</v>
      </c>
      <c r="BD498" s="8" t="s">
        <v>200</v>
      </c>
      <c r="BE498" s="4" t="s">
        <v>200</v>
      </c>
      <c r="BF498" s="8" t="s">
        <v>200</v>
      </c>
      <c r="BG498" s="7" t="s">
        <v>200</v>
      </c>
      <c r="BH498" s="7" t="s">
        <v>200</v>
      </c>
      <c r="BI498" s="7"/>
      <c r="BJ498" s="4">
        <v>80</v>
      </c>
      <c r="BK498" s="8">
        <v>2824</v>
      </c>
      <c r="BL498" s="2" t="s">
        <v>1987</v>
      </c>
      <c r="BM498" s="7"/>
      <c r="BN498" s="7"/>
      <c r="BO498" s="4"/>
      <c r="BP498" s="8"/>
      <c r="BQ498" s="4"/>
      <c r="BR498" s="8"/>
      <c r="BS498" s="7"/>
      <c r="BT498" s="7"/>
      <c r="BU498" s="2" t="s">
        <v>3346</v>
      </c>
      <c r="BV498" s="2" t="s">
        <v>200</v>
      </c>
      <c r="BW498" s="2" t="s">
        <v>200</v>
      </c>
      <c r="BX498" s="2" t="s">
        <v>3316</v>
      </c>
      <c r="BY498" s="2" t="s">
        <v>247</v>
      </c>
      <c r="BZ498" s="2" t="s">
        <v>212</v>
      </c>
      <c r="CA498" s="2" t="s">
        <v>3141</v>
      </c>
      <c r="CB498" s="2" t="s">
        <v>200</v>
      </c>
      <c r="CC498" s="2" t="s">
        <v>213</v>
      </c>
      <c r="CD498" s="2" t="s">
        <v>200</v>
      </c>
      <c r="CE498" s="4">
        <v>1292</v>
      </c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>
        <v>253</v>
      </c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</row>
    <row r="499">
      <c r="A499" s="2" t="s">
        <v>3347</v>
      </c>
      <c r="B499" s="2" t="s">
        <v>230</v>
      </c>
      <c r="C499" s="2" t="s">
        <v>1894</v>
      </c>
      <c r="D499" s="2" t="s">
        <v>232</v>
      </c>
      <c r="E499" s="2" t="s">
        <v>233</v>
      </c>
      <c r="F499" s="2" t="s">
        <v>3309</v>
      </c>
      <c r="G499" s="2" t="s">
        <v>3309</v>
      </c>
      <c r="H499" s="2" t="s">
        <v>3309</v>
      </c>
      <c r="I499" s="2" t="s">
        <v>309</v>
      </c>
      <c r="J499" s="2" t="s">
        <v>236</v>
      </c>
      <c r="K499" s="2" t="s">
        <v>3337</v>
      </c>
      <c r="L499" s="3">
        <v>28.98</v>
      </c>
      <c r="M499" s="3">
        <v>30.43</v>
      </c>
      <c r="N499" s="3">
        <v>64.99</v>
      </c>
      <c r="O499" s="2" t="s">
        <v>212</v>
      </c>
      <c r="P499" s="2" t="s">
        <v>205</v>
      </c>
      <c r="Q499" s="2" t="s">
        <v>206</v>
      </c>
      <c r="R499" s="2" t="s">
        <v>200</v>
      </c>
      <c r="S499" s="2" t="s">
        <v>3338</v>
      </c>
      <c r="T499" s="2" t="s">
        <v>3312</v>
      </c>
      <c r="U499" s="2" t="s">
        <v>240</v>
      </c>
      <c r="V499" s="2" t="s">
        <v>3270</v>
      </c>
      <c r="W499" s="2" t="s">
        <v>1900</v>
      </c>
      <c r="X499" s="2" t="s">
        <v>241</v>
      </c>
      <c r="Y499" s="2" t="s">
        <v>3313</v>
      </c>
      <c r="Z499" s="4">
        <v>513</v>
      </c>
      <c r="AA499" s="4">
        <f>=ROUNDDOWN(57,0)</f>
      </c>
      <c r="AB499" s="5">
        <v>9</v>
      </c>
      <c r="AC499" s="2" t="s">
        <v>1105</v>
      </c>
      <c r="AD499" s="4">
        <v>117</v>
      </c>
      <c r="AE499" s="4">
        <v>117</v>
      </c>
      <c r="AF499" s="6">
        <v>69</v>
      </c>
      <c r="AG499" s="6"/>
      <c r="AH499" s="7">
        <v>1</v>
      </c>
      <c r="AI499" s="4"/>
      <c r="AJ499" s="4">
        <f>=ROUNDDOWN({0},0)</f>
      </c>
      <c r="AK499" s="5"/>
      <c r="AL499" s="2" t="s">
        <v>200</v>
      </c>
      <c r="AM499" s="4"/>
      <c r="AN499" s="4"/>
      <c r="AO499" s="7"/>
      <c r="AP499" s="4"/>
      <c r="AQ499" s="8"/>
      <c r="AR499" s="4"/>
      <c r="AS499" s="8"/>
      <c r="AT499" s="7"/>
      <c r="AU499" s="7"/>
      <c r="AV499" s="4" t="s">
        <v>200</v>
      </c>
      <c r="AW499" s="8" t="s">
        <v>200</v>
      </c>
      <c r="AX499" s="4" t="s">
        <v>200</v>
      </c>
      <c r="AY499" s="8" t="s">
        <v>200</v>
      </c>
      <c r="AZ499" s="7" t="s">
        <v>200</v>
      </c>
      <c r="BA499" s="7" t="s">
        <v>200</v>
      </c>
      <c r="BB499" s="7"/>
      <c r="BC499" s="4" t="s">
        <v>200</v>
      </c>
      <c r="BD499" s="8" t="s">
        <v>200</v>
      </c>
      <c r="BE499" s="4" t="s">
        <v>200</v>
      </c>
      <c r="BF499" s="8" t="s">
        <v>200</v>
      </c>
      <c r="BG499" s="7" t="s">
        <v>200</v>
      </c>
      <c r="BH499" s="7" t="s">
        <v>200</v>
      </c>
      <c r="BI499" s="7"/>
      <c r="BJ499" s="4">
        <v>93</v>
      </c>
      <c r="BK499" s="8">
        <v>3276.32</v>
      </c>
      <c r="BL499" s="2" t="s">
        <v>3348</v>
      </c>
      <c r="BM499" s="7"/>
      <c r="BN499" s="7"/>
      <c r="BO499" s="4"/>
      <c r="BP499" s="8"/>
      <c r="BQ499" s="4"/>
      <c r="BR499" s="8"/>
      <c r="BS499" s="7"/>
      <c r="BT499" s="7"/>
      <c r="BU499" s="2" t="s">
        <v>3349</v>
      </c>
      <c r="BV499" s="2" t="s">
        <v>200</v>
      </c>
      <c r="BW499" s="2" t="s">
        <v>200</v>
      </c>
      <c r="BX499" s="2" t="s">
        <v>3316</v>
      </c>
      <c r="BY499" s="2" t="s">
        <v>247</v>
      </c>
      <c r="BZ499" s="2" t="s">
        <v>212</v>
      </c>
      <c r="CA499" s="2" t="s">
        <v>3141</v>
      </c>
      <c r="CB499" s="2" t="s">
        <v>200</v>
      </c>
      <c r="CC499" s="2" t="s">
        <v>213</v>
      </c>
      <c r="CD499" s="2" t="s">
        <v>200</v>
      </c>
      <c r="CE499" s="4">
        <v>513</v>
      </c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>
        <v>117</v>
      </c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</row>
    <row r="500">
      <c r="A500" s="2" t="s">
        <v>3350</v>
      </c>
      <c r="B500" s="2" t="s">
        <v>230</v>
      </c>
      <c r="C500" s="2" t="s">
        <v>1894</v>
      </c>
      <c r="D500" s="2" t="s">
        <v>232</v>
      </c>
      <c r="E500" s="2" t="s">
        <v>233</v>
      </c>
      <c r="F500" s="2" t="s">
        <v>3309</v>
      </c>
      <c r="G500" s="2" t="s">
        <v>3309</v>
      </c>
      <c r="H500" s="2" t="s">
        <v>3309</v>
      </c>
      <c r="I500" s="2" t="s">
        <v>309</v>
      </c>
      <c r="J500" s="2" t="s">
        <v>256</v>
      </c>
      <c r="K500" s="2" t="s">
        <v>3351</v>
      </c>
      <c r="L500" s="3">
        <v>19.8</v>
      </c>
      <c r="M500" s="3">
        <v>20.79</v>
      </c>
      <c r="N500" s="3">
        <v>44.99</v>
      </c>
      <c r="O500" s="2" t="s">
        <v>212</v>
      </c>
      <c r="P500" s="2" t="s">
        <v>205</v>
      </c>
      <c r="Q500" s="2" t="s">
        <v>206</v>
      </c>
      <c r="R500" s="2" t="s">
        <v>200</v>
      </c>
      <c r="S500" s="2" t="s">
        <v>3352</v>
      </c>
      <c r="T500" s="2" t="s">
        <v>3312</v>
      </c>
      <c r="U500" s="2" t="s">
        <v>454</v>
      </c>
      <c r="V500" s="2" t="s">
        <v>3270</v>
      </c>
      <c r="W500" s="2" t="s">
        <v>1900</v>
      </c>
      <c r="X500" s="2" t="s">
        <v>241</v>
      </c>
      <c r="Y500" s="2" t="s">
        <v>3313</v>
      </c>
      <c r="Z500" s="4">
        <v>1012</v>
      </c>
      <c r="AA500" s="4">
        <f>=ROUNDDOWN(59.5294117647059,0)</f>
      </c>
      <c r="AB500" s="5">
        <v>17</v>
      </c>
      <c r="AC500" s="2" t="s">
        <v>1105</v>
      </c>
      <c r="AD500" s="4">
        <v>234</v>
      </c>
      <c r="AE500" s="4">
        <v>234</v>
      </c>
      <c r="AF500" s="6">
        <v>69</v>
      </c>
      <c r="AG500" s="6"/>
      <c r="AH500" s="7">
        <v>1</v>
      </c>
      <c r="AI500" s="4"/>
      <c r="AJ500" s="4">
        <f>=ROUNDDOWN({0},0)</f>
      </c>
      <c r="AK500" s="5"/>
      <c r="AL500" s="2" t="s">
        <v>200</v>
      </c>
      <c r="AM500" s="4"/>
      <c r="AN500" s="4"/>
      <c r="AO500" s="7"/>
      <c r="AP500" s="4"/>
      <c r="AQ500" s="8"/>
      <c r="AR500" s="4"/>
      <c r="AS500" s="8"/>
      <c r="AT500" s="7"/>
      <c r="AU500" s="7"/>
      <c r="AV500" s="4" t="s">
        <v>200</v>
      </c>
      <c r="AW500" s="8" t="s">
        <v>200</v>
      </c>
      <c r="AX500" s="4" t="s">
        <v>200</v>
      </c>
      <c r="AY500" s="8" t="s">
        <v>200</v>
      </c>
      <c r="AZ500" s="7" t="s">
        <v>200</v>
      </c>
      <c r="BA500" s="7" t="s">
        <v>200</v>
      </c>
      <c r="BB500" s="7"/>
      <c r="BC500" s="4" t="s">
        <v>200</v>
      </c>
      <c r="BD500" s="8" t="s">
        <v>200</v>
      </c>
      <c r="BE500" s="4" t="s">
        <v>200</v>
      </c>
      <c r="BF500" s="8" t="s">
        <v>200</v>
      </c>
      <c r="BG500" s="7" t="s">
        <v>200</v>
      </c>
      <c r="BH500" s="7" t="s">
        <v>200</v>
      </c>
      <c r="BI500" s="7"/>
      <c r="BJ500" s="4">
        <v>134</v>
      </c>
      <c r="BK500" s="8">
        <v>3294.9</v>
      </c>
      <c r="BL500" s="2" t="s">
        <v>359</v>
      </c>
      <c r="BM500" s="7"/>
      <c r="BN500" s="7"/>
      <c r="BO500" s="4"/>
      <c r="BP500" s="8"/>
      <c r="BQ500" s="4"/>
      <c r="BR500" s="8"/>
      <c r="BS500" s="7"/>
      <c r="BT500" s="7"/>
      <c r="BU500" s="2" t="s">
        <v>3353</v>
      </c>
      <c r="BV500" s="2" t="s">
        <v>200</v>
      </c>
      <c r="BW500" s="2" t="s">
        <v>200</v>
      </c>
      <c r="BX500" s="2" t="s">
        <v>3316</v>
      </c>
      <c r="BY500" s="2" t="s">
        <v>247</v>
      </c>
      <c r="BZ500" s="2" t="s">
        <v>212</v>
      </c>
      <c r="CA500" s="2" t="s">
        <v>3141</v>
      </c>
      <c r="CB500" s="2" t="s">
        <v>1105</v>
      </c>
      <c r="CC500" s="2" t="s">
        <v>213</v>
      </c>
      <c r="CD500" s="2" t="s">
        <v>200</v>
      </c>
      <c r="CE500" s="4">
        <v>1012</v>
      </c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>
        <v>234</v>
      </c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</row>
    <row r="501">
      <c r="A501" s="2" t="s">
        <v>3354</v>
      </c>
      <c r="B501" s="2" t="s">
        <v>230</v>
      </c>
      <c r="C501" s="2" t="s">
        <v>1894</v>
      </c>
      <c r="D501" s="2" t="s">
        <v>232</v>
      </c>
      <c r="E501" s="2" t="s">
        <v>233</v>
      </c>
      <c r="F501" s="2" t="s">
        <v>3309</v>
      </c>
      <c r="G501" s="2" t="s">
        <v>3309</v>
      </c>
      <c r="H501" s="2" t="s">
        <v>3309</v>
      </c>
      <c r="I501" s="2" t="s">
        <v>309</v>
      </c>
      <c r="J501" s="2" t="s">
        <v>277</v>
      </c>
      <c r="K501" s="2" t="s">
        <v>3351</v>
      </c>
      <c r="L501" s="3">
        <v>21.78</v>
      </c>
      <c r="M501" s="3">
        <v>22.87</v>
      </c>
      <c r="N501" s="3">
        <v>49.99</v>
      </c>
      <c r="O501" s="2" t="s">
        <v>212</v>
      </c>
      <c r="P501" s="2" t="s">
        <v>205</v>
      </c>
      <c r="Q501" s="2" t="s">
        <v>206</v>
      </c>
      <c r="R501" s="2" t="s">
        <v>200</v>
      </c>
      <c r="S501" s="2" t="s">
        <v>3352</v>
      </c>
      <c r="T501" s="2" t="s">
        <v>3312</v>
      </c>
      <c r="U501" s="2" t="s">
        <v>240</v>
      </c>
      <c r="V501" s="2" t="s">
        <v>3270</v>
      </c>
      <c r="W501" s="2" t="s">
        <v>1900</v>
      </c>
      <c r="X501" s="2" t="s">
        <v>241</v>
      </c>
      <c r="Y501" s="2" t="s">
        <v>3313</v>
      </c>
      <c r="Z501" s="4">
        <v>1675</v>
      </c>
      <c r="AA501" s="4">
        <f>=ROUNDDOWN(104.6875,0)</f>
      </c>
      <c r="AB501" s="5">
        <v>16</v>
      </c>
      <c r="AC501" s="2" t="s">
        <v>107</v>
      </c>
      <c r="AD501" s="4">
        <v>7</v>
      </c>
      <c r="AE501" s="4">
        <v>382</v>
      </c>
      <c r="AF501" s="6">
        <v>69</v>
      </c>
      <c r="AG501" s="6"/>
      <c r="AH501" s="7">
        <v>1</v>
      </c>
      <c r="AI501" s="4"/>
      <c r="AJ501" s="4">
        <f>=ROUNDDOWN({0},0)</f>
      </c>
      <c r="AK501" s="5"/>
      <c r="AL501" s="2" t="s">
        <v>200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 t="s">
        <v>200</v>
      </c>
      <c r="AW501" s="8" t="s">
        <v>200</v>
      </c>
      <c r="AX501" s="4" t="s">
        <v>200</v>
      </c>
      <c r="AY501" s="8" t="s">
        <v>200</v>
      </c>
      <c r="AZ501" s="7" t="s">
        <v>200</v>
      </c>
      <c r="BA501" s="7" t="s">
        <v>200</v>
      </c>
      <c r="BB501" s="7"/>
      <c r="BC501" s="4" t="s">
        <v>200</v>
      </c>
      <c r="BD501" s="8" t="s">
        <v>200</v>
      </c>
      <c r="BE501" s="4" t="s">
        <v>200</v>
      </c>
      <c r="BF501" s="8" t="s">
        <v>200</v>
      </c>
      <c r="BG501" s="7" t="s">
        <v>200</v>
      </c>
      <c r="BH501" s="7" t="s">
        <v>200</v>
      </c>
      <c r="BI501" s="7"/>
      <c r="BJ501" s="4">
        <v>232</v>
      </c>
      <c r="BK501" s="8">
        <v>6183.14</v>
      </c>
      <c r="BL501" s="2" t="s">
        <v>3355</v>
      </c>
      <c r="BM501" s="7"/>
      <c r="BN501" s="7"/>
      <c r="BO501" s="4"/>
      <c r="BP501" s="8"/>
      <c r="BQ501" s="4"/>
      <c r="BR501" s="8"/>
      <c r="BS501" s="7"/>
      <c r="BT501" s="7"/>
      <c r="BU501" s="2" t="s">
        <v>3356</v>
      </c>
      <c r="BV501" s="2" t="s">
        <v>200</v>
      </c>
      <c r="BW501" s="2" t="s">
        <v>200</v>
      </c>
      <c r="BX501" s="2" t="s">
        <v>3316</v>
      </c>
      <c r="BY501" s="2" t="s">
        <v>247</v>
      </c>
      <c r="BZ501" s="2" t="s">
        <v>212</v>
      </c>
      <c r="CA501" s="2" t="s">
        <v>1458</v>
      </c>
      <c r="CB501" s="2" t="s">
        <v>200</v>
      </c>
      <c r="CC501" s="2" t="s">
        <v>213</v>
      </c>
      <c r="CD501" s="2" t="s">
        <v>200</v>
      </c>
      <c r="CE501" s="4">
        <v>1675</v>
      </c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>
        <v>7</v>
      </c>
      <c r="CT501" s="4"/>
      <c r="CU501" s="4"/>
      <c r="CV501" s="4"/>
      <c r="CW501" s="4">
        <v>375</v>
      </c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</row>
    <row r="502">
      <c r="A502" s="2" t="s">
        <v>3357</v>
      </c>
      <c r="B502" s="2" t="s">
        <v>230</v>
      </c>
      <c r="C502" s="2" t="s">
        <v>1894</v>
      </c>
      <c r="D502" s="2" t="s">
        <v>232</v>
      </c>
      <c r="E502" s="2" t="s">
        <v>233</v>
      </c>
      <c r="F502" s="2" t="s">
        <v>3309</v>
      </c>
      <c r="G502" s="2" t="s">
        <v>3309</v>
      </c>
      <c r="H502" s="2" t="s">
        <v>3309</v>
      </c>
      <c r="I502" s="2" t="s">
        <v>309</v>
      </c>
      <c r="J502" s="2" t="s">
        <v>302</v>
      </c>
      <c r="K502" s="2" t="s">
        <v>3351</v>
      </c>
      <c r="L502" s="3">
        <v>28.98</v>
      </c>
      <c r="M502" s="3">
        <v>30.43</v>
      </c>
      <c r="N502" s="3">
        <v>64.99</v>
      </c>
      <c r="O502" s="2" t="s">
        <v>212</v>
      </c>
      <c r="P502" s="2" t="s">
        <v>205</v>
      </c>
      <c r="Q502" s="2" t="s">
        <v>206</v>
      </c>
      <c r="R502" s="2" t="s">
        <v>200</v>
      </c>
      <c r="S502" s="2" t="s">
        <v>3352</v>
      </c>
      <c r="T502" s="2" t="s">
        <v>3312</v>
      </c>
      <c r="U502" s="2" t="s">
        <v>240</v>
      </c>
      <c r="V502" s="2" t="s">
        <v>3270</v>
      </c>
      <c r="W502" s="2" t="s">
        <v>1900</v>
      </c>
      <c r="X502" s="2" t="s">
        <v>241</v>
      </c>
      <c r="Y502" s="2" t="s">
        <v>3313</v>
      </c>
      <c r="Z502" s="4">
        <v>1045</v>
      </c>
      <c r="AA502" s="4">
        <f>=ROUNDDOWN(65.3125,0)</f>
      </c>
      <c r="AB502" s="5">
        <v>16</v>
      </c>
      <c r="AC502" s="2" t="s">
        <v>1105</v>
      </c>
      <c r="AD502" s="4">
        <v>253</v>
      </c>
      <c r="AE502" s="4">
        <v>253</v>
      </c>
      <c r="AF502" s="6">
        <v>69</v>
      </c>
      <c r="AG502" s="6"/>
      <c r="AH502" s="7">
        <v>1</v>
      </c>
      <c r="AI502" s="4"/>
      <c r="AJ502" s="4">
        <f>=ROUNDDOWN({0},0)</f>
      </c>
      <c r="AK502" s="5"/>
      <c r="AL502" s="2" t="s">
        <v>200</v>
      </c>
      <c r="AM502" s="4"/>
      <c r="AN502" s="4"/>
      <c r="AO502" s="7"/>
      <c r="AP502" s="4"/>
      <c r="AQ502" s="8"/>
      <c r="AR502" s="4"/>
      <c r="AS502" s="8"/>
      <c r="AT502" s="7"/>
      <c r="AU502" s="7"/>
      <c r="AV502" s="4" t="s">
        <v>200</v>
      </c>
      <c r="AW502" s="8" t="s">
        <v>200</v>
      </c>
      <c r="AX502" s="4" t="s">
        <v>200</v>
      </c>
      <c r="AY502" s="8" t="s">
        <v>200</v>
      </c>
      <c r="AZ502" s="7" t="s">
        <v>200</v>
      </c>
      <c r="BA502" s="7" t="s">
        <v>200</v>
      </c>
      <c r="BB502" s="7"/>
      <c r="BC502" s="4" t="s">
        <v>200</v>
      </c>
      <c r="BD502" s="8" t="s">
        <v>200</v>
      </c>
      <c r="BE502" s="4" t="s">
        <v>200</v>
      </c>
      <c r="BF502" s="8" t="s">
        <v>200</v>
      </c>
      <c r="BG502" s="7" t="s">
        <v>200</v>
      </c>
      <c r="BH502" s="7" t="s">
        <v>200</v>
      </c>
      <c r="BI502" s="7"/>
      <c r="BJ502" s="4">
        <v>209</v>
      </c>
      <c r="BK502" s="8">
        <v>7348.86</v>
      </c>
      <c r="BL502" s="2" t="s">
        <v>3358</v>
      </c>
      <c r="BM502" s="7"/>
      <c r="BN502" s="7"/>
      <c r="BO502" s="4"/>
      <c r="BP502" s="8"/>
      <c r="BQ502" s="4"/>
      <c r="BR502" s="8"/>
      <c r="BS502" s="7"/>
      <c r="BT502" s="7"/>
      <c r="BU502" s="2" t="s">
        <v>3359</v>
      </c>
      <c r="BV502" s="2" t="s">
        <v>200</v>
      </c>
      <c r="BW502" s="2" t="s">
        <v>200</v>
      </c>
      <c r="BX502" s="2" t="s">
        <v>3316</v>
      </c>
      <c r="BY502" s="2" t="s">
        <v>247</v>
      </c>
      <c r="BZ502" s="2" t="s">
        <v>212</v>
      </c>
      <c r="CA502" s="2" t="s">
        <v>1458</v>
      </c>
      <c r="CB502" s="2" t="s">
        <v>200</v>
      </c>
      <c r="CC502" s="2" t="s">
        <v>213</v>
      </c>
      <c r="CD502" s="2" t="s">
        <v>200</v>
      </c>
      <c r="CE502" s="4">
        <v>1045</v>
      </c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>
        <v>253</v>
      </c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</row>
    <row r="503">
      <c r="A503" s="2" t="s">
        <v>3360</v>
      </c>
      <c r="B503" s="2" t="s">
        <v>230</v>
      </c>
      <c r="C503" s="2" t="s">
        <v>1894</v>
      </c>
      <c r="D503" s="2" t="s">
        <v>232</v>
      </c>
      <c r="E503" s="2" t="s">
        <v>233</v>
      </c>
      <c r="F503" s="2" t="s">
        <v>3309</v>
      </c>
      <c r="G503" s="2" t="s">
        <v>3309</v>
      </c>
      <c r="H503" s="2" t="s">
        <v>3309</v>
      </c>
      <c r="I503" s="2" t="s">
        <v>309</v>
      </c>
      <c r="J503" s="2" t="s">
        <v>236</v>
      </c>
      <c r="K503" s="2" t="s">
        <v>3351</v>
      </c>
      <c r="L503" s="3">
        <v>28.98</v>
      </c>
      <c r="M503" s="3">
        <v>30.43</v>
      </c>
      <c r="N503" s="3">
        <v>64.99</v>
      </c>
      <c r="O503" s="2" t="s">
        <v>212</v>
      </c>
      <c r="P503" s="2" t="s">
        <v>205</v>
      </c>
      <c r="Q503" s="2" t="s">
        <v>206</v>
      </c>
      <c r="R503" s="2" t="s">
        <v>200</v>
      </c>
      <c r="S503" s="2" t="s">
        <v>3352</v>
      </c>
      <c r="T503" s="2" t="s">
        <v>3312</v>
      </c>
      <c r="U503" s="2" t="s">
        <v>240</v>
      </c>
      <c r="V503" s="2" t="s">
        <v>3270</v>
      </c>
      <c r="W503" s="2" t="s">
        <v>1900</v>
      </c>
      <c r="X503" s="2" t="s">
        <v>241</v>
      </c>
      <c r="Y503" s="2" t="s">
        <v>3313</v>
      </c>
      <c r="Z503" s="4">
        <v>494</v>
      </c>
      <c r="AA503" s="4">
        <f>=ROUNDDOWN(82.3333333333333,0)</f>
      </c>
      <c r="AB503" s="5">
        <v>6</v>
      </c>
      <c r="AC503" s="2" t="s">
        <v>1105</v>
      </c>
      <c r="AD503" s="4">
        <v>122</v>
      </c>
      <c r="AE503" s="4">
        <v>122</v>
      </c>
      <c r="AF503" s="6">
        <v>69</v>
      </c>
      <c r="AG503" s="6"/>
      <c r="AH503" s="7">
        <v>1</v>
      </c>
      <c r="AI503" s="4"/>
      <c r="AJ503" s="4">
        <f>=ROUNDDOWN({0},0)</f>
      </c>
      <c r="AK503" s="5"/>
      <c r="AL503" s="2" t="s">
        <v>200</v>
      </c>
      <c r="AM503" s="4"/>
      <c r="AN503" s="4"/>
      <c r="AO503" s="7"/>
      <c r="AP503" s="4"/>
      <c r="AQ503" s="8"/>
      <c r="AR503" s="4"/>
      <c r="AS503" s="8"/>
      <c r="AT503" s="7"/>
      <c r="AU503" s="7"/>
      <c r="AV503" s="4" t="s">
        <v>200</v>
      </c>
      <c r="AW503" s="8" t="s">
        <v>200</v>
      </c>
      <c r="AX503" s="4" t="s">
        <v>200</v>
      </c>
      <c r="AY503" s="8" t="s">
        <v>200</v>
      </c>
      <c r="AZ503" s="7" t="s">
        <v>200</v>
      </c>
      <c r="BA503" s="7" t="s">
        <v>200</v>
      </c>
      <c r="BB503" s="7"/>
      <c r="BC503" s="4" t="s">
        <v>200</v>
      </c>
      <c r="BD503" s="8" t="s">
        <v>200</v>
      </c>
      <c r="BE503" s="4" t="s">
        <v>200</v>
      </c>
      <c r="BF503" s="8" t="s">
        <v>200</v>
      </c>
      <c r="BG503" s="7" t="s">
        <v>200</v>
      </c>
      <c r="BH503" s="7" t="s">
        <v>200</v>
      </c>
      <c r="BI503" s="7"/>
      <c r="BJ503" s="4">
        <v>86</v>
      </c>
      <c r="BK503" s="8">
        <v>2996.51</v>
      </c>
      <c r="BL503" s="2" t="s">
        <v>3355</v>
      </c>
      <c r="BM503" s="7"/>
      <c r="BN503" s="7"/>
      <c r="BO503" s="4"/>
      <c r="BP503" s="8"/>
      <c r="BQ503" s="4"/>
      <c r="BR503" s="8"/>
      <c r="BS503" s="7"/>
      <c r="BT503" s="7"/>
      <c r="BU503" s="2" t="s">
        <v>3361</v>
      </c>
      <c r="BV503" s="2" t="s">
        <v>200</v>
      </c>
      <c r="BW503" s="2" t="s">
        <v>200</v>
      </c>
      <c r="BX503" s="2" t="s">
        <v>3316</v>
      </c>
      <c r="BY503" s="2" t="s">
        <v>247</v>
      </c>
      <c r="BZ503" s="2" t="s">
        <v>212</v>
      </c>
      <c r="CA503" s="2" t="s">
        <v>1458</v>
      </c>
      <c r="CB503" s="2" t="s">
        <v>200</v>
      </c>
      <c r="CC503" s="2" t="s">
        <v>213</v>
      </c>
      <c r="CD503" s="2" t="s">
        <v>200</v>
      </c>
      <c r="CE503" s="4">
        <v>494</v>
      </c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>
        <v>122</v>
      </c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</row>
    <row r="504">
      <c r="A504" s="2" t="s">
        <v>3362</v>
      </c>
      <c r="B504" s="2" t="s">
        <v>230</v>
      </c>
      <c r="C504" s="2" t="s">
        <v>1894</v>
      </c>
      <c r="D504" s="2" t="s">
        <v>232</v>
      </c>
      <c r="E504" s="2" t="s">
        <v>233</v>
      </c>
      <c r="F504" s="2" t="s">
        <v>3309</v>
      </c>
      <c r="G504" s="2" t="s">
        <v>3309</v>
      </c>
      <c r="H504" s="2" t="s">
        <v>3309</v>
      </c>
      <c r="I504" s="2" t="s">
        <v>309</v>
      </c>
      <c r="J504" s="2" t="s">
        <v>256</v>
      </c>
      <c r="K504" s="2" t="s">
        <v>3363</v>
      </c>
      <c r="L504" s="3">
        <v>19.8</v>
      </c>
      <c r="M504" s="3">
        <v>20.79</v>
      </c>
      <c r="N504" s="3">
        <v>44.99</v>
      </c>
      <c r="O504" s="2" t="s">
        <v>212</v>
      </c>
      <c r="P504" s="2" t="s">
        <v>205</v>
      </c>
      <c r="Q504" s="2" t="s">
        <v>206</v>
      </c>
      <c r="R504" s="2" t="s">
        <v>200</v>
      </c>
      <c r="S504" s="2" t="s">
        <v>3364</v>
      </c>
      <c r="T504" s="2" t="s">
        <v>3312</v>
      </c>
      <c r="U504" s="2" t="s">
        <v>454</v>
      </c>
      <c r="V504" s="2" t="s">
        <v>1198</v>
      </c>
      <c r="W504" s="2" t="s">
        <v>1900</v>
      </c>
      <c r="X504" s="2" t="s">
        <v>241</v>
      </c>
      <c r="Y504" s="2" t="s">
        <v>3313</v>
      </c>
      <c r="Z504" s="4">
        <v>1334</v>
      </c>
      <c r="AA504" s="4">
        <f>=ROUNDDOWN(51.3076923076923,0)</f>
      </c>
      <c r="AB504" s="5">
        <v>26</v>
      </c>
      <c r="AC504" s="2" t="s">
        <v>108</v>
      </c>
      <c r="AD504" s="4">
        <v>173</v>
      </c>
      <c r="AE504" s="4">
        <v>301</v>
      </c>
      <c r="AF504" s="6">
        <v>69</v>
      </c>
      <c r="AG504" s="6"/>
      <c r="AH504" s="7">
        <v>0.3333</v>
      </c>
      <c r="AI504" s="4"/>
      <c r="AJ504" s="4">
        <f>=ROUNDDOWN({0},0)</f>
      </c>
      <c r="AK504" s="5"/>
      <c r="AL504" s="2" t="s">
        <v>200</v>
      </c>
      <c r="AM504" s="4"/>
      <c r="AN504" s="4"/>
      <c r="AO504" s="7"/>
      <c r="AP504" s="4"/>
      <c r="AQ504" s="8"/>
      <c r="AR504" s="4"/>
      <c r="AS504" s="8"/>
      <c r="AT504" s="7"/>
      <c r="AU504" s="7"/>
      <c r="AV504" s="4"/>
      <c r="AW504" s="8"/>
      <c r="AX504" s="4"/>
      <c r="AY504" s="8"/>
      <c r="AZ504" s="7"/>
      <c r="BA504" s="7"/>
      <c r="BB504" s="7"/>
      <c r="BC504" s="4" t="s">
        <v>200</v>
      </c>
      <c r="BD504" s="8" t="s">
        <v>200</v>
      </c>
      <c r="BE504" s="4" t="s">
        <v>200</v>
      </c>
      <c r="BF504" s="8" t="s">
        <v>200</v>
      </c>
      <c r="BG504" s="7" t="s">
        <v>200</v>
      </c>
      <c r="BH504" s="7" t="s">
        <v>200</v>
      </c>
      <c r="BI504" s="7"/>
      <c r="BJ504" s="4">
        <v>60</v>
      </c>
      <c r="BK504" s="8">
        <v>1487.81</v>
      </c>
      <c r="BL504" s="2" t="s">
        <v>3365</v>
      </c>
      <c r="BM504" s="7"/>
      <c r="BN504" s="7"/>
      <c r="BO504" s="4"/>
      <c r="BP504" s="8"/>
      <c r="BQ504" s="4"/>
      <c r="BR504" s="8"/>
      <c r="BS504" s="7"/>
      <c r="BT504" s="7"/>
      <c r="BU504" s="2" t="s">
        <v>3366</v>
      </c>
      <c r="BV504" s="2" t="s">
        <v>200</v>
      </c>
      <c r="BW504" s="2" t="s">
        <v>200</v>
      </c>
      <c r="BX504" s="2" t="s">
        <v>3316</v>
      </c>
      <c r="BY504" s="2" t="s">
        <v>247</v>
      </c>
      <c r="BZ504" s="2" t="s">
        <v>212</v>
      </c>
      <c r="CA504" s="2" t="s">
        <v>1653</v>
      </c>
      <c r="CB504" s="2" t="s">
        <v>200</v>
      </c>
      <c r="CC504" s="2" t="s">
        <v>213</v>
      </c>
      <c r="CD504" s="2" t="s">
        <v>200</v>
      </c>
      <c r="CE504" s="4">
        <v>1334</v>
      </c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>
        <v>173</v>
      </c>
      <c r="CU504" s="4"/>
      <c r="CV504" s="4"/>
      <c r="CW504" s="4">
        <v>128</v>
      </c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</row>
    <row r="505">
      <c r="A505" s="2" t="s">
        <v>3367</v>
      </c>
      <c r="B505" s="2" t="s">
        <v>230</v>
      </c>
      <c r="C505" s="2" t="s">
        <v>1894</v>
      </c>
      <c r="D505" s="2" t="s">
        <v>232</v>
      </c>
      <c r="E505" s="2" t="s">
        <v>233</v>
      </c>
      <c r="F505" s="2" t="s">
        <v>3309</v>
      </c>
      <c r="G505" s="2" t="s">
        <v>3309</v>
      </c>
      <c r="H505" s="2" t="s">
        <v>3309</v>
      </c>
      <c r="I505" s="2" t="s">
        <v>309</v>
      </c>
      <c r="J505" s="2" t="s">
        <v>256</v>
      </c>
      <c r="K505" s="2" t="s">
        <v>3368</v>
      </c>
      <c r="L505" s="3">
        <v>19.8</v>
      </c>
      <c r="M505" s="3">
        <v>20.79</v>
      </c>
      <c r="N505" s="3">
        <v>44.99</v>
      </c>
      <c r="O505" s="2" t="s">
        <v>212</v>
      </c>
      <c r="P505" s="2" t="s">
        <v>205</v>
      </c>
      <c r="Q505" s="2" t="s">
        <v>206</v>
      </c>
      <c r="R505" s="2" t="s">
        <v>200</v>
      </c>
      <c r="S505" s="2" t="s">
        <v>3369</v>
      </c>
      <c r="T505" s="2" t="s">
        <v>3312</v>
      </c>
      <c r="U505" s="2" t="s">
        <v>454</v>
      </c>
      <c r="V505" s="2" t="s">
        <v>1198</v>
      </c>
      <c r="W505" s="2" t="s">
        <v>1900</v>
      </c>
      <c r="X505" s="2" t="s">
        <v>241</v>
      </c>
      <c r="Y505" s="2" t="s">
        <v>3313</v>
      </c>
      <c r="Z505" s="4">
        <v>735</v>
      </c>
      <c r="AA505" s="4">
        <f>=ROUNDDOWN(66.8181818181818,0)</f>
      </c>
      <c r="AB505" s="5">
        <v>11</v>
      </c>
      <c r="AC505" s="2" t="s">
        <v>1105</v>
      </c>
      <c r="AD505" s="4">
        <v>175</v>
      </c>
      <c r="AE505" s="4">
        <v>175</v>
      </c>
      <c r="AF505" s="6">
        <v>69</v>
      </c>
      <c r="AG505" s="6"/>
      <c r="AH505" s="7">
        <v>1</v>
      </c>
      <c r="AI505" s="4"/>
      <c r="AJ505" s="4">
        <f>=ROUNDDOWN({0},0)</f>
      </c>
      <c r="AK505" s="5"/>
      <c r="AL505" s="2" t="s">
        <v>200</v>
      </c>
      <c r="AM505" s="4"/>
      <c r="AN505" s="4"/>
      <c r="AO505" s="7"/>
      <c r="AP505" s="4"/>
      <c r="AQ505" s="8"/>
      <c r="AR505" s="4"/>
      <c r="AS505" s="8"/>
      <c r="AT505" s="7"/>
      <c r="AU505" s="7"/>
      <c r="AV505" s="4" t="s">
        <v>200</v>
      </c>
      <c r="AW505" s="8" t="s">
        <v>200</v>
      </c>
      <c r="AX505" s="4" t="s">
        <v>200</v>
      </c>
      <c r="AY505" s="8" t="s">
        <v>200</v>
      </c>
      <c r="AZ505" s="7" t="s">
        <v>200</v>
      </c>
      <c r="BA505" s="7" t="s">
        <v>200</v>
      </c>
      <c r="BB505" s="7"/>
      <c r="BC505" s="4" t="s">
        <v>200</v>
      </c>
      <c r="BD505" s="8" t="s">
        <v>200</v>
      </c>
      <c r="BE505" s="4" t="s">
        <v>200</v>
      </c>
      <c r="BF505" s="8" t="s">
        <v>200</v>
      </c>
      <c r="BG505" s="7" t="s">
        <v>200</v>
      </c>
      <c r="BH505" s="7" t="s">
        <v>200</v>
      </c>
      <c r="BI505" s="7"/>
      <c r="BJ505" s="4">
        <v>106</v>
      </c>
      <c r="BK505" s="8">
        <v>2523.95</v>
      </c>
      <c r="BL505" s="2" t="s">
        <v>1993</v>
      </c>
      <c r="BM505" s="7"/>
      <c r="BN505" s="7"/>
      <c r="BO505" s="4"/>
      <c r="BP505" s="8"/>
      <c r="BQ505" s="4"/>
      <c r="BR505" s="8"/>
      <c r="BS505" s="7"/>
      <c r="BT505" s="7"/>
      <c r="BU505" s="2" t="s">
        <v>3370</v>
      </c>
      <c r="BV505" s="2" t="s">
        <v>200</v>
      </c>
      <c r="BW505" s="2" t="s">
        <v>200</v>
      </c>
      <c r="BX505" s="2" t="s">
        <v>3316</v>
      </c>
      <c r="BY505" s="2" t="s">
        <v>247</v>
      </c>
      <c r="BZ505" s="2" t="s">
        <v>212</v>
      </c>
      <c r="CA505" s="2" t="s">
        <v>3141</v>
      </c>
      <c r="CB505" s="2" t="s">
        <v>1105</v>
      </c>
      <c r="CC505" s="2" t="s">
        <v>213</v>
      </c>
      <c r="CD505" s="2" t="s">
        <v>200</v>
      </c>
      <c r="CE505" s="4">
        <v>735</v>
      </c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>
        <v>175</v>
      </c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</row>
    <row r="506">
      <c r="A506" s="2" t="s">
        <v>3371</v>
      </c>
      <c r="B506" s="2" t="s">
        <v>230</v>
      </c>
      <c r="C506" s="2" t="s">
        <v>1894</v>
      </c>
      <c r="D506" s="2" t="s">
        <v>232</v>
      </c>
      <c r="E506" s="2" t="s">
        <v>233</v>
      </c>
      <c r="F506" s="2" t="s">
        <v>3309</v>
      </c>
      <c r="G506" s="2" t="s">
        <v>3309</v>
      </c>
      <c r="H506" s="2" t="s">
        <v>3309</v>
      </c>
      <c r="I506" s="2" t="s">
        <v>309</v>
      </c>
      <c r="J506" s="2" t="s">
        <v>277</v>
      </c>
      <c r="K506" s="2" t="s">
        <v>3368</v>
      </c>
      <c r="L506" s="3">
        <v>21.78</v>
      </c>
      <c r="M506" s="3">
        <v>22.87</v>
      </c>
      <c r="N506" s="3">
        <v>49.99</v>
      </c>
      <c r="O506" s="2" t="s">
        <v>212</v>
      </c>
      <c r="P506" s="2" t="s">
        <v>205</v>
      </c>
      <c r="Q506" s="2" t="s">
        <v>206</v>
      </c>
      <c r="R506" s="2" t="s">
        <v>200</v>
      </c>
      <c r="S506" s="2" t="s">
        <v>3369</v>
      </c>
      <c r="T506" s="2" t="s">
        <v>3312</v>
      </c>
      <c r="U506" s="2" t="s">
        <v>240</v>
      </c>
      <c r="V506" s="2" t="s">
        <v>1198</v>
      </c>
      <c r="W506" s="2" t="s">
        <v>1900</v>
      </c>
      <c r="X506" s="2" t="s">
        <v>241</v>
      </c>
      <c r="Y506" s="2" t="s">
        <v>3313</v>
      </c>
      <c r="Z506" s="4">
        <v>423</v>
      </c>
      <c r="AA506" s="4">
        <f>=ROUNDDOWN(26.4375,0)</f>
      </c>
      <c r="AB506" s="5">
        <v>16</v>
      </c>
      <c r="AC506" s="2" t="s">
        <v>1105</v>
      </c>
      <c r="AD506" s="4">
        <v>140</v>
      </c>
      <c r="AE506" s="4">
        <v>140</v>
      </c>
      <c r="AF506" s="6">
        <v>69</v>
      </c>
      <c r="AG506" s="6"/>
      <c r="AH506" s="7">
        <v>1</v>
      </c>
      <c r="AI506" s="4"/>
      <c r="AJ506" s="4">
        <f>=ROUNDDOWN({0},0)</f>
      </c>
      <c r="AK506" s="5"/>
      <c r="AL506" s="2" t="s">
        <v>200</v>
      </c>
      <c r="AM506" s="4"/>
      <c r="AN506" s="4"/>
      <c r="AO506" s="7"/>
      <c r="AP506" s="4"/>
      <c r="AQ506" s="8"/>
      <c r="AR506" s="4"/>
      <c r="AS506" s="8"/>
      <c r="AT506" s="7"/>
      <c r="AU506" s="7"/>
      <c r="AV506" s="4" t="s">
        <v>200</v>
      </c>
      <c r="AW506" s="8" t="s">
        <v>200</v>
      </c>
      <c r="AX506" s="4" t="s">
        <v>200</v>
      </c>
      <c r="AY506" s="8" t="s">
        <v>200</v>
      </c>
      <c r="AZ506" s="7" t="s">
        <v>200</v>
      </c>
      <c r="BA506" s="7" t="s">
        <v>200</v>
      </c>
      <c r="BB506" s="7"/>
      <c r="BC506" s="4" t="s">
        <v>200</v>
      </c>
      <c r="BD506" s="8" t="s">
        <v>200</v>
      </c>
      <c r="BE506" s="4" t="s">
        <v>200</v>
      </c>
      <c r="BF506" s="8" t="s">
        <v>200</v>
      </c>
      <c r="BG506" s="7" t="s">
        <v>200</v>
      </c>
      <c r="BH506" s="7" t="s">
        <v>200</v>
      </c>
      <c r="BI506" s="7"/>
      <c r="BJ506" s="4">
        <v>149</v>
      </c>
      <c r="BK506" s="8">
        <v>3979.25</v>
      </c>
      <c r="BL506" s="2" t="s">
        <v>370</v>
      </c>
      <c r="BM506" s="7"/>
      <c r="BN506" s="7"/>
      <c r="BO506" s="4"/>
      <c r="BP506" s="8"/>
      <c r="BQ506" s="4"/>
      <c r="BR506" s="8"/>
      <c r="BS506" s="7"/>
      <c r="BT506" s="7"/>
      <c r="BU506" s="2" t="s">
        <v>3372</v>
      </c>
      <c r="BV506" s="2" t="s">
        <v>200</v>
      </c>
      <c r="BW506" s="2" t="s">
        <v>200</v>
      </c>
      <c r="BX506" s="2" t="s">
        <v>3316</v>
      </c>
      <c r="BY506" s="2" t="s">
        <v>247</v>
      </c>
      <c r="BZ506" s="2" t="s">
        <v>212</v>
      </c>
      <c r="CA506" s="2" t="s">
        <v>3141</v>
      </c>
      <c r="CB506" s="2" t="s">
        <v>200</v>
      </c>
      <c r="CC506" s="2" t="s">
        <v>213</v>
      </c>
      <c r="CD506" s="2" t="s">
        <v>200</v>
      </c>
      <c r="CE506" s="4">
        <v>423</v>
      </c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>
        <v>140</v>
      </c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</row>
    <row r="507">
      <c r="A507" s="2" t="s">
        <v>3373</v>
      </c>
      <c r="B507" s="2" t="s">
        <v>230</v>
      </c>
      <c r="C507" s="2" t="s">
        <v>1894</v>
      </c>
      <c r="D507" s="2" t="s">
        <v>232</v>
      </c>
      <c r="E507" s="2" t="s">
        <v>233</v>
      </c>
      <c r="F507" s="2" t="s">
        <v>3309</v>
      </c>
      <c r="G507" s="2" t="s">
        <v>3309</v>
      </c>
      <c r="H507" s="2" t="s">
        <v>3309</v>
      </c>
      <c r="I507" s="2" t="s">
        <v>309</v>
      </c>
      <c r="J507" s="2" t="s">
        <v>297</v>
      </c>
      <c r="K507" s="2" t="s">
        <v>3368</v>
      </c>
      <c r="L507" s="3">
        <v>24.3</v>
      </c>
      <c r="M507" s="3">
        <v>25.52</v>
      </c>
      <c r="N507" s="3">
        <v>54.99</v>
      </c>
      <c r="O507" s="2" t="s">
        <v>212</v>
      </c>
      <c r="P507" s="2" t="s">
        <v>205</v>
      </c>
      <c r="Q507" s="2" t="s">
        <v>206</v>
      </c>
      <c r="R507" s="2" t="s">
        <v>200</v>
      </c>
      <c r="S507" s="2" t="s">
        <v>3369</v>
      </c>
      <c r="T507" s="2" t="s">
        <v>3312</v>
      </c>
      <c r="U507" s="2" t="s">
        <v>240</v>
      </c>
      <c r="V507" s="2" t="s">
        <v>1198</v>
      </c>
      <c r="W507" s="2" t="s">
        <v>1900</v>
      </c>
      <c r="X507" s="2" t="s">
        <v>241</v>
      </c>
      <c r="Y507" s="2" t="s">
        <v>3313</v>
      </c>
      <c r="Z507" s="4">
        <v>917</v>
      </c>
      <c r="AA507" s="4">
        <f>=ROUNDDOWN(33.962962962963,0)</f>
      </c>
      <c r="AB507" s="5">
        <v>27</v>
      </c>
      <c r="AC507" s="2" t="s">
        <v>1105</v>
      </c>
      <c r="AD507" s="4">
        <v>308</v>
      </c>
      <c r="AE507" s="4">
        <v>308</v>
      </c>
      <c r="AF507" s="6">
        <v>69</v>
      </c>
      <c r="AG507" s="6"/>
      <c r="AH507" s="7">
        <v>1</v>
      </c>
      <c r="AI507" s="4"/>
      <c r="AJ507" s="4">
        <f>=ROUNDDOWN({0},0)</f>
      </c>
      <c r="AK507" s="5"/>
      <c r="AL507" s="2" t="s">
        <v>200</v>
      </c>
      <c r="AM507" s="4"/>
      <c r="AN507" s="4"/>
      <c r="AO507" s="7"/>
      <c r="AP507" s="4"/>
      <c r="AQ507" s="8"/>
      <c r="AR507" s="4"/>
      <c r="AS507" s="8"/>
      <c r="AT507" s="7"/>
      <c r="AU507" s="7"/>
      <c r="AV507" s="4" t="s">
        <v>200</v>
      </c>
      <c r="AW507" s="8" t="s">
        <v>200</v>
      </c>
      <c r="AX507" s="4" t="s">
        <v>200</v>
      </c>
      <c r="AY507" s="8" t="s">
        <v>200</v>
      </c>
      <c r="AZ507" s="7" t="s">
        <v>200</v>
      </c>
      <c r="BA507" s="7" t="s">
        <v>200</v>
      </c>
      <c r="BB507" s="7"/>
      <c r="BC507" s="4" t="s">
        <v>200</v>
      </c>
      <c r="BD507" s="8" t="s">
        <v>200</v>
      </c>
      <c r="BE507" s="4" t="s">
        <v>200</v>
      </c>
      <c r="BF507" s="8" t="s">
        <v>200</v>
      </c>
      <c r="BG507" s="7" t="s">
        <v>200</v>
      </c>
      <c r="BH507" s="7" t="s">
        <v>200</v>
      </c>
      <c r="BI507" s="7"/>
      <c r="BJ507" s="4">
        <v>366</v>
      </c>
      <c r="BK507" s="8">
        <v>10895.65</v>
      </c>
      <c r="BL507" s="2" t="s">
        <v>633</v>
      </c>
      <c r="BM507" s="7"/>
      <c r="BN507" s="7"/>
      <c r="BO507" s="4"/>
      <c r="BP507" s="8"/>
      <c r="BQ507" s="4"/>
      <c r="BR507" s="8"/>
      <c r="BS507" s="7"/>
      <c r="BT507" s="7"/>
      <c r="BU507" s="2" t="s">
        <v>3374</v>
      </c>
      <c r="BV507" s="2" t="s">
        <v>200</v>
      </c>
      <c r="BW507" s="2" t="s">
        <v>200</v>
      </c>
      <c r="BX507" s="2" t="s">
        <v>3316</v>
      </c>
      <c r="BY507" s="2" t="s">
        <v>247</v>
      </c>
      <c r="BZ507" s="2" t="s">
        <v>212</v>
      </c>
      <c r="CA507" s="2" t="s">
        <v>3141</v>
      </c>
      <c r="CB507" s="2" t="s">
        <v>200</v>
      </c>
      <c r="CC507" s="2" t="s">
        <v>213</v>
      </c>
      <c r="CD507" s="2" t="s">
        <v>200</v>
      </c>
      <c r="CE507" s="4">
        <v>917</v>
      </c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>
        <v>308</v>
      </c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</row>
    <row r="508">
      <c r="A508" s="2" t="s">
        <v>3375</v>
      </c>
      <c r="B508" s="2" t="s">
        <v>230</v>
      </c>
      <c r="C508" s="2" t="s">
        <v>1894</v>
      </c>
      <c r="D508" s="2" t="s">
        <v>232</v>
      </c>
      <c r="E508" s="2" t="s">
        <v>233</v>
      </c>
      <c r="F508" s="2" t="s">
        <v>3309</v>
      </c>
      <c r="G508" s="2" t="s">
        <v>3309</v>
      </c>
      <c r="H508" s="2" t="s">
        <v>3309</v>
      </c>
      <c r="I508" s="2" t="s">
        <v>309</v>
      </c>
      <c r="J508" s="2" t="s">
        <v>236</v>
      </c>
      <c r="K508" s="2" t="s">
        <v>3368</v>
      </c>
      <c r="L508" s="3">
        <v>28.98</v>
      </c>
      <c r="M508" s="3">
        <v>30.43</v>
      </c>
      <c r="N508" s="3">
        <v>64.99</v>
      </c>
      <c r="O508" s="2" t="s">
        <v>212</v>
      </c>
      <c r="P508" s="2" t="s">
        <v>205</v>
      </c>
      <c r="Q508" s="2" t="s">
        <v>206</v>
      </c>
      <c r="R508" s="2" t="s">
        <v>200</v>
      </c>
      <c r="S508" s="2" t="s">
        <v>3369</v>
      </c>
      <c r="T508" s="2" t="s">
        <v>3312</v>
      </c>
      <c r="U508" s="2" t="s">
        <v>240</v>
      </c>
      <c r="V508" s="2" t="s">
        <v>1198</v>
      </c>
      <c r="W508" s="2" t="s">
        <v>1900</v>
      </c>
      <c r="X508" s="2" t="s">
        <v>241</v>
      </c>
      <c r="Y508" s="2" t="s">
        <v>3313</v>
      </c>
      <c r="Z508" s="4">
        <v>91</v>
      </c>
      <c r="AA508" s="4">
        <f>=ROUNDDOWN(15.1666666666667,0)</f>
      </c>
      <c r="AB508" s="5">
        <v>6</v>
      </c>
      <c r="AC508" s="2" t="s">
        <v>1105</v>
      </c>
      <c r="AD508" s="4">
        <v>52</v>
      </c>
      <c r="AE508" s="4">
        <v>52</v>
      </c>
      <c r="AF508" s="6">
        <v>69</v>
      </c>
      <c r="AG508" s="6"/>
      <c r="AH508" s="7">
        <v>1</v>
      </c>
      <c r="AI508" s="4"/>
      <c r="AJ508" s="4">
        <f>=ROUNDDOWN({0},0)</f>
      </c>
      <c r="AK508" s="5"/>
      <c r="AL508" s="2" t="s">
        <v>200</v>
      </c>
      <c r="AM508" s="4"/>
      <c r="AN508" s="4"/>
      <c r="AO508" s="7"/>
      <c r="AP508" s="4"/>
      <c r="AQ508" s="8"/>
      <c r="AR508" s="4"/>
      <c r="AS508" s="8"/>
      <c r="AT508" s="7"/>
      <c r="AU508" s="7"/>
      <c r="AV508" s="4" t="s">
        <v>200</v>
      </c>
      <c r="AW508" s="8" t="s">
        <v>200</v>
      </c>
      <c r="AX508" s="4" t="s">
        <v>200</v>
      </c>
      <c r="AY508" s="8" t="s">
        <v>200</v>
      </c>
      <c r="AZ508" s="7" t="s">
        <v>200</v>
      </c>
      <c r="BA508" s="7" t="s">
        <v>200</v>
      </c>
      <c r="BB508" s="7"/>
      <c r="BC508" s="4" t="s">
        <v>200</v>
      </c>
      <c r="BD508" s="8" t="s">
        <v>200</v>
      </c>
      <c r="BE508" s="4" t="s">
        <v>200</v>
      </c>
      <c r="BF508" s="8" t="s">
        <v>200</v>
      </c>
      <c r="BG508" s="7" t="s">
        <v>200</v>
      </c>
      <c r="BH508" s="7" t="s">
        <v>200</v>
      </c>
      <c r="BI508" s="7"/>
      <c r="BJ508" s="4">
        <v>100</v>
      </c>
      <c r="BK508" s="8">
        <v>3447.96</v>
      </c>
      <c r="BL508" s="2" t="s">
        <v>3172</v>
      </c>
      <c r="BM508" s="7"/>
      <c r="BN508" s="7"/>
      <c r="BO508" s="4"/>
      <c r="BP508" s="8"/>
      <c r="BQ508" s="4"/>
      <c r="BR508" s="8"/>
      <c r="BS508" s="7"/>
      <c r="BT508" s="7"/>
      <c r="BU508" s="2" t="s">
        <v>3376</v>
      </c>
      <c r="BV508" s="2" t="s">
        <v>200</v>
      </c>
      <c r="BW508" s="2" t="s">
        <v>200</v>
      </c>
      <c r="BX508" s="2" t="s">
        <v>3316</v>
      </c>
      <c r="BY508" s="2" t="s">
        <v>247</v>
      </c>
      <c r="BZ508" s="2" t="s">
        <v>212</v>
      </c>
      <c r="CA508" s="2" t="s">
        <v>3141</v>
      </c>
      <c r="CB508" s="2" t="s">
        <v>1295</v>
      </c>
      <c r="CC508" s="2" t="s">
        <v>213</v>
      </c>
      <c r="CD508" s="2" t="s">
        <v>200</v>
      </c>
      <c r="CE508" s="4">
        <v>91</v>
      </c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>
        <v>52</v>
      </c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</row>
    <row r="509">
      <c r="A509" s="2" t="s">
        <v>3377</v>
      </c>
      <c r="B509" s="2" t="s">
        <v>744</v>
      </c>
      <c r="C509" s="2" t="s">
        <v>745</v>
      </c>
      <c r="D509" s="2" t="s">
        <v>2839</v>
      </c>
      <c r="E509" s="2" t="s">
        <v>2840</v>
      </c>
      <c r="F509" s="2" t="s">
        <v>3378</v>
      </c>
      <c r="G509" s="2" t="s">
        <v>3378</v>
      </c>
      <c r="H509" s="2" t="s">
        <v>3378</v>
      </c>
      <c r="I509" s="2" t="s">
        <v>3379</v>
      </c>
      <c r="J509" s="2" t="s">
        <v>711</v>
      </c>
      <c r="K509" s="2" t="s">
        <v>2842</v>
      </c>
      <c r="L509" s="3">
        <v>256.68</v>
      </c>
      <c r="M509" s="3">
        <v>269.51</v>
      </c>
      <c r="N509" s="3">
        <v>549</v>
      </c>
      <c r="O509" s="2" t="s">
        <v>460</v>
      </c>
      <c r="P509" s="2" t="s">
        <v>285</v>
      </c>
      <c r="Q509" s="2" t="s">
        <v>206</v>
      </c>
      <c r="R509" s="2" t="s">
        <v>200</v>
      </c>
      <c r="S509" s="2" t="s">
        <v>200</v>
      </c>
      <c r="T509" s="2" t="s">
        <v>200</v>
      </c>
      <c r="U509" s="2" t="s">
        <v>200</v>
      </c>
      <c r="V509" s="2" t="s">
        <v>616</v>
      </c>
      <c r="W509" s="2" t="s">
        <v>379</v>
      </c>
      <c r="X509" s="2" t="s">
        <v>712</v>
      </c>
      <c r="Y509" s="2" t="s">
        <v>3380</v>
      </c>
      <c r="Z509" s="4">
        <v>42</v>
      </c>
      <c r="AA509" s="4">
        <f>=ROUNDDOWN(23.3333333333333,0)</f>
      </c>
      <c r="AB509" s="5">
        <v>1.8</v>
      </c>
      <c r="AC509" s="2" t="s">
        <v>200</v>
      </c>
      <c r="AD509" s="4"/>
      <c r="AE509" s="4"/>
      <c r="AF509" s="6">
        <v>74</v>
      </c>
      <c r="AG509" s="6"/>
      <c r="AH509" s="7">
        <v>1</v>
      </c>
      <c r="AI509" s="4"/>
      <c r="AJ509" s="4">
        <f>=ROUNDDOWN({0},0)</f>
      </c>
      <c r="AK509" s="5"/>
      <c r="AL509" s="2" t="s">
        <v>200</v>
      </c>
      <c r="AM509" s="4"/>
      <c r="AN509" s="4"/>
      <c r="AO509" s="7"/>
      <c r="AP509" s="4"/>
      <c r="AQ509" s="8"/>
      <c r="AR509" s="4"/>
      <c r="AS509" s="8"/>
      <c r="AT509" s="7"/>
      <c r="AU509" s="7"/>
      <c r="AV509" s="4"/>
      <c r="AW509" s="8"/>
      <c r="AX509" s="4"/>
      <c r="AY509" s="8"/>
      <c r="AZ509" s="7"/>
      <c r="BA509" s="7"/>
      <c r="BB509" s="7"/>
      <c r="BC509" s="4"/>
      <c r="BD509" s="8"/>
      <c r="BE509" s="4"/>
      <c r="BF509" s="8"/>
      <c r="BG509" s="7"/>
      <c r="BH509" s="7"/>
      <c r="BI509" s="7"/>
      <c r="BJ509" s="4">
        <v>32</v>
      </c>
      <c r="BK509" s="8">
        <v>4631.57</v>
      </c>
      <c r="BL509" s="2" t="s">
        <v>3381</v>
      </c>
      <c r="BM509" s="7"/>
      <c r="BN509" s="7"/>
      <c r="BO509" s="4"/>
      <c r="BP509" s="8"/>
      <c r="BQ509" s="4"/>
      <c r="BR509" s="8"/>
      <c r="BS509" s="7"/>
      <c r="BT509" s="7"/>
      <c r="BU509" s="2" t="s">
        <v>3382</v>
      </c>
      <c r="BV509" s="2" t="s">
        <v>200</v>
      </c>
      <c r="BW509" s="2" t="s">
        <v>200</v>
      </c>
      <c r="BX509" s="2" t="s">
        <v>289</v>
      </c>
      <c r="BY509" s="2" t="s">
        <v>247</v>
      </c>
      <c r="BZ509" s="2" t="s">
        <v>212</v>
      </c>
      <c r="CA509" s="2" t="s">
        <v>3383</v>
      </c>
      <c r="CB509" s="2" t="s">
        <v>725</v>
      </c>
      <c r="CC509" s="2" t="s">
        <v>213</v>
      </c>
      <c r="CD509" s="2" t="s">
        <v>200</v>
      </c>
      <c r="CE509" s="4"/>
      <c r="CF509" s="4">
        <v>42</v>
      </c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</row>
    <row r="510">
      <c r="A510" s="2" t="s">
        <v>3384</v>
      </c>
      <c r="B510" s="2" t="s">
        <v>744</v>
      </c>
      <c r="C510" s="2" t="s">
        <v>231</v>
      </c>
      <c r="D510" s="2" t="s">
        <v>1632</v>
      </c>
      <c r="E510" s="2" t="s">
        <v>1633</v>
      </c>
      <c r="F510" s="2" t="s">
        <v>3385</v>
      </c>
      <c r="G510" s="2" t="s">
        <v>3386</v>
      </c>
      <c r="H510" s="2" t="s">
        <v>3387</v>
      </c>
      <c r="I510" s="2" t="s">
        <v>3388</v>
      </c>
      <c r="J510" s="2" t="s">
        <v>711</v>
      </c>
      <c r="K510" s="2" t="s">
        <v>3389</v>
      </c>
      <c r="L510" s="3">
        <v>256.5</v>
      </c>
      <c r="M510" s="3">
        <v>269.32</v>
      </c>
      <c r="N510" s="3">
        <v>549</v>
      </c>
      <c r="O510" s="2" t="s">
        <v>212</v>
      </c>
      <c r="P510" s="2" t="s">
        <v>285</v>
      </c>
      <c r="Q510" s="2" t="s">
        <v>206</v>
      </c>
      <c r="R510" s="2" t="s">
        <v>200</v>
      </c>
      <c r="S510" s="2" t="s">
        <v>3390</v>
      </c>
      <c r="T510" s="2" t="s">
        <v>200</v>
      </c>
      <c r="U510" s="2" t="s">
        <v>200</v>
      </c>
      <c r="V510" s="2" t="s">
        <v>616</v>
      </c>
      <c r="W510" s="2" t="s">
        <v>1975</v>
      </c>
      <c r="X510" s="2" t="s">
        <v>419</v>
      </c>
      <c r="Y510" s="2" t="s">
        <v>3391</v>
      </c>
      <c r="Z510" s="4"/>
      <c r="AA510" s="4">
        <f>=ROUNDDOWN({0},0)</f>
      </c>
      <c r="AB510" s="5">
        <v>2</v>
      </c>
      <c r="AC510" s="2" t="s">
        <v>200</v>
      </c>
      <c r="AD510" s="4"/>
      <c r="AE510" s="4"/>
      <c r="AF510" s="6">
        <v>65</v>
      </c>
      <c r="AG510" s="6"/>
      <c r="AH510" s="7">
        <v>0.5</v>
      </c>
      <c r="AI510" s="4"/>
      <c r="AJ510" s="4">
        <f>=ROUNDDOWN({0},0)</f>
      </c>
      <c r="AK510" s="5"/>
      <c r="AL510" s="2" t="s">
        <v>200</v>
      </c>
      <c r="AM510" s="4"/>
      <c r="AN510" s="4"/>
      <c r="AO510" s="7"/>
      <c r="AP510" s="4"/>
      <c r="AQ510" s="8"/>
      <c r="AR510" s="4"/>
      <c r="AS510" s="8"/>
      <c r="AT510" s="7"/>
      <c r="AU510" s="7"/>
      <c r="AV510" s="4"/>
      <c r="AW510" s="8"/>
      <c r="AX510" s="4"/>
      <c r="AY510" s="8"/>
      <c r="AZ510" s="7"/>
      <c r="BA510" s="7"/>
      <c r="BB510" s="7"/>
      <c r="BC510" s="4"/>
      <c r="BD510" s="8"/>
      <c r="BE510" s="4"/>
      <c r="BF510" s="8"/>
      <c r="BG510" s="7"/>
      <c r="BH510" s="7"/>
      <c r="BI510" s="7"/>
      <c r="BJ510" s="4">
        <v>2</v>
      </c>
      <c r="BK510" s="8">
        <v>741.3</v>
      </c>
      <c r="BL510" s="2" t="s">
        <v>3392</v>
      </c>
      <c r="BM510" s="7"/>
      <c r="BN510" s="7"/>
      <c r="BO510" s="4"/>
      <c r="BP510" s="8"/>
      <c r="BQ510" s="4"/>
      <c r="BR510" s="8"/>
      <c r="BS510" s="7"/>
      <c r="BT510" s="7"/>
      <c r="BU510" s="2" t="s">
        <v>3393</v>
      </c>
      <c r="BV510" s="2" t="s">
        <v>200</v>
      </c>
      <c r="BW510" s="2" t="s">
        <v>200</v>
      </c>
      <c r="BX510" s="2" t="s">
        <v>289</v>
      </c>
      <c r="BY510" s="2" t="s">
        <v>247</v>
      </c>
      <c r="BZ510" s="2" t="s">
        <v>212</v>
      </c>
      <c r="CA510" s="2" t="s">
        <v>3394</v>
      </c>
      <c r="CB510" s="2" t="s">
        <v>3395</v>
      </c>
      <c r="CC510" s="2" t="s">
        <v>213</v>
      </c>
      <c r="CD510" s="2" t="s">
        <v>200</v>
      </c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</row>
    <row r="511">
      <c r="A511" s="2" t="s">
        <v>3396</v>
      </c>
      <c r="B511" s="2" t="s">
        <v>230</v>
      </c>
      <c r="C511" s="2" t="s">
        <v>3397</v>
      </c>
      <c r="D511" s="2" t="s">
        <v>232</v>
      </c>
      <c r="E511" s="2" t="s">
        <v>233</v>
      </c>
      <c r="F511" s="2" t="s">
        <v>3398</v>
      </c>
      <c r="G511" s="2" t="s">
        <v>3398</v>
      </c>
      <c r="H511" s="2" t="s">
        <v>3398</v>
      </c>
      <c r="I511" s="2" t="s">
        <v>3399</v>
      </c>
      <c r="J511" s="2" t="s">
        <v>269</v>
      </c>
      <c r="K511" s="2" t="s">
        <v>3400</v>
      </c>
      <c r="L511" s="3">
        <v>16.16</v>
      </c>
      <c r="M511" s="3">
        <v>16.97</v>
      </c>
      <c r="N511" s="3">
        <v>34.99</v>
      </c>
      <c r="O511" s="2" t="s">
        <v>212</v>
      </c>
      <c r="P511" s="2" t="s">
        <v>258</v>
      </c>
      <c r="Q511" s="2" t="s">
        <v>206</v>
      </c>
      <c r="R511" s="2" t="s">
        <v>200</v>
      </c>
      <c r="S511" s="2" t="s">
        <v>3401</v>
      </c>
      <c r="T511" s="2" t="s">
        <v>3312</v>
      </c>
      <c r="U511" s="2" t="s">
        <v>200</v>
      </c>
      <c r="V511" s="2" t="s">
        <v>3270</v>
      </c>
      <c r="W511" s="2" t="s">
        <v>241</v>
      </c>
      <c r="X511" s="2" t="s">
        <v>200</v>
      </c>
      <c r="Y511" s="2" t="s">
        <v>3402</v>
      </c>
      <c r="Z511" s="4">
        <v>365</v>
      </c>
      <c r="AA511" s="4">
        <f>=ROUNDDOWN({0},0)</f>
      </c>
      <c r="AB511" s="5">
        <v>16</v>
      </c>
      <c r="AC511" s="2" t="s">
        <v>3403</v>
      </c>
      <c r="AD511" s="4">
        <v>80</v>
      </c>
      <c r="AE511" s="4">
        <v>80</v>
      </c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200</v>
      </c>
      <c r="AM511" s="4"/>
      <c r="AN511" s="4"/>
      <c r="AO511" s="7"/>
      <c r="AP511" s="4"/>
      <c r="AQ511" s="8"/>
      <c r="AR511" s="4"/>
      <c r="AS511" s="8"/>
      <c r="AT511" s="7"/>
      <c r="AU511" s="7"/>
      <c r="AV511" s="4" t="s">
        <v>200</v>
      </c>
      <c r="AW511" s="8" t="s">
        <v>200</v>
      </c>
      <c r="AX511" s="4" t="s">
        <v>200</v>
      </c>
      <c r="AY511" s="8" t="s">
        <v>200</v>
      </c>
      <c r="AZ511" s="7" t="s">
        <v>200</v>
      </c>
      <c r="BA511" s="7" t="s">
        <v>200</v>
      </c>
      <c r="BB511" s="7"/>
      <c r="BC511" s="4" t="s">
        <v>200</v>
      </c>
      <c r="BD511" s="8" t="s">
        <v>200</v>
      </c>
      <c r="BE511" s="4" t="s">
        <v>200</v>
      </c>
      <c r="BF511" s="8" t="s">
        <v>200</v>
      </c>
      <c r="BG511" s="7" t="s">
        <v>200</v>
      </c>
      <c r="BH511" s="7" t="s">
        <v>200</v>
      </c>
      <c r="BI511" s="7"/>
      <c r="BJ511" s="4">
        <v>92</v>
      </c>
      <c r="BK511" s="8">
        <v>1752.17</v>
      </c>
      <c r="BL511" s="2" t="s">
        <v>3404</v>
      </c>
      <c r="BM511" s="7"/>
      <c r="BN511" s="7"/>
      <c r="BO511" s="4"/>
      <c r="BP511" s="8"/>
      <c r="BQ511" s="4"/>
      <c r="BR511" s="8"/>
      <c r="BS511" s="7"/>
      <c r="BT511" s="7"/>
      <c r="BU511" s="2" t="s">
        <v>3405</v>
      </c>
      <c r="BV511" s="2" t="s">
        <v>200</v>
      </c>
      <c r="BW511" s="2" t="s">
        <v>200</v>
      </c>
      <c r="BX511" s="2" t="s">
        <v>264</v>
      </c>
      <c r="BY511" s="2" t="s">
        <v>247</v>
      </c>
      <c r="BZ511" s="2" t="s">
        <v>212</v>
      </c>
      <c r="CA511" s="2" t="s">
        <v>3406</v>
      </c>
      <c r="CB511" s="2" t="s">
        <v>3407</v>
      </c>
      <c r="CC511" s="2" t="s">
        <v>213</v>
      </c>
      <c r="CD511" s="2" t="s">
        <v>200</v>
      </c>
      <c r="CE511" s="4">
        <v>365</v>
      </c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>
        <v>80</v>
      </c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</row>
    <row r="512">
      <c r="A512" s="2" t="s">
        <v>3408</v>
      </c>
      <c r="B512" s="2" t="s">
        <v>230</v>
      </c>
      <c r="C512" s="2" t="s">
        <v>3397</v>
      </c>
      <c r="D512" s="2" t="s">
        <v>232</v>
      </c>
      <c r="E512" s="2" t="s">
        <v>233</v>
      </c>
      <c r="F512" s="2" t="s">
        <v>3398</v>
      </c>
      <c r="G512" s="2" t="s">
        <v>3398</v>
      </c>
      <c r="H512" s="2" t="s">
        <v>3398</v>
      </c>
      <c r="I512" s="2" t="s">
        <v>3399</v>
      </c>
      <c r="J512" s="2" t="s">
        <v>302</v>
      </c>
      <c r="K512" s="2" t="s">
        <v>3400</v>
      </c>
      <c r="L512" s="3">
        <v>27.39</v>
      </c>
      <c r="M512" s="3">
        <v>28.76</v>
      </c>
      <c r="N512" s="3">
        <v>62.99</v>
      </c>
      <c r="O512" s="2" t="s">
        <v>212</v>
      </c>
      <c r="P512" s="2" t="s">
        <v>258</v>
      </c>
      <c r="Q512" s="2" t="s">
        <v>206</v>
      </c>
      <c r="R512" s="2" t="s">
        <v>200</v>
      </c>
      <c r="S512" s="2" t="s">
        <v>3401</v>
      </c>
      <c r="T512" s="2" t="s">
        <v>3312</v>
      </c>
      <c r="U512" s="2" t="s">
        <v>240</v>
      </c>
      <c r="V512" s="2" t="s">
        <v>3270</v>
      </c>
      <c r="W512" s="2" t="s">
        <v>241</v>
      </c>
      <c r="X512" s="2" t="s">
        <v>200</v>
      </c>
      <c r="Y512" s="2" t="s">
        <v>3402</v>
      </c>
      <c r="Z512" s="4">
        <v>276</v>
      </c>
      <c r="AA512" s="4">
        <f>=ROUNDDOWN(13.8,0)</f>
      </c>
      <c r="AB512" s="5">
        <v>20</v>
      </c>
      <c r="AC512" s="2" t="s">
        <v>3403</v>
      </c>
      <c r="AD512" s="4">
        <v>50</v>
      </c>
      <c r="AE512" s="4">
        <v>50</v>
      </c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200</v>
      </c>
      <c r="AM512" s="4"/>
      <c r="AN512" s="4"/>
      <c r="AO512" s="7"/>
      <c r="AP512" s="4"/>
      <c r="AQ512" s="8"/>
      <c r="AR512" s="4"/>
      <c r="AS512" s="8"/>
      <c r="AT512" s="7"/>
      <c r="AU512" s="7"/>
      <c r="AV512" s="4" t="s">
        <v>200</v>
      </c>
      <c r="AW512" s="8" t="s">
        <v>200</v>
      </c>
      <c r="AX512" s="4" t="s">
        <v>200</v>
      </c>
      <c r="AY512" s="8" t="s">
        <v>200</v>
      </c>
      <c r="AZ512" s="7" t="s">
        <v>200</v>
      </c>
      <c r="BA512" s="7" t="s">
        <v>200</v>
      </c>
      <c r="BB512" s="7"/>
      <c r="BC512" s="4" t="s">
        <v>200</v>
      </c>
      <c r="BD512" s="8" t="s">
        <v>200</v>
      </c>
      <c r="BE512" s="4" t="s">
        <v>200</v>
      </c>
      <c r="BF512" s="8" t="s">
        <v>200</v>
      </c>
      <c r="BG512" s="7" t="s">
        <v>200</v>
      </c>
      <c r="BH512" s="7" t="s">
        <v>200</v>
      </c>
      <c r="BI512" s="7"/>
      <c r="BJ512" s="4">
        <v>89</v>
      </c>
      <c r="BK512" s="8">
        <v>2747.8</v>
      </c>
      <c r="BL512" s="2" t="s">
        <v>3409</v>
      </c>
      <c r="BM512" s="7"/>
      <c r="BN512" s="7"/>
      <c r="BO512" s="4"/>
      <c r="BP512" s="8"/>
      <c r="BQ512" s="4"/>
      <c r="BR512" s="8"/>
      <c r="BS512" s="7"/>
      <c r="BT512" s="7"/>
      <c r="BU512" s="2" t="s">
        <v>3410</v>
      </c>
      <c r="BV512" s="2" t="s">
        <v>200</v>
      </c>
      <c r="BW512" s="2" t="s">
        <v>200</v>
      </c>
      <c r="BX512" s="2" t="s">
        <v>264</v>
      </c>
      <c r="BY512" s="2" t="s">
        <v>247</v>
      </c>
      <c r="BZ512" s="2" t="s">
        <v>212</v>
      </c>
      <c r="CA512" s="2" t="s">
        <v>3406</v>
      </c>
      <c r="CB512" s="2" t="s">
        <v>3411</v>
      </c>
      <c r="CC512" s="2" t="s">
        <v>213</v>
      </c>
      <c r="CD512" s="2" t="s">
        <v>200</v>
      </c>
      <c r="CE512" s="4">
        <v>276</v>
      </c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>
        <v>50</v>
      </c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</row>
    <row r="513">
      <c r="A513" s="2" t="s">
        <v>3412</v>
      </c>
      <c r="B513" s="2" t="s">
        <v>230</v>
      </c>
      <c r="C513" s="2" t="s">
        <v>3397</v>
      </c>
      <c r="D513" s="2" t="s">
        <v>232</v>
      </c>
      <c r="E513" s="2" t="s">
        <v>233</v>
      </c>
      <c r="F513" s="2" t="s">
        <v>3398</v>
      </c>
      <c r="G513" s="2" t="s">
        <v>3398</v>
      </c>
      <c r="H513" s="2" t="s">
        <v>3398</v>
      </c>
      <c r="I513" s="2" t="s">
        <v>3399</v>
      </c>
      <c r="J513" s="2" t="s">
        <v>302</v>
      </c>
      <c r="K513" s="2" t="s">
        <v>3413</v>
      </c>
      <c r="L513" s="3">
        <v>27.39</v>
      </c>
      <c r="M513" s="3">
        <v>28.76</v>
      </c>
      <c r="N513" s="3">
        <v>62.99</v>
      </c>
      <c r="O513" s="2" t="s">
        <v>417</v>
      </c>
      <c r="P513" s="2" t="s">
        <v>285</v>
      </c>
      <c r="Q513" s="2" t="s">
        <v>206</v>
      </c>
      <c r="R513" s="2" t="s">
        <v>200</v>
      </c>
      <c r="S513" s="2" t="s">
        <v>3414</v>
      </c>
      <c r="T513" s="2" t="s">
        <v>3312</v>
      </c>
      <c r="U513" s="2" t="s">
        <v>240</v>
      </c>
      <c r="V513" s="2" t="s">
        <v>3270</v>
      </c>
      <c r="W513" s="2" t="s">
        <v>241</v>
      </c>
      <c r="X513" s="2" t="s">
        <v>419</v>
      </c>
      <c r="Y513" s="2" t="s">
        <v>3415</v>
      </c>
      <c r="Z513" s="4">
        <v>114</v>
      </c>
      <c r="AA513" s="4">
        <f>=ROUNDDOWN(19,0)</f>
      </c>
      <c r="AB513" s="5">
        <v>6</v>
      </c>
      <c r="AC513" s="2" t="s">
        <v>200</v>
      </c>
      <c r="AD513" s="4"/>
      <c r="AE513" s="4"/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200</v>
      </c>
      <c r="AM513" s="4"/>
      <c r="AN513" s="4"/>
      <c r="AO513" s="7"/>
      <c r="AP513" s="4"/>
      <c r="AQ513" s="8"/>
      <c r="AR513" s="4"/>
      <c r="AS513" s="8"/>
      <c r="AT513" s="7"/>
      <c r="AU513" s="7"/>
      <c r="AV513" s="4"/>
      <c r="AW513" s="8"/>
      <c r="AX513" s="4"/>
      <c r="AY513" s="8"/>
      <c r="AZ513" s="7"/>
      <c r="BA513" s="7"/>
      <c r="BB513" s="7"/>
      <c r="BC513" s="4" t="s">
        <v>200</v>
      </c>
      <c r="BD513" s="8" t="s">
        <v>200</v>
      </c>
      <c r="BE513" s="4" t="s">
        <v>200</v>
      </c>
      <c r="BF513" s="8" t="s">
        <v>200</v>
      </c>
      <c r="BG513" s="7" t="s">
        <v>200</v>
      </c>
      <c r="BH513" s="7" t="s">
        <v>200</v>
      </c>
      <c r="BI513" s="7"/>
      <c r="BJ513" s="4">
        <v>37</v>
      </c>
      <c r="BK513" s="8">
        <v>641.06</v>
      </c>
      <c r="BL513" s="2" t="s">
        <v>3416</v>
      </c>
      <c r="BM513" s="7"/>
      <c r="BN513" s="7"/>
      <c r="BO513" s="4"/>
      <c r="BP513" s="8"/>
      <c r="BQ513" s="4"/>
      <c r="BR513" s="8"/>
      <c r="BS513" s="7"/>
      <c r="BT513" s="7"/>
      <c r="BU513" s="2" t="s">
        <v>3417</v>
      </c>
      <c r="BV513" s="2" t="s">
        <v>200</v>
      </c>
      <c r="BW513" s="2" t="s">
        <v>200</v>
      </c>
      <c r="BX513" s="2" t="s">
        <v>289</v>
      </c>
      <c r="BY513" s="2" t="s">
        <v>247</v>
      </c>
      <c r="BZ513" s="2" t="s">
        <v>212</v>
      </c>
      <c r="CA513" s="2" t="s">
        <v>3418</v>
      </c>
      <c r="CB513" s="2" t="s">
        <v>3419</v>
      </c>
      <c r="CC513" s="2" t="s">
        <v>213</v>
      </c>
      <c r="CD513" s="2" t="s">
        <v>200</v>
      </c>
      <c r="CE513" s="4">
        <v>114</v>
      </c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</row>
    <row r="514">
      <c r="A514" s="2" t="s">
        <v>3420</v>
      </c>
      <c r="B514" s="2" t="s">
        <v>230</v>
      </c>
      <c r="C514" s="2" t="s">
        <v>3397</v>
      </c>
      <c r="D514" s="2" t="s">
        <v>232</v>
      </c>
      <c r="E514" s="2" t="s">
        <v>233</v>
      </c>
      <c r="F514" s="2" t="s">
        <v>3398</v>
      </c>
      <c r="G514" s="2" t="s">
        <v>3398</v>
      </c>
      <c r="H514" s="2" t="s">
        <v>3398</v>
      </c>
      <c r="I514" s="2" t="s">
        <v>3399</v>
      </c>
      <c r="J514" s="2" t="s">
        <v>277</v>
      </c>
      <c r="K514" s="2" t="s">
        <v>3421</v>
      </c>
      <c r="L514" s="3">
        <v>19.57</v>
      </c>
      <c r="M514" s="3">
        <v>20.55</v>
      </c>
      <c r="N514" s="3">
        <v>42.99</v>
      </c>
      <c r="O514" s="2" t="s">
        <v>212</v>
      </c>
      <c r="P514" s="2" t="s">
        <v>258</v>
      </c>
      <c r="Q514" s="2" t="s">
        <v>206</v>
      </c>
      <c r="R514" s="2" t="s">
        <v>200</v>
      </c>
      <c r="S514" s="2" t="s">
        <v>3422</v>
      </c>
      <c r="T514" s="2" t="s">
        <v>3312</v>
      </c>
      <c r="U514" s="2" t="s">
        <v>240</v>
      </c>
      <c r="V514" s="2" t="s">
        <v>3270</v>
      </c>
      <c r="W514" s="2" t="s">
        <v>241</v>
      </c>
      <c r="X514" s="2" t="s">
        <v>1900</v>
      </c>
      <c r="Y514" s="2" t="s">
        <v>3423</v>
      </c>
      <c r="Z514" s="4"/>
      <c r="AA514" s="4">
        <f>=ROUNDDOWN({0},0)</f>
      </c>
      <c r="AB514" s="5">
        <v>49</v>
      </c>
      <c r="AC514" s="2" t="s">
        <v>3403</v>
      </c>
      <c r="AD514" s="4">
        <v>140</v>
      </c>
      <c r="AE514" s="4">
        <v>290</v>
      </c>
      <c r="AF514" s="6">
        <v>65</v>
      </c>
      <c r="AG514" s="6"/>
      <c r="AH514" s="7">
        <v>0.7</v>
      </c>
      <c r="AI514" s="4"/>
      <c r="AJ514" s="4">
        <f>=ROUNDDOWN({0},0)</f>
      </c>
      <c r="AK514" s="5"/>
      <c r="AL514" s="2" t="s">
        <v>200</v>
      </c>
      <c r="AM514" s="4"/>
      <c r="AN514" s="4"/>
      <c r="AO514" s="7"/>
      <c r="AP514" s="4"/>
      <c r="AQ514" s="8"/>
      <c r="AR514" s="4"/>
      <c r="AS514" s="8"/>
      <c r="AT514" s="7"/>
      <c r="AU514" s="7"/>
      <c r="AV514" s="4"/>
      <c r="AW514" s="8"/>
      <c r="AX514" s="4"/>
      <c r="AY514" s="8"/>
      <c r="AZ514" s="7"/>
      <c r="BA514" s="7"/>
      <c r="BB514" s="7"/>
      <c r="BC514" s="4" t="s">
        <v>200</v>
      </c>
      <c r="BD514" s="8" t="s">
        <v>200</v>
      </c>
      <c r="BE514" s="4" t="s">
        <v>200</v>
      </c>
      <c r="BF514" s="8" t="s">
        <v>200</v>
      </c>
      <c r="BG514" s="7" t="s">
        <v>200</v>
      </c>
      <c r="BH514" s="7" t="s">
        <v>200</v>
      </c>
      <c r="BI514" s="7"/>
      <c r="BJ514" s="4">
        <v>542</v>
      </c>
      <c r="BK514" s="8">
        <v>11430.81</v>
      </c>
      <c r="BL514" s="2" t="s">
        <v>3424</v>
      </c>
      <c r="BM514" s="7"/>
      <c r="BN514" s="7"/>
      <c r="BO514" s="4"/>
      <c r="BP514" s="8"/>
      <c r="BQ514" s="4"/>
      <c r="BR514" s="8"/>
      <c r="BS514" s="7"/>
      <c r="BT514" s="7"/>
      <c r="BU514" s="2" t="s">
        <v>3425</v>
      </c>
      <c r="BV514" s="2" t="s">
        <v>200</v>
      </c>
      <c r="BW514" s="2" t="s">
        <v>200</v>
      </c>
      <c r="BX514" s="2" t="s">
        <v>264</v>
      </c>
      <c r="BY514" s="2" t="s">
        <v>247</v>
      </c>
      <c r="BZ514" s="2" t="s">
        <v>212</v>
      </c>
      <c r="CA514" s="2" t="s">
        <v>3426</v>
      </c>
      <c r="CB514" s="2" t="s">
        <v>3427</v>
      </c>
      <c r="CC514" s="2" t="s">
        <v>213</v>
      </c>
      <c r="CD514" s="2" t="s">
        <v>200</v>
      </c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>
        <v>140</v>
      </c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>
        <v>150</v>
      </c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</row>
    <row r="515">
      <c r="A515" s="2" t="s">
        <v>3428</v>
      </c>
      <c r="B515" s="2" t="s">
        <v>230</v>
      </c>
      <c r="C515" s="2" t="s">
        <v>3397</v>
      </c>
      <c r="D515" s="2" t="s">
        <v>232</v>
      </c>
      <c r="E515" s="2" t="s">
        <v>233</v>
      </c>
      <c r="F515" s="2" t="s">
        <v>3398</v>
      </c>
      <c r="G515" s="2" t="s">
        <v>3398</v>
      </c>
      <c r="H515" s="2" t="s">
        <v>3398</v>
      </c>
      <c r="I515" s="2" t="s">
        <v>3399</v>
      </c>
      <c r="J515" s="2" t="s">
        <v>302</v>
      </c>
      <c r="K515" s="2" t="s">
        <v>3429</v>
      </c>
      <c r="L515" s="3">
        <v>27.39</v>
      </c>
      <c r="M515" s="3">
        <v>28.76</v>
      </c>
      <c r="N515" s="3">
        <v>62.99</v>
      </c>
      <c r="O515" s="2" t="s">
        <v>212</v>
      </c>
      <c r="P515" s="2" t="s">
        <v>258</v>
      </c>
      <c r="Q515" s="2" t="s">
        <v>206</v>
      </c>
      <c r="R515" s="2" t="s">
        <v>200</v>
      </c>
      <c r="S515" s="2" t="s">
        <v>3430</v>
      </c>
      <c r="T515" s="2" t="s">
        <v>3312</v>
      </c>
      <c r="U515" s="2" t="s">
        <v>200</v>
      </c>
      <c r="V515" s="2" t="s">
        <v>1198</v>
      </c>
      <c r="W515" s="2" t="s">
        <v>241</v>
      </c>
      <c r="X515" s="2" t="s">
        <v>200</v>
      </c>
      <c r="Y515" s="2" t="s">
        <v>261</v>
      </c>
      <c r="Z515" s="4">
        <v>1354</v>
      </c>
      <c r="AA515" s="4">
        <f>=ROUNDDOWN(54.16,0)</f>
      </c>
      <c r="AB515" s="5">
        <v>25</v>
      </c>
      <c r="AC515" s="2" t="s">
        <v>200</v>
      </c>
      <c r="AD515" s="4"/>
      <c r="AE515" s="4"/>
      <c r="AF515" s="6">
        <v>65</v>
      </c>
      <c r="AG515" s="6"/>
      <c r="AH515" s="7">
        <v>1</v>
      </c>
      <c r="AI515" s="4"/>
      <c r="AJ515" s="4">
        <f>=ROUNDDOWN({0},0)</f>
      </c>
      <c r="AK515" s="5"/>
      <c r="AL515" s="2" t="s">
        <v>200</v>
      </c>
      <c r="AM515" s="4"/>
      <c r="AN515" s="4"/>
      <c r="AO515" s="7"/>
      <c r="AP515" s="4"/>
      <c r="AQ515" s="8"/>
      <c r="AR515" s="4"/>
      <c r="AS515" s="8"/>
      <c r="AT515" s="7"/>
      <c r="AU515" s="7"/>
      <c r="AV515" s="4"/>
      <c r="AW515" s="8"/>
      <c r="AX515" s="4"/>
      <c r="AY515" s="8"/>
      <c r="AZ515" s="7"/>
      <c r="BA515" s="7"/>
      <c r="BB515" s="7"/>
      <c r="BC515" s="4" t="s">
        <v>200</v>
      </c>
      <c r="BD515" s="8" t="s">
        <v>200</v>
      </c>
      <c r="BE515" s="4" t="s">
        <v>200</v>
      </c>
      <c r="BF515" s="8" t="s">
        <v>200</v>
      </c>
      <c r="BG515" s="7" t="s">
        <v>200</v>
      </c>
      <c r="BH515" s="7" t="s">
        <v>200</v>
      </c>
      <c r="BI515" s="7"/>
      <c r="BJ515" s="4">
        <v>165</v>
      </c>
      <c r="BK515" s="8">
        <v>4833.85</v>
      </c>
      <c r="BL515" s="2" t="s">
        <v>3431</v>
      </c>
      <c r="BM515" s="7"/>
      <c r="BN515" s="7"/>
      <c r="BO515" s="4"/>
      <c r="BP515" s="8"/>
      <c r="BQ515" s="4"/>
      <c r="BR515" s="8"/>
      <c r="BS515" s="7"/>
      <c r="BT515" s="7"/>
      <c r="BU515" s="2" t="s">
        <v>3432</v>
      </c>
      <c r="BV515" s="2" t="s">
        <v>200</v>
      </c>
      <c r="BW515" s="2" t="s">
        <v>200</v>
      </c>
      <c r="BX515" s="2" t="s">
        <v>264</v>
      </c>
      <c r="BY515" s="2" t="s">
        <v>247</v>
      </c>
      <c r="BZ515" s="2" t="s">
        <v>212</v>
      </c>
      <c r="CA515" s="2" t="s">
        <v>3433</v>
      </c>
      <c r="CB515" s="2" t="s">
        <v>3434</v>
      </c>
      <c r="CC515" s="2" t="s">
        <v>213</v>
      </c>
      <c r="CD515" s="2" t="s">
        <v>200</v>
      </c>
      <c r="CE515" s="4">
        <v>1053</v>
      </c>
      <c r="CF515" s="4">
        <v>301</v>
      </c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</row>
    <row r="516">
      <c r="A516" s="2" t="s">
        <v>3435</v>
      </c>
      <c r="B516" s="2" t="s">
        <v>230</v>
      </c>
      <c r="C516" s="2" t="s">
        <v>3397</v>
      </c>
      <c r="D516" s="2" t="s">
        <v>232</v>
      </c>
      <c r="E516" s="2" t="s">
        <v>233</v>
      </c>
      <c r="F516" s="2" t="s">
        <v>3398</v>
      </c>
      <c r="G516" s="2" t="s">
        <v>3398</v>
      </c>
      <c r="H516" s="2" t="s">
        <v>3398</v>
      </c>
      <c r="I516" s="2" t="s">
        <v>3399</v>
      </c>
      <c r="J516" s="2" t="s">
        <v>302</v>
      </c>
      <c r="K516" s="2" t="s">
        <v>3436</v>
      </c>
      <c r="L516" s="3">
        <v>27.39</v>
      </c>
      <c r="M516" s="3">
        <v>28.76</v>
      </c>
      <c r="N516" s="3">
        <v>62.99</v>
      </c>
      <c r="O516" s="2" t="s">
        <v>212</v>
      </c>
      <c r="P516" s="2" t="s">
        <v>258</v>
      </c>
      <c r="Q516" s="2" t="s">
        <v>206</v>
      </c>
      <c r="R516" s="2" t="s">
        <v>200</v>
      </c>
      <c r="S516" s="2" t="s">
        <v>3437</v>
      </c>
      <c r="T516" s="2" t="s">
        <v>3312</v>
      </c>
      <c r="U516" s="2" t="s">
        <v>200</v>
      </c>
      <c r="V516" s="2" t="s">
        <v>3270</v>
      </c>
      <c r="W516" s="2" t="s">
        <v>241</v>
      </c>
      <c r="X516" s="2" t="s">
        <v>200</v>
      </c>
      <c r="Y516" s="2" t="s">
        <v>3402</v>
      </c>
      <c r="Z516" s="4">
        <v>216</v>
      </c>
      <c r="AA516" s="4">
        <f>=ROUNDDOWN(10.8,0)</f>
      </c>
      <c r="AB516" s="5">
        <v>20</v>
      </c>
      <c r="AC516" s="2" t="s">
        <v>200</v>
      </c>
      <c r="AD516" s="4"/>
      <c r="AE516" s="4"/>
      <c r="AF516" s="6">
        <v>65</v>
      </c>
      <c r="AG516" s="6"/>
      <c r="AH516" s="7">
        <v>1</v>
      </c>
      <c r="AI516" s="4"/>
      <c r="AJ516" s="4">
        <f>=ROUNDDOWN({0},0)</f>
      </c>
      <c r="AK516" s="5"/>
      <c r="AL516" s="2" t="s">
        <v>200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/>
      <c r="AW516" s="8"/>
      <c r="AX516" s="4"/>
      <c r="AY516" s="8"/>
      <c r="AZ516" s="7"/>
      <c r="BA516" s="7"/>
      <c r="BB516" s="7"/>
      <c r="BC516" s="4" t="s">
        <v>200</v>
      </c>
      <c r="BD516" s="8" t="s">
        <v>200</v>
      </c>
      <c r="BE516" s="4" t="s">
        <v>200</v>
      </c>
      <c r="BF516" s="8" t="s">
        <v>200</v>
      </c>
      <c r="BG516" s="7" t="s">
        <v>200</v>
      </c>
      <c r="BH516" s="7" t="s">
        <v>200</v>
      </c>
      <c r="BI516" s="7"/>
      <c r="BJ516" s="4">
        <v>194</v>
      </c>
      <c r="BK516" s="8">
        <v>5681.09</v>
      </c>
      <c r="BL516" s="2" t="s">
        <v>3438</v>
      </c>
      <c r="BM516" s="7"/>
      <c r="BN516" s="7"/>
      <c r="BO516" s="4"/>
      <c r="BP516" s="8"/>
      <c r="BQ516" s="4"/>
      <c r="BR516" s="8"/>
      <c r="BS516" s="7"/>
      <c r="BT516" s="7"/>
      <c r="BU516" s="2" t="s">
        <v>3439</v>
      </c>
      <c r="BV516" s="2" t="s">
        <v>200</v>
      </c>
      <c r="BW516" s="2" t="s">
        <v>200</v>
      </c>
      <c r="BX516" s="2" t="s">
        <v>264</v>
      </c>
      <c r="BY516" s="2" t="s">
        <v>247</v>
      </c>
      <c r="BZ516" s="2" t="s">
        <v>212</v>
      </c>
      <c r="CA516" s="2" t="s">
        <v>3406</v>
      </c>
      <c r="CB516" s="2" t="s">
        <v>3440</v>
      </c>
      <c r="CC516" s="2" t="s">
        <v>213</v>
      </c>
      <c r="CD516" s="2" t="s">
        <v>200</v>
      </c>
      <c r="CE516" s="4">
        <v>85</v>
      </c>
      <c r="CF516" s="4">
        <v>131</v>
      </c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</row>
    <row r="517">
      <c r="A517" s="2" t="s">
        <v>3441</v>
      </c>
      <c r="B517" s="2" t="s">
        <v>230</v>
      </c>
      <c r="C517" s="2" t="s">
        <v>3397</v>
      </c>
      <c r="D517" s="2" t="s">
        <v>232</v>
      </c>
      <c r="E517" s="2" t="s">
        <v>233</v>
      </c>
      <c r="F517" s="2" t="s">
        <v>3398</v>
      </c>
      <c r="G517" s="2" t="s">
        <v>3398</v>
      </c>
      <c r="H517" s="2" t="s">
        <v>3398</v>
      </c>
      <c r="I517" s="2" t="s">
        <v>3399</v>
      </c>
      <c r="J517" s="2" t="s">
        <v>277</v>
      </c>
      <c r="K517" s="2" t="s">
        <v>3442</v>
      </c>
      <c r="L517" s="3">
        <v>19.57</v>
      </c>
      <c r="M517" s="3">
        <v>20.55</v>
      </c>
      <c r="N517" s="3">
        <v>47.99</v>
      </c>
      <c r="O517" s="2" t="s">
        <v>212</v>
      </c>
      <c r="P517" s="2" t="s">
        <v>205</v>
      </c>
      <c r="Q517" s="2" t="s">
        <v>206</v>
      </c>
      <c r="R517" s="2" t="s">
        <v>200</v>
      </c>
      <c r="S517" s="2" t="s">
        <v>3443</v>
      </c>
      <c r="T517" s="2" t="s">
        <v>3312</v>
      </c>
      <c r="U517" s="2" t="s">
        <v>240</v>
      </c>
      <c r="V517" s="2" t="s">
        <v>3444</v>
      </c>
      <c r="W517" s="2" t="s">
        <v>241</v>
      </c>
      <c r="X517" s="2" t="s">
        <v>1900</v>
      </c>
      <c r="Y517" s="2" t="s">
        <v>3313</v>
      </c>
      <c r="Z517" s="4">
        <v>1100</v>
      </c>
      <c r="AA517" s="4">
        <f>=ROUNDDOWN(25,0)</f>
      </c>
      <c r="AB517" s="5">
        <v>44</v>
      </c>
      <c r="AC517" s="2" t="s">
        <v>108</v>
      </c>
      <c r="AD517" s="4">
        <v>425</v>
      </c>
      <c r="AE517" s="4">
        <v>425</v>
      </c>
      <c r="AF517" s="6">
        <v>69</v>
      </c>
      <c r="AG517" s="6"/>
      <c r="AH517" s="7">
        <v>1</v>
      </c>
      <c r="AI517" s="4"/>
      <c r="AJ517" s="4">
        <f>=ROUNDDOWN({0},0)</f>
      </c>
      <c r="AK517" s="5"/>
      <c r="AL517" s="2" t="s">
        <v>200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 t="s">
        <v>200</v>
      </c>
      <c r="AW517" s="8" t="s">
        <v>200</v>
      </c>
      <c r="AX517" s="4" t="s">
        <v>200</v>
      </c>
      <c r="AY517" s="8" t="s">
        <v>200</v>
      </c>
      <c r="AZ517" s="7" t="s">
        <v>200</v>
      </c>
      <c r="BA517" s="7" t="s">
        <v>200</v>
      </c>
      <c r="BB517" s="7"/>
      <c r="BC517" s="4" t="s">
        <v>200</v>
      </c>
      <c r="BD517" s="8" t="s">
        <v>200</v>
      </c>
      <c r="BE517" s="4" t="s">
        <v>200</v>
      </c>
      <c r="BF517" s="8" t="s">
        <v>200</v>
      </c>
      <c r="BG517" s="7" t="s">
        <v>200</v>
      </c>
      <c r="BH517" s="7" t="s">
        <v>200</v>
      </c>
      <c r="BI517" s="7"/>
      <c r="BJ517" s="4">
        <v>313</v>
      </c>
      <c r="BK517" s="8">
        <v>7112.92</v>
      </c>
      <c r="BL517" s="2" t="s">
        <v>2618</v>
      </c>
      <c r="BM517" s="7"/>
      <c r="BN517" s="7"/>
      <c r="BO517" s="4"/>
      <c r="BP517" s="8"/>
      <c r="BQ517" s="4"/>
      <c r="BR517" s="8"/>
      <c r="BS517" s="7"/>
      <c r="BT517" s="7"/>
      <c r="BU517" s="2" t="s">
        <v>3445</v>
      </c>
      <c r="BV517" s="2" t="s">
        <v>200</v>
      </c>
      <c r="BW517" s="2" t="s">
        <v>200</v>
      </c>
      <c r="BX517" s="2" t="s">
        <v>264</v>
      </c>
      <c r="BY517" s="2" t="s">
        <v>247</v>
      </c>
      <c r="BZ517" s="2" t="s">
        <v>212</v>
      </c>
      <c r="CA517" s="2" t="s">
        <v>3446</v>
      </c>
      <c r="CB517" s="2" t="s">
        <v>200</v>
      </c>
      <c r="CC517" s="2" t="s">
        <v>213</v>
      </c>
      <c r="CD517" s="2" t="s">
        <v>200</v>
      </c>
      <c r="CE517" s="4">
        <v>1100</v>
      </c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>
        <v>425</v>
      </c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</row>
    <row r="518">
      <c r="A518" s="2" t="s">
        <v>3447</v>
      </c>
      <c r="B518" s="2" t="s">
        <v>230</v>
      </c>
      <c r="C518" s="2" t="s">
        <v>3397</v>
      </c>
      <c r="D518" s="2" t="s">
        <v>232</v>
      </c>
      <c r="E518" s="2" t="s">
        <v>233</v>
      </c>
      <c r="F518" s="2" t="s">
        <v>3398</v>
      </c>
      <c r="G518" s="2" t="s">
        <v>3398</v>
      </c>
      <c r="H518" s="2" t="s">
        <v>3398</v>
      </c>
      <c r="I518" s="2" t="s">
        <v>3399</v>
      </c>
      <c r="J518" s="2" t="s">
        <v>297</v>
      </c>
      <c r="K518" s="2" t="s">
        <v>3442</v>
      </c>
      <c r="L518" s="3">
        <v>22.21</v>
      </c>
      <c r="M518" s="3">
        <v>23.32</v>
      </c>
      <c r="N518" s="3">
        <v>52.99</v>
      </c>
      <c r="O518" s="2" t="s">
        <v>212</v>
      </c>
      <c r="P518" s="2" t="s">
        <v>205</v>
      </c>
      <c r="Q518" s="2" t="s">
        <v>206</v>
      </c>
      <c r="R518" s="2" t="s">
        <v>200</v>
      </c>
      <c r="S518" s="2" t="s">
        <v>3443</v>
      </c>
      <c r="T518" s="2" t="s">
        <v>3312</v>
      </c>
      <c r="U518" s="2" t="s">
        <v>240</v>
      </c>
      <c r="V518" s="2" t="s">
        <v>3444</v>
      </c>
      <c r="W518" s="2" t="s">
        <v>241</v>
      </c>
      <c r="X518" s="2" t="s">
        <v>1900</v>
      </c>
      <c r="Y518" s="2" t="s">
        <v>3448</v>
      </c>
      <c r="Z518" s="4">
        <v>1873</v>
      </c>
      <c r="AA518" s="4">
        <f>=ROUNDDOWN(30.7049180327869,0)</f>
      </c>
      <c r="AB518" s="5">
        <v>61</v>
      </c>
      <c r="AC518" s="2" t="s">
        <v>108</v>
      </c>
      <c r="AD518" s="4">
        <v>589</v>
      </c>
      <c r="AE518" s="4">
        <v>589</v>
      </c>
      <c r="AF518" s="6">
        <v>69</v>
      </c>
      <c r="AG518" s="6"/>
      <c r="AH518" s="7">
        <v>1</v>
      </c>
      <c r="AI518" s="4"/>
      <c r="AJ518" s="4">
        <f>=ROUNDDOWN({0},0)</f>
      </c>
      <c r="AK518" s="5"/>
      <c r="AL518" s="2" t="s">
        <v>200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 t="s">
        <v>200</v>
      </c>
      <c r="AW518" s="8" t="s">
        <v>200</v>
      </c>
      <c r="AX518" s="4" t="s">
        <v>200</v>
      </c>
      <c r="AY518" s="8" t="s">
        <v>200</v>
      </c>
      <c r="AZ518" s="7" t="s">
        <v>200</v>
      </c>
      <c r="BA518" s="7" t="s">
        <v>200</v>
      </c>
      <c r="BB518" s="7"/>
      <c r="BC518" s="4" t="s">
        <v>200</v>
      </c>
      <c r="BD518" s="8" t="s">
        <v>200</v>
      </c>
      <c r="BE518" s="4" t="s">
        <v>200</v>
      </c>
      <c r="BF518" s="8" t="s">
        <v>200</v>
      </c>
      <c r="BG518" s="7" t="s">
        <v>200</v>
      </c>
      <c r="BH518" s="7" t="s">
        <v>200</v>
      </c>
      <c r="BI518" s="7"/>
      <c r="BJ518" s="4">
        <v>242</v>
      </c>
      <c r="BK518" s="8">
        <v>6273.54</v>
      </c>
      <c r="BL518" s="2" t="s">
        <v>1993</v>
      </c>
      <c r="BM518" s="7"/>
      <c r="BN518" s="7"/>
      <c r="BO518" s="4"/>
      <c r="BP518" s="8"/>
      <c r="BQ518" s="4"/>
      <c r="BR518" s="8"/>
      <c r="BS518" s="7"/>
      <c r="BT518" s="7"/>
      <c r="BU518" s="2" t="s">
        <v>3449</v>
      </c>
      <c r="BV518" s="2" t="s">
        <v>200</v>
      </c>
      <c r="BW518" s="2" t="s">
        <v>200</v>
      </c>
      <c r="BX518" s="2" t="s">
        <v>264</v>
      </c>
      <c r="BY518" s="2" t="s">
        <v>247</v>
      </c>
      <c r="BZ518" s="2" t="s">
        <v>212</v>
      </c>
      <c r="CA518" s="2" t="s">
        <v>3446</v>
      </c>
      <c r="CB518" s="2" t="s">
        <v>200</v>
      </c>
      <c r="CC518" s="2" t="s">
        <v>213</v>
      </c>
      <c r="CD518" s="2" t="s">
        <v>200</v>
      </c>
      <c r="CE518" s="4">
        <v>1873</v>
      </c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>
        <v>589</v>
      </c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</row>
    <row r="519">
      <c r="A519" s="2" t="s">
        <v>3450</v>
      </c>
      <c r="B519" s="2" t="s">
        <v>230</v>
      </c>
      <c r="C519" s="2" t="s">
        <v>3397</v>
      </c>
      <c r="D519" s="2" t="s">
        <v>232</v>
      </c>
      <c r="E519" s="2" t="s">
        <v>233</v>
      </c>
      <c r="F519" s="2" t="s">
        <v>3398</v>
      </c>
      <c r="G519" s="2" t="s">
        <v>3398</v>
      </c>
      <c r="H519" s="2" t="s">
        <v>3398</v>
      </c>
      <c r="I519" s="2" t="s">
        <v>3399</v>
      </c>
      <c r="J519" s="2" t="s">
        <v>302</v>
      </c>
      <c r="K519" s="2" t="s">
        <v>3442</v>
      </c>
      <c r="L519" s="3">
        <v>27.39</v>
      </c>
      <c r="M519" s="3">
        <v>28.76</v>
      </c>
      <c r="N519" s="3">
        <v>67.99</v>
      </c>
      <c r="O519" s="2" t="s">
        <v>212</v>
      </c>
      <c r="P519" s="2" t="s">
        <v>205</v>
      </c>
      <c r="Q519" s="2" t="s">
        <v>206</v>
      </c>
      <c r="R519" s="2" t="s">
        <v>200</v>
      </c>
      <c r="S519" s="2" t="s">
        <v>3443</v>
      </c>
      <c r="T519" s="2" t="s">
        <v>3312</v>
      </c>
      <c r="U519" s="2" t="s">
        <v>240</v>
      </c>
      <c r="V519" s="2" t="s">
        <v>3444</v>
      </c>
      <c r="W519" s="2" t="s">
        <v>241</v>
      </c>
      <c r="X519" s="2" t="s">
        <v>1900</v>
      </c>
      <c r="Y519" s="2" t="s">
        <v>3313</v>
      </c>
      <c r="Z519" s="4">
        <v>873</v>
      </c>
      <c r="AA519" s="4">
        <f>=ROUNDDOWN(26.4545454545455,0)</f>
      </c>
      <c r="AB519" s="5">
        <v>33</v>
      </c>
      <c r="AC519" s="2" t="s">
        <v>108</v>
      </c>
      <c r="AD519" s="4">
        <v>321</v>
      </c>
      <c r="AE519" s="4">
        <v>321</v>
      </c>
      <c r="AF519" s="6">
        <v>69</v>
      </c>
      <c r="AG519" s="6"/>
      <c r="AH519" s="7">
        <v>1</v>
      </c>
      <c r="AI519" s="4"/>
      <c r="AJ519" s="4">
        <f>=ROUNDDOWN({0},0)</f>
      </c>
      <c r="AK519" s="5"/>
      <c r="AL519" s="2" t="s">
        <v>200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 t="s">
        <v>200</v>
      </c>
      <c r="AW519" s="8" t="s">
        <v>200</v>
      </c>
      <c r="AX519" s="4" t="s">
        <v>200</v>
      </c>
      <c r="AY519" s="8" t="s">
        <v>200</v>
      </c>
      <c r="AZ519" s="7" t="s">
        <v>200</v>
      </c>
      <c r="BA519" s="7" t="s">
        <v>200</v>
      </c>
      <c r="BB519" s="7"/>
      <c r="BC519" s="4" t="s">
        <v>200</v>
      </c>
      <c r="BD519" s="8" t="s">
        <v>200</v>
      </c>
      <c r="BE519" s="4" t="s">
        <v>200</v>
      </c>
      <c r="BF519" s="8" t="s">
        <v>200</v>
      </c>
      <c r="BG519" s="7" t="s">
        <v>200</v>
      </c>
      <c r="BH519" s="7" t="s">
        <v>200</v>
      </c>
      <c r="BI519" s="7"/>
      <c r="BJ519" s="4">
        <v>212</v>
      </c>
      <c r="BK519" s="8">
        <v>6691.17</v>
      </c>
      <c r="BL519" s="2" t="s">
        <v>3451</v>
      </c>
      <c r="BM519" s="7"/>
      <c r="BN519" s="7"/>
      <c r="BO519" s="4"/>
      <c r="BP519" s="8"/>
      <c r="BQ519" s="4"/>
      <c r="BR519" s="8"/>
      <c r="BS519" s="7"/>
      <c r="BT519" s="7"/>
      <c r="BU519" s="2" t="s">
        <v>3452</v>
      </c>
      <c r="BV519" s="2" t="s">
        <v>200</v>
      </c>
      <c r="BW519" s="2" t="s">
        <v>200</v>
      </c>
      <c r="BX519" s="2" t="s">
        <v>264</v>
      </c>
      <c r="BY519" s="2" t="s">
        <v>247</v>
      </c>
      <c r="BZ519" s="2" t="s">
        <v>212</v>
      </c>
      <c r="CA519" s="2" t="s">
        <v>3446</v>
      </c>
      <c r="CB519" s="2" t="s">
        <v>200</v>
      </c>
      <c r="CC519" s="2" t="s">
        <v>213</v>
      </c>
      <c r="CD519" s="2" t="s">
        <v>200</v>
      </c>
      <c r="CE519" s="4">
        <v>873</v>
      </c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>
        <v>321</v>
      </c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</row>
    <row r="520">
      <c r="A520" s="2" t="s">
        <v>3453</v>
      </c>
      <c r="B520" s="2" t="s">
        <v>230</v>
      </c>
      <c r="C520" s="2" t="s">
        <v>3397</v>
      </c>
      <c r="D520" s="2" t="s">
        <v>232</v>
      </c>
      <c r="E520" s="2" t="s">
        <v>233</v>
      </c>
      <c r="F520" s="2" t="s">
        <v>3398</v>
      </c>
      <c r="G520" s="2" t="s">
        <v>3398</v>
      </c>
      <c r="H520" s="2" t="s">
        <v>3398</v>
      </c>
      <c r="I520" s="2" t="s">
        <v>3399</v>
      </c>
      <c r="J520" s="2" t="s">
        <v>236</v>
      </c>
      <c r="K520" s="2" t="s">
        <v>3442</v>
      </c>
      <c r="L520" s="3">
        <v>27.39</v>
      </c>
      <c r="M520" s="3">
        <v>28.76</v>
      </c>
      <c r="N520" s="3">
        <v>67.99</v>
      </c>
      <c r="O520" s="2" t="s">
        <v>212</v>
      </c>
      <c r="P520" s="2" t="s">
        <v>205</v>
      </c>
      <c r="Q520" s="2" t="s">
        <v>206</v>
      </c>
      <c r="R520" s="2" t="s">
        <v>200</v>
      </c>
      <c r="S520" s="2" t="s">
        <v>3443</v>
      </c>
      <c r="T520" s="2" t="s">
        <v>3312</v>
      </c>
      <c r="U520" s="2" t="s">
        <v>240</v>
      </c>
      <c r="V520" s="2" t="s">
        <v>3444</v>
      </c>
      <c r="W520" s="2" t="s">
        <v>241</v>
      </c>
      <c r="X520" s="2" t="s">
        <v>1900</v>
      </c>
      <c r="Y520" s="2" t="s">
        <v>3313</v>
      </c>
      <c r="Z520" s="4">
        <v>626</v>
      </c>
      <c r="AA520" s="4">
        <f>=ROUNDDOWN(34.7777777777778,0)</f>
      </c>
      <c r="AB520" s="5">
        <v>18</v>
      </c>
      <c r="AC520" s="2" t="s">
        <v>108</v>
      </c>
      <c r="AD520" s="4">
        <v>172</v>
      </c>
      <c r="AE520" s="4">
        <v>172</v>
      </c>
      <c r="AF520" s="6">
        <v>69</v>
      </c>
      <c r="AG520" s="6"/>
      <c r="AH520" s="7">
        <v>0.6333</v>
      </c>
      <c r="AI520" s="4"/>
      <c r="AJ520" s="4">
        <f>=ROUNDDOWN({0},0)</f>
      </c>
      <c r="AK520" s="5"/>
      <c r="AL520" s="2" t="s">
        <v>200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 t="s">
        <v>200</v>
      </c>
      <c r="AW520" s="8" t="s">
        <v>200</v>
      </c>
      <c r="AX520" s="4" t="s">
        <v>200</v>
      </c>
      <c r="AY520" s="8" t="s">
        <v>200</v>
      </c>
      <c r="AZ520" s="7" t="s">
        <v>200</v>
      </c>
      <c r="BA520" s="7" t="s">
        <v>200</v>
      </c>
      <c r="BB520" s="7"/>
      <c r="BC520" s="4" t="s">
        <v>200</v>
      </c>
      <c r="BD520" s="8" t="s">
        <v>200</v>
      </c>
      <c r="BE520" s="4" t="s">
        <v>200</v>
      </c>
      <c r="BF520" s="8" t="s">
        <v>200</v>
      </c>
      <c r="BG520" s="7" t="s">
        <v>200</v>
      </c>
      <c r="BH520" s="7" t="s">
        <v>200</v>
      </c>
      <c r="BI520" s="7"/>
      <c r="BJ520" s="4">
        <v>31</v>
      </c>
      <c r="BK520" s="8">
        <v>1025.34</v>
      </c>
      <c r="BL520" s="2" t="s">
        <v>3454</v>
      </c>
      <c r="BM520" s="7"/>
      <c r="BN520" s="7"/>
      <c r="BO520" s="4"/>
      <c r="BP520" s="8"/>
      <c r="BQ520" s="4"/>
      <c r="BR520" s="8"/>
      <c r="BS520" s="7"/>
      <c r="BT520" s="7"/>
      <c r="BU520" s="2" t="s">
        <v>3455</v>
      </c>
      <c r="BV520" s="2" t="s">
        <v>200</v>
      </c>
      <c r="BW520" s="2" t="s">
        <v>200</v>
      </c>
      <c r="BX520" s="2" t="s">
        <v>264</v>
      </c>
      <c r="BY520" s="2" t="s">
        <v>247</v>
      </c>
      <c r="BZ520" s="2" t="s">
        <v>212</v>
      </c>
      <c r="CA520" s="2" t="s">
        <v>248</v>
      </c>
      <c r="CB520" s="2" t="s">
        <v>200</v>
      </c>
      <c r="CC520" s="2" t="s">
        <v>213</v>
      </c>
      <c r="CD520" s="2" t="s">
        <v>200</v>
      </c>
      <c r="CE520" s="4">
        <v>626</v>
      </c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>
        <v>172</v>
      </c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</row>
    <row r="521">
      <c r="A521" s="2" t="s">
        <v>3456</v>
      </c>
      <c r="B521" s="2" t="s">
        <v>230</v>
      </c>
      <c r="C521" s="2" t="s">
        <v>3397</v>
      </c>
      <c r="D521" s="2" t="s">
        <v>232</v>
      </c>
      <c r="E521" s="2" t="s">
        <v>233</v>
      </c>
      <c r="F521" s="2" t="s">
        <v>3398</v>
      </c>
      <c r="G521" s="2" t="s">
        <v>3398</v>
      </c>
      <c r="H521" s="2" t="s">
        <v>3398</v>
      </c>
      <c r="I521" s="2" t="s">
        <v>3399</v>
      </c>
      <c r="J521" s="2" t="s">
        <v>297</v>
      </c>
      <c r="K521" s="2" t="s">
        <v>3457</v>
      </c>
      <c r="L521" s="3">
        <v>22.21</v>
      </c>
      <c r="M521" s="3">
        <v>23.32</v>
      </c>
      <c r="N521" s="3">
        <v>47.99</v>
      </c>
      <c r="O521" s="2" t="s">
        <v>212</v>
      </c>
      <c r="P521" s="2" t="s">
        <v>1247</v>
      </c>
      <c r="Q521" s="2" t="s">
        <v>206</v>
      </c>
      <c r="R521" s="2" t="s">
        <v>200</v>
      </c>
      <c r="S521" s="2" t="s">
        <v>3458</v>
      </c>
      <c r="T521" s="2" t="s">
        <v>3312</v>
      </c>
      <c r="U521" s="2" t="s">
        <v>240</v>
      </c>
      <c r="V521" s="2" t="s">
        <v>3270</v>
      </c>
      <c r="W521" s="2" t="s">
        <v>241</v>
      </c>
      <c r="X521" s="2" t="s">
        <v>1900</v>
      </c>
      <c r="Y521" s="2" t="s">
        <v>3423</v>
      </c>
      <c r="Z521" s="4">
        <v>437</v>
      </c>
      <c r="AA521" s="4">
        <f>=ROUNDDOWN(11.2051282051282,0)</f>
      </c>
      <c r="AB521" s="5">
        <v>39</v>
      </c>
      <c r="AC521" s="2" t="s">
        <v>200</v>
      </c>
      <c r="AD521" s="4"/>
      <c r="AE521" s="4"/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200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/>
      <c r="AW521" s="8"/>
      <c r="AX521" s="4"/>
      <c r="AY521" s="8"/>
      <c r="AZ521" s="7"/>
      <c r="BA521" s="7"/>
      <c r="BB521" s="7"/>
      <c r="BC521" s="4" t="s">
        <v>200</v>
      </c>
      <c r="BD521" s="8" t="s">
        <v>200</v>
      </c>
      <c r="BE521" s="4" t="s">
        <v>200</v>
      </c>
      <c r="BF521" s="8" t="s">
        <v>200</v>
      </c>
      <c r="BG521" s="7" t="s">
        <v>200</v>
      </c>
      <c r="BH521" s="7" t="s">
        <v>200</v>
      </c>
      <c r="BI521" s="7"/>
      <c r="BJ521" s="4">
        <v>540</v>
      </c>
      <c r="BK521" s="8">
        <v>13652.99</v>
      </c>
      <c r="BL521" s="2" t="s">
        <v>3459</v>
      </c>
      <c r="BM521" s="7"/>
      <c r="BN521" s="7"/>
      <c r="BO521" s="4"/>
      <c r="BP521" s="8"/>
      <c r="BQ521" s="4"/>
      <c r="BR521" s="8"/>
      <c r="BS521" s="7"/>
      <c r="BT521" s="7"/>
      <c r="BU521" s="2" t="s">
        <v>3460</v>
      </c>
      <c r="BV521" s="2" t="s">
        <v>200</v>
      </c>
      <c r="BW521" s="2" t="s">
        <v>200</v>
      </c>
      <c r="BX521" s="2" t="s">
        <v>264</v>
      </c>
      <c r="BY521" s="2" t="s">
        <v>247</v>
      </c>
      <c r="BZ521" s="2" t="s">
        <v>212</v>
      </c>
      <c r="CA521" s="2" t="s">
        <v>1923</v>
      </c>
      <c r="CB521" s="2" t="s">
        <v>3461</v>
      </c>
      <c r="CC521" s="2" t="s">
        <v>213</v>
      </c>
      <c r="CD521" s="2" t="s">
        <v>200</v>
      </c>
      <c r="CE521" s="4">
        <v>202</v>
      </c>
      <c r="CF521" s="4">
        <v>235</v>
      </c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</row>
    <row r="522">
      <c r="A522" s="2" t="s">
        <v>3462</v>
      </c>
      <c r="B522" s="2" t="s">
        <v>230</v>
      </c>
      <c r="C522" s="2" t="s">
        <v>3397</v>
      </c>
      <c r="D522" s="2" t="s">
        <v>232</v>
      </c>
      <c r="E522" s="2" t="s">
        <v>233</v>
      </c>
      <c r="F522" s="2" t="s">
        <v>3398</v>
      </c>
      <c r="G522" s="2" t="s">
        <v>3398</v>
      </c>
      <c r="H522" s="2" t="s">
        <v>3398</v>
      </c>
      <c r="I522" s="2" t="s">
        <v>3399</v>
      </c>
      <c r="J522" s="2" t="s">
        <v>256</v>
      </c>
      <c r="K522" s="2" t="s">
        <v>1188</v>
      </c>
      <c r="L522" s="3">
        <v>14.89</v>
      </c>
      <c r="M522" s="3">
        <v>15.63</v>
      </c>
      <c r="N522" s="3">
        <v>31.99</v>
      </c>
      <c r="O522" s="2" t="s">
        <v>212</v>
      </c>
      <c r="P522" s="2" t="s">
        <v>258</v>
      </c>
      <c r="Q522" s="2" t="s">
        <v>206</v>
      </c>
      <c r="R522" s="2" t="s">
        <v>200</v>
      </c>
      <c r="S522" s="2" t="s">
        <v>3463</v>
      </c>
      <c r="T522" s="2" t="s">
        <v>3312</v>
      </c>
      <c r="U522" s="2" t="s">
        <v>200</v>
      </c>
      <c r="V522" s="2" t="s">
        <v>885</v>
      </c>
      <c r="W522" s="2" t="s">
        <v>241</v>
      </c>
      <c r="X522" s="2" t="s">
        <v>200</v>
      </c>
      <c r="Y522" s="2" t="s">
        <v>3464</v>
      </c>
      <c r="Z522" s="4">
        <v>983</v>
      </c>
      <c r="AA522" s="4">
        <f>=ROUNDDOWN(20.0612244897959,0)</f>
      </c>
      <c r="AB522" s="5">
        <v>49</v>
      </c>
      <c r="AC522" s="2" t="s">
        <v>200</v>
      </c>
      <c r="AD522" s="4"/>
      <c r="AE522" s="4"/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200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/>
      <c r="AW522" s="8"/>
      <c r="AX522" s="4"/>
      <c r="AY522" s="8"/>
      <c r="AZ522" s="7"/>
      <c r="BA522" s="7"/>
      <c r="BB522" s="7"/>
      <c r="BC522" s="4" t="s">
        <v>200</v>
      </c>
      <c r="BD522" s="8" t="s">
        <v>200</v>
      </c>
      <c r="BE522" s="4" t="s">
        <v>200</v>
      </c>
      <c r="BF522" s="8" t="s">
        <v>200</v>
      </c>
      <c r="BG522" s="7" t="s">
        <v>200</v>
      </c>
      <c r="BH522" s="7" t="s">
        <v>200</v>
      </c>
      <c r="BI522" s="7"/>
      <c r="BJ522" s="4">
        <v>340</v>
      </c>
      <c r="BK522" s="8">
        <v>5616.17</v>
      </c>
      <c r="BL522" s="2" t="s">
        <v>3465</v>
      </c>
      <c r="BM522" s="7"/>
      <c r="BN522" s="7"/>
      <c r="BO522" s="4"/>
      <c r="BP522" s="8"/>
      <c r="BQ522" s="4"/>
      <c r="BR522" s="8"/>
      <c r="BS522" s="7"/>
      <c r="BT522" s="7"/>
      <c r="BU522" s="2" t="s">
        <v>3466</v>
      </c>
      <c r="BV522" s="2" t="s">
        <v>200</v>
      </c>
      <c r="BW522" s="2" t="s">
        <v>200</v>
      </c>
      <c r="BX522" s="2" t="s">
        <v>264</v>
      </c>
      <c r="BY522" s="2" t="s">
        <v>247</v>
      </c>
      <c r="BZ522" s="2" t="s">
        <v>212</v>
      </c>
      <c r="CA522" s="2" t="s">
        <v>3406</v>
      </c>
      <c r="CB522" s="2" t="s">
        <v>3467</v>
      </c>
      <c r="CC522" s="2" t="s">
        <v>213</v>
      </c>
      <c r="CD522" s="2" t="s">
        <v>200</v>
      </c>
      <c r="CE522" s="4">
        <v>983</v>
      </c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</row>
    <row r="523">
      <c r="A523" s="2" t="s">
        <v>3468</v>
      </c>
      <c r="B523" s="2" t="s">
        <v>230</v>
      </c>
      <c r="C523" s="2" t="s">
        <v>3397</v>
      </c>
      <c r="D523" s="2" t="s">
        <v>232</v>
      </c>
      <c r="E523" s="2" t="s">
        <v>233</v>
      </c>
      <c r="F523" s="2" t="s">
        <v>3398</v>
      </c>
      <c r="G523" s="2" t="s">
        <v>3398</v>
      </c>
      <c r="H523" s="2" t="s">
        <v>3398</v>
      </c>
      <c r="I523" s="2" t="s">
        <v>3399</v>
      </c>
      <c r="J523" s="2" t="s">
        <v>256</v>
      </c>
      <c r="K523" s="2" t="s">
        <v>3469</v>
      </c>
      <c r="L523" s="3">
        <v>14.89</v>
      </c>
      <c r="M523" s="3">
        <v>15.63</v>
      </c>
      <c r="N523" s="3">
        <v>31.99</v>
      </c>
      <c r="O523" s="2" t="s">
        <v>212</v>
      </c>
      <c r="P523" s="2" t="s">
        <v>258</v>
      </c>
      <c r="Q523" s="2" t="s">
        <v>206</v>
      </c>
      <c r="R523" s="2" t="s">
        <v>200</v>
      </c>
      <c r="S523" s="2" t="s">
        <v>3470</v>
      </c>
      <c r="T523" s="2" t="s">
        <v>3312</v>
      </c>
      <c r="U523" s="2" t="s">
        <v>200</v>
      </c>
      <c r="V523" s="2" t="s">
        <v>208</v>
      </c>
      <c r="W523" s="2" t="s">
        <v>241</v>
      </c>
      <c r="X523" s="2" t="s">
        <v>200</v>
      </c>
      <c r="Y523" s="2" t="s">
        <v>261</v>
      </c>
      <c r="Z523" s="4">
        <v>1270</v>
      </c>
      <c r="AA523" s="4">
        <f>=ROUNDDOWN(32.5641025641026,0)</f>
      </c>
      <c r="AB523" s="5">
        <v>39</v>
      </c>
      <c r="AC523" s="2" t="s">
        <v>200</v>
      </c>
      <c r="AD523" s="4"/>
      <c r="AE523" s="4"/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200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 t="s">
        <v>200</v>
      </c>
      <c r="AW523" s="8" t="s">
        <v>200</v>
      </c>
      <c r="AX523" s="4" t="s">
        <v>200</v>
      </c>
      <c r="AY523" s="8" t="s">
        <v>200</v>
      </c>
      <c r="AZ523" s="7" t="s">
        <v>200</v>
      </c>
      <c r="BA523" s="7" t="s">
        <v>200</v>
      </c>
      <c r="BB523" s="7"/>
      <c r="BC523" s="4" t="s">
        <v>200</v>
      </c>
      <c r="BD523" s="8" t="s">
        <v>200</v>
      </c>
      <c r="BE523" s="4" t="s">
        <v>200</v>
      </c>
      <c r="BF523" s="8" t="s">
        <v>200</v>
      </c>
      <c r="BG523" s="7" t="s">
        <v>200</v>
      </c>
      <c r="BH523" s="7" t="s">
        <v>200</v>
      </c>
      <c r="BI523" s="7"/>
      <c r="BJ523" s="4">
        <v>343</v>
      </c>
      <c r="BK523" s="8">
        <v>5434.84</v>
      </c>
      <c r="BL523" s="2" t="s">
        <v>3471</v>
      </c>
      <c r="BM523" s="7"/>
      <c r="BN523" s="7"/>
      <c r="BO523" s="4"/>
      <c r="BP523" s="8"/>
      <c r="BQ523" s="4"/>
      <c r="BR523" s="8"/>
      <c r="BS523" s="7"/>
      <c r="BT523" s="7"/>
      <c r="BU523" s="2" t="s">
        <v>3472</v>
      </c>
      <c r="BV523" s="2" t="s">
        <v>200</v>
      </c>
      <c r="BW523" s="2" t="s">
        <v>200</v>
      </c>
      <c r="BX523" s="2" t="s">
        <v>264</v>
      </c>
      <c r="BY523" s="2" t="s">
        <v>247</v>
      </c>
      <c r="BZ523" s="2" t="s">
        <v>212</v>
      </c>
      <c r="CA523" s="2" t="s">
        <v>3433</v>
      </c>
      <c r="CB523" s="2" t="s">
        <v>1113</v>
      </c>
      <c r="CC523" s="2" t="s">
        <v>213</v>
      </c>
      <c r="CD523" s="2" t="s">
        <v>200</v>
      </c>
      <c r="CE523" s="4">
        <v>570</v>
      </c>
      <c r="CF523" s="4">
        <v>700</v>
      </c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</row>
    <row r="524">
      <c r="A524" s="2" t="s">
        <v>3473</v>
      </c>
      <c r="B524" s="2" t="s">
        <v>230</v>
      </c>
      <c r="C524" s="2" t="s">
        <v>3397</v>
      </c>
      <c r="D524" s="2" t="s">
        <v>232</v>
      </c>
      <c r="E524" s="2" t="s">
        <v>233</v>
      </c>
      <c r="F524" s="2" t="s">
        <v>3398</v>
      </c>
      <c r="G524" s="2" t="s">
        <v>3398</v>
      </c>
      <c r="H524" s="2" t="s">
        <v>3398</v>
      </c>
      <c r="I524" s="2" t="s">
        <v>3399</v>
      </c>
      <c r="J524" s="2" t="s">
        <v>277</v>
      </c>
      <c r="K524" s="2" t="s">
        <v>3469</v>
      </c>
      <c r="L524" s="3">
        <v>19.57</v>
      </c>
      <c r="M524" s="3">
        <v>20.55</v>
      </c>
      <c r="N524" s="3">
        <v>42.99</v>
      </c>
      <c r="O524" s="2" t="s">
        <v>212</v>
      </c>
      <c r="P524" s="2" t="s">
        <v>1247</v>
      </c>
      <c r="Q524" s="2" t="s">
        <v>206</v>
      </c>
      <c r="R524" s="2" t="s">
        <v>200</v>
      </c>
      <c r="S524" s="2" t="s">
        <v>3470</v>
      </c>
      <c r="T524" s="2" t="s">
        <v>3312</v>
      </c>
      <c r="U524" s="2" t="s">
        <v>200</v>
      </c>
      <c r="V524" s="2" t="s">
        <v>208</v>
      </c>
      <c r="W524" s="2" t="s">
        <v>241</v>
      </c>
      <c r="X524" s="2" t="s">
        <v>200</v>
      </c>
      <c r="Y524" s="2" t="s">
        <v>261</v>
      </c>
      <c r="Z524" s="4">
        <v>1282</v>
      </c>
      <c r="AA524" s="4">
        <f>=ROUNDDOWN(41.3548387096774,0)</f>
      </c>
      <c r="AB524" s="5">
        <v>31</v>
      </c>
      <c r="AC524" s="2" t="s">
        <v>200</v>
      </c>
      <c r="AD524" s="4"/>
      <c r="AE524" s="4"/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200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 t="s">
        <v>200</v>
      </c>
      <c r="AW524" s="8" t="s">
        <v>200</v>
      </c>
      <c r="AX524" s="4" t="s">
        <v>200</v>
      </c>
      <c r="AY524" s="8" t="s">
        <v>200</v>
      </c>
      <c r="AZ524" s="7" t="s">
        <v>200</v>
      </c>
      <c r="BA524" s="7" t="s">
        <v>200</v>
      </c>
      <c r="BB524" s="7"/>
      <c r="BC524" s="4" t="s">
        <v>200</v>
      </c>
      <c r="BD524" s="8" t="s">
        <v>200</v>
      </c>
      <c r="BE524" s="4" t="s">
        <v>200</v>
      </c>
      <c r="BF524" s="8" t="s">
        <v>200</v>
      </c>
      <c r="BG524" s="7" t="s">
        <v>200</v>
      </c>
      <c r="BH524" s="7" t="s">
        <v>200</v>
      </c>
      <c r="BI524" s="7"/>
      <c r="BJ524" s="4">
        <v>95</v>
      </c>
      <c r="BK524" s="8">
        <v>2072.05</v>
      </c>
      <c r="BL524" s="2" t="s">
        <v>3474</v>
      </c>
      <c r="BM524" s="7"/>
      <c r="BN524" s="7"/>
      <c r="BO524" s="4"/>
      <c r="BP524" s="8"/>
      <c r="BQ524" s="4"/>
      <c r="BR524" s="8"/>
      <c r="BS524" s="7"/>
      <c r="BT524" s="7"/>
      <c r="BU524" s="2" t="s">
        <v>3475</v>
      </c>
      <c r="BV524" s="2" t="s">
        <v>200</v>
      </c>
      <c r="BW524" s="2" t="s">
        <v>200</v>
      </c>
      <c r="BX524" s="2" t="s">
        <v>264</v>
      </c>
      <c r="BY524" s="2" t="s">
        <v>247</v>
      </c>
      <c r="BZ524" s="2" t="s">
        <v>212</v>
      </c>
      <c r="CA524" s="2" t="s">
        <v>3433</v>
      </c>
      <c r="CB524" s="2" t="s">
        <v>3476</v>
      </c>
      <c r="CC524" s="2" t="s">
        <v>213</v>
      </c>
      <c r="CD524" s="2" t="s">
        <v>200</v>
      </c>
      <c r="CE524" s="4">
        <v>578</v>
      </c>
      <c r="CF524" s="4">
        <v>704</v>
      </c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</row>
    <row r="525">
      <c r="A525" s="2" t="s">
        <v>3477</v>
      </c>
      <c r="B525" s="2" t="s">
        <v>230</v>
      </c>
      <c r="C525" s="2" t="s">
        <v>3397</v>
      </c>
      <c r="D525" s="2" t="s">
        <v>232</v>
      </c>
      <c r="E525" s="2" t="s">
        <v>233</v>
      </c>
      <c r="F525" s="2" t="s">
        <v>3398</v>
      </c>
      <c r="G525" s="2" t="s">
        <v>3398</v>
      </c>
      <c r="H525" s="2" t="s">
        <v>3398</v>
      </c>
      <c r="I525" s="2" t="s">
        <v>3399</v>
      </c>
      <c r="J525" s="2" t="s">
        <v>256</v>
      </c>
      <c r="K525" s="2" t="s">
        <v>3478</v>
      </c>
      <c r="L525" s="3">
        <v>14.89</v>
      </c>
      <c r="M525" s="3">
        <v>15.63</v>
      </c>
      <c r="N525" s="3">
        <v>31.99</v>
      </c>
      <c r="O525" s="2" t="s">
        <v>212</v>
      </c>
      <c r="P525" s="2" t="s">
        <v>258</v>
      </c>
      <c r="Q525" s="2" t="s">
        <v>206</v>
      </c>
      <c r="R525" s="2" t="s">
        <v>200</v>
      </c>
      <c r="S525" s="2" t="s">
        <v>3479</v>
      </c>
      <c r="T525" s="2" t="s">
        <v>3312</v>
      </c>
      <c r="U525" s="2" t="s">
        <v>200</v>
      </c>
      <c r="V525" s="2" t="s">
        <v>208</v>
      </c>
      <c r="W525" s="2" t="s">
        <v>241</v>
      </c>
      <c r="X525" s="2" t="s">
        <v>200</v>
      </c>
      <c r="Y525" s="2" t="s">
        <v>2663</v>
      </c>
      <c r="Z525" s="4">
        <v>1311</v>
      </c>
      <c r="AA525" s="4">
        <f>=ROUNDDOWN(43.7,0)</f>
      </c>
      <c r="AB525" s="5">
        <v>30</v>
      </c>
      <c r="AC525" s="2" t="s">
        <v>200</v>
      </c>
      <c r="AD525" s="4"/>
      <c r="AE525" s="4"/>
      <c r="AF525" s="6">
        <v>65</v>
      </c>
      <c r="AG525" s="6"/>
      <c r="AH525" s="7">
        <v>1</v>
      </c>
      <c r="AI525" s="4"/>
      <c r="AJ525" s="4">
        <f>=ROUNDDOWN({0},0)</f>
      </c>
      <c r="AK525" s="5"/>
      <c r="AL525" s="2" t="s">
        <v>200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/>
      <c r="AW525" s="8"/>
      <c r="AX525" s="4"/>
      <c r="AY525" s="8"/>
      <c r="AZ525" s="7"/>
      <c r="BA525" s="7"/>
      <c r="BB525" s="7"/>
      <c r="BC525" s="4" t="s">
        <v>200</v>
      </c>
      <c r="BD525" s="8" t="s">
        <v>200</v>
      </c>
      <c r="BE525" s="4" t="s">
        <v>200</v>
      </c>
      <c r="BF525" s="8" t="s">
        <v>200</v>
      </c>
      <c r="BG525" s="7" t="s">
        <v>200</v>
      </c>
      <c r="BH525" s="7" t="s">
        <v>200</v>
      </c>
      <c r="BI525" s="7"/>
      <c r="BJ525" s="4">
        <v>204</v>
      </c>
      <c r="BK525" s="8">
        <v>3268.32</v>
      </c>
      <c r="BL525" s="2" t="s">
        <v>3480</v>
      </c>
      <c r="BM525" s="7"/>
      <c r="BN525" s="7"/>
      <c r="BO525" s="4"/>
      <c r="BP525" s="8"/>
      <c r="BQ525" s="4"/>
      <c r="BR525" s="8"/>
      <c r="BS525" s="7"/>
      <c r="BT525" s="7"/>
      <c r="BU525" s="2" t="s">
        <v>3481</v>
      </c>
      <c r="BV525" s="2" t="s">
        <v>200</v>
      </c>
      <c r="BW525" s="2" t="s">
        <v>200</v>
      </c>
      <c r="BX525" s="2" t="s">
        <v>264</v>
      </c>
      <c r="BY525" s="2" t="s">
        <v>247</v>
      </c>
      <c r="BZ525" s="2" t="s">
        <v>212</v>
      </c>
      <c r="CA525" s="2" t="s">
        <v>3433</v>
      </c>
      <c r="CB525" s="2" t="s">
        <v>2846</v>
      </c>
      <c r="CC525" s="2" t="s">
        <v>213</v>
      </c>
      <c r="CD525" s="2" t="s">
        <v>200</v>
      </c>
      <c r="CE525" s="4">
        <v>1311</v>
      </c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</row>
    <row r="526">
      <c r="A526" s="2" t="s">
        <v>3482</v>
      </c>
      <c r="B526" s="2" t="s">
        <v>230</v>
      </c>
      <c r="C526" s="2" t="s">
        <v>3397</v>
      </c>
      <c r="D526" s="2" t="s">
        <v>232</v>
      </c>
      <c r="E526" s="2" t="s">
        <v>233</v>
      </c>
      <c r="F526" s="2" t="s">
        <v>3398</v>
      </c>
      <c r="G526" s="2" t="s">
        <v>3398</v>
      </c>
      <c r="H526" s="2" t="s">
        <v>3398</v>
      </c>
      <c r="I526" s="2" t="s">
        <v>3399</v>
      </c>
      <c r="J526" s="2" t="s">
        <v>269</v>
      </c>
      <c r="K526" s="2" t="s">
        <v>3483</v>
      </c>
      <c r="L526" s="3">
        <v>16.16</v>
      </c>
      <c r="M526" s="3">
        <v>16.97</v>
      </c>
      <c r="N526" s="3">
        <v>34.99</v>
      </c>
      <c r="O526" s="2" t="s">
        <v>212</v>
      </c>
      <c r="P526" s="2" t="s">
        <v>258</v>
      </c>
      <c r="Q526" s="2" t="s">
        <v>206</v>
      </c>
      <c r="R526" s="2" t="s">
        <v>200</v>
      </c>
      <c r="S526" s="2" t="s">
        <v>3484</v>
      </c>
      <c r="T526" s="2" t="s">
        <v>3312</v>
      </c>
      <c r="U526" s="2" t="s">
        <v>200</v>
      </c>
      <c r="V526" s="2" t="s">
        <v>3270</v>
      </c>
      <c r="W526" s="2" t="s">
        <v>241</v>
      </c>
      <c r="X526" s="2" t="s">
        <v>200</v>
      </c>
      <c r="Y526" s="2" t="s">
        <v>3402</v>
      </c>
      <c r="Z526" s="4">
        <v>734</v>
      </c>
      <c r="AA526" s="4">
        <f>=ROUNDDOWN(45.875,0)</f>
      </c>
      <c r="AB526" s="5">
        <v>16</v>
      </c>
      <c r="AC526" s="2" t="s">
        <v>200</v>
      </c>
      <c r="AD526" s="4"/>
      <c r="AE526" s="4"/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200</v>
      </c>
      <c r="AM526" s="4"/>
      <c r="AN526" s="4"/>
      <c r="AO526" s="7"/>
      <c r="AP526" s="4"/>
      <c r="AQ526" s="8"/>
      <c r="AR526" s="4"/>
      <c r="AS526" s="8"/>
      <c r="AT526" s="7"/>
      <c r="AU526" s="7"/>
      <c r="AV526" s="4"/>
      <c r="AW526" s="8"/>
      <c r="AX526" s="4"/>
      <c r="AY526" s="8"/>
      <c r="AZ526" s="7"/>
      <c r="BA526" s="7"/>
      <c r="BB526" s="7"/>
      <c r="BC526" s="4" t="s">
        <v>200</v>
      </c>
      <c r="BD526" s="8" t="s">
        <v>200</v>
      </c>
      <c r="BE526" s="4" t="s">
        <v>200</v>
      </c>
      <c r="BF526" s="8" t="s">
        <v>200</v>
      </c>
      <c r="BG526" s="7" t="s">
        <v>200</v>
      </c>
      <c r="BH526" s="7" t="s">
        <v>200</v>
      </c>
      <c r="BI526" s="7"/>
      <c r="BJ526" s="4">
        <v>70</v>
      </c>
      <c r="BK526" s="8">
        <v>1278.32</v>
      </c>
      <c r="BL526" s="2" t="s">
        <v>3485</v>
      </c>
      <c r="BM526" s="7"/>
      <c r="BN526" s="7"/>
      <c r="BO526" s="4"/>
      <c r="BP526" s="8"/>
      <c r="BQ526" s="4"/>
      <c r="BR526" s="8"/>
      <c r="BS526" s="7"/>
      <c r="BT526" s="7"/>
      <c r="BU526" s="2" t="s">
        <v>3486</v>
      </c>
      <c r="BV526" s="2" t="s">
        <v>200</v>
      </c>
      <c r="BW526" s="2" t="s">
        <v>200</v>
      </c>
      <c r="BX526" s="2" t="s">
        <v>264</v>
      </c>
      <c r="BY526" s="2" t="s">
        <v>247</v>
      </c>
      <c r="BZ526" s="2" t="s">
        <v>212</v>
      </c>
      <c r="CA526" s="2" t="s">
        <v>3406</v>
      </c>
      <c r="CB526" s="2" t="s">
        <v>3440</v>
      </c>
      <c r="CC526" s="2" t="s">
        <v>213</v>
      </c>
      <c r="CD526" s="2" t="s">
        <v>200</v>
      </c>
      <c r="CE526" s="4">
        <v>472</v>
      </c>
      <c r="CF526" s="4">
        <v>262</v>
      </c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</row>
    <row r="527">
      <c r="A527" s="2" t="s">
        <v>3487</v>
      </c>
      <c r="B527" s="2" t="s">
        <v>230</v>
      </c>
      <c r="C527" s="2" t="s">
        <v>3397</v>
      </c>
      <c r="D527" s="2" t="s">
        <v>232</v>
      </c>
      <c r="E527" s="2" t="s">
        <v>233</v>
      </c>
      <c r="F527" s="2" t="s">
        <v>3398</v>
      </c>
      <c r="G527" s="2" t="s">
        <v>3398</v>
      </c>
      <c r="H527" s="2" t="s">
        <v>3398</v>
      </c>
      <c r="I527" s="2" t="s">
        <v>3399</v>
      </c>
      <c r="J527" s="2" t="s">
        <v>256</v>
      </c>
      <c r="K527" s="2" t="s">
        <v>3488</v>
      </c>
      <c r="L527" s="3">
        <v>14.89</v>
      </c>
      <c r="M527" s="3">
        <v>15.63</v>
      </c>
      <c r="N527" s="3">
        <v>31.99</v>
      </c>
      <c r="O527" s="2" t="s">
        <v>212</v>
      </c>
      <c r="P527" s="2" t="s">
        <v>258</v>
      </c>
      <c r="Q527" s="2" t="s">
        <v>206</v>
      </c>
      <c r="R527" s="2" t="s">
        <v>200</v>
      </c>
      <c r="S527" s="2" t="s">
        <v>3489</v>
      </c>
      <c r="T527" s="2" t="s">
        <v>3312</v>
      </c>
      <c r="U527" s="2" t="s">
        <v>200</v>
      </c>
      <c r="V527" s="2" t="s">
        <v>3270</v>
      </c>
      <c r="W527" s="2" t="s">
        <v>241</v>
      </c>
      <c r="X527" s="2" t="s">
        <v>200</v>
      </c>
      <c r="Y527" s="2" t="s">
        <v>3402</v>
      </c>
      <c r="Z527" s="4">
        <v>1051</v>
      </c>
      <c r="AA527" s="4">
        <f>=ROUNDDOWN(27.6578947368421,0)</f>
      </c>
      <c r="AB527" s="5">
        <v>38</v>
      </c>
      <c r="AC527" s="2" t="s">
        <v>3403</v>
      </c>
      <c r="AD527" s="4">
        <v>190</v>
      </c>
      <c r="AE527" s="4">
        <v>190</v>
      </c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200</v>
      </c>
      <c r="AM527" s="4"/>
      <c r="AN527" s="4"/>
      <c r="AO527" s="7"/>
      <c r="AP527" s="4"/>
      <c r="AQ527" s="8"/>
      <c r="AR527" s="4"/>
      <c r="AS527" s="8"/>
      <c r="AT527" s="7"/>
      <c r="AU527" s="7"/>
      <c r="AV527" s="4"/>
      <c r="AW527" s="8"/>
      <c r="AX527" s="4"/>
      <c r="AY527" s="8"/>
      <c r="AZ527" s="7"/>
      <c r="BA527" s="7"/>
      <c r="BB527" s="7"/>
      <c r="BC527" s="4" t="s">
        <v>200</v>
      </c>
      <c r="BD527" s="8" t="s">
        <v>200</v>
      </c>
      <c r="BE527" s="4" t="s">
        <v>200</v>
      </c>
      <c r="BF527" s="8" t="s">
        <v>200</v>
      </c>
      <c r="BG527" s="7" t="s">
        <v>200</v>
      </c>
      <c r="BH527" s="7" t="s">
        <v>200</v>
      </c>
      <c r="BI527" s="7"/>
      <c r="BJ527" s="4">
        <v>212</v>
      </c>
      <c r="BK527" s="8">
        <v>3501.38</v>
      </c>
      <c r="BL527" s="2" t="s">
        <v>3490</v>
      </c>
      <c r="BM527" s="7"/>
      <c r="BN527" s="7"/>
      <c r="BO527" s="4"/>
      <c r="BP527" s="8"/>
      <c r="BQ527" s="4"/>
      <c r="BR527" s="8"/>
      <c r="BS527" s="7"/>
      <c r="BT527" s="7"/>
      <c r="BU527" s="2" t="s">
        <v>3491</v>
      </c>
      <c r="BV527" s="2" t="s">
        <v>200</v>
      </c>
      <c r="BW527" s="2" t="s">
        <v>200</v>
      </c>
      <c r="BX527" s="2" t="s">
        <v>264</v>
      </c>
      <c r="BY527" s="2" t="s">
        <v>247</v>
      </c>
      <c r="BZ527" s="2" t="s">
        <v>212</v>
      </c>
      <c r="CA527" s="2" t="s">
        <v>3406</v>
      </c>
      <c r="CB527" s="2" t="s">
        <v>3407</v>
      </c>
      <c r="CC527" s="2" t="s">
        <v>213</v>
      </c>
      <c r="CD527" s="2" t="s">
        <v>200</v>
      </c>
      <c r="CE527" s="4">
        <v>1051</v>
      </c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>
        <v>190</v>
      </c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</row>
    <row r="528">
      <c r="A528" s="2" t="s">
        <v>3492</v>
      </c>
      <c r="B528" s="2" t="s">
        <v>230</v>
      </c>
      <c r="C528" s="2" t="s">
        <v>3397</v>
      </c>
      <c r="D528" s="2" t="s">
        <v>232</v>
      </c>
      <c r="E528" s="2" t="s">
        <v>233</v>
      </c>
      <c r="F528" s="2" t="s">
        <v>3398</v>
      </c>
      <c r="G528" s="2" t="s">
        <v>3398</v>
      </c>
      <c r="H528" s="2" t="s">
        <v>3398</v>
      </c>
      <c r="I528" s="2" t="s">
        <v>3399</v>
      </c>
      <c r="J528" s="2" t="s">
        <v>302</v>
      </c>
      <c r="K528" s="2" t="s">
        <v>3493</v>
      </c>
      <c r="L528" s="3">
        <v>27.39</v>
      </c>
      <c r="M528" s="3">
        <v>28.76</v>
      </c>
      <c r="N528" s="3">
        <v>62.99</v>
      </c>
      <c r="O528" s="2" t="s">
        <v>212</v>
      </c>
      <c r="P528" s="2" t="s">
        <v>258</v>
      </c>
      <c r="Q528" s="2" t="s">
        <v>206</v>
      </c>
      <c r="R528" s="2" t="s">
        <v>200</v>
      </c>
      <c r="S528" s="2" t="s">
        <v>3494</v>
      </c>
      <c r="T528" s="2" t="s">
        <v>3312</v>
      </c>
      <c r="U528" s="2" t="s">
        <v>240</v>
      </c>
      <c r="V528" s="2" t="s">
        <v>3270</v>
      </c>
      <c r="W528" s="2" t="s">
        <v>241</v>
      </c>
      <c r="X528" s="2" t="s">
        <v>1900</v>
      </c>
      <c r="Y528" s="2" t="s">
        <v>3495</v>
      </c>
      <c r="Z528" s="4">
        <v>311</v>
      </c>
      <c r="AA528" s="4">
        <f>=ROUNDDOWN(16.3684210526316,0)</f>
      </c>
      <c r="AB528" s="5">
        <v>19</v>
      </c>
      <c r="AC528" s="2" t="s">
        <v>200</v>
      </c>
      <c r="AD528" s="4"/>
      <c r="AE528" s="4"/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200</v>
      </c>
      <c r="AM528" s="4"/>
      <c r="AN528" s="4"/>
      <c r="AO528" s="7"/>
      <c r="AP528" s="4"/>
      <c r="AQ528" s="8"/>
      <c r="AR528" s="4"/>
      <c r="AS528" s="8"/>
      <c r="AT528" s="7"/>
      <c r="AU528" s="7"/>
      <c r="AV528" s="4"/>
      <c r="AW528" s="8"/>
      <c r="AX528" s="4"/>
      <c r="AY528" s="8"/>
      <c r="AZ528" s="7"/>
      <c r="BA528" s="7"/>
      <c r="BB528" s="7"/>
      <c r="BC528" s="4" t="s">
        <v>200</v>
      </c>
      <c r="BD528" s="8" t="s">
        <v>200</v>
      </c>
      <c r="BE528" s="4" t="s">
        <v>200</v>
      </c>
      <c r="BF528" s="8" t="s">
        <v>200</v>
      </c>
      <c r="BG528" s="7" t="s">
        <v>200</v>
      </c>
      <c r="BH528" s="7" t="s">
        <v>200</v>
      </c>
      <c r="BI528" s="7"/>
      <c r="BJ528" s="4">
        <v>191</v>
      </c>
      <c r="BK528" s="8">
        <v>5853.01</v>
      </c>
      <c r="BL528" s="2" t="s">
        <v>3496</v>
      </c>
      <c r="BM528" s="7"/>
      <c r="BN528" s="7"/>
      <c r="BO528" s="4"/>
      <c r="BP528" s="8"/>
      <c r="BQ528" s="4"/>
      <c r="BR528" s="8"/>
      <c r="BS528" s="7"/>
      <c r="BT528" s="7"/>
      <c r="BU528" s="2" t="s">
        <v>3497</v>
      </c>
      <c r="BV528" s="2" t="s">
        <v>200</v>
      </c>
      <c r="BW528" s="2" t="s">
        <v>200</v>
      </c>
      <c r="BX528" s="2" t="s">
        <v>264</v>
      </c>
      <c r="BY528" s="2" t="s">
        <v>247</v>
      </c>
      <c r="BZ528" s="2" t="s">
        <v>212</v>
      </c>
      <c r="CA528" s="2" t="s">
        <v>1923</v>
      </c>
      <c r="CB528" s="2" t="s">
        <v>3498</v>
      </c>
      <c r="CC528" s="2" t="s">
        <v>213</v>
      </c>
      <c r="CD528" s="2" t="s">
        <v>200</v>
      </c>
      <c r="CE528" s="4">
        <v>311</v>
      </c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</row>
    <row r="529">
      <c r="A529" s="2" t="s">
        <v>3499</v>
      </c>
      <c r="B529" s="2" t="s">
        <v>230</v>
      </c>
      <c r="C529" s="2" t="s">
        <v>3397</v>
      </c>
      <c r="D529" s="2" t="s">
        <v>232</v>
      </c>
      <c r="E529" s="2" t="s">
        <v>233</v>
      </c>
      <c r="F529" s="2" t="s">
        <v>3398</v>
      </c>
      <c r="G529" s="2" t="s">
        <v>3398</v>
      </c>
      <c r="H529" s="2" t="s">
        <v>3398</v>
      </c>
      <c r="I529" s="2" t="s">
        <v>3399</v>
      </c>
      <c r="J529" s="2" t="s">
        <v>302</v>
      </c>
      <c r="K529" s="2" t="s">
        <v>3500</v>
      </c>
      <c r="L529" s="3">
        <v>27.39</v>
      </c>
      <c r="M529" s="3">
        <v>28.76</v>
      </c>
      <c r="N529" s="3">
        <v>62.99</v>
      </c>
      <c r="O529" s="2" t="s">
        <v>212</v>
      </c>
      <c r="P529" s="2" t="s">
        <v>258</v>
      </c>
      <c r="Q529" s="2" t="s">
        <v>206</v>
      </c>
      <c r="R529" s="2" t="s">
        <v>200</v>
      </c>
      <c r="S529" s="2" t="s">
        <v>3501</v>
      </c>
      <c r="T529" s="2" t="s">
        <v>3312</v>
      </c>
      <c r="U529" s="2" t="s">
        <v>200</v>
      </c>
      <c r="V529" s="2" t="s">
        <v>3270</v>
      </c>
      <c r="W529" s="2" t="s">
        <v>241</v>
      </c>
      <c r="X529" s="2" t="s">
        <v>200</v>
      </c>
      <c r="Y529" s="2" t="s">
        <v>3402</v>
      </c>
      <c r="Z529" s="4">
        <v>612</v>
      </c>
      <c r="AA529" s="4">
        <f>=ROUNDDOWN(68,0)</f>
      </c>
      <c r="AB529" s="5">
        <v>9</v>
      </c>
      <c r="AC529" s="2" t="s">
        <v>200</v>
      </c>
      <c r="AD529" s="4"/>
      <c r="AE529" s="4"/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200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/>
      <c r="AW529" s="8"/>
      <c r="AX529" s="4"/>
      <c r="AY529" s="8"/>
      <c r="AZ529" s="7"/>
      <c r="BA529" s="7"/>
      <c r="BB529" s="7"/>
      <c r="BC529" s="4" t="s">
        <v>200</v>
      </c>
      <c r="BD529" s="8" t="s">
        <v>200</v>
      </c>
      <c r="BE529" s="4" t="s">
        <v>200</v>
      </c>
      <c r="BF529" s="8" t="s">
        <v>200</v>
      </c>
      <c r="BG529" s="7" t="s">
        <v>200</v>
      </c>
      <c r="BH529" s="7" t="s">
        <v>200</v>
      </c>
      <c r="BI529" s="7"/>
      <c r="BJ529" s="4">
        <v>31</v>
      </c>
      <c r="BK529" s="8">
        <v>948.27</v>
      </c>
      <c r="BL529" s="2" t="s">
        <v>3502</v>
      </c>
      <c r="BM529" s="7"/>
      <c r="BN529" s="7"/>
      <c r="BO529" s="4"/>
      <c r="BP529" s="8"/>
      <c r="BQ529" s="4"/>
      <c r="BR529" s="8"/>
      <c r="BS529" s="7"/>
      <c r="BT529" s="7"/>
      <c r="BU529" s="2" t="s">
        <v>3503</v>
      </c>
      <c r="BV529" s="2" t="s">
        <v>200</v>
      </c>
      <c r="BW529" s="2" t="s">
        <v>200</v>
      </c>
      <c r="BX529" s="2" t="s">
        <v>264</v>
      </c>
      <c r="BY529" s="2" t="s">
        <v>247</v>
      </c>
      <c r="BZ529" s="2" t="s">
        <v>212</v>
      </c>
      <c r="CA529" s="2" t="s">
        <v>3406</v>
      </c>
      <c r="CB529" s="2" t="s">
        <v>3504</v>
      </c>
      <c r="CC529" s="2" t="s">
        <v>213</v>
      </c>
      <c r="CD529" s="2" t="s">
        <v>200</v>
      </c>
      <c r="CE529" s="4">
        <v>612</v>
      </c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</row>
    <row r="530">
      <c r="A530" s="2" t="s">
        <v>3505</v>
      </c>
      <c r="B530" s="2" t="s">
        <v>230</v>
      </c>
      <c r="C530" s="2" t="s">
        <v>3397</v>
      </c>
      <c r="D530" s="2" t="s">
        <v>232</v>
      </c>
      <c r="E530" s="2" t="s">
        <v>233</v>
      </c>
      <c r="F530" s="2" t="s">
        <v>3398</v>
      </c>
      <c r="G530" s="2" t="s">
        <v>3398</v>
      </c>
      <c r="H530" s="2" t="s">
        <v>3398</v>
      </c>
      <c r="I530" s="2" t="s">
        <v>3399</v>
      </c>
      <c r="J530" s="2" t="s">
        <v>277</v>
      </c>
      <c r="K530" s="2" t="s">
        <v>3506</v>
      </c>
      <c r="L530" s="3">
        <v>19.57</v>
      </c>
      <c r="M530" s="3">
        <v>20.55</v>
      </c>
      <c r="N530" s="3">
        <v>42.99</v>
      </c>
      <c r="O530" s="2" t="s">
        <v>212</v>
      </c>
      <c r="P530" s="2" t="s">
        <v>258</v>
      </c>
      <c r="Q530" s="2" t="s">
        <v>206</v>
      </c>
      <c r="R530" s="2" t="s">
        <v>200</v>
      </c>
      <c r="S530" s="2" t="s">
        <v>3507</v>
      </c>
      <c r="T530" s="2" t="s">
        <v>3312</v>
      </c>
      <c r="U530" s="2" t="s">
        <v>200</v>
      </c>
      <c r="V530" s="2" t="s">
        <v>1198</v>
      </c>
      <c r="W530" s="2" t="s">
        <v>241</v>
      </c>
      <c r="X530" s="2" t="s">
        <v>200</v>
      </c>
      <c r="Y530" s="2" t="s">
        <v>3464</v>
      </c>
      <c r="Z530" s="4">
        <v>1488</v>
      </c>
      <c r="AA530" s="4">
        <f>=ROUNDDOWN(67.6363636363636,0)</f>
      </c>
      <c r="AB530" s="5">
        <v>22</v>
      </c>
      <c r="AC530" s="2" t="s">
        <v>200</v>
      </c>
      <c r="AD530" s="4"/>
      <c r="AE530" s="4"/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200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 t="s">
        <v>200</v>
      </c>
      <c r="AW530" s="8" t="s">
        <v>200</v>
      </c>
      <c r="AX530" s="4" t="s">
        <v>200</v>
      </c>
      <c r="AY530" s="8" t="s">
        <v>200</v>
      </c>
      <c r="AZ530" s="7" t="s">
        <v>200</v>
      </c>
      <c r="BA530" s="7" t="s">
        <v>200</v>
      </c>
      <c r="BB530" s="7"/>
      <c r="BC530" s="4" t="s">
        <v>200</v>
      </c>
      <c r="BD530" s="8" t="s">
        <v>200</v>
      </c>
      <c r="BE530" s="4" t="s">
        <v>200</v>
      </c>
      <c r="BF530" s="8" t="s">
        <v>200</v>
      </c>
      <c r="BG530" s="7" t="s">
        <v>200</v>
      </c>
      <c r="BH530" s="7" t="s">
        <v>200</v>
      </c>
      <c r="BI530" s="7"/>
      <c r="BJ530" s="4">
        <v>217</v>
      </c>
      <c r="BK530" s="8">
        <v>4762.21</v>
      </c>
      <c r="BL530" s="2" t="s">
        <v>3508</v>
      </c>
      <c r="BM530" s="7"/>
      <c r="BN530" s="7"/>
      <c r="BO530" s="4"/>
      <c r="BP530" s="8"/>
      <c r="BQ530" s="4"/>
      <c r="BR530" s="8"/>
      <c r="BS530" s="7"/>
      <c r="BT530" s="7"/>
      <c r="BU530" s="2" t="s">
        <v>3509</v>
      </c>
      <c r="BV530" s="2" t="s">
        <v>200</v>
      </c>
      <c r="BW530" s="2" t="s">
        <v>200</v>
      </c>
      <c r="BX530" s="2" t="s">
        <v>264</v>
      </c>
      <c r="BY530" s="2" t="s">
        <v>247</v>
      </c>
      <c r="BZ530" s="2" t="s">
        <v>212</v>
      </c>
      <c r="CA530" s="2" t="s">
        <v>3406</v>
      </c>
      <c r="CB530" s="2" t="s">
        <v>663</v>
      </c>
      <c r="CC530" s="2" t="s">
        <v>213</v>
      </c>
      <c r="CD530" s="2" t="s">
        <v>200</v>
      </c>
      <c r="CE530" s="4">
        <v>736</v>
      </c>
      <c r="CF530" s="4">
        <v>752</v>
      </c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</row>
    <row r="531">
      <c r="A531" s="2" t="s">
        <v>3510</v>
      </c>
      <c r="B531" s="2" t="s">
        <v>230</v>
      </c>
      <c r="C531" s="2" t="s">
        <v>3397</v>
      </c>
      <c r="D531" s="2" t="s">
        <v>232</v>
      </c>
      <c r="E531" s="2" t="s">
        <v>233</v>
      </c>
      <c r="F531" s="2" t="s">
        <v>3398</v>
      </c>
      <c r="G531" s="2" t="s">
        <v>3398</v>
      </c>
      <c r="H531" s="2" t="s">
        <v>3398</v>
      </c>
      <c r="I531" s="2" t="s">
        <v>3399</v>
      </c>
      <c r="J531" s="2" t="s">
        <v>297</v>
      </c>
      <c r="K531" s="2" t="s">
        <v>3506</v>
      </c>
      <c r="L531" s="3">
        <v>22.21</v>
      </c>
      <c r="M531" s="3">
        <v>23.32</v>
      </c>
      <c r="N531" s="3">
        <v>47.99</v>
      </c>
      <c r="O531" s="2" t="s">
        <v>212</v>
      </c>
      <c r="P531" s="2" t="s">
        <v>1247</v>
      </c>
      <c r="Q531" s="2" t="s">
        <v>206</v>
      </c>
      <c r="R531" s="2" t="s">
        <v>200</v>
      </c>
      <c r="S531" s="2" t="s">
        <v>3507</v>
      </c>
      <c r="T531" s="2" t="s">
        <v>3312</v>
      </c>
      <c r="U531" s="2" t="s">
        <v>200</v>
      </c>
      <c r="V531" s="2" t="s">
        <v>1198</v>
      </c>
      <c r="W531" s="2" t="s">
        <v>241</v>
      </c>
      <c r="X531" s="2" t="s">
        <v>200</v>
      </c>
      <c r="Y531" s="2" t="s">
        <v>3464</v>
      </c>
      <c r="Z531" s="4">
        <v>1359</v>
      </c>
      <c r="AA531" s="4">
        <f>=ROUNDDOWN(38.8285714285714,0)</f>
      </c>
      <c r="AB531" s="5">
        <v>35</v>
      </c>
      <c r="AC531" s="2" t="s">
        <v>200</v>
      </c>
      <c r="AD531" s="4"/>
      <c r="AE531" s="4"/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200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 t="s">
        <v>200</v>
      </c>
      <c r="AW531" s="8" t="s">
        <v>200</v>
      </c>
      <c r="AX531" s="4" t="s">
        <v>200</v>
      </c>
      <c r="AY531" s="8" t="s">
        <v>200</v>
      </c>
      <c r="AZ531" s="7" t="s">
        <v>200</v>
      </c>
      <c r="BA531" s="7" t="s">
        <v>200</v>
      </c>
      <c r="BB531" s="7"/>
      <c r="BC531" s="4" t="s">
        <v>200</v>
      </c>
      <c r="BD531" s="8" t="s">
        <v>200</v>
      </c>
      <c r="BE531" s="4" t="s">
        <v>200</v>
      </c>
      <c r="BF531" s="8" t="s">
        <v>200</v>
      </c>
      <c r="BG531" s="7" t="s">
        <v>200</v>
      </c>
      <c r="BH531" s="7" t="s">
        <v>200</v>
      </c>
      <c r="BI531" s="7"/>
      <c r="BJ531" s="4">
        <v>166</v>
      </c>
      <c r="BK531" s="8">
        <v>4007.75</v>
      </c>
      <c r="BL531" s="2" t="s">
        <v>3471</v>
      </c>
      <c r="BM531" s="7"/>
      <c r="BN531" s="7"/>
      <c r="BO531" s="4"/>
      <c r="BP531" s="8"/>
      <c r="BQ531" s="4"/>
      <c r="BR531" s="8"/>
      <c r="BS531" s="7"/>
      <c r="BT531" s="7"/>
      <c r="BU531" s="2" t="s">
        <v>3511</v>
      </c>
      <c r="BV531" s="2" t="s">
        <v>200</v>
      </c>
      <c r="BW531" s="2" t="s">
        <v>200</v>
      </c>
      <c r="BX531" s="2" t="s">
        <v>264</v>
      </c>
      <c r="BY531" s="2" t="s">
        <v>247</v>
      </c>
      <c r="BZ531" s="2" t="s">
        <v>212</v>
      </c>
      <c r="CA531" s="2" t="s">
        <v>3406</v>
      </c>
      <c r="CB531" s="2" t="s">
        <v>3512</v>
      </c>
      <c r="CC531" s="2" t="s">
        <v>213</v>
      </c>
      <c r="CD531" s="2" t="s">
        <v>200</v>
      </c>
      <c r="CE531" s="4">
        <v>576</v>
      </c>
      <c r="CF531" s="4">
        <v>783</v>
      </c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</row>
    <row r="532">
      <c r="A532" s="2" t="s">
        <v>3513</v>
      </c>
      <c r="B532" s="2" t="s">
        <v>230</v>
      </c>
      <c r="C532" s="2" t="s">
        <v>3397</v>
      </c>
      <c r="D532" s="2" t="s">
        <v>232</v>
      </c>
      <c r="E532" s="2" t="s">
        <v>233</v>
      </c>
      <c r="F532" s="2" t="s">
        <v>3398</v>
      </c>
      <c r="G532" s="2" t="s">
        <v>3398</v>
      </c>
      <c r="H532" s="2" t="s">
        <v>3398</v>
      </c>
      <c r="I532" s="2" t="s">
        <v>3399</v>
      </c>
      <c r="J532" s="2" t="s">
        <v>302</v>
      </c>
      <c r="K532" s="2" t="s">
        <v>3506</v>
      </c>
      <c r="L532" s="3">
        <v>27.39</v>
      </c>
      <c r="M532" s="3">
        <v>28.76</v>
      </c>
      <c r="N532" s="3">
        <v>62.99</v>
      </c>
      <c r="O532" s="2" t="s">
        <v>212</v>
      </c>
      <c r="P532" s="2" t="s">
        <v>258</v>
      </c>
      <c r="Q532" s="2" t="s">
        <v>206</v>
      </c>
      <c r="R532" s="2" t="s">
        <v>200</v>
      </c>
      <c r="S532" s="2" t="s">
        <v>3507</v>
      </c>
      <c r="T532" s="2" t="s">
        <v>3312</v>
      </c>
      <c r="U532" s="2" t="s">
        <v>200</v>
      </c>
      <c r="V532" s="2" t="s">
        <v>1198</v>
      </c>
      <c r="W532" s="2" t="s">
        <v>241</v>
      </c>
      <c r="X532" s="2" t="s">
        <v>200</v>
      </c>
      <c r="Y532" s="2" t="s">
        <v>3464</v>
      </c>
      <c r="Z532" s="4">
        <v>819</v>
      </c>
      <c r="AA532" s="4">
        <f>=ROUNDDOWN(68.25,0)</f>
      </c>
      <c r="AB532" s="5">
        <v>12</v>
      </c>
      <c r="AC532" s="2" t="s">
        <v>200</v>
      </c>
      <c r="AD532" s="4"/>
      <c r="AE532" s="4"/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200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 t="s">
        <v>200</v>
      </c>
      <c r="AW532" s="8" t="s">
        <v>200</v>
      </c>
      <c r="AX532" s="4" t="s">
        <v>200</v>
      </c>
      <c r="AY532" s="8" t="s">
        <v>200</v>
      </c>
      <c r="AZ532" s="7" t="s">
        <v>200</v>
      </c>
      <c r="BA532" s="7" t="s">
        <v>200</v>
      </c>
      <c r="BB532" s="7"/>
      <c r="BC532" s="4" t="s">
        <v>200</v>
      </c>
      <c r="BD532" s="8" t="s">
        <v>200</v>
      </c>
      <c r="BE532" s="4" t="s">
        <v>200</v>
      </c>
      <c r="BF532" s="8" t="s">
        <v>200</v>
      </c>
      <c r="BG532" s="7" t="s">
        <v>200</v>
      </c>
      <c r="BH532" s="7" t="s">
        <v>200</v>
      </c>
      <c r="BI532" s="7"/>
      <c r="BJ532" s="4">
        <v>89</v>
      </c>
      <c r="BK532" s="8">
        <v>2640.27</v>
      </c>
      <c r="BL532" s="2" t="s">
        <v>3514</v>
      </c>
      <c r="BM532" s="7"/>
      <c r="BN532" s="7"/>
      <c r="BO532" s="4"/>
      <c r="BP532" s="8"/>
      <c r="BQ532" s="4"/>
      <c r="BR532" s="8"/>
      <c r="BS532" s="7"/>
      <c r="BT532" s="7"/>
      <c r="BU532" s="2" t="s">
        <v>3515</v>
      </c>
      <c r="BV532" s="2" t="s">
        <v>200</v>
      </c>
      <c r="BW532" s="2" t="s">
        <v>200</v>
      </c>
      <c r="BX532" s="2" t="s">
        <v>264</v>
      </c>
      <c r="BY532" s="2" t="s">
        <v>247</v>
      </c>
      <c r="BZ532" s="2" t="s">
        <v>212</v>
      </c>
      <c r="CA532" s="2" t="s">
        <v>3406</v>
      </c>
      <c r="CB532" s="2" t="s">
        <v>3516</v>
      </c>
      <c r="CC532" s="2" t="s">
        <v>213</v>
      </c>
      <c r="CD532" s="2" t="s">
        <v>200</v>
      </c>
      <c r="CE532" s="4">
        <v>456</v>
      </c>
      <c r="CF532" s="4">
        <v>363</v>
      </c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</row>
    <row r="533">
      <c r="A533" s="2" t="s">
        <v>3517</v>
      </c>
      <c r="B533" s="2" t="s">
        <v>230</v>
      </c>
      <c r="C533" s="2" t="s">
        <v>3397</v>
      </c>
      <c r="D533" s="2" t="s">
        <v>232</v>
      </c>
      <c r="E533" s="2" t="s">
        <v>233</v>
      </c>
      <c r="F533" s="2" t="s">
        <v>3398</v>
      </c>
      <c r="G533" s="2" t="s">
        <v>3398</v>
      </c>
      <c r="H533" s="2" t="s">
        <v>3398</v>
      </c>
      <c r="I533" s="2" t="s">
        <v>3399</v>
      </c>
      <c r="J533" s="2" t="s">
        <v>256</v>
      </c>
      <c r="K533" s="2" t="s">
        <v>3518</v>
      </c>
      <c r="L533" s="3">
        <v>14.89</v>
      </c>
      <c r="M533" s="3">
        <v>15.63</v>
      </c>
      <c r="N533" s="3">
        <v>31.99</v>
      </c>
      <c r="O533" s="2" t="s">
        <v>212</v>
      </c>
      <c r="P533" s="2" t="s">
        <v>3519</v>
      </c>
      <c r="Q533" s="2" t="s">
        <v>206</v>
      </c>
      <c r="R533" s="2" t="s">
        <v>200</v>
      </c>
      <c r="S533" s="2" t="s">
        <v>3520</v>
      </c>
      <c r="T533" s="2" t="s">
        <v>3312</v>
      </c>
      <c r="U533" s="2" t="s">
        <v>200</v>
      </c>
      <c r="V533" s="2" t="s">
        <v>3270</v>
      </c>
      <c r="W533" s="2" t="s">
        <v>241</v>
      </c>
      <c r="X533" s="2" t="s">
        <v>200</v>
      </c>
      <c r="Y533" s="2" t="s">
        <v>3521</v>
      </c>
      <c r="Z533" s="4">
        <v>990</v>
      </c>
      <c r="AA533" s="4">
        <f>=ROUNDDOWN(17.3684210526316,0)</f>
      </c>
      <c r="AB533" s="5">
        <v>57</v>
      </c>
      <c r="AC533" s="2" t="s">
        <v>123</v>
      </c>
      <c r="AD533" s="4">
        <v>329</v>
      </c>
      <c r="AE533" s="4">
        <v>329</v>
      </c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200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 t="s">
        <v>200</v>
      </c>
      <c r="AW533" s="8" t="s">
        <v>200</v>
      </c>
      <c r="AX533" s="4" t="s">
        <v>200</v>
      </c>
      <c r="AY533" s="8" t="s">
        <v>200</v>
      </c>
      <c r="AZ533" s="7" t="s">
        <v>200</v>
      </c>
      <c r="BA533" s="7" t="s">
        <v>200</v>
      </c>
      <c r="BB533" s="7"/>
      <c r="BC533" s="4" t="s">
        <v>200</v>
      </c>
      <c r="BD533" s="8" t="s">
        <v>200</v>
      </c>
      <c r="BE533" s="4" t="s">
        <v>200</v>
      </c>
      <c r="BF533" s="8" t="s">
        <v>200</v>
      </c>
      <c r="BG533" s="7" t="s">
        <v>200</v>
      </c>
      <c r="BH533" s="7" t="s">
        <v>200</v>
      </c>
      <c r="BI533" s="7"/>
      <c r="BJ533" s="4">
        <v>631</v>
      </c>
      <c r="BK533" s="8">
        <v>10021.35</v>
      </c>
      <c r="BL533" s="2" t="s">
        <v>3522</v>
      </c>
      <c r="BM533" s="7"/>
      <c r="BN533" s="7"/>
      <c r="BO533" s="4"/>
      <c r="BP533" s="8"/>
      <c r="BQ533" s="4"/>
      <c r="BR533" s="8"/>
      <c r="BS533" s="7"/>
      <c r="BT533" s="7"/>
      <c r="BU533" s="2" t="s">
        <v>3523</v>
      </c>
      <c r="BV533" s="2" t="s">
        <v>200</v>
      </c>
      <c r="BW533" s="2" t="s">
        <v>200</v>
      </c>
      <c r="BX533" s="2" t="s">
        <v>264</v>
      </c>
      <c r="BY533" s="2" t="s">
        <v>247</v>
      </c>
      <c r="BZ533" s="2" t="s">
        <v>212</v>
      </c>
      <c r="CA533" s="2" t="s">
        <v>3433</v>
      </c>
      <c r="CB533" s="2" t="s">
        <v>3524</v>
      </c>
      <c r="CC533" s="2" t="s">
        <v>213</v>
      </c>
      <c r="CD533" s="2" t="s">
        <v>200</v>
      </c>
      <c r="CE533" s="4">
        <v>987</v>
      </c>
      <c r="CF533" s="4">
        <v>3</v>
      </c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>
        <v>329</v>
      </c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</row>
    <row r="534">
      <c r="A534" s="2" t="s">
        <v>3525</v>
      </c>
      <c r="B534" s="2" t="s">
        <v>230</v>
      </c>
      <c r="C534" s="2" t="s">
        <v>3397</v>
      </c>
      <c r="D534" s="2" t="s">
        <v>232</v>
      </c>
      <c r="E534" s="2" t="s">
        <v>233</v>
      </c>
      <c r="F534" s="2" t="s">
        <v>3398</v>
      </c>
      <c r="G534" s="2" t="s">
        <v>3398</v>
      </c>
      <c r="H534" s="2" t="s">
        <v>3398</v>
      </c>
      <c r="I534" s="2" t="s">
        <v>3399</v>
      </c>
      <c r="J534" s="2" t="s">
        <v>302</v>
      </c>
      <c r="K534" s="2" t="s">
        <v>3518</v>
      </c>
      <c r="L534" s="3">
        <v>27.39</v>
      </c>
      <c r="M534" s="3">
        <v>28.76</v>
      </c>
      <c r="N534" s="3">
        <v>62.99</v>
      </c>
      <c r="O534" s="2" t="s">
        <v>212</v>
      </c>
      <c r="P534" s="2" t="s">
        <v>1247</v>
      </c>
      <c r="Q534" s="2" t="s">
        <v>206</v>
      </c>
      <c r="R534" s="2" t="s">
        <v>200</v>
      </c>
      <c r="S534" s="2" t="s">
        <v>3520</v>
      </c>
      <c r="T534" s="2" t="s">
        <v>3312</v>
      </c>
      <c r="U534" s="2" t="s">
        <v>200</v>
      </c>
      <c r="V534" s="2" t="s">
        <v>3270</v>
      </c>
      <c r="W534" s="2" t="s">
        <v>241</v>
      </c>
      <c r="X534" s="2" t="s">
        <v>200</v>
      </c>
      <c r="Y534" s="2" t="s">
        <v>3526</v>
      </c>
      <c r="Z534" s="4">
        <v>1550</v>
      </c>
      <c r="AA534" s="4">
        <f>=ROUNDDOWN(86.1111111111111,0)</f>
      </c>
      <c r="AB534" s="5">
        <v>18</v>
      </c>
      <c r="AC534" s="2" t="s">
        <v>123</v>
      </c>
      <c r="AD534" s="4">
        <v>52</v>
      </c>
      <c r="AE534" s="4">
        <v>52</v>
      </c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200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 t="s">
        <v>200</v>
      </c>
      <c r="AW534" s="8" t="s">
        <v>200</v>
      </c>
      <c r="AX534" s="4" t="s">
        <v>200</v>
      </c>
      <c r="AY534" s="8" t="s">
        <v>200</v>
      </c>
      <c r="AZ534" s="7" t="s">
        <v>200</v>
      </c>
      <c r="BA534" s="7" t="s">
        <v>200</v>
      </c>
      <c r="BB534" s="7"/>
      <c r="BC534" s="4" t="s">
        <v>200</v>
      </c>
      <c r="BD534" s="8" t="s">
        <v>200</v>
      </c>
      <c r="BE534" s="4" t="s">
        <v>200</v>
      </c>
      <c r="BF534" s="8" t="s">
        <v>200</v>
      </c>
      <c r="BG534" s="7" t="s">
        <v>200</v>
      </c>
      <c r="BH534" s="7" t="s">
        <v>200</v>
      </c>
      <c r="BI534" s="7"/>
      <c r="BJ534" s="4">
        <v>156</v>
      </c>
      <c r="BK534" s="8">
        <v>4539.49</v>
      </c>
      <c r="BL534" s="2" t="s">
        <v>3527</v>
      </c>
      <c r="BM534" s="7"/>
      <c r="BN534" s="7"/>
      <c r="BO534" s="4"/>
      <c r="BP534" s="8"/>
      <c r="BQ534" s="4"/>
      <c r="BR534" s="8"/>
      <c r="BS534" s="7"/>
      <c r="BT534" s="7"/>
      <c r="BU534" s="2" t="s">
        <v>3528</v>
      </c>
      <c r="BV534" s="2" t="s">
        <v>200</v>
      </c>
      <c r="BW534" s="2" t="s">
        <v>200</v>
      </c>
      <c r="BX534" s="2" t="s">
        <v>264</v>
      </c>
      <c r="BY534" s="2" t="s">
        <v>247</v>
      </c>
      <c r="BZ534" s="2" t="s">
        <v>212</v>
      </c>
      <c r="CA534" s="2" t="s">
        <v>3433</v>
      </c>
      <c r="CB534" s="2" t="s">
        <v>3529</v>
      </c>
      <c r="CC534" s="2" t="s">
        <v>213</v>
      </c>
      <c r="CD534" s="2" t="s">
        <v>200</v>
      </c>
      <c r="CE534" s="4">
        <v>838</v>
      </c>
      <c r="CF534" s="4">
        <v>712</v>
      </c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>
        <v>52</v>
      </c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</row>
    <row r="535">
      <c r="A535" s="2" t="s">
        <v>3530</v>
      </c>
      <c r="B535" s="2" t="s">
        <v>230</v>
      </c>
      <c r="C535" s="2" t="s">
        <v>3397</v>
      </c>
      <c r="D535" s="2" t="s">
        <v>232</v>
      </c>
      <c r="E535" s="2" t="s">
        <v>233</v>
      </c>
      <c r="F535" s="2" t="s">
        <v>3398</v>
      </c>
      <c r="G535" s="2" t="s">
        <v>3398</v>
      </c>
      <c r="H535" s="2" t="s">
        <v>3398</v>
      </c>
      <c r="I535" s="2" t="s">
        <v>3399</v>
      </c>
      <c r="J535" s="2" t="s">
        <v>236</v>
      </c>
      <c r="K535" s="2" t="s">
        <v>3363</v>
      </c>
      <c r="L535" s="3">
        <v>27.39</v>
      </c>
      <c r="M535" s="3">
        <v>28.76</v>
      </c>
      <c r="N535" s="3">
        <v>62.99</v>
      </c>
      <c r="O535" s="2" t="s">
        <v>212</v>
      </c>
      <c r="P535" s="2" t="s">
        <v>258</v>
      </c>
      <c r="Q535" s="2" t="s">
        <v>206</v>
      </c>
      <c r="R535" s="2" t="s">
        <v>200</v>
      </c>
      <c r="S535" s="2" t="s">
        <v>3531</v>
      </c>
      <c r="T535" s="2" t="s">
        <v>3312</v>
      </c>
      <c r="U535" s="2" t="s">
        <v>200</v>
      </c>
      <c r="V535" s="2" t="s">
        <v>1198</v>
      </c>
      <c r="W535" s="2" t="s">
        <v>241</v>
      </c>
      <c r="X535" s="2" t="s">
        <v>200</v>
      </c>
      <c r="Y535" s="2" t="s">
        <v>3521</v>
      </c>
      <c r="Z535" s="4">
        <v>333</v>
      </c>
      <c r="AA535" s="4">
        <f>=ROUNDDOWN(33.3,0)</f>
      </c>
      <c r="AB535" s="5">
        <v>10</v>
      </c>
      <c r="AC535" s="2" t="s">
        <v>200</v>
      </c>
      <c r="AD535" s="4"/>
      <c r="AE535" s="4"/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200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/>
      <c r="AW535" s="8"/>
      <c r="AX535" s="4"/>
      <c r="AY535" s="8"/>
      <c r="AZ535" s="7"/>
      <c r="BA535" s="7"/>
      <c r="BB535" s="7"/>
      <c r="BC535" s="4" t="s">
        <v>200</v>
      </c>
      <c r="BD535" s="8" t="s">
        <v>200</v>
      </c>
      <c r="BE535" s="4" t="s">
        <v>200</v>
      </c>
      <c r="BF535" s="8" t="s">
        <v>200</v>
      </c>
      <c r="BG535" s="7" t="s">
        <v>200</v>
      </c>
      <c r="BH535" s="7" t="s">
        <v>200</v>
      </c>
      <c r="BI535" s="7"/>
      <c r="BJ535" s="4">
        <v>196</v>
      </c>
      <c r="BK535" s="8">
        <v>5810.72</v>
      </c>
      <c r="BL535" s="2" t="s">
        <v>3532</v>
      </c>
      <c r="BM535" s="7"/>
      <c r="BN535" s="7"/>
      <c r="BO535" s="4"/>
      <c r="BP535" s="8"/>
      <c r="BQ535" s="4"/>
      <c r="BR535" s="8"/>
      <c r="BS535" s="7"/>
      <c r="BT535" s="7"/>
      <c r="BU535" s="2" t="s">
        <v>3533</v>
      </c>
      <c r="BV535" s="2" t="s">
        <v>200</v>
      </c>
      <c r="BW535" s="2" t="s">
        <v>200</v>
      </c>
      <c r="BX535" s="2" t="s">
        <v>264</v>
      </c>
      <c r="BY535" s="2" t="s">
        <v>247</v>
      </c>
      <c r="BZ535" s="2" t="s">
        <v>212</v>
      </c>
      <c r="CA535" s="2" t="s">
        <v>3433</v>
      </c>
      <c r="CB535" s="2" t="s">
        <v>2252</v>
      </c>
      <c r="CC535" s="2" t="s">
        <v>213</v>
      </c>
      <c r="CD535" s="2" t="s">
        <v>200</v>
      </c>
      <c r="CE535" s="4">
        <v>333</v>
      </c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</row>
    <row r="536">
      <c r="A536" s="2" t="s">
        <v>3534</v>
      </c>
      <c r="B536" s="2" t="s">
        <v>230</v>
      </c>
      <c r="C536" s="2" t="s">
        <v>3397</v>
      </c>
      <c r="D536" s="2" t="s">
        <v>232</v>
      </c>
      <c r="E536" s="2" t="s">
        <v>233</v>
      </c>
      <c r="F536" s="2" t="s">
        <v>3398</v>
      </c>
      <c r="G536" s="2" t="s">
        <v>3398</v>
      </c>
      <c r="H536" s="2" t="s">
        <v>3398</v>
      </c>
      <c r="I536" s="2" t="s">
        <v>3399</v>
      </c>
      <c r="J536" s="2" t="s">
        <v>302</v>
      </c>
      <c r="K536" s="2" t="s">
        <v>3535</v>
      </c>
      <c r="L536" s="3">
        <v>27.39</v>
      </c>
      <c r="M536" s="3">
        <v>28.76</v>
      </c>
      <c r="N536" s="3">
        <v>62.99</v>
      </c>
      <c r="O536" s="2" t="s">
        <v>460</v>
      </c>
      <c r="P536" s="2" t="s">
        <v>285</v>
      </c>
      <c r="Q536" s="2" t="s">
        <v>206</v>
      </c>
      <c r="R536" s="2" t="s">
        <v>200</v>
      </c>
      <c r="S536" s="2" t="s">
        <v>3536</v>
      </c>
      <c r="T536" s="2" t="s">
        <v>3312</v>
      </c>
      <c r="U536" s="2" t="s">
        <v>240</v>
      </c>
      <c r="V536" s="2" t="s">
        <v>1695</v>
      </c>
      <c r="W536" s="2" t="s">
        <v>241</v>
      </c>
      <c r="X536" s="2" t="s">
        <v>419</v>
      </c>
      <c r="Y536" s="2" t="s">
        <v>3537</v>
      </c>
      <c r="Z536" s="4">
        <v>86</v>
      </c>
      <c r="AA536" s="4">
        <f>=ROUNDDOWN(24.5714285714286,0)</f>
      </c>
      <c r="AB536" s="5">
        <v>3.5</v>
      </c>
      <c r="AC536" s="2" t="s">
        <v>200</v>
      </c>
      <c r="AD536" s="4"/>
      <c r="AE536" s="4"/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200</v>
      </c>
      <c r="AM536" s="4"/>
      <c r="AN536" s="4"/>
      <c r="AO536" s="7"/>
      <c r="AP536" s="4"/>
      <c r="AQ536" s="8"/>
      <c r="AR536" s="4"/>
      <c r="AS536" s="8"/>
      <c r="AT536" s="7"/>
      <c r="AU536" s="7"/>
      <c r="AV536" s="4"/>
      <c r="AW536" s="8"/>
      <c r="AX536" s="4"/>
      <c r="AY536" s="8"/>
      <c r="AZ536" s="7"/>
      <c r="BA536" s="7"/>
      <c r="BB536" s="7"/>
      <c r="BC536" s="4" t="s">
        <v>200</v>
      </c>
      <c r="BD536" s="8" t="s">
        <v>200</v>
      </c>
      <c r="BE536" s="4" t="s">
        <v>200</v>
      </c>
      <c r="BF536" s="8" t="s">
        <v>200</v>
      </c>
      <c r="BG536" s="7" t="s">
        <v>200</v>
      </c>
      <c r="BH536" s="7" t="s">
        <v>200</v>
      </c>
      <c r="BI536" s="7"/>
      <c r="BJ536" s="4">
        <v>15</v>
      </c>
      <c r="BK536" s="8">
        <v>460.32</v>
      </c>
      <c r="BL536" s="2" t="s">
        <v>3538</v>
      </c>
      <c r="BM536" s="7"/>
      <c r="BN536" s="7"/>
      <c r="BO536" s="4"/>
      <c r="BP536" s="8"/>
      <c r="BQ536" s="4"/>
      <c r="BR536" s="8"/>
      <c r="BS536" s="7"/>
      <c r="BT536" s="7"/>
      <c r="BU536" s="2" t="s">
        <v>3539</v>
      </c>
      <c r="BV536" s="2" t="s">
        <v>200</v>
      </c>
      <c r="BW536" s="2" t="s">
        <v>200</v>
      </c>
      <c r="BX536" s="2" t="s">
        <v>289</v>
      </c>
      <c r="BY536" s="2" t="s">
        <v>247</v>
      </c>
      <c r="BZ536" s="2" t="s">
        <v>212</v>
      </c>
      <c r="CA536" s="2" t="s">
        <v>3540</v>
      </c>
      <c r="CB536" s="2" t="s">
        <v>3541</v>
      </c>
      <c r="CC536" s="2" t="s">
        <v>213</v>
      </c>
      <c r="CD536" s="2" t="s">
        <v>200</v>
      </c>
      <c r="CE536" s="4">
        <v>86</v>
      </c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</row>
    <row r="537">
      <c r="A537" s="2" t="s">
        <v>3542</v>
      </c>
      <c r="B537" s="2" t="s">
        <v>230</v>
      </c>
      <c r="C537" s="2" t="s">
        <v>3397</v>
      </c>
      <c r="D537" s="2" t="s">
        <v>232</v>
      </c>
      <c r="E537" s="2" t="s">
        <v>233</v>
      </c>
      <c r="F537" s="2" t="s">
        <v>3398</v>
      </c>
      <c r="G537" s="2" t="s">
        <v>3398</v>
      </c>
      <c r="H537" s="2" t="s">
        <v>3398</v>
      </c>
      <c r="I537" s="2" t="s">
        <v>3399</v>
      </c>
      <c r="J537" s="2" t="s">
        <v>236</v>
      </c>
      <c r="K537" s="2" t="s">
        <v>3543</v>
      </c>
      <c r="L537" s="3">
        <v>27.39</v>
      </c>
      <c r="M537" s="3">
        <v>28.76</v>
      </c>
      <c r="N537" s="3">
        <v>62.99</v>
      </c>
      <c r="O537" s="2" t="s">
        <v>212</v>
      </c>
      <c r="P537" s="2" t="s">
        <v>258</v>
      </c>
      <c r="Q537" s="2" t="s">
        <v>206</v>
      </c>
      <c r="R537" s="2" t="s">
        <v>200</v>
      </c>
      <c r="S537" s="2" t="s">
        <v>3544</v>
      </c>
      <c r="T537" s="2" t="s">
        <v>3312</v>
      </c>
      <c r="U537" s="2" t="s">
        <v>200</v>
      </c>
      <c r="V537" s="2" t="s">
        <v>208</v>
      </c>
      <c r="W537" s="2" t="s">
        <v>241</v>
      </c>
      <c r="X537" s="2" t="s">
        <v>200</v>
      </c>
      <c r="Y537" s="2" t="s">
        <v>261</v>
      </c>
      <c r="Z537" s="4">
        <v>321</v>
      </c>
      <c r="AA537" s="4">
        <f>=ROUNDDOWN(107,0)</f>
      </c>
      <c r="AB537" s="5">
        <v>3</v>
      </c>
      <c r="AC537" s="2" t="s">
        <v>200</v>
      </c>
      <c r="AD537" s="4"/>
      <c r="AE537" s="4"/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200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/>
      <c r="AW537" s="8"/>
      <c r="AX537" s="4"/>
      <c r="AY537" s="8"/>
      <c r="AZ537" s="7"/>
      <c r="BA537" s="7"/>
      <c r="BB537" s="7"/>
      <c r="BC537" s="4" t="s">
        <v>200</v>
      </c>
      <c r="BD537" s="8" t="s">
        <v>200</v>
      </c>
      <c r="BE537" s="4" t="s">
        <v>200</v>
      </c>
      <c r="BF537" s="8" t="s">
        <v>200</v>
      </c>
      <c r="BG537" s="7" t="s">
        <v>200</v>
      </c>
      <c r="BH537" s="7" t="s">
        <v>200</v>
      </c>
      <c r="BI537" s="7"/>
      <c r="BJ537" s="4">
        <v>27</v>
      </c>
      <c r="BK537" s="8">
        <v>832.67</v>
      </c>
      <c r="BL537" s="2" t="s">
        <v>3545</v>
      </c>
      <c r="BM537" s="7"/>
      <c r="BN537" s="7"/>
      <c r="BO537" s="4"/>
      <c r="BP537" s="8"/>
      <c r="BQ537" s="4"/>
      <c r="BR537" s="8"/>
      <c r="BS537" s="7"/>
      <c r="BT537" s="7"/>
      <c r="BU537" s="2" t="s">
        <v>3546</v>
      </c>
      <c r="BV537" s="2" t="s">
        <v>200</v>
      </c>
      <c r="BW537" s="2" t="s">
        <v>200</v>
      </c>
      <c r="BX537" s="2" t="s">
        <v>264</v>
      </c>
      <c r="BY537" s="2" t="s">
        <v>247</v>
      </c>
      <c r="BZ537" s="2" t="s">
        <v>212</v>
      </c>
      <c r="CA537" s="2" t="s">
        <v>3433</v>
      </c>
      <c r="CB537" s="2" t="s">
        <v>3547</v>
      </c>
      <c r="CC537" s="2" t="s">
        <v>213</v>
      </c>
      <c r="CD537" s="2" t="s">
        <v>200</v>
      </c>
      <c r="CE537" s="4">
        <v>181</v>
      </c>
      <c r="CF537" s="4">
        <v>140</v>
      </c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</row>
    <row r="538">
      <c r="A538" s="2" t="s">
        <v>3548</v>
      </c>
      <c r="B538" s="2" t="s">
        <v>230</v>
      </c>
      <c r="C538" s="2" t="s">
        <v>3397</v>
      </c>
      <c r="D538" s="2" t="s">
        <v>232</v>
      </c>
      <c r="E538" s="2" t="s">
        <v>233</v>
      </c>
      <c r="F538" s="2" t="s">
        <v>3398</v>
      </c>
      <c r="G538" s="2" t="s">
        <v>3398</v>
      </c>
      <c r="H538" s="2" t="s">
        <v>3398</v>
      </c>
      <c r="I538" s="2" t="s">
        <v>3399</v>
      </c>
      <c r="J538" s="2" t="s">
        <v>256</v>
      </c>
      <c r="K538" s="2" t="s">
        <v>3549</v>
      </c>
      <c r="L538" s="3">
        <v>14.89</v>
      </c>
      <c r="M538" s="3">
        <v>15.63</v>
      </c>
      <c r="N538" s="3">
        <v>36.99</v>
      </c>
      <c r="O538" s="2" t="s">
        <v>212</v>
      </c>
      <c r="P538" s="2" t="s">
        <v>205</v>
      </c>
      <c r="Q538" s="2" t="s">
        <v>206</v>
      </c>
      <c r="R538" s="2" t="s">
        <v>200</v>
      </c>
      <c r="S538" s="2" t="s">
        <v>3550</v>
      </c>
      <c r="T538" s="2" t="s">
        <v>3312</v>
      </c>
      <c r="U538" s="2" t="s">
        <v>454</v>
      </c>
      <c r="V538" s="2" t="s">
        <v>1726</v>
      </c>
      <c r="W538" s="2" t="s">
        <v>241</v>
      </c>
      <c r="X538" s="2" t="s">
        <v>1900</v>
      </c>
      <c r="Y538" s="2" t="s">
        <v>3329</v>
      </c>
      <c r="Z538" s="4">
        <v>673</v>
      </c>
      <c r="AA538" s="4">
        <f>=ROUNDDOWN(15.6511627906977,0)</f>
      </c>
      <c r="AB538" s="5">
        <v>43</v>
      </c>
      <c r="AC538" s="2" t="s">
        <v>108</v>
      </c>
      <c r="AD538" s="4">
        <v>413</v>
      </c>
      <c r="AE538" s="4">
        <v>413</v>
      </c>
      <c r="AF538" s="6">
        <v>69</v>
      </c>
      <c r="AG538" s="6"/>
      <c r="AH538" s="7">
        <v>1</v>
      </c>
      <c r="AI538" s="4"/>
      <c r="AJ538" s="4">
        <f>=ROUNDDOWN({0},0)</f>
      </c>
      <c r="AK538" s="5"/>
      <c r="AL538" s="2" t="s">
        <v>200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 t="s">
        <v>200</v>
      </c>
      <c r="AW538" s="8" t="s">
        <v>200</v>
      </c>
      <c r="AX538" s="4" t="s">
        <v>200</v>
      </c>
      <c r="AY538" s="8" t="s">
        <v>200</v>
      </c>
      <c r="AZ538" s="7" t="s">
        <v>200</v>
      </c>
      <c r="BA538" s="7" t="s">
        <v>200</v>
      </c>
      <c r="BB538" s="7"/>
      <c r="BC538" s="4" t="s">
        <v>200</v>
      </c>
      <c r="BD538" s="8" t="s">
        <v>200</v>
      </c>
      <c r="BE538" s="4" t="s">
        <v>200</v>
      </c>
      <c r="BF538" s="8" t="s">
        <v>200</v>
      </c>
      <c r="BG538" s="7" t="s">
        <v>200</v>
      </c>
      <c r="BH538" s="7" t="s">
        <v>200</v>
      </c>
      <c r="BI538" s="7"/>
      <c r="BJ538" s="4">
        <v>505</v>
      </c>
      <c r="BK538" s="8">
        <v>8622</v>
      </c>
      <c r="BL538" s="2" t="s">
        <v>3551</v>
      </c>
      <c r="BM538" s="7"/>
      <c r="BN538" s="7"/>
      <c r="BO538" s="4"/>
      <c r="BP538" s="8"/>
      <c r="BQ538" s="4"/>
      <c r="BR538" s="8"/>
      <c r="BS538" s="7"/>
      <c r="BT538" s="7"/>
      <c r="BU538" s="2" t="s">
        <v>3552</v>
      </c>
      <c r="BV538" s="2" t="s">
        <v>200</v>
      </c>
      <c r="BW538" s="2" t="s">
        <v>200</v>
      </c>
      <c r="BX538" s="2" t="s">
        <v>264</v>
      </c>
      <c r="BY538" s="2" t="s">
        <v>247</v>
      </c>
      <c r="BZ538" s="2" t="s">
        <v>212</v>
      </c>
      <c r="CA538" s="2" t="s">
        <v>3446</v>
      </c>
      <c r="CB538" s="2" t="s">
        <v>3326</v>
      </c>
      <c r="CC538" s="2" t="s">
        <v>213</v>
      </c>
      <c r="CD538" s="2" t="s">
        <v>200</v>
      </c>
      <c r="CE538" s="4">
        <v>545</v>
      </c>
      <c r="CF538" s="4"/>
      <c r="CG538" s="4"/>
      <c r="CH538" s="4"/>
      <c r="CI538" s="4"/>
      <c r="CJ538" s="4"/>
      <c r="CK538" s="4">
        <v>128</v>
      </c>
      <c r="CL538" s="4"/>
      <c r="CM538" s="4"/>
      <c r="CN538" s="4"/>
      <c r="CO538" s="4"/>
      <c r="CP538" s="4"/>
      <c r="CQ538" s="4"/>
      <c r="CR538" s="4"/>
      <c r="CS538" s="4"/>
      <c r="CT538" s="4">
        <v>413</v>
      </c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</row>
    <row r="539">
      <c r="A539" s="2" t="s">
        <v>3553</v>
      </c>
      <c r="B539" s="2" t="s">
        <v>230</v>
      </c>
      <c r="C539" s="2" t="s">
        <v>3397</v>
      </c>
      <c r="D539" s="2" t="s">
        <v>232</v>
      </c>
      <c r="E539" s="2" t="s">
        <v>233</v>
      </c>
      <c r="F539" s="2" t="s">
        <v>3398</v>
      </c>
      <c r="G539" s="2" t="s">
        <v>3398</v>
      </c>
      <c r="H539" s="2" t="s">
        <v>3398</v>
      </c>
      <c r="I539" s="2" t="s">
        <v>3399</v>
      </c>
      <c r="J539" s="2" t="s">
        <v>277</v>
      </c>
      <c r="K539" s="2" t="s">
        <v>3549</v>
      </c>
      <c r="L539" s="3">
        <v>19.57</v>
      </c>
      <c r="M539" s="3">
        <v>20.55</v>
      </c>
      <c r="N539" s="3">
        <v>47.99</v>
      </c>
      <c r="O539" s="2" t="s">
        <v>212</v>
      </c>
      <c r="P539" s="2" t="s">
        <v>205</v>
      </c>
      <c r="Q539" s="2" t="s">
        <v>206</v>
      </c>
      <c r="R539" s="2" t="s">
        <v>200</v>
      </c>
      <c r="S539" s="2" t="s">
        <v>3550</v>
      </c>
      <c r="T539" s="2" t="s">
        <v>3312</v>
      </c>
      <c r="U539" s="2" t="s">
        <v>240</v>
      </c>
      <c r="V539" s="2" t="s">
        <v>1726</v>
      </c>
      <c r="W539" s="2" t="s">
        <v>241</v>
      </c>
      <c r="X539" s="2" t="s">
        <v>1900</v>
      </c>
      <c r="Y539" s="2" t="s">
        <v>3554</v>
      </c>
      <c r="Z539" s="4">
        <v>232</v>
      </c>
      <c r="AA539" s="4">
        <f>=ROUNDDOWN(10.5454545454545,0)</f>
      </c>
      <c r="AB539" s="5">
        <v>22</v>
      </c>
      <c r="AC539" s="2" t="s">
        <v>108</v>
      </c>
      <c r="AD539" s="4">
        <v>209</v>
      </c>
      <c r="AE539" s="4">
        <v>209</v>
      </c>
      <c r="AF539" s="6">
        <v>69</v>
      </c>
      <c r="AG539" s="6"/>
      <c r="AH539" s="7">
        <v>0.9</v>
      </c>
      <c r="AI539" s="4"/>
      <c r="AJ539" s="4">
        <f>=ROUNDDOWN({0},0)</f>
      </c>
      <c r="AK539" s="5"/>
      <c r="AL539" s="2" t="s">
        <v>200</v>
      </c>
      <c r="AM539" s="4"/>
      <c r="AN539" s="4"/>
      <c r="AO539" s="7"/>
      <c r="AP539" s="4"/>
      <c r="AQ539" s="8"/>
      <c r="AR539" s="4"/>
      <c r="AS539" s="8"/>
      <c r="AT539" s="7"/>
      <c r="AU539" s="7"/>
      <c r="AV539" s="4" t="s">
        <v>200</v>
      </c>
      <c r="AW539" s="8" t="s">
        <v>200</v>
      </c>
      <c r="AX539" s="4" t="s">
        <v>200</v>
      </c>
      <c r="AY539" s="8" t="s">
        <v>200</v>
      </c>
      <c r="AZ539" s="7" t="s">
        <v>200</v>
      </c>
      <c r="BA539" s="7" t="s">
        <v>200</v>
      </c>
      <c r="BB539" s="7"/>
      <c r="BC539" s="4" t="s">
        <v>200</v>
      </c>
      <c r="BD539" s="8" t="s">
        <v>200</v>
      </c>
      <c r="BE539" s="4" t="s">
        <v>200</v>
      </c>
      <c r="BF539" s="8" t="s">
        <v>200</v>
      </c>
      <c r="BG539" s="7" t="s">
        <v>200</v>
      </c>
      <c r="BH539" s="7" t="s">
        <v>200</v>
      </c>
      <c r="BI539" s="7"/>
      <c r="BJ539" s="4">
        <v>240</v>
      </c>
      <c r="BK539" s="8">
        <v>5445.78</v>
      </c>
      <c r="BL539" s="2" t="s">
        <v>3555</v>
      </c>
      <c r="BM539" s="7"/>
      <c r="BN539" s="7"/>
      <c r="BO539" s="4"/>
      <c r="BP539" s="8"/>
      <c r="BQ539" s="4"/>
      <c r="BR539" s="8"/>
      <c r="BS539" s="7"/>
      <c r="BT539" s="7"/>
      <c r="BU539" s="2" t="s">
        <v>3556</v>
      </c>
      <c r="BV539" s="2" t="s">
        <v>200</v>
      </c>
      <c r="BW539" s="2" t="s">
        <v>200</v>
      </c>
      <c r="BX539" s="2" t="s">
        <v>264</v>
      </c>
      <c r="BY539" s="2" t="s">
        <v>247</v>
      </c>
      <c r="BZ539" s="2" t="s">
        <v>212</v>
      </c>
      <c r="CA539" s="2" t="s">
        <v>3446</v>
      </c>
      <c r="CB539" s="2" t="s">
        <v>200</v>
      </c>
      <c r="CC539" s="2" t="s">
        <v>213</v>
      </c>
      <c r="CD539" s="2" t="s">
        <v>200</v>
      </c>
      <c r="CE539" s="4">
        <v>232</v>
      </c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>
        <v>209</v>
      </c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</row>
    <row r="540">
      <c r="A540" s="2" t="s">
        <v>3557</v>
      </c>
      <c r="B540" s="2" t="s">
        <v>230</v>
      </c>
      <c r="C540" s="2" t="s">
        <v>3397</v>
      </c>
      <c r="D540" s="2" t="s">
        <v>232</v>
      </c>
      <c r="E540" s="2" t="s">
        <v>233</v>
      </c>
      <c r="F540" s="2" t="s">
        <v>3398</v>
      </c>
      <c r="G540" s="2" t="s">
        <v>3398</v>
      </c>
      <c r="H540" s="2" t="s">
        <v>3398</v>
      </c>
      <c r="I540" s="2" t="s">
        <v>3399</v>
      </c>
      <c r="J540" s="2" t="s">
        <v>297</v>
      </c>
      <c r="K540" s="2" t="s">
        <v>3549</v>
      </c>
      <c r="L540" s="3">
        <v>22.21</v>
      </c>
      <c r="M540" s="3">
        <v>23.32</v>
      </c>
      <c r="N540" s="3">
        <v>52.99</v>
      </c>
      <c r="O540" s="2" t="s">
        <v>212</v>
      </c>
      <c r="P540" s="2" t="s">
        <v>205</v>
      </c>
      <c r="Q540" s="2" t="s">
        <v>206</v>
      </c>
      <c r="R540" s="2" t="s">
        <v>200</v>
      </c>
      <c r="S540" s="2" t="s">
        <v>3550</v>
      </c>
      <c r="T540" s="2" t="s">
        <v>3312</v>
      </c>
      <c r="U540" s="2" t="s">
        <v>240</v>
      </c>
      <c r="V540" s="2" t="s">
        <v>1726</v>
      </c>
      <c r="W540" s="2" t="s">
        <v>241</v>
      </c>
      <c r="X540" s="2" t="s">
        <v>1900</v>
      </c>
      <c r="Y540" s="2" t="s">
        <v>3554</v>
      </c>
      <c r="Z540" s="4"/>
      <c r="AA540" s="4">
        <f>=ROUNDDOWN({0},0)</f>
      </c>
      <c r="AB540" s="5">
        <v>35</v>
      </c>
      <c r="AC540" s="2" t="s">
        <v>108</v>
      </c>
      <c r="AD540" s="4">
        <v>336</v>
      </c>
      <c r="AE540" s="4">
        <v>336</v>
      </c>
      <c r="AF540" s="6">
        <v>69</v>
      </c>
      <c r="AG540" s="6"/>
      <c r="AH540" s="7">
        <v>0.7333</v>
      </c>
      <c r="AI540" s="4"/>
      <c r="AJ540" s="4">
        <f>=ROUNDDOWN({0},0)</f>
      </c>
      <c r="AK540" s="5"/>
      <c r="AL540" s="2" t="s">
        <v>200</v>
      </c>
      <c r="AM540" s="4"/>
      <c r="AN540" s="4"/>
      <c r="AO540" s="7"/>
      <c r="AP540" s="4"/>
      <c r="AQ540" s="8"/>
      <c r="AR540" s="4"/>
      <c r="AS540" s="8"/>
      <c r="AT540" s="7"/>
      <c r="AU540" s="7"/>
      <c r="AV540" s="4" t="s">
        <v>200</v>
      </c>
      <c r="AW540" s="8" t="s">
        <v>200</v>
      </c>
      <c r="AX540" s="4" t="s">
        <v>200</v>
      </c>
      <c r="AY540" s="8" t="s">
        <v>200</v>
      </c>
      <c r="AZ540" s="7" t="s">
        <v>200</v>
      </c>
      <c r="BA540" s="7" t="s">
        <v>200</v>
      </c>
      <c r="BB540" s="7"/>
      <c r="BC540" s="4" t="s">
        <v>200</v>
      </c>
      <c r="BD540" s="8" t="s">
        <v>200</v>
      </c>
      <c r="BE540" s="4" t="s">
        <v>200</v>
      </c>
      <c r="BF540" s="8" t="s">
        <v>200</v>
      </c>
      <c r="BG540" s="7" t="s">
        <v>200</v>
      </c>
      <c r="BH540" s="7" t="s">
        <v>200</v>
      </c>
      <c r="BI540" s="7"/>
      <c r="BJ540" s="4">
        <v>397</v>
      </c>
      <c r="BK540" s="8">
        <v>10244.31</v>
      </c>
      <c r="BL540" s="2" t="s">
        <v>3558</v>
      </c>
      <c r="BM540" s="7"/>
      <c r="BN540" s="7"/>
      <c r="BO540" s="4"/>
      <c r="BP540" s="8"/>
      <c r="BQ540" s="4"/>
      <c r="BR540" s="8"/>
      <c r="BS540" s="7"/>
      <c r="BT540" s="7"/>
      <c r="BU540" s="2" t="s">
        <v>3559</v>
      </c>
      <c r="BV540" s="2" t="s">
        <v>200</v>
      </c>
      <c r="BW540" s="2" t="s">
        <v>200</v>
      </c>
      <c r="BX540" s="2" t="s">
        <v>264</v>
      </c>
      <c r="BY540" s="2" t="s">
        <v>247</v>
      </c>
      <c r="BZ540" s="2" t="s">
        <v>212</v>
      </c>
      <c r="CA540" s="2" t="s">
        <v>3446</v>
      </c>
      <c r="CB540" s="2" t="s">
        <v>2438</v>
      </c>
      <c r="CC540" s="2" t="s">
        <v>213</v>
      </c>
      <c r="CD540" s="2" t="s">
        <v>200</v>
      </c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>
        <v>336</v>
      </c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</row>
    <row r="541">
      <c r="A541" s="2" t="s">
        <v>3560</v>
      </c>
      <c r="B541" s="2" t="s">
        <v>230</v>
      </c>
      <c r="C541" s="2" t="s">
        <v>3397</v>
      </c>
      <c r="D541" s="2" t="s">
        <v>232</v>
      </c>
      <c r="E541" s="2" t="s">
        <v>233</v>
      </c>
      <c r="F541" s="2" t="s">
        <v>3398</v>
      </c>
      <c r="G541" s="2" t="s">
        <v>3398</v>
      </c>
      <c r="H541" s="2" t="s">
        <v>3398</v>
      </c>
      <c r="I541" s="2" t="s">
        <v>3399</v>
      </c>
      <c r="J541" s="2" t="s">
        <v>302</v>
      </c>
      <c r="K541" s="2" t="s">
        <v>3549</v>
      </c>
      <c r="L541" s="3">
        <v>27.39</v>
      </c>
      <c r="M541" s="3">
        <v>28.76</v>
      </c>
      <c r="N541" s="3">
        <v>67.99</v>
      </c>
      <c r="O541" s="2" t="s">
        <v>212</v>
      </c>
      <c r="P541" s="2" t="s">
        <v>205</v>
      </c>
      <c r="Q541" s="2" t="s">
        <v>206</v>
      </c>
      <c r="R541" s="2" t="s">
        <v>200</v>
      </c>
      <c r="S541" s="2" t="s">
        <v>3550</v>
      </c>
      <c r="T541" s="2" t="s">
        <v>3312</v>
      </c>
      <c r="U541" s="2" t="s">
        <v>240</v>
      </c>
      <c r="V541" s="2" t="s">
        <v>1726</v>
      </c>
      <c r="W541" s="2" t="s">
        <v>241</v>
      </c>
      <c r="X541" s="2" t="s">
        <v>1900</v>
      </c>
      <c r="Y541" s="2" t="s">
        <v>3554</v>
      </c>
      <c r="Z541" s="4">
        <v>161</v>
      </c>
      <c r="AA541" s="4">
        <f>=ROUNDDOWN(10.7333333333333,0)</f>
      </c>
      <c r="AB541" s="5">
        <v>15</v>
      </c>
      <c r="AC541" s="2" t="s">
        <v>108</v>
      </c>
      <c r="AD541" s="4">
        <v>146</v>
      </c>
      <c r="AE541" s="4">
        <v>146</v>
      </c>
      <c r="AF541" s="6">
        <v>69</v>
      </c>
      <c r="AG541" s="6"/>
      <c r="AH541" s="7">
        <v>0.6</v>
      </c>
      <c r="AI541" s="4"/>
      <c r="AJ541" s="4">
        <f>=ROUNDDOWN({0},0)</f>
      </c>
      <c r="AK541" s="5"/>
      <c r="AL541" s="2" t="s">
        <v>200</v>
      </c>
      <c r="AM541" s="4"/>
      <c r="AN541" s="4"/>
      <c r="AO541" s="7"/>
      <c r="AP541" s="4"/>
      <c r="AQ541" s="8"/>
      <c r="AR541" s="4"/>
      <c r="AS541" s="8"/>
      <c r="AT541" s="7"/>
      <c r="AU541" s="7"/>
      <c r="AV541" s="4" t="s">
        <v>200</v>
      </c>
      <c r="AW541" s="8" t="s">
        <v>200</v>
      </c>
      <c r="AX541" s="4" t="s">
        <v>200</v>
      </c>
      <c r="AY541" s="8" t="s">
        <v>200</v>
      </c>
      <c r="AZ541" s="7" t="s">
        <v>200</v>
      </c>
      <c r="BA541" s="7" t="s">
        <v>200</v>
      </c>
      <c r="BB541" s="7"/>
      <c r="BC541" s="4" t="s">
        <v>200</v>
      </c>
      <c r="BD541" s="8" t="s">
        <v>200</v>
      </c>
      <c r="BE541" s="4" t="s">
        <v>200</v>
      </c>
      <c r="BF541" s="8" t="s">
        <v>200</v>
      </c>
      <c r="BG541" s="7" t="s">
        <v>200</v>
      </c>
      <c r="BH541" s="7" t="s">
        <v>200</v>
      </c>
      <c r="BI541" s="7"/>
      <c r="BJ541" s="4">
        <v>146</v>
      </c>
      <c r="BK541" s="8">
        <v>4620.4</v>
      </c>
      <c r="BL541" s="2" t="s">
        <v>2639</v>
      </c>
      <c r="BM541" s="7"/>
      <c r="BN541" s="7"/>
      <c r="BO541" s="4"/>
      <c r="BP541" s="8"/>
      <c r="BQ541" s="4"/>
      <c r="BR541" s="8"/>
      <c r="BS541" s="7"/>
      <c r="BT541" s="7"/>
      <c r="BU541" s="2" t="s">
        <v>3561</v>
      </c>
      <c r="BV541" s="2" t="s">
        <v>200</v>
      </c>
      <c r="BW541" s="2" t="s">
        <v>200</v>
      </c>
      <c r="BX541" s="2" t="s">
        <v>264</v>
      </c>
      <c r="BY541" s="2" t="s">
        <v>247</v>
      </c>
      <c r="BZ541" s="2" t="s">
        <v>212</v>
      </c>
      <c r="CA541" s="2" t="s">
        <v>3446</v>
      </c>
      <c r="CB541" s="2" t="s">
        <v>1967</v>
      </c>
      <c r="CC541" s="2" t="s">
        <v>213</v>
      </c>
      <c r="CD541" s="2" t="s">
        <v>200</v>
      </c>
      <c r="CE541" s="4">
        <v>161</v>
      </c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>
        <v>146</v>
      </c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</row>
    <row r="542">
      <c r="A542" s="2" t="s">
        <v>3562</v>
      </c>
      <c r="B542" s="2" t="s">
        <v>230</v>
      </c>
      <c r="C542" s="2" t="s">
        <v>3397</v>
      </c>
      <c r="D542" s="2" t="s">
        <v>232</v>
      </c>
      <c r="E542" s="2" t="s">
        <v>233</v>
      </c>
      <c r="F542" s="2" t="s">
        <v>3398</v>
      </c>
      <c r="G542" s="2" t="s">
        <v>3398</v>
      </c>
      <c r="H542" s="2" t="s">
        <v>3398</v>
      </c>
      <c r="I542" s="2" t="s">
        <v>3399</v>
      </c>
      <c r="J542" s="2" t="s">
        <v>269</v>
      </c>
      <c r="K542" s="2" t="s">
        <v>3563</v>
      </c>
      <c r="L542" s="3">
        <v>16.16</v>
      </c>
      <c r="M542" s="3">
        <v>16.97</v>
      </c>
      <c r="N542" s="3">
        <v>39.99</v>
      </c>
      <c r="O542" s="2" t="s">
        <v>212</v>
      </c>
      <c r="P542" s="2" t="s">
        <v>205</v>
      </c>
      <c r="Q542" s="2" t="s">
        <v>206</v>
      </c>
      <c r="R542" s="2" t="s">
        <v>200</v>
      </c>
      <c r="S542" s="2" t="s">
        <v>3564</v>
      </c>
      <c r="T542" s="2" t="s">
        <v>3312</v>
      </c>
      <c r="U542" s="2" t="s">
        <v>454</v>
      </c>
      <c r="V542" s="2" t="s">
        <v>3270</v>
      </c>
      <c r="W542" s="2" t="s">
        <v>241</v>
      </c>
      <c r="X542" s="2" t="s">
        <v>1900</v>
      </c>
      <c r="Y542" s="2" t="s">
        <v>3329</v>
      </c>
      <c r="Z542" s="4">
        <v>1632</v>
      </c>
      <c r="AA542" s="4">
        <f>=ROUNDDOWN(41.8461538461538,0)</f>
      </c>
      <c r="AB542" s="5">
        <v>39</v>
      </c>
      <c r="AC542" s="2" t="s">
        <v>200</v>
      </c>
      <c r="AD542" s="4"/>
      <c r="AE542" s="4"/>
      <c r="AF542" s="6">
        <v>69</v>
      </c>
      <c r="AG542" s="6"/>
      <c r="AH542" s="7">
        <v>1</v>
      </c>
      <c r="AI542" s="4"/>
      <c r="AJ542" s="4">
        <f>=ROUNDDOWN({0},0)</f>
      </c>
      <c r="AK542" s="5"/>
      <c r="AL542" s="2" t="s">
        <v>200</v>
      </c>
      <c r="AM542" s="4"/>
      <c r="AN542" s="4"/>
      <c r="AO542" s="7"/>
      <c r="AP542" s="4"/>
      <c r="AQ542" s="8"/>
      <c r="AR542" s="4"/>
      <c r="AS542" s="8"/>
      <c r="AT542" s="7"/>
      <c r="AU542" s="7"/>
      <c r="AV542" s="4" t="s">
        <v>200</v>
      </c>
      <c r="AW542" s="8" t="s">
        <v>200</v>
      </c>
      <c r="AX542" s="4" t="s">
        <v>200</v>
      </c>
      <c r="AY542" s="8" t="s">
        <v>200</v>
      </c>
      <c r="AZ542" s="7" t="s">
        <v>200</v>
      </c>
      <c r="BA542" s="7" t="s">
        <v>200</v>
      </c>
      <c r="BB542" s="7"/>
      <c r="BC542" s="4" t="s">
        <v>200</v>
      </c>
      <c r="BD542" s="8" t="s">
        <v>200</v>
      </c>
      <c r="BE542" s="4" t="s">
        <v>200</v>
      </c>
      <c r="BF542" s="8" t="s">
        <v>200</v>
      </c>
      <c r="BG542" s="7" t="s">
        <v>200</v>
      </c>
      <c r="BH542" s="7" t="s">
        <v>200</v>
      </c>
      <c r="BI542" s="7"/>
      <c r="BJ542" s="4">
        <v>112</v>
      </c>
      <c r="BK542" s="8">
        <v>2060.44</v>
      </c>
      <c r="BL542" s="2" t="s">
        <v>359</v>
      </c>
      <c r="BM542" s="7"/>
      <c r="BN542" s="7"/>
      <c r="BO542" s="4"/>
      <c r="BP542" s="8"/>
      <c r="BQ542" s="4"/>
      <c r="BR542" s="8"/>
      <c r="BS542" s="7"/>
      <c r="BT542" s="7"/>
      <c r="BU542" s="2" t="s">
        <v>3565</v>
      </c>
      <c r="BV542" s="2" t="s">
        <v>200</v>
      </c>
      <c r="BW542" s="2" t="s">
        <v>200</v>
      </c>
      <c r="BX542" s="2" t="s">
        <v>264</v>
      </c>
      <c r="BY542" s="2" t="s">
        <v>247</v>
      </c>
      <c r="BZ542" s="2" t="s">
        <v>212</v>
      </c>
      <c r="CA542" s="2" t="s">
        <v>3446</v>
      </c>
      <c r="CB542" s="2" t="s">
        <v>200</v>
      </c>
      <c r="CC542" s="2" t="s">
        <v>213</v>
      </c>
      <c r="CD542" s="2" t="s">
        <v>200</v>
      </c>
      <c r="CE542" s="4">
        <v>1632</v>
      </c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</row>
    <row r="543">
      <c r="A543" s="2" t="s">
        <v>3566</v>
      </c>
      <c r="B543" s="2" t="s">
        <v>230</v>
      </c>
      <c r="C543" s="2" t="s">
        <v>3397</v>
      </c>
      <c r="D543" s="2" t="s">
        <v>232</v>
      </c>
      <c r="E543" s="2" t="s">
        <v>233</v>
      </c>
      <c r="F543" s="2" t="s">
        <v>3398</v>
      </c>
      <c r="G543" s="2" t="s">
        <v>3398</v>
      </c>
      <c r="H543" s="2" t="s">
        <v>3398</v>
      </c>
      <c r="I543" s="2" t="s">
        <v>3399</v>
      </c>
      <c r="J543" s="2" t="s">
        <v>236</v>
      </c>
      <c r="K543" s="2" t="s">
        <v>3563</v>
      </c>
      <c r="L543" s="3">
        <v>27.39</v>
      </c>
      <c r="M543" s="3">
        <v>28.76</v>
      </c>
      <c r="N543" s="3">
        <v>67.99</v>
      </c>
      <c r="O543" s="2" t="s">
        <v>212</v>
      </c>
      <c r="P543" s="2" t="s">
        <v>205</v>
      </c>
      <c r="Q543" s="2" t="s">
        <v>206</v>
      </c>
      <c r="R543" s="2" t="s">
        <v>200</v>
      </c>
      <c r="S543" s="2" t="s">
        <v>3564</v>
      </c>
      <c r="T543" s="2" t="s">
        <v>3312</v>
      </c>
      <c r="U543" s="2" t="s">
        <v>240</v>
      </c>
      <c r="V543" s="2" t="s">
        <v>3270</v>
      </c>
      <c r="W543" s="2" t="s">
        <v>241</v>
      </c>
      <c r="X543" s="2" t="s">
        <v>1900</v>
      </c>
      <c r="Y543" s="2" t="s">
        <v>3554</v>
      </c>
      <c r="Z543" s="4">
        <v>890</v>
      </c>
      <c r="AA543" s="4">
        <f>=ROUNDDOWN(44.5,0)</f>
      </c>
      <c r="AB543" s="5">
        <v>20</v>
      </c>
      <c r="AC543" s="2" t="s">
        <v>200</v>
      </c>
      <c r="AD543" s="4"/>
      <c r="AE543" s="4"/>
      <c r="AF543" s="6">
        <v>69</v>
      </c>
      <c r="AG543" s="6"/>
      <c r="AH543" s="7">
        <v>1</v>
      </c>
      <c r="AI543" s="4"/>
      <c r="AJ543" s="4">
        <f>=ROUNDDOWN({0},0)</f>
      </c>
      <c r="AK543" s="5"/>
      <c r="AL543" s="2" t="s">
        <v>200</v>
      </c>
      <c r="AM543" s="4"/>
      <c r="AN543" s="4"/>
      <c r="AO543" s="7"/>
      <c r="AP543" s="4"/>
      <c r="AQ543" s="8"/>
      <c r="AR543" s="4"/>
      <c r="AS543" s="8"/>
      <c r="AT543" s="7"/>
      <c r="AU543" s="7"/>
      <c r="AV543" s="4" t="s">
        <v>200</v>
      </c>
      <c r="AW543" s="8" t="s">
        <v>200</v>
      </c>
      <c r="AX543" s="4" t="s">
        <v>200</v>
      </c>
      <c r="AY543" s="8" t="s">
        <v>200</v>
      </c>
      <c r="AZ543" s="7" t="s">
        <v>200</v>
      </c>
      <c r="BA543" s="7" t="s">
        <v>200</v>
      </c>
      <c r="BB543" s="7"/>
      <c r="BC543" s="4" t="s">
        <v>200</v>
      </c>
      <c r="BD543" s="8" t="s">
        <v>200</v>
      </c>
      <c r="BE543" s="4" t="s">
        <v>200</v>
      </c>
      <c r="BF543" s="8" t="s">
        <v>200</v>
      </c>
      <c r="BG543" s="7" t="s">
        <v>200</v>
      </c>
      <c r="BH543" s="7" t="s">
        <v>200</v>
      </c>
      <c r="BI543" s="7"/>
      <c r="BJ543" s="4">
        <v>34</v>
      </c>
      <c r="BK543" s="8">
        <v>1059.65</v>
      </c>
      <c r="BL543" s="2" t="s">
        <v>1111</v>
      </c>
      <c r="BM543" s="7"/>
      <c r="BN543" s="7"/>
      <c r="BO543" s="4"/>
      <c r="BP543" s="8"/>
      <c r="BQ543" s="4"/>
      <c r="BR543" s="8"/>
      <c r="BS543" s="7"/>
      <c r="BT543" s="7"/>
      <c r="BU543" s="2" t="s">
        <v>3567</v>
      </c>
      <c r="BV543" s="2" t="s">
        <v>200</v>
      </c>
      <c r="BW543" s="2" t="s">
        <v>200</v>
      </c>
      <c r="BX543" s="2" t="s">
        <v>264</v>
      </c>
      <c r="BY543" s="2" t="s">
        <v>247</v>
      </c>
      <c r="BZ543" s="2" t="s">
        <v>212</v>
      </c>
      <c r="CA543" s="2" t="s">
        <v>697</v>
      </c>
      <c r="CB543" s="2" t="s">
        <v>200</v>
      </c>
      <c r="CC543" s="2" t="s">
        <v>213</v>
      </c>
      <c r="CD543" s="2" t="s">
        <v>200</v>
      </c>
      <c r="CE543" s="4">
        <v>890</v>
      </c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</row>
    <row r="544">
      <c r="A544" s="2" t="s">
        <v>3568</v>
      </c>
      <c r="B544" s="2" t="s">
        <v>230</v>
      </c>
      <c r="C544" s="2" t="s">
        <v>877</v>
      </c>
      <c r="D544" s="2" t="s">
        <v>232</v>
      </c>
      <c r="E544" s="2" t="s">
        <v>233</v>
      </c>
      <c r="F544" s="2" t="s">
        <v>3569</v>
      </c>
      <c r="G544" s="2" t="s">
        <v>3569</v>
      </c>
      <c r="H544" s="2" t="s">
        <v>3569</v>
      </c>
      <c r="I544" s="2" t="s">
        <v>3570</v>
      </c>
      <c r="J544" s="2" t="s">
        <v>256</v>
      </c>
      <c r="K544" s="2" t="s">
        <v>3571</v>
      </c>
      <c r="L544" s="3">
        <v>14.89</v>
      </c>
      <c r="M544" s="3">
        <v>15.63</v>
      </c>
      <c r="N544" s="3">
        <v>31.99</v>
      </c>
      <c r="O544" s="2" t="s">
        <v>212</v>
      </c>
      <c r="P544" s="2" t="s">
        <v>258</v>
      </c>
      <c r="Q544" s="2" t="s">
        <v>206</v>
      </c>
      <c r="R544" s="2" t="s">
        <v>200</v>
      </c>
      <c r="S544" s="2" t="s">
        <v>3572</v>
      </c>
      <c r="T544" s="2" t="s">
        <v>3312</v>
      </c>
      <c r="U544" s="2" t="s">
        <v>454</v>
      </c>
      <c r="V544" s="2" t="s">
        <v>3270</v>
      </c>
      <c r="W544" s="2" t="s">
        <v>241</v>
      </c>
      <c r="X544" s="2" t="s">
        <v>419</v>
      </c>
      <c r="Y544" s="2" t="s">
        <v>3573</v>
      </c>
      <c r="Z544" s="4">
        <v>9</v>
      </c>
      <c r="AA544" s="4">
        <f>=ROUNDDOWN(0.219512195121951,0)</f>
      </c>
      <c r="AB544" s="5">
        <v>41</v>
      </c>
      <c r="AC544" s="2" t="s">
        <v>3403</v>
      </c>
      <c r="AD544" s="4">
        <v>229</v>
      </c>
      <c r="AE544" s="4">
        <v>229</v>
      </c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200</v>
      </c>
      <c r="AM544" s="4"/>
      <c r="AN544" s="4"/>
      <c r="AO544" s="7"/>
      <c r="AP544" s="4"/>
      <c r="AQ544" s="8"/>
      <c r="AR544" s="4"/>
      <c r="AS544" s="8"/>
      <c r="AT544" s="7"/>
      <c r="AU544" s="7"/>
      <c r="AV544" s="4"/>
      <c r="AW544" s="8"/>
      <c r="AX544" s="4"/>
      <c r="AY544" s="8"/>
      <c r="AZ544" s="7"/>
      <c r="BA544" s="7"/>
      <c r="BB544" s="7"/>
      <c r="BC544" s="4" t="s">
        <v>200</v>
      </c>
      <c r="BD544" s="8" t="s">
        <v>200</v>
      </c>
      <c r="BE544" s="4" t="s">
        <v>200</v>
      </c>
      <c r="BF544" s="8" t="s">
        <v>200</v>
      </c>
      <c r="BG544" s="7" t="s">
        <v>200</v>
      </c>
      <c r="BH544" s="7" t="s">
        <v>200</v>
      </c>
      <c r="BI544" s="7"/>
      <c r="BJ544" s="4">
        <v>249</v>
      </c>
      <c r="BK544" s="8">
        <v>4347.03</v>
      </c>
      <c r="BL544" s="2" t="s">
        <v>3574</v>
      </c>
      <c r="BM544" s="7"/>
      <c r="BN544" s="7"/>
      <c r="BO544" s="4"/>
      <c r="BP544" s="8"/>
      <c r="BQ544" s="4"/>
      <c r="BR544" s="8"/>
      <c r="BS544" s="7"/>
      <c r="BT544" s="7"/>
      <c r="BU544" s="2" t="s">
        <v>3575</v>
      </c>
      <c r="BV544" s="2" t="s">
        <v>200</v>
      </c>
      <c r="BW544" s="2" t="s">
        <v>200</v>
      </c>
      <c r="BX544" s="2" t="s">
        <v>264</v>
      </c>
      <c r="BY544" s="2" t="s">
        <v>247</v>
      </c>
      <c r="BZ544" s="2" t="s">
        <v>212</v>
      </c>
      <c r="CA544" s="2" t="s">
        <v>3576</v>
      </c>
      <c r="CB544" s="2" t="s">
        <v>3577</v>
      </c>
      <c r="CC544" s="2" t="s">
        <v>213</v>
      </c>
      <c r="CD544" s="2" t="s">
        <v>200</v>
      </c>
      <c r="CE544" s="4">
        <v>9</v>
      </c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>
        <v>229</v>
      </c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</row>
    <row r="545">
      <c r="A545" s="2" t="s">
        <v>3578</v>
      </c>
      <c r="B545" s="2" t="s">
        <v>230</v>
      </c>
      <c r="C545" s="2" t="s">
        <v>877</v>
      </c>
      <c r="D545" s="2" t="s">
        <v>232</v>
      </c>
      <c r="E545" s="2" t="s">
        <v>233</v>
      </c>
      <c r="F545" s="2" t="s">
        <v>3569</v>
      </c>
      <c r="G545" s="2" t="s">
        <v>3569</v>
      </c>
      <c r="H545" s="2" t="s">
        <v>3569</v>
      </c>
      <c r="I545" s="2" t="s">
        <v>3570</v>
      </c>
      <c r="J545" s="2" t="s">
        <v>297</v>
      </c>
      <c r="K545" s="2" t="s">
        <v>3579</v>
      </c>
      <c r="L545" s="3">
        <v>21.27</v>
      </c>
      <c r="M545" s="3">
        <v>22.33</v>
      </c>
      <c r="N545" s="3">
        <v>47.99</v>
      </c>
      <c r="O545" s="2" t="s">
        <v>212</v>
      </c>
      <c r="P545" s="2" t="s">
        <v>258</v>
      </c>
      <c r="Q545" s="2" t="s">
        <v>206</v>
      </c>
      <c r="R545" s="2" t="s">
        <v>200</v>
      </c>
      <c r="S545" s="2" t="s">
        <v>3580</v>
      </c>
      <c r="T545" s="2" t="s">
        <v>3312</v>
      </c>
      <c r="U545" s="2" t="s">
        <v>240</v>
      </c>
      <c r="V545" s="2" t="s">
        <v>3270</v>
      </c>
      <c r="W545" s="2" t="s">
        <v>241</v>
      </c>
      <c r="X545" s="2" t="s">
        <v>419</v>
      </c>
      <c r="Y545" s="2" t="s">
        <v>3573</v>
      </c>
      <c r="Z545" s="4">
        <v>1</v>
      </c>
      <c r="AA545" s="4">
        <f>=ROUNDDOWN(0.03125,0)</f>
      </c>
      <c r="AB545" s="5">
        <v>32</v>
      </c>
      <c r="AC545" s="2" t="s">
        <v>200</v>
      </c>
      <c r="AD545" s="4"/>
      <c r="AE545" s="4"/>
      <c r="AF545" s="6">
        <v>65</v>
      </c>
      <c r="AG545" s="6"/>
      <c r="AH545" s="7">
        <v>0.7333</v>
      </c>
      <c r="AI545" s="4"/>
      <c r="AJ545" s="4">
        <f>=ROUNDDOWN({0},0)</f>
      </c>
      <c r="AK545" s="5"/>
      <c r="AL545" s="2" t="s">
        <v>200</v>
      </c>
      <c r="AM545" s="4"/>
      <c r="AN545" s="4"/>
      <c r="AO545" s="7"/>
      <c r="AP545" s="4"/>
      <c r="AQ545" s="8"/>
      <c r="AR545" s="4"/>
      <c r="AS545" s="8"/>
      <c r="AT545" s="7"/>
      <c r="AU545" s="7"/>
      <c r="AV545" s="4"/>
      <c r="AW545" s="8"/>
      <c r="AX545" s="4"/>
      <c r="AY545" s="8"/>
      <c r="AZ545" s="7"/>
      <c r="BA545" s="7"/>
      <c r="BB545" s="7"/>
      <c r="BC545" s="4" t="s">
        <v>200</v>
      </c>
      <c r="BD545" s="8" t="s">
        <v>200</v>
      </c>
      <c r="BE545" s="4" t="s">
        <v>200</v>
      </c>
      <c r="BF545" s="8" t="s">
        <v>200</v>
      </c>
      <c r="BG545" s="7" t="s">
        <v>200</v>
      </c>
      <c r="BH545" s="7" t="s">
        <v>200</v>
      </c>
      <c r="BI545" s="7"/>
      <c r="BJ545" s="4">
        <v>101</v>
      </c>
      <c r="BK545" s="8">
        <v>2507.78</v>
      </c>
      <c r="BL545" s="2" t="s">
        <v>1993</v>
      </c>
      <c r="BM545" s="7"/>
      <c r="BN545" s="7"/>
      <c r="BO545" s="4"/>
      <c r="BP545" s="8"/>
      <c r="BQ545" s="4"/>
      <c r="BR545" s="8"/>
      <c r="BS545" s="7"/>
      <c r="BT545" s="7"/>
      <c r="BU545" s="2" t="s">
        <v>3581</v>
      </c>
      <c r="BV545" s="2" t="s">
        <v>200</v>
      </c>
      <c r="BW545" s="2" t="s">
        <v>200</v>
      </c>
      <c r="BX545" s="2" t="s">
        <v>264</v>
      </c>
      <c r="BY545" s="2" t="s">
        <v>247</v>
      </c>
      <c r="BZ545" s="2" t="s">
        <v>212</v>
      </c>
      <c r="CA545" s="2" t="s">
        <v>3576</v>
      </c>
      <c r="CB545" s="2" t="s">
        <v>3582</v>
      </c>
      <c r="CC545" s="2" t="s">
        <v>213</v>
      </c>
      <c r="CD545" s="2" t="s">
        <v>200</v>
      </c>
      <c r="CE545" s="4">
        <v>1</v>
      </c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</row>
    <row r="546">
      <c r="A546" s="2" t="s">
        <v>3583</v>
      </c>
      <c r="B546" s="2" t="s">
        <v>230</v>
      </c>
      <c r="C546" s="2" t="s">
        <v>877</v>
      </c>
      <c r="D546" s="2" t="s">
        <v>232</v>
      </c>
      <c r="E546" s="2" t="s">
        <v>233</v>
      </c>
      <c r="F546" s="2" t="s">
        <v>3569</v>
      </c>
      <c r="G546" s="2" t="s">
        <v>3569</v>
      </c>
      <c r="H546" s="2" t="s">
        <v>3569</v>
      </c>
      <c r="I546" s="2" t="s">
        <v>3570</v>
      </c>
      <c r="J546" s="2" t="s">
        <v>269</v>
      </c>
      <c r="K546" s="2" t="s">
        <v>3584</v>
      </c>
      <c r="L546" s="3">
        <v>15.22</v>
      </c>
      <c r="M546" s="3">
        <v>15.98</v>
      </c>
      <c r="N546" s="3">
        <v>32.99</v>
      </c>
      <c r="O546" s="2" t="s">
        <v>212</v>
      </c>
      <c r="P546" s="2" t="s">
        <v>258</v>
      </c>
      <c r="Q546" s="2" t="s">
        <v>206</v>
      </c>
      <c r="R546" s="2" t="s">
        <v>200</v>
      </c>
      <c r="S546" s="2" t="s">
        <v>3585</v>
      </c>
      <c r="T546" s="2" t="s">
        <v>3312</v>
      </c>
      <c r="U546" s="2" t="s">
        <v>454</v>
      </c>
      <c r="V546" s="2" t="s">
        <v>1695</v>
      </c>
      <c r="W546" s="2" t="s">
        <v>241</v>
      </c>
      <c r="X546" s="2" t="s">
        <v>419</v>
      </c>
      <c r="Y546" s="2" t="s">
        <v>3537</v>
      </c>
      <c r="Z546" s="4">
        <v>149</v>
      </c>
      <c r="AA546" s="4">
        <f>=ROUNDDOWN(14.9,0)</f>
      </c>
      <c r="AB546" s="5">
        <v>10</v>
      </c>
      <c r="AC546" s="2" t="s">
        <v>123</v>
      </c>
      <c r="AD546" s="4">
        <v>110</v>
      </c>
      <c r="AE546" s="4">
        <v>110</v>
      </c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200</v>
      </c>
      <c r="AM546" s="4"/>
      <c r="AN546" s="4"/>
      <c r="AO546" s="7"/>
      <c r="AP546" s="4"/>
      <c r="AQ546" s="8"/>
      <c r="AR546" s="4"/>
      <c r="AS546" s="8"/>
      <c r="AT546" s="7"/>
      <c r="AU546" s="7"/>
      <c r="AV546" s="4" t="s">
        <v>200</v>
      </c>
      <c r="AW546" s="8" t="s">
        <v>200</v>
      </c>
      <c r="AX546" s="4" t="s">
        <v>200</v>
      </c>
      <c r="AY546" s="8" t="s">
        <v>200</v>
      </c>
      <c r="AZ546" s="7" t="s">
        <v>200</v>
      </c>
      <c r="BA546" s="7" t="s">
        <v>200</v>
      </c>
      <c r="BB546" s="7"/>
      <c r="BC546" s="4" t="s">
        <v>200</v>
      </c>
      <c r="BD546" s="8" t="s">
        <v>200</v>
      </c>
      <c r="BE546" s="4" t="s">
        <v>200</v>
      </c>
      <c r="BF546" s="8" t="s">
        <v>200</v>
      </c>
      <c r="BG546" s="7" t="s">
        <v>200</v>
      </c>
      <c r="BH546" s="7" t="s">
        <v>200</v>
      </c>
      <c r="BI546" s="7"/>
      <c r="BJ546" s="4">
        <v>32</v>
      </c>
      <c r="BK546" s="8">
        <v>557.09</v>
      </c>
      <c r="BL546" s="2" t="s">
        <v>3586</v>
      </c>
      <c r="BM546" s="7"/>
      <c r="BN546" s="7"/>
      <c r="BO546" s="4"/>
      <c r="BP546" s="8"/>
      <c r="BQ546" s="4"/>
      <c r="BR546" s="8"/>
      <c r="BS546" s="7"/>
      <c r="BT546" s="7"/>
      <c r="BU546" s="2" t="s">
        <v>3587</v>
      </c>
      <c r="BV546" s="2" t="s">
        <v>200</v>
      </c>
      <c r="BW546" s="2" t="s">
        <v>200</v>
      </c>
      <c r="BX546" s="2" t="s">
        <v>264</v>
      </c>
      <c r="BY546" s="2" t="s">
        <v>247</v>
      </c>
      <c r="BZ546" s="2" t="s">
        <v>212</v>
      </c>
      <c r="CA546" s="2" t="s">
        <v>3537</v>
      </c>
      <c r="CB546" s="2" t="s">
        <v>3588</v>
      </c>
      <c r="CC546" s="2" t="s">
        <v>213</v>
      </c>
      <c r="CD546" s="2" t="s">
        <v>200</v>
      </c>
      <c r="CE546" s="4">
        <v>94</v>
      </c>
      <c r="CF546" s="4">
        <v>55</v>
      </c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>
        <v>110</v>
      </c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</row>
    <row r="547">
      <c r="A547" s="2" t="s">
        <v>3589</v>
      </c>
      <c r="B547" s="2" t="s">
        <v>230</v>
      </c>
      <c r="C547" s="2" t="s">
        <v>877</v>
      </c>
      <c r="D547" s="2" t="s">
        <v>232</v>
      </c>
      <c r="E547" s="2" t="s">
        <v>233</v>
      </c>
      <c r="F547" s="2" t="s">
        <v>3569</v>
      </c>
      <c r="G547" s="2" t="s">
        <v>3569</v>
      </c>
      <c r="H547" s="2" t="s">
        <v>3569</v>
      </c>
      <c r="I547" s="2" t="s">
        <v>3570</v>
      </c>
      <c r="J547" s="2" t="s">
        <v>277</v>
      </c>
      <c r="K547" s="2" t="s">
        <v>3584</v>
      </c>
      <c r="L547" s="3">
        <v>19.13</v>
      </c>
      <c r="M547" s="3">
        <v>20.09</v>
      </c>
      <c r="N547" s="3">
        <v>42.99</v>
      </c>
      <c r="O547" s="2" t="s">
        <v>212</v>
      </c>
      <c r="P547" s="2" t="s">
        <v>258</v>
      </c>
      <c r="Q547" s="2" t="s">
        <v>206</v>
      </c>
      <c r="R547" s="2" t="s">
        <v>200</v>
      </c>
      <c r="S547" s="2" t="s">
        <v>3585</v>
      </c>
      <c r="T547" s="2" t="s">
        <v>3312</v>
      </c>
      <c r="U547" s="2" t="s">
        <v>240</v>
      </c>
      <c r="V547" s="2" t="s">
        <v>1695</v>
      </c>
      <c r="W547" s="2" t="s">
        <v>241</v>
      </c>
      <c r="X547" s="2" t="s">
        <v>419</v>
      </c>
      <c r="Y547" s="2" t="s">
        <v>3537</v>
      </c>
      <c r="Z547" s="4">
        <v>201</v>
      </c>
      <c r="AA547" s="4">
        <f>=ROUNDDOWN(16.75,0)</f>
      </c>
      <c r="AB547" s="5">
        <v>12</v>
      </c>
      <c r="AC547" s="2" t="s">
        <v>123</v>
      </c>
      <c r="AD547" s="4">
        <v>156</v>
      </c>
      <c r="AE547" s="4">
        <v>156</v>
      </c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200</v>
      </c>
      <c r="AM547" s="4"/>
      <c r="AN547" s="4"/>
      <c r="AO547" s="7"/>
      <c r="AP547" s="4"/>
      <c r="AQ547" s="8"/>
      <c r="AR547" s="4"/>
      <c r="AS547" s="8"/>
      <c r="AT547" s="7"/>
      <c r="AU547" s="7"/>
      <c r="AV547" s="4" t="s">
        <v>200</v>
      </c>
      <c r="AW547" s="8" t="s">
        <v>200</v>
      </c>
      <c r="AX547" s="4" t="s">
        <v>200</v>
      </c>
      <c r="AY547" s="8" t="s">
        <v>200</v>
      </c>
      <c r="AZ547" s="7" t="s">
        <v>200</v>
      </c>
      <c r="BA547" s="7" t="s">
        <v>200</v>
      </c>
      <c r="BB547" s="7"/>
      <c r="BC547" s="4" t="s">
        <v>200</v>
      </c>
      <c r="BD547" s="8" t="s">
        <v>200</v>
      </c>
      <c r="BE547" s="4" t="s">
        <v>200</v>
      </c>
      <c r="BF547" s="8" t="s">
        <v>200</v>
      </c>
      <c r="BG547" s="7" t="s">
        <v>200</v>
      </c>
      <c r="BH547" s="7" t="s">
        <v>200</v>
      </c>
      <c r="BI547" s="7"/>
      <c r="BJ547" s="4">
        <v>72</v>
      </c>
      <c r="BK547" s="8">
        <v>1585.38</v>
      </c>
      <c r="BL547" s="2" t="s">
        <v>3590</v>
      </c>
      <c r="BM547" s="7"/>
      <c r="BN547" s="7"/>
      <c r="BO547" s="4"/>
      <c r="BP547" s="8"/>
      <c r="BQ547" s="4"/>
      <c r="BR547" s="8"/>
      <c r="BS547" s="7"/>
      <c r="BT547" s="7"/>
      <c r="BU547" s="2" t="s">
        <v>3591</v>
      </c>
      <c r="BV547" s="2" t="s">
        <v>200</v>
      </c>
      <c r="BW547" s="2" t="s">
        <v>200</v>
      </c>
      <c r="BX547" s="2" t="s">
        <v>264</v>
      </c>
      <c r="BY547" s="2" t="s">
        <v>247</v>
      </c>
      <c r="BZ547" s="2" t="s">
        <v>212</v>
      </c>
      <c r="CA547" s="2" t="s">
        <v>3537</v>
      </c>
      <c r="CB547" s="2" t="s">
        <v>3592</v>
      </c>
      <c r="CC547" s="2" t="s">
        <v>213</v>
      </c>
      <c r="CD547" s="2" t="s">
        <v>200</v>
      </c>
      <c r="CE547" s="4">
        <v>201</v>
      </c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>
        <v>156</v>
      </c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</row>
    <row r="548">
      <c r="A548" s="2" t="s">
        <v>3593</v>
      </c>
      <c r="B548" s="2" t="s">
        <v>230</v>
      </c>
      <c r="C548" s="2" t="s">
        <v>877</v>
      </c>
      <c r="D548" s="2" t="s">
        <v>232</v>
      </c>
      <c r="E548" s="2" t="s">
        <v>233</v>
      </c>
      <c r="F548" s="2" t="s">
        <v>3569</v>
      </c>
      <c r="G548" s="2" t="s">
        <v>3569</v>
      </c>
      <c r="H548" s="2" t="s">
        <v>3569</v>
      </c>
      <c r="I548" s="2" t="s">
        <v>3570</v>
      </c>
      <c r="J548" s="2" t="s">
        <v>297</v>
      </c>
      <c r="K548" s="2" t="s">
        <v>3594</v>
      </c>
      <c r="L548" s="3">
        <v>21.27</v>
      </c>
      <c r="M548" s="3">
        <v>22.33</v>
      </c>
      <c r="N548" s="3">
        <v>47.99</v>
      </c>
      <c r="O548" s="2" t="s">
        <v>212</v>
      </c>
      <c r="P548" s="2" t="s">
        <v>205</v>
      </c>
      <c r="Q548" s="2" t="s">
        <v>206</v>
      </c>
      <c r="R548" s="2" t="s">
        <v>200</v>
      </c>
      <c r="S548" s="2" t="s">
        <v>3595</v>
      </c>
      <c r="T548" s="2" t="s">
        <v>3312</v>
      </c>
      <c r="U548" s="2" t="s">
        <v>240</v>
      </c>
      <c r="V548" s="2" t="s">
        <v>3270</v>
      </c>
      <c r="W548" s="2" t="s">
        <v>241</v>
      </c>
      <c r="X548" s="2" t="s">
        <v>419</v>
      </c>
      <c r="Y548" s="2" t="s">
        <v>3265</v>
      </c>
      <c r="Z548" s="4">
        <v>55</v>
      </c>
      <c r="AA548" s="4">
        <f>=ROUNDDOWN(1.25,0)</f>
      </c>
      <c r="AB548" s="5">
        <v>44</v>
      </c>
      <c r="AC548" s="2" t="s">
        <v>200</v>
      </c>
      <c r="AD548" s="4"/>
      <c r="AE548" s="4"/>
      <c r="AF548" s="6">
        <v>70</v>
      </c>
      <c r="AG548" s="6"/>
      <c r="AH548" s="7">
        <v>1</v>
      </c>
      <c r="AI548" s="4"/>
      <c r="AJ548" s="4">
        <f>=ROUNDDOWN({0},0)</f>
      </c>
      <c r="AK548" s="5"/>
      <c r="AL548" s="2" t="s">
        <v>200</v>
      </c>
      <c r="AM548" s="4"/>
      <c r="AN548" s="4"/>
      <c r="AO548" s="7"/>
      <c r="AP548" s="4"/>
      <c r="AQ548" s="8"/>
      <c r="AR548" s="4"/>
      <c r="AS548" s="8"/>
      <c r="AT548" s="7"/>
      <c r="AU548" s="7"/>
      <c r="AV548" s="4"/>
      <c r="AW548" s="8"/>
      <c r="AX548" s="4"/>
      <c r="AY548" s="8"/>
      <c r="AZ548" s="7"/>
      <c r="BA548" s="7"/>
      <c r="BB548" s="7"/>
      <c r="BC548" s="4" t="s">
        <v>200</v>
      </c>
      <c r="BD548" s="8" t="s">
        <v>200</v>
      </c>
      <c r="BE548" s="4" t="s">
        <v>200</v>
      </c>
      <c r="BF548" s="8" t="s">
        <v>200</v>
      </c>
      <c r="BG548" s="7" t="s">
        <v>200</v>
      </c>
      <c r="BH548" s="7" t="s">
        <v>200</v>
      </c>
      <c r="BI548" s="7"/>
      <c r="BJ548" s="4">
        <v>554</v>
      </c>
      <c r="BK548" s="8">
        <v>13638.27</v>
      </c>
      <c r="BL548" s="2" t="s">
        <v>3596</v>
      </c>
      <c r="BM548" s="7"/>
      <c r="BN548" s="7"/>
      <c r="BO548" s="4"/>
      <c r="BP548" s="8"/>
      <c r="BQ548" s="4"/>
      <c r="BR548" s="8"/>
      <c r="BS548" s="7"/>
      <c r="BT548" s="7"/>
      <c r="BU548" s="2" t="s">
        <v>3597</v>
      </c>
      <c r="BV548" s="2" t="s">
        <v>200</v>
      </c>
      <c r="BW548" s="2" t="s">
        <v>200</v>
      </c>
      <c r="BX548" s="2" t="s">
        <v>264</v>
      </c>
      <c r="BY548" s="2" t="s">
        <v>247</v>
      </c>
      <c r="BZ548" s="2" t="s">
        <v>212</v>
      </c>
      <c r="CA548" s="2" t="s">
        <v>3598</v>
      </c>
      <c r="CB548" s="2" t="s">
        <v>200</v>
      </c>
      <c r="CC548" s="2" t="s">
        <v>213</v>
      </c>
      <c r="CD548" s="2" t="s">
        <v>200</v>
      </c>
      <c r="CE548" s="4">
        <v>55</v>
      </c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</row>
    <row r="549">
      <c r="A549" s="2" t="s">
        <v>3599</v>
      </c>
      <c r="B549" s="2" t="s">
        <v>744</v>
      </c>
      <c r="C549" s="2" t="s">
        <v>745</v>
      </c>
      <c r="D549" s="2" t="s">
        <v>1275</v>
      </c>
      <c r="E549" s="2" t="s">
        <v>1276</v>
      </c>
      <c r="F549" s="2" t="s">
        <v>3600</v>
      </c>
      <c r="G549" s="2" t="s">
        <v>3600</v>
      </c>
      <c r="H549" s="2" t="s">
        <v>3600</v>
      </c>
      <c r="I549" s="2" t="s">
        <v>2093</v>
      </c>
      <c r="J549" s="2" t="s">
        <v>711</v>
      </c>
      <c r="K549" s="2" t="s">
        <v>2589</v>
      </c>
      <c r="L549" s="3">
        <v>261</v>
      </c>
      <c r="M549" s="3">
        <v>274.05</v>
      </c>
      <c r="N549" s="3">
        <v>549</v>
      </c>
      <c r="O549" s="2" t="s">
        <v>212</v>
      </c>
      <c r="P549" s="2" t="s">
        <v>258</v>
      </c>
      <c r="Q549" s="2" t="s">
        <v>206</v>
      </c>
      <c r="R549" s="2" t="s">
        <v>200</v>
      </c>
      <c r="S549" s="2" t="s">
        <v>3601</v>
      </c>
      <c r="T549" s="2" t="s">
        <v>200</v>
      </c>
      <c r="U549" s="2" t="s">
        <v>200</v>
      </c>
      <c r="V549" s="2" t="s">
        <v>208</v>
      </c>
      <c r="W549" s="2" t="s">
        <v>712</v>
      </c>
      <c r="X549" s="2" t="s">
        <v>200</v>
      </c>
      <c r="Y549" s="2" t="s">
        <v>261</v>
      </c>
      <c r="Z549" s="4">
        <v>181</v>
      </c>
      <c r="AA549" s="4">
        <f>=ROUNDDOWN(90.5,0)</f>
      </c>
      <c r="AB549" s="5">
        <v>2</v>
      </c>
      <c r="AC549" s="2" t="s">
        <v>200</v>
      </c>
      <c r="AD549" s="4"/>
      <c r="AE549" s="4"/>
      <c r="AF549" s="6">
        <v>66</v>
      </c>
      <c r="AG549" s="6">
        <v>49</v>
      </c>
      <c r="AH549" s="7">
        <v>1</v>
      </c>
      <c r="AI549" s="4"/>
      <c r="AJ549" s="4">
        <f>=ROUNDDOWN({0},0)</f>
      </c>
      <c r="AK549" s="5"/>
      <c r="AL549" s="2" t="s">
        <v>200</v>
      </c>
      <c r="AM549" s="4"/>
      <c r="AN549" s="4"/>
      <c r="AO549" s="7"/>
      <c r="AP549" s="4"/>
      <c r="AQ549" s="8"/>
      <c r="AR549" s="4"/>
      <c r="AS549" s="8"/>
      <c r="AT549" s="7"/>
      <c r="AU549" s="7"/>
      <c r="AV549" s="4"/>
      <c r="AW549" s="8"/>
      <c r="AX549" s="4"/>
      <c r="AY549" s="8"/>
      <c r="AZ549" s="7"/>
      <c r="BA549" s="7"/>
      <c r="BB549" s="7"/>
      <c r="BC549" s="4"/>
      <c r="BD549" s="8"/>
      <c r="BE549" s="4"/>
      <c r="BF549" s="8"/>
      <c r="BG549" s="7"/>
      <c r="BH549" s="7"/>
      <c r="BI549" s="7"/>
      <c r="BJ549" s="4">
        <v>11</v>
      </c>
      <c r="BK549" s="8">
        <v>2578.58</v>
      </c>
      <c r="BL549" s="2" t="s">
        <v>3602</v>
      </c>
      <c r="BM549" s="7"/>
      <c r="BN549" s="7"/>
      <c r="BO549" s="4"/>
      <c r="BP549" s="8"/>
      <c r="BQ549" s="4"/>
      <c r="BR549" s="8"/>
      <c r="BS549" s="7"/>
      <c r="BT549" s="7"/>
      <c r="BU549" s="2" t="s">
        <v>3603</v>
      </c>
      <c r="BV549" s="2" t="s">
        <v>200</v>
      </c>
      <c r="BW549" s="2" t="s">
        <v>200</v>
      </c>
      <c r="BX549" s="2" t="s">
        <v>620</v>
      </c>
      <c r="BY549" s="2" t="s">
        <v>247</v>
      </c>
      <c r="BZ549" s="2" t="s">
        <v>212</v>
      </c>
      <c r="CA549" s="2" t="s">
        <v>3604</v>
      </c>
      <c r="CB549" s="2" t="s">
        <v>1598</v>
      </c>
      <c r="CC549" s="2" t="s">
        <v>213</v>
      </c>
      <c r="CD549" s="2" t="s">
        <v>200</v>
      </c>
      <c r="CE549" s="4"/>
      <c r="CF549" s="4">
        <v>126</v>
      </c>
      <c r="CG549" s="4"/>
      <c r="CH549" s="4">
        <v>55</v>
      </c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</row>
    <row r="550">
      <c r="A550" s="2" t="s">
        <v>3605</v>
      </c>
      <c r="B550" s="2" t="s">
        <v>705</v>
      </c>
      <c r="C550" s="2" t="s">
        <v>1375</v>
      </c>
      <c r="D550" s="2" t="s">
        <v>817</v>
      </c>
      <c r="E550" s="2" t="s">
        <v>818</v>
      </c>
      <c r="F550" s="2" t="s">
        <v>3606</v>
      </c>
      <c r="G550" s="2" t="s">
        <v>3606</v>
      </c>
      <c r="H550" s="2" t="s">
        <v>3606</v>
      </c>
      <c r="I550" s="2" t="s">
        <v>3607</v>
      </c>
      <c r="J550" s="2" t="s">
        <v>711</v>
      </c>
      <c r="K550" s="2" t="s">
        <v>257</v>
      </c>
      <c r="L550" s="3">
        <v>21.6</v>
      </c>
      <c r="M550" s="3">
        <v>22.68</v>
      </c>
      <c r="N550" s="3">
        <v>49.99</v>
      </c>
      <c r="O550" s="2" t="s">
        <v>460</v>
      </c>
      <c r="P550" s="2" t="s">
        <v>285</v>
      </c>
      <c r="Q550" s="2" t="s">
        <v>206</v>
      </c>
      <c r="R550" s="2" t="s">
        <v>200</v>
      </c>
      <c r="S550" s="2" t="s">
        <v>200</v>
      </c>
      <c r="T550" s="2" t="s">
        <v>200</v>
      </c>
      <c r="U550" s="2" t="s">
        <v>270</v>
      </c>
      <c r="V550" s="2" t="s">
        <v>616</v>
      </c>
      <c r="W550" s="2" t="s">
        <v>241</v>
      </c>
      <c r="X550" s="2" t="s">
        <v>419</v>
      </c>
      <c r="Y550" s="2" t="s">
        <v>3608</v>
      </c>
      <c r="Z550" s="4">
        <v>31</v>
      </c>
      <c r="AA550" s="4">
        <f>=ROUNDDOWN(34.4444444444444,0)</f>
      </c>
      <c r="AB550" s="5">
        <v>0.9</v>
      </c>
      <c r="AC550" s="2" t="s">
        <v>200</v>
      </c>
      <c r="AD550" s="4"/>
      <c r="AE550" s="4"/>
      <c r="AF550" s="6">
        <v>63</v>
      </c>
      <c r="AG550" s="6"/>
      <c r="AH550" s="7">
        <v>1</v>
      </c>
      <c r="AI550" s="4"/>
      <c r="AJ550" s="4">
        <f>=ROUNDDOWN({0},0)</f>
      </c>
      <c r="AK550" s="5"/>
      <c r="AL550" s="2" t="s">
        <v>200</v>
      </c>
      <c r="AM550" s="4"/>
      <c r="AN550" s="4"/>
      <c r="AO550" s="7"/>
      <c r="AP550" s="4"/>
      <c r="AQ550" s="8"/>
      <c r="AR550" s="4"/>
      <c r="AS550" s="8"/>
      <c r="AT550" s="7"/>
      <c r="AU550" s="7"/>
      <c r="AV550" s="4"/>
      <c r="AW550" s="8"/>
      <c r="AX550" s="4"/>
      <c r="AY550" s="8"/>
      <c r="AZ550" s="7"/>
      <c r="BA550" s="7"/>
      <c r="BB550" s="7"/>
      <c r="BC550" s="4"/>
      <c r="BD550" s="8"/>
      <c r="BE550" s="4"/>
      <c r="BF550" s="8"/>
      <c r="BG550" s="7"/>
      <c r="BH550" s="7"/>
      <c r="BI550" s="7"/>
      <c r="BJ550" s="4">
        <v>6</v>
      </c>
      <c r="BK550" s="8">
        <v>217.68</v>
      </c>
      <c r="BL550" s="2" t="s">
        <v>2168</v>
      </c>
      <c r="BM550" s="7"/>
      <c r="BN550" s="7"/>
      <c r="BO550" s="4"/>
      <c r="BP550" s="8"/>
      <c r="BQ550" s="4"/>
      <c r="BR550" s="8"/>
      <c r="BS550" s="7"/>
      <c r="BT550" s="7"/>
      <c r="BU550" s="2" t="s">
        <v>3609</v>
      </c>
      <c r="BV550" s="2" t="s">
        <v>200</v>
      </c>
      <c r="BW550" s="2" t="s">
        <v>200</v>
      </c>
      <c r="BX550" s="2" t="s">
        <v>289</v>
      </c>
      <c r="BY550" s="2" t="s">
        <v>247</v>
      </c>
      <c r="BZ550" s="2" t="s">
        <v>212</v>
      </c>
      <c r="CA550" s="2" t="s">
        <v>3610</v>
      </c>
      <c r="CB550" s="2" t="s">
        <v>3611</v>
      </c>
      <c r="CC550" s="2" t="s">
        <v>213</v>
      </c>
      <c r="CD550" s="2" t="s">
        <v>200</v>
      </c>
      <c r="CE550" s="4"/>
      <c r="CF550" s="4">
        <v>31</v>
      </c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</row>
    <row r="551">
      <c r="A551" s="2" t="s">
        <v>3612</v>
      </c>
      <c r="B551" s="2" t="s">
        <v>744</v>
      </c>
      <c r="C551" s="2" t="s">
        <v>231</v>
      </c>
      <c r="D551" s="2" t="s">
        <v>1275</v>
      </c>
      <c r="E551" s="2" t="s">
        <v>1276</v>
      </c>
      <c r="F551" s="2" t="s">
        <v>3613</v>
      </c>
      <c r="G551" s="2" t="s">
        <v>3614</v>
      </c>
      <c r="H551" s="2" t="s">
        <v>3615</v>
      </c>
      <c r="I551" s="2" t="s">
        <v>3616</v>
      </c>
      <c r="J551" s="2" t="s">
        <v>711</v>
      </c>
      <c r="K551" s="2" t="s">
        <v>3617</v>
      </c>
      <c r="L551" s="3">
        <v>207</v>
      </c>
      <c r="M551" s="3">
        <v>217.35</v>
      </c>
      <c r="N551" s="3">
        <v>439</v>
      </c>
      <c r="O551" s="2" t="s">
        <v>212</v>
      </c>
      <c r="P551" s="2" t="s">
        <v>750</v>
      </c>
      <c r="Q551" s="2" t="s">
        <v>206</v>
      </c>
      <c r="R551" s="2" t="s">
        <v>200</v>
      </c>
      <c r="S551" s="2" t="s">
        <v>3618</v>
      </c>
      <c r="T551" s="2" t="s">
        <v>200</v>
      </c>
      <c r="U551" s="2" t="s">
        <v>200</v>
      </c>
      <c r="V551" s="2" t="s">
        <v>208</v>
      </c>
      <c r="W551" s="2" t="s">
        <v>712</v>
      </c>
      <c r="X551" s="2" t="s">
        <v>200</v>
      </c>
      <c r="Y551" s="2" t="s">
        <v>261</v>
      </c>
      <c r="Z551" s="4">
        <v>178</v>
      </c>
      <c r="AA551" s="4">
        <f>=ROUNDDOWN(59.3333333333333,0)</f>
      </c>
      <c r="AB551" s="5">
        <v>3</v>
      </c>
      <c r="AC551" s="2" t="s">
        <v>200</v>
      </c>
      <c r="AD551" s="4"/>
      <c r="AE551" s="4"/>
      <c r="AF551" s="6">
        <v>66</v>
      </c>
      <c r="AG551" s="6"/>
      <c r="AH551" s="7">
        <v>1</v>
      </c>
      <c r="AI551" s="4"/>
      <c r="AJ551" s="4">
        <f>=ROUNDDOWN({0},0)</f>
      </c>
      <c r="AK551" s="5"/>
      <c r="AL551" s="2" t="s">
        <v>200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/>
      <c r="AW551" s="8"/>
      <c r="AX551" s="4"/>
      <c r="AY551" s="8"/>
      <c r="AZ551" s="7"/>
      <c r="BA551" s="7"/>
      <c r="BB551" s="7"/>
      <c r="BC551" s="4"/>
      <c r="BD551" s="8"/>
      <c r="BE551" s="4"/>
      <c r="BF551" s="8"/>
      <c r="BG551" s="7"/>
      <c r="BH551" s="7"/>
      <c r="BI551" s="7"/>
      <c r="BJ551" s="4">
        <v>10</v>
      </c>
      <c r="BK551" s="8">
        <v>2050.35</v>
      </c>
      <c r="BL551" s="2" t="s">
        <v>3619</v>
      </c>
      <c r="BM551" s="7"/>
      <c r="BN551" s="7"/>
      <c r="BO551" s="4"/>
      <c r="BP551" s="8"/>
      <c r="BQ551" s="4"/>
      <c r="BR551" s="8"/>
      <c r="BS551" s="7"/>
      <c r="BT551" s="7"/>
      <c r="BU551" s="2" t="s">
        <v>3620</v>
      </c>
      <c r="BV551" s="2" t="s">
        <v>200</v>
      </c>
      <c r="BW551" s="2" t="s">
        <v>200</v>
      </c>
      <c r="BX551" s="2" t="s">
        <v>264</v>
      </c>
      <c r="BY551" s="2" t="s">
        <v>247</v>
      </c>
      <c r="BZ551" s="2" t="s">
        <v>212</v>
      </c>
      <c r="CA551" s="2" t="s">
        <v>3621</v>
      </c>
      <c r="CB551" s="2" t="s">
        <v>1082</v>
      </c>
      <c r="CC551" s="2" t="s">
        <v>213</v>
      </c>
      <c r="CD551" s="2" t="s">
        <v>200</v>
      </c>
      <c r="CE551" s="4"/>
      <c r="CF551" s="4">
        <v>178</v>
      </c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</row>
    <row r="552">
      <c r="A552" s="2" t="s">
        <v>3622</v>
      </c>
      <c r="B552" s="2" t="s">
        <v>705</v>
      </c>
      <c r="C552" s="2" t="s">
        <v>745</v>
      </c>
      <c r="D552" s="2" t="s">
        <v>707</v>
      </c>
      <c r="E552" s="2" t="s">
        <v>708</v>
      </c>
      <c r="F552" s="2" t="s">
        <v>3623</v>
      </c>
      <c r="G552" s="2" t="s">
        <v>3623</v>
      </c>
      <c r="H552" s="2" t="s">
        <v>3623</v>
      </c>
      <c r="I552" s="2" t="s">
        <v>3624</v>
      </c>
      <c r="J552" s="2" t="s">
        <v>711</v>
      </c>
      <c r="K552" s="2" t="s">
        <v>2500</v>
      </c>
      <c r="L552" s="3">
        <v>136</v>
      </c>
      <c r="M552" s="3">
        <v>142.8</v>
      </c>
      <c r="N552" s="3">
        <v>279.99</v>
      </c>
      <c r="O552" s="2" t="s">
        <v>212</v>
      </c>
      <c r="P552" s="2" t="s">
        <v>205</v>
      </c>
      <c r="Q552" s="2" t="s">
        <v>206</v>
      </c>
      <c r="R552" s="2" t="s">
        <v>200</v>
      </c>
      <c r="S552" s="2" t="s">
        <v>200</v>
      </c>
      <c r="T552" s="2" t="s">
        <v>200</v>
      </c>
      <c r="U552" s="2" t="s">
        <v>270</v>
      </c>
      <c r="V552" s="2" t="s">
        <v>616</v>
      </c>
      <c r="W552" s="2" t="s">
        <v>419</v>
      </c>
      <c r="X552" s="2" t="s">
        <v>379</v>
      </c>
      <c r="Y552" s="2" t="s">
        <v>3625</v>
      </c>
      <c r="Z552" s="4">
        <v>135</v>
      </c>
      <c r="AA552" s="4">
        <f>=ROUNDDOWN(270,0)</f>
      </c>
      <c r="AB552" s="5">
        <v>0.5</v>
      </c>
      <c r="AC552" s="2" t="s">
        <v>200</v>
      </c>
      <c r="AD552" s="4"/>
      <c r="AE552" s="4"/>
      <c r="AF552" s="6">
        <v>72</v>
      </c>
      <c r="AG552" s="6"/>
      <c r="AH552" s="7">
        <v>1</v>
      </c>
      <c r="AI552" s="4"/>
      <c r="AJ552" s="4">
        <f>=ROUNDDOWN({0},0)</f>
      </c>
      <c r="AK552" s="5"/>
      <c r="AL552" s="2" t="s">
        <v>200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/>
      <c r="AW552" s="8"/>
      <c r="AX552" s="4"/>
      <c r="AY552" s="8"/>
      <c r="AZ552" s="7"/>
      <c r="BA552" s="7"/>
      <c r="BB552" s="7"/>
      <c r="BC552" s="4"/>
      <c r="BD552" s="8"/>
      <c r="BE552" s="4"/>
      <c r="BF552" s="8"/>
      <c r="BG552" s="7"/>
      <c r="BH552" s="7"/>
      <c r="BI552" s="7"/>
      <c r="BJ552" s="4"/>
      <c r="BK552" s="8"/>
      <c r="BL552" s="2" t="s">
        <v>200</v>
      </c>
      <c r="BM552" s="7"/>
      <c r="BN552" s="7"/>
      <c r="BO552" s="4"/>
      <c r="BP552" s="8"/>
      <c r="BQ552" s="4"/>
      <c r="BR552" s="8"/>
      <c r="BS552" s="7"/>
      <c r="BT552" s="7"/>
      <c r="BU552" s="2" t="s">
        <v>3626</v>
      </c>
      <c r="BV552" s="2" t="s">
        <v>200</v>
      </c>
      <c r="BW552" s="2" t="s">
        <v>200</v>
      </c>
      <c r="BX552" s="2" t="s">
        <v>264</v>
      </c>
      <c r="BY552" s="2" t="s">
        <v>247</v>
      </c>
      <c r="BZ552" s="2" t="s">
        <v>212</v>
      </c>
      <c r="CA552" s="2" t="s">
        <v>1295</v>
      </c>
      <c r="CB552" s="2" t="s">
        <v>200</v>
      </c>
      <c r="CC552" s="2" t="s">
        <v>213</v>
      </c>
      <c r="CD552" s="2" t="s">
        <v>200</v>
      </c>
      <c r="CE552" s="4"/>
      <c r="CF552" s="4">
        <v>135</v>
      </c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</row>
    <row r="553">
      <c r="A553" s="2" t="s">
        <v>3627</v>
      </c>
      <c r="B553" s="2" t="s">
        <v>705</v>
      </c>
      <c r="C553" s="2" t="s">
        <v>745</v>
      </c>
      <c r="D553" s="2" t="s">
        <v>707</v>
      </c>
      <c r="E553" s="2" t="s">
        <v>708</v>
      </c>
      <c r="F553" s="2" t="s">
        <v>3628</v>
      </c>
      <c r="G553" s="2" t="s">
        <v>3628</v>
      </c>
      <c r="H553" s="2" t="s">
        <v>3628</v>
      </c>
      <c r="I553" s="2" t="s">
        <v>3629</v>
      </c>
      <c r="J553" s="2" t="s">
        <v>711</v>
      </c>
      <c r="K553" s="2" t="s">
        <v>637</v>
      </c>
      <c r="L553" s="3">
        <v>64.3</v>
      </c>
      <c r="M553" s="3">
        <v>67.52</v>
      </c>
      <c r="N553" s="3">
        <v>159.99</v>
      </c>
      <c r="O553" s="2" t="s">
        <v>212</v>
      </c>
      <c r="P553" s="2" t="s">
        <v>285</v>
      </c>
      <c r="Q553" s="2" t="s">
        <v>206</v>
      </c>
      <c r="R553" s="2" t="s">
        <v>200</v>
      </c>
      <c r="S553" s="2" t="s">
        <v>3630</v>
      </c>
      <c r="T553" s="2" t="s">
        <v>200</v>
      </c>
      <c r="U553" s="2" t="s">
        <v>200</v>
      </c>
      <c r="V553" s="2" t="s">
        <v>724</v>
      </c>
      <c r="W553" s="2" t="s">
        <v>379</v>
      </c>
      <c r="X553" s="2" t="s">
        <v>200</v>
      </c>
      <c r="Y553" s="2" t="s">
        <v>261</v>
      </c>
      <c r="Z553" s="4">
        <v>133</v>
      </c>
      <c r="AA553" s="4">
        <f>=ROUNDDOWN(266,0)</f>
      </c>
      <c r="AB553" s="5">
        <v>0.5</v>
      </c>
      <c r="AC553" s="2" t="s">
        <v>200</v>
      </c>
      <c r="AD553" s="4"/>
      <c r="AE553" s="4"/>
      <c r="AF553" s="6">
        <v>63</v>
      </c>
      <c r="AG553" s="6"/>
      <c r="AH553" s="7">
        <v>1</v>
      </c>
      <c r="AI553" s="4"/>
      <c r="AJ553" s="4">
        <f>=ROUNDDOWN({0},0)</f>
      </c>
      <c r="AK553" s="5"/>
      <c r="AL553" s="2" t="s">
        <v>200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/>
      <c r="AW553" s="8"/>
      <c r="AX553" s="4"/>
      <c r="AY553" s="8"/>
      <c r="AZ553" s="7"/>
      <c r="BA553" s="7"/>
      <c r="BB553" s="7"/>
      <c r="BC553" s="4"/>
      <c r="BD553" s="8"/>
      <c r="BE553" s="4"/>
      <c r="BF553" s="8"/>
      <c r="BG553" s="7"/>
      <c r="BH553" s="7"/>
      <c r="BI553" s="7"/>
      <c r="BJ553" s="4">
        <v>5</v>
      </c>
      <c r="BK553" s="8">
        <v>597.88</v>
      </c>
      <c r="BL553" s="2" t="s">
        <v>3392</v>
      </c>
      <c r="BM553" s="7"/>
      <c r="BN553" s="7"/>
      <c r="BO553" s="4"/>
      <c r="BP553" s="8"/>
      <c r="BQ553" s="4"/>
      <c r="BR553" s="8"/>
      <c r="BS553" s="7"/>
      <c r="BT553" s="7"/>
      <c r="BU553" s="2" t="s">
        <v>3631</v>
      </c>
      <c r="BV553" s="2" t="s">
        <v>200</v>
      </c>
      <c r="BW553" s="2" t="s">
        <v>200</v>
      </c>
      <c r="BX553" s="2" t="s">
        <v>289</v>
      </c>
      <c r="BY553" s="2" t="s">
        <v>247</v>
      </c>
      <c r="BZ553" s="2" t="s">
        <v>212</v>
      </c>
      <c r="CA553" s="2" t="s">
        <v>1597</v>
      </c>
      <c r="CB553" s="2" t="s">
        <v>3632</v>
      </c>
      <c r="CC553" s="2" t="s">
        <v>213</v>
      </c>
      <c r="CD553" s="2" t="s">
        <v>200</v>
      </c>
      <c r="CE553" s="4"/>
      <c r="CF553" s="4">
        <v>133</v>
      </c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</row>
    <row r="554">
      <c r="A554" s="2" t="s">
        <v>3633</v>
      </c>
      <c r="B554" s="2" t="s">
        <v>903</v>
      </c>
      <c r="C554" s="2" t="s">
        <v>231</v>
      </c>
      <c r="D554" s="2" t="s">
        <v>608</v>
      </c>
      <c r="E554" s="2" t="s">
        <v>1324</v>
      </c>
      <c r="F554" s="2" t="s">
        <v>3634</v>
      </c>
      <c r="G554" s="2" t="s">
        <v>3635</v>
      </c>
      <c r="H554" s="2" t="s">
        <v>3636</v>
      </c>
      <c r="I554" s="2" t="s">
        <v>3637</v>
      </c>
      <c r="J554" s="2" t="s">
        <v>612</v>
      </c>
      <c r="K554" s="2" t="s">
        <v>3638</v>
      </c>
      <c r="L554" s="3">
        <v>41.14</v>
      </c>
      <c r="M554" s="3">
        <v>43.2</v>
      </c>
      <c r="N554" s="3">
        <v>89.99</v>
      </c>
      <c r="O554" s="2" t="s">
        <v>212</v>
      </c>
      <c r="P554" s="2" t="s">
        <v>205</v>
      </c>
      <c r="Q554" s="2" t="s">
        <v>206</v>
      </c>
      <c r="R554" s="2" t="s">
        <v>200</v>
      </c>
      <c r="S554" s="2" t="s">
        <v>3639</v>
      </c>
      <c r="T554" s="2" t="s">
        <v>3640</v>
      </c>
      <c r="U554" s="2" t="s">
        <v>454</v>
      </c>
      <c r="V554" s="2" t="s">
        <v>940</v>
      </c>
      <c r="W554" s="2" t="s">
        <v>969</v>
      </c>
      <c r="X554" s="2" t="s">
        <v>379</v>
      </c>
      <c r="Y554" s="2" t="s">
        <v>2368</v>
      </c>
      <c r="Z554" s="4">
        <v>121</v>
      </c>
      <c r="AA554" s="4">
        <f>=ROUNDDOWN(26.8888888888889,0)</f>
      </c>
      <c r="AB554" s="5">
        <v>4.5</v>
      </c>
      <c r="AC554" s="2" t="s">
        <v>200</v>
      </c>
      <c r="AD554" s="4"/>
      <c r="AE554" s="4"/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200</v>
      </c>
      <c r="AM554" s="4"/>
      <c r="AN554" s="4"/>
      <c r="AO554" s="7"/>
      <c r="AP554" s="4"/>
      <c r="AQ554" s="8"/>
      <c r="AR554" s="4"/>
      <c r="AS554" s="8"/>
      <c r="AT554" s="7"/>
      <c r="AU554" s="7"/>
      <c r="AV554" s="4" t="s">
        <v>200</v>
      </c>
      <c r="AW554" s="8" t="s">
        <v>200</v>
      </c>
      <c r="AX554" s="4" t="s">
        <v>200</v>
      </c>
      <c r="AY554" s="8" t="s">
        <v>200</v>
      </c>
      <c r="AZ554" s="7" t="s">
        <v>200</v>
      </c>
      <c r="BA554" s="7" t="s">
        <v>200</v>
      </c>
      <c r="BB554" s="7"/>
      <c r="BC554" s="4" t="s">
        <v>200</v>
      </c>
      <c r="BD554" s="8" t="s">
        <v>200</v>
      </c>
      <c r="BE554" s="4" t="s">
        <v>200</v>
      </c>
      <c r="BF554" s="8" t="s">
        <v>200</v>
      </c>
      <c r="BG554" s="7" t="s">
        <v>200</v>
      </c>
      <c r="BH554" s="7" t="s">
        <v>200</v>
      </c>
      <c r="BI554" s="7"/>
      <c r="BJ554" s="4">
        <v>12</v>
      </c>
      <c r="BK554" s="8">
        <v>537.81</v>
      </c>
      <c r="BL554" s="2" t="s">
        <v>3641</v>
      </c>
      <c r="BM554" s="7"/>
      <c r="BN554" s="7"/>
      <c r="BO554" s="4"/>
      <c r="BP554" s="8"/>
      <c r="BQ554" s="4"/>
      <c r="BR554" s="8"/>
      <c r="BS554" s="7"/>
      <c r="BT554" s="7"/>
      <c r="BU554" s="2" t="s">
        <v>3642</v>
      </c>
      <c r="BV554" s="2" t="s">
        <v>200</v>
      </c>
      <c r="BW554" s="2" t="s">
        <v>200</v>
      </c>
      <c r="BX554" s="2" t="s">
        <v>264</v>
      </c>
      <c r="BY554" s="2" t="s">
        <v>247</v>
      </c>
      <c r="BZ554" s="2" t="s">
        <v>212</v>
      </c>
      <c r="CA554" s="2" t="s">
        <v>3643</v>
      </c>
      <c r="CB554" s="2" t="s">
        <v>3644</v>
      </c>
      <c r="CC554" s="2" t="s">
        <v>213</v>
      </c>
      <c r="CD554" s="2" t="s">
        <v>200</v>
      </c>
      <c r="CE554" s="4">
        <v>121</v>
      </c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</row>
    <row r="555">
      <c r="A555" s="2" t="s">
        <v>3645</v>
      </c>
      <c r="B555" s="2" t="s">
        <v>903</v>
      </c>
      <c r="C555" s="2" t="s">
        <v>231</v>
      </c>
      <c r="D555" s="2" t="s">
        <v>608</v>
      </c>
      <c r="E555" s="2" t="s">
        <v>1324</v>
      </c>
      <c r="F555" s="2" t="s">
        <v>3634</v>
      </c>
      <c r="G555" s="2" t="s">
        <v>3635</v>
      </c>
      <c r="H555" s="2" t="s">
        <v>3636</v>
      </c>
      <c r="I555" s="2" t="s">
        <v>3637</v>
      </c>
      <c r="J555" s="2" t="s">
        <v>924</v>
      </c>
      <c r="K555" s="2" t="s">
        <v>3638</v>
      </c>
      <c r="L555" s="3">
        <v>45.71</v>
      </c>
      <c r="M555" s="3">
        <v>48</v>
      </c>
      <c r="N555" s="3">
        <v>99.99</v>
      </c>
      <c r="O555" s="2" t="s">
        <v>212</v>
      </c>
      <c r="P555" s="2" t="s">
        <v>205</v>
      </c>
      <c r="Q555" s="2" t="s">
        <v>206</v>
      </c>
      <c r="R555" s="2" t="s">
        <v>200</v>
      </c>
      <c r="S555" s="2" t="s">
        <v>3639</v>
      </c>
      <c r="T555" s="2" t="s">
        <v>3640</v>
      </c>
      <c r="U555" s="2" t="s">
        <v>454</v>
      </c>
      <c r="V555" s="2" t="s">
        <v>940</v>
      </c>
      <c r="W555" s="2" t="s">
        <v>969</v>
      </c>
      <c r="X555" s="2" t="s">
        <v>379</v>
      </c>
      <c r="Y555" s="2" t="s">
        <v>2368</v>
      </c>
      <c r="Z555" s="4">
        <v>108</v>
      </c>
      <c r="AA555" s="4">
        <f>=ROUNDDOWN(27,0)</f>
      </c>
      <c r="AB555" s="5">
        <v>4</v>
      </c>
      <c r="AC555" s="2" t="s">
        <v>200</v>
      </c>
      <c r="AD555" s="4"/>
      <c r="AE555" s="4"/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200</v>
      </c>
      <c r="AM555" s="4"/>
      <c r="AN555" s="4"/>
      <c r="AO555" s="7"/>
      <c r="AP555" s="4"/>
      <c r="AQ555" s="8"/>
      <c r="AR555" s="4"/>
      <c r="AS555" s="8"/>
      <c r="AT555" s="7"/>
      <c r="AU555" s="7"/>
      <c r="AV555" s="4" t="s">
        <v>200</v>
      </c>
      <c r="AW555" s="8" t="s">
        <v>200</v>
      </c>
      <c r="AX555" s="4" t="s">
        <v>200</v>
      </c>
      <c r="AY555" s="8" t="s">
        <v>200</v>
      </c>
      <c r="AZ555" s="7" t="s">
        <v>200</v>
      </c>
      <c r="BA555" s="7" t="s">
        <v>200</v>
      </c>
      <c r="BB555" s="7"/>
      <c r="BC555" s="4" t="s">
        <v>200</v>
      </c>
      <c r="BD555" s="8" t="s">
        <v>200</v>
      </c>
      <c r="BE555" s="4" t="s">
        <v>200</v>
      </c>
      <c r="BF555" s="8" t="s">
        <v>200</v>
      </c>
      <c r="BG555" s="7" t="s">
        <v>200</v>
      </c>
      <c r="BH555" s="7" t="s">
        <v>200</v>
      </c>
      <c r="BI555" s="7"/>
      <c r="BJ555" s="4">
        <v>23</v>
      </c>
      <c r="BK555" s="8">
        <v>1243.41</v>
      </c>
      <c r="BL555" s="2" t="s">
        <v>3646</v>
      </c>
      <c r="BM555" s="7"/>
      <c r="BN555" s="7"/>
      <c r="BO555" s="4"/>
      <c r="BP555" s="8"/>
      <c r="BQ555" s="4"/>
      <c r="BR555" s="8"/>
      <c r="BS555" s="7"/>
      <c r="BT555" s="7"/>
      <c r="BU555" s="2" t="s">
        <v>3647</v>
      </c>
      <c r="BV555" s="2" t="s">
        <v>200</v>
      </c>
      <c r="BW555" s="2" t="s">
        <v>200</v>
      </c>
      <c r="BX555" s="2" t="s">
        <v>264</v>
      </c>
      <c r="BY555" s="2" t="s">
        <v>247</v>
      </c>
      <c r="BZ555" s="2" t="s">
        <v>212</v>
      </c>
      <c r="CA555" s="2" t="s">
        <v>2370</v>
      </c>
      <c r="CB555" s="2" t="s">
        <v>2220</v>
      </c>
      <c r="CC555" s="2" t="s">
        <v>213</v>
      </c>
      <c r="CD555" s="2" t="s">
        <v>200</v>
      </c>
      <c r="CE555" s="4">
        <v>108</v>
      </c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</row>
    <row r="556">
      <c r="A556" s="2" t="s">
        <v>3648</v>
      </c>
      <c r="B556" s="2" t="s">
        <v>992</v>
      </c>
      <c r="C556" s="2" t="s">
        <v>231</v>
      </c>
      <c r="D556" s="2" t="s">
        <v>992</v>
      </c>
      <c r="E556" s="2" t="s">
        <v>992</v>
      </c>
      <c r="F556" s="2" t="s">
        <v>3649</v>
      </c>
      <c r="G556" s="2" t="s">
        <v>2771</v>
      </c>
      <c r="H556" s="2" t="s">
        <v>3650</v>
      </c>
      <c r="I556" s="2" t="s">
        <v>3651</v>
      </c>
      <c r="J556" s="2" t="s">
        <v>997</v>
      </c>
      <c r="K556" s="2" t="s">
        <v>3652</v>
      </c>
      <c r="L556" s="3">
        <v>50.36</v>
      </c>
      <c r="M556" s="3">
        <v>52.88</v>
      </c>
      <c r="N556" s="3">
        <v>114.99</v>
      </c>
      <c r="O556" s="2" t="s">
        <v>417</v>
      </c>
      <c r="P556" s="2" t="s">
        <v>285</v>
      </c>
      <c r="Q556" s="2" t="s">
        <v>206</v>
      </c>
      <c r="R556" s="2" t="s">
        <v>200</v>
      </c>
      <c r="S556" s="2" t="s">
        <v>200</v>
      </c>
      <c r="T556" s="2" t="s">
        <v>200</v>
      </c>
      <c r="U556" s="2" t="s">
        <v>270</v>
      </c>
      <c r="V556" s="2" t="s">
        <v>885</v>
      </c>
      <c r="W556" s="2" t="s">
        <v>736</v>
      </c>
      <c r="X556" s="2" t="s">
        <v>200</v>
      </c>
      <c r="Y556" s="2" t="s">
        <v>3653</v>
      </c>
      <c r="Z556" s="4">
        <v>32</v>
      </c>
      <c r="AA556" s="4">
        <f>=ROUNDDOWN(20,0)</f>
      </c>
      <c r="AB556" s="5">
        <v>1.6</v>
      </c>
      <c r="AC556" s="2" t="s">
        <v>200</v>
      </c>
      <c r="AD556" s="4"/>
      <c r="AE556" s="4"/>
      <c r="AF556" s="6">
        <v>63</v>
      </c>
      <c r="AG556" s="6"/>
      <c r="AH556" s="7">
        <v>0.9</v>
      </c>
      <c r="AI556" s="4"/>
      <c r="AJ556" s="4">
        <f>=ROUNDDOWN({0},0)</f>
      </c>
      <c r="AK556" s="5"/>
      <c r="AL556" s="2" t="s">
        <v>200</v>
      </c>
      <c r="AM556" s="4"/>
      <c r="AN556" s="4"/>
      <c r="AO556" s="7"/>
      <c r="AP556" s="4"/>
      <c r="AQ556" s="8"/>
      <c r="AR556" s="4"/>
      <c r="AS556" s="8"/>
      <c r="AT556" s="7"/>
      <c r="AU556" s="7"/>
      <c r="AV556" s="4" t="s">
        <v>200</v>
      </c>
      <c r="AW556" s="8" t="s">
        <v>200</v>
      </c>
      <c r="AX556" s="4" t="s">
        <v>200</v>
      </c>
      <c r="AY556" s="8" t="s">
        <v>200</v>
      </c>
      <c r="AZ556" s="7" t="s">
        <v>200</v>
      </c>
      <c r="BA556" s="7" t="s">
        <v>200</v>
      </c>
      <c r="BB556" s="7"/>
      <c r="BC556" s="4" t="s">
        <v>200</v>
      </c>
      <c r="BD556" s="8" t="s">
        <v>200</v>
      </c>
      <c r="BE556" s="4" t="s">
        <v>200</v>
      </c>
      <c r="BF556" s="8" t="s">
        <v>200</v>
      </c>
      <c r="BG556" s="7" t="s">
        <v>200</v>
      </c>
      <c r="BH556" s="7" t="s">
        <v>200</v>
      </c>
      <c r="BI556" s="7"/>
      <c r="BJ556" s="4"/>
      <c r="BK556" s="8"/>
      <c r="BL556" s="2" t="s">
        <v>3654</v>
      </c>
      <c r="BM556" s="7"/>
      <c r="BN556" s="7"/>
      <c r="BO556" s="4"/>
      <c r="BP556" s="8"/>
      <c r="BQ556" s="4"/>
      <c r="BR556" s="8"/>
      <c r="BS556" s="7"/>
      <c r="BT556" s="7"/>
      <c r="BU556" s="2" t="s">
        <v>3655</v>
      </c>
      <c r="BV556" s="2" t="s">
        <v>200</v>
      </c>
      <c r="BW556" s="2" t="s">
        <v>200</v>
      </c>
      <c r="BX556" s="2" t="s">
        <v>289</v>
      </c>
      <c r="BY556" s="2" t="s">
        <v>247</v>
      </c>
      <c r="BZ556" s="2" t="s">
        <v>212</v>
      </c>
      <c r="CA556" s="2" t="s">
        <v>3074</v>
      </c>
      <c r="CB556" s="2" t="s">
        <v>806</v>
      </c>
      <c r="CC556" s="2" t="s">
        <v>213</v>
      </c>
      <c r="CD556" s="2" t="s">
        <v>200</v>
      </c>
      <c r="CE556" s="4"/>
      <c r="CF556" s="4">
        <v>32</v>
      </c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</row>
    <row r="557">
      <c r="A557" s="2" t="s">
        <v>3656</v>
      </c>
      <c r="B557" s="2" t="s">
        <v>992</v>
      </c>
      <c r="C557" s="2" t="s">
        <v>231</v>
      </c>
      <c r="D557" s="2" t="s">
        <v>992</v>
      </c>
      <c r="E557" s="2" t="s">
        <v>992</v>
      </c>
      <c r="F557" s="2" t="s">
        <v>3649</v>
      </c>
      <c r="G557" s="2" t="s">
        <v>2771</v>
      </c>
      <c r="H557" s="2" t="s">
        <v>3650</v>
      </c>
      <c r="I557" s="2" t="s">
        <v>3651</v>
      </c>
      <c r="J557" s="2" t="s">
        <v>1005</v>
      </c>
      <c r="K557" s="2" t="s">
        <v>3652</v>
      </c>
      <c r="L557" s="3">
        <v>77.01</v>
      </c>
      <c r="M557" s="3">
        <v>80.86</v>
      </c>
      <c r="N557" s="3">
        <v>174.99</v>
      </c>
      <c r="O557" s="2" t="s">
        <v>460</v>
      </c>
      <c r="P557" s="2" t="s">
        <v>285</v>
      </c>
      <c r="Q557" s="2" t="s">
        <v>206</v>
      </c>
      <c r="R557" s="2" t="s">
        <v>200</v>
      </c>
      <c r="S557" s="2" t="s">
        <v>200</v>
      </c>
      <c r="T557" s="2" t="s">
        <v>200</v>
      </c>
      <c r="U557" s="2" t="s">
        <v>270</v>
      </c>
      <c r="V557" s="2" t="s">
        <v>885</v>
      </c>
      <c r="W557" s="2" t="s">
        <v>419</v>
      </c>
      <c r="X557" s="2" t="s">
        <v>200</v>
      </c>
      <c r="Y557" s="2" t="s">
        <v>2508</v>
      </c>
      <c r="Z557" s="4">
        <v>45</v>
      </c>
      <c r="AA557" s="4">
        <f>=ROUNDDOWN(15,0)</f>
      </c>
      <c r="AB557" s="5">
        <v>3</v>
      </c>
      <c r="AC557" s="2" t="s">
        <v>200</v>
      </c>
      <c r="AD557" s="4"/>
      <c r="AE557" s="4"/>
      <c r="AF557" s="6">
        <v>63</v>
      </c>
      <c r="AG557" s="6"/>
      <c r="AH557" s="7">
        <v>1</v>
      </c>
      <c r="AI557" s="4"/>
      <c r="AJ557" s="4">
        <f>=ROUNDDOWN({0},0)</f>
      </c>
      <c r="AK557" s="5"/>
      <c r="AL557" s="2" t="s">
        <v>200</v>
      </c>
      <c r="AM557" s="4"/>
      <c r="AN557" s="4"/>
      <c r="AO557" s="7"/>
      <c r="AP557" s="4"/>
      <c r="AQ557" s="8"/>
      <c r="AR557" s="4"/>
      <c r="AS557" s="8"/>
      <c r="AT557" s="7"/>
      <c r="AU557" s="7"/>
      <c r="AV557" s="4" t="s">
        <v>200</v>
      </c>
      <c r="AW557" s="8" t="s">
        <v>200</v>
      </c>
      <c r="AX557" s="4" t="s">
        <v>200</v>
      </c>
      <c r="AY557" s="8" t="s">
        <v>200</v>
      </c>
      <c r="AZ557" s="7" t="s">
        <v>200</v>
      </c>
      <c r="BA557" s="7" t="s">
        <v>200</v>
      </c>
      <c r="BB557" s="7"/>
      <c r="BC557" s="4" t="s">
        <v>200</v>
      </c>
      <c r="BD557" s="8" t="s">
        <v>200</v>
      </c>
      <c r="BE557" s="4" t="s">
        <v>200</v>
      </c>
      <c r="BF557" s="8" t="s">
        <v>200</v>
      </c>
      <c r="BG557" s="7" t="s">
        <v>200</v>
      </c>
      <c r="BH557" s="7" t="s">
        <v>200</v>
      </c>
      <c r="BI557" s="7"/>
      <c r="BJ557" s="4">
        <v>2</v>
      </c>
      <c r="BK557" s="8">
        <v>127.35</v>
      </c>
      <c r="BL557" s="2" t="s">
        <v>1614</v>
      </c>
      <c r="BM557" s="7"/>
      <c r="BN557" s="7"/>
      <c r="BO557" s="4"/>
      <c r="BP557" s="8"/>
      <c r="BQ557" s="4"/>
      <c r="BR557" s="8"/>
      <c r="BS557" s="7"/>
      <c r="BT557" s="7"/>
      <c r="BU557" s="2" t="s">
        <v>3657</v>
      </c>
      <c r="BV557" s="2" t="s">
        <v>200</v>
      </c>
      <c r="BW557" s="2" t="s">
        <v>200</v>
      </c>
      <c r="BX557" s="2" t="s">
        <v>289</v>
      </c>
      <c r="BY557" s="2" t="s">
        <v>247</v>
      </c>
      <c r="BZ557" s="2" t="s">
        <v>212</v>
      </c>
      <c r="CA557" s="2" t="s">
        <v>2487</v>
      </c>
      <c r="CB557" s="2" t="s">
        <v>3658</v>
      </c>
      <c r="CC557" s="2" t="s">
        <v>213</v>
      </c>
      <c r="CD557" s="2" t="s">
        <v>200</v>
      </c>
      <c r="CE557" s="4"/>
      <c r="CF557" s="4">
        <v>45</v>
      </c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</row>
    <row r="558">
      <c r="A558" s="2" t="s">
        <v>3659</v>
      </c>
      <c r="B558" s="2" t="s">
        <v>992</v>
      </c>
      <c r="C558" s="2" t="s">
        <v>231</v>
      </c>
      <c r="D558" s="2" t="s">
        <v>992</v>
      </c>
      <c r="E558" s="2" t="s">
        <v>992</v>
      </c>
      <c r="F558" s="2" t="s">
        <v>3649</v>
      </c>
      <c r="G558" s="2" t="s">
        <v>2771</v>
      </c>
      <c r="H558" s="2" t="s">
        <v>3650</v>
      </c>
      <c r="I558" s="2" t="s">
        <v>3651</v>
      </c>
      <c r="J558" s="2" t="s">
        <v>1585</v>
      </c>
      <c r="K558" s="2" t="s">
        <v>3652</v>
      </c>
      <c r="L558" s="3">
        <v>107.72</v>
      </c>
      <c r="M558" s="3">
        <v>113.11</v>
      </c>
      <c r="N558" s="3">
        <v>239.99</v>
      </c>
      <c r="O558" s="2" t="s">
        <v>460</v>
      </c>
      <c r="P558" s="2" t="s">
        <v>285</v>
      </c>
      <c r="Q558" s="2" t="s">
        <v>206</v>
      </c>
      <c r="R558" s="2" t="s">
        <v>200</v>
      </c>
      <c r="S558" s="2" t="s">
        <v>200</v>
      </c>
      <c r="T558" s="2" t="s">
        <v>200</v>
      </c>
      <c r="U558" s="2" t="s">
        <v>270</v>
      </c>
      <c r="V558" s="2" t="s">
        <v>885</v>
      </c>
      <c r="W558" s="2" t="s">
        <v>736</v>
      </c>
      <c r="X558" s="2" t="s">
        <v>200</v>
      </c>
      <c r="Y558" s="2" t="s">
        <v>3653</v>
      </c>
      <c r="Z558" s="4">
        <v>420</v>
      </c>
      <c r="AA558" s="4">
        <f>=ROUNDDOWN(77.7777777777778,0)</f>
      </c>
      <c r="AB558" s="5">
        <v>5.4</v>
      </c>
      <c r="AC558" s="2" t="s">
        <v>200</v>
      </c>
      <c r="AD558" s="4"/>
      <c r="AE558" s="4"/>
      <c r="AF558" s="6">
        <v>63</v>
      </c>
      <c r="AG558" s="6"/>
      <c r="AH558" s="7">
        <v>1</v>
      </c>
      <c r="AI558" s="4"/>
      <c r="AJ558" s="4">
        <f>=ROUNDDOWN({0},0)</f>
      </c>
      <c r="AK558" s="5"/>
      <c r="AL558" s="2" t="s">
        <v>200</v>
      </c>
      <c r="AM558" s="4"/>
      <c r="AN558" s="4"/>
      <c r="AO558" s="7"/>
      <c r="AP558" s="4"/>
      <c r="AQ558" s="8"/>
      <c r="AR558" s="4"/>
      <c r="AS558" s="8"/>
      <c r="AT558" s="7"/>
      <c r="AU558" s="7"/>
      <c r="AV558" s="4" t="s">
        <v>200</v>
      </c>
      <c r="AW558" s="8" t="s">
        <v>200</v>
      </c>
      <c r="AX558" s="4" t="s">
        <v>200</v>
      </c>
      <c r="AY558" s="8" t="s">
        <v>200</v>
      </c>
      <c r="AZ558" s="7" t="s">
        <v>200</v>
      </c>
      <c r="BA558" s="7" t="s">
        <v>200</v>
      </c>
      <c r="BB558" s="7"/>
      <c r="BC558" s="4" t="s">
        <v>200</v>
      </c>
      <c r="BD558" s="8" t="s">
        <v>200</v>
      </c>
      <c r="BE558" s="4" t="s">
        <v>200</v>
      </c>
      <c r="BF558" s="8" t="s">
        <v>200</v>
      </c>
      <c r="BG558" s="7" t="s">
        <v>200</v>
      </c>
      <c r="BH558" s="7" t="s">
        <v>200</v>
      </c>
      <c r="BI558" s="7"/>
      <c r="BJ558" s="4">
        <v>10</v>
      </c>
      <c r="BK558" s="8">
        <v>805.61</v>
      </c>
      <c r="BL558" s="2" t="s">
        <v>3660</v>
      </c>
      <c r="BM558" s="7"/>
      <c r="BN558" s="7"/>
      <c r="BO558" s="4"/>
      <c r="BP558" s="8"/>
      <c r="BQ558" s="4"/>
      <c r="BR558" s="8"/>
      <c r="BS558" s="7"/>
      <c r="BT558" s="7"/>
      <c r="BU558" s="2" t="s">
        <v>3661</v>
      </c>
      <c r="BV558" s="2" t="s">
        <v>200</v>
      </c>
      <c r="BW558" s="2" t="s">
        <v>200</v>
      </c>
      <c r="BX558" s="2" t="s">
        <v>289</v>
      </c>
      <c r="BY558" s="2" t="s">
        <v>247</v>
      </c>
      <c r="BZ558" s="2" t="s">
        <v>212</v>
      </c>
      <c r="CA558" s="2" t="s">
        <v>3074</v>
      </c>
      <c r="CB558" s="2" t="s">
        <v>3662</v>
      </c>
      <c r="CC558" s="2" t="s">
        <v>213</v>
      </c>
      <c r="CD558" s="2" t="s">
        <v>200</v>
      </c>
      <c r="CE558" s="4"/>
      <c r="CF558" s="4">
        <v>420</v>
      </c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</row>
    <row r="559">
      <c r="A559" s="2" t="s">
        <v>3663</v>
      </c>
      <c r="B559" s="2" t="s">
        <v>992</v>
      </c>
      <c r="C559" s="2" t="s">
        <v>231</v>
      </c>
      <c r="D559" s="2" t="s">
        <v>992</v>
      </c>
      <c r="E559" s="2" t="s">
        <v>992</v>
      </c>
      <c r="F559" s="2" t="s">
        <v>3649</v>
      </c>
      <c r="G559" s="2" t="s">
        <v>2771</v>
      </c>
      <c r="H559" s="2" t="s">
        <v>3650</v>
      </c>
      <c r="I559" s="2" t="s">
        <v>3651</v>
      </c>
      <c r="J559" s="2" t="s">
        <v>997</v>
      </c>
      <c r="K559" s="2" t="s">
        <v>3664</v>
      </c>
      <c r="L559" s="3">
        <v>50.36</v>
      </c>
      <c r="M559" s="3">
        <v>52.88</v>
      </c>
      <c r="N559" s="3">
        <v>114.99</v>
      </c>
      <c r="O559" s="2" t="s">
        <v>460</v>
      </c>
      <c r="P559" s="2" t="s">
        <v>285</v>
      </c>
      <c r="Q559" s="2" t="s">
        <v>206</v>
      </c>
      <c r="R559" s="2" t="s">
        <v>200</v>
      </c>
      <c r="S559" s="2" t="s">
        <v>200</v>
      </c>
      <c r="T559" s="2" t="s">
        <v>200</v>
      </c>
      <c r="U559" s="2" t="s">
        <v>270</v>
      </c>
      <c r="V559" s="2" t="s">
        <v>885</v>
      </c>
      <c r="W559" s="2" t="s">
        <v>419</v>
      </c>
      <c r="X559" s="2" t="s">
        <v>200</v>
      </c>
      <c r="Y559" s="2" t="s">
        <v>2508</v>
      </c>
      <c r="Z559" s="4">
        <v>25</v>
      </c>
      <c r="AA559" s="4">
        <f>=ROUNDDOWN(9.25925925925926,0)</f>
      </c>
      <c r="AB559" s="5">
        <v>2.7</v>
      </c>
      <c r="AC559" s="2" t="s">
        <v>200</v>
      </c>
      <c r="AD559" s="4"/>
      <c r="AE559" s="4"/>
      <c r="AF559" s="6">
        <v>63</v>
      </c>
      <c r="AG559" s="6"/>
      <c r="AH559" s="7">
        <v>0.9</v>
      </c>
      <c r="AI559" s="4"/>
      <c r="AJ559" s="4">
        <f>=ROUNDDOWN({0},0)</f>
      </c>
      <c r="AK559" s="5"/>
      <c r="AL559" s="2" t="s">
        <v>200</v>
      </c>
      <c r="AM559" s="4"/>
      <c r="AN559" s="4"/>
      <c r="AO559" s="7"/>
      <c r="AP559" s="4"/>
      <c r="AQ559" s="8"/>
      <c r="AR559" s="4"/>
      <c r="AS559" s="8"/>
      <c r="AT559" s="7"/>
      <c r="AU559" s="7"/>
      <c r="AV559" s="4" t="s">
        <v>200</v>
      </c>
      <c r="AW559" s="8" t="s">
        <v>200</v>
      </c>
      <c r="AX559" s="4" t="s">
        <v>200</v>
      </c>
      <c r="AY559" s="8" t="s">
        <v>200</v>
      </c>
      <c r="AZ559" s="7" t="s">
        <v>200</v>
      </c>
      <c r="BA559" s="7" t="s">
        <v>200</v>
      </c>
      <c r="BB559" s="7"/>
      <c r="BC559" s="4" t="s">
        <v>200</v>
      </c>
      <c r="BD559" s="8" t="s">
        <v>200</v>
      </c>
      <c r="BE559" s="4" t="s">
        <v>200</v>
      </c>
      <c r="BF559" s="8" t="s">
        <v>200</v>
      </c>
      <c r="BG559" s="7" t="s">
        <v>200</v>
      </c>
      <c r="BH559" s="7" t="s">
        <v>200</v>
      </c>
      <c r="BI559" s="7"/>
      <c r="BJ559" s="4"/>
      <c r="BK559" s="8"/>
      <c r="BL559" s="2" t="s">
        <v>3665</v>
      </c>
      <c r="BM559" s="7"/>
      <c r="BN559" s="7"/>
      <c r="BO559" s="4"/>
      <c r="BP559" s="8"/>
      <c r="BQ559" s="4"/>
      <c r="BR559" s="8"/>
      <c r="BS559" s="7"/>
      <c r="BT559" s="7"/>
      <c r="BU559" s="2" t="s">
        <v>3666</v>
      </c>
      <c r="BV559" s="2" t="s">
        <v>200</v>
      </c>
      <c r="BW559" s="2" t="s">
        <v>200</v>
      </c>
      <c r="BX559" s="2" t="s">
        <v>289</v>
      </c>
      <c r="BY559" s="2" t="s">
        <v>247</v>
      </c>
      <c r="BZ559" s="2" t="s">
        <v>212</v>
      </c>
      <c r="CA559" s="2" t="s">
        <v>2487</v>
      </c>
      <c r="CB559" s="2" t="s">
        <v>2529</v>
      </c>
      <c r="CC559" s="2" t="s">
        <v>213</v>
      </c>
      <c r="CD559" s="2" t="s">
        <v>200</v>
      </c>
      <c r="CE559" s="4"/>
      <c r="CF559" s="4">
        <v>25</v>
      </c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</row>
    <row r="560">
      <c r="A560" s="2" t="s">
        <v>3667</v>
      </c>
      <c r="B560" s="2" t="s">
        <v>992</v>
      </c>
      <c r="C560" s="2" t="s">
        <v>231</v>
      </c>
      <c r="D560" s="2" t="s">
        <v>992</v>
      </c>
      <c r="E560" s="2" t="s">
        <v>992</v>
      </c>
      <c r="F560" s="2" t="s">
        <v>3649</v>
      </c>
      <c r="G560" s="2" t="s">
        <v>2771</v>
      </c>
      <c r="H560" s="2" t="s">
        <v>3650</v>
      </c>
      <c r="I560" s="2" t="s">
        <v>3651</v>
      </c>
      <c r="J560" s="2" t="s">
        <v>1585</v>
      </c>
      <c r="K560" s="2" t="s">
        <v>3664</v>
      </c>
      <c r="L560" s="3">
        <v>107.72</v>
      </c>
      <c r="M560" s="3">
        <v>113.11</v>
      </c>
      <c r="N560" s="3">
        <v>239.99</v>
      </c>
      <c r="O560" s="2" t="s">
        <v>460</v>
      </c>
      <c r="P560" s="2" t="s">
        <v>285</v>
      </c>
      <c r="Q560" s="2" t="s">
        <v>206</v>
      </c>
      <c r="R560" s="2" t="s">
        <v>200</v>
      </c>
      <c r="S560" s="2" t="s">
        <v>200</v>
      </c>
      <c r="T560" s="2" t="s">
        <v>200</v>
      </c>
      <c r="U560" s="2" t="s">
        <v>270</v>
      </c>
      <c r="V560" s="2" t="s">
        <v>885</v>
      </c>
      <c r="W560" s="2" t="s">
        <v>419</v>
      </c>
      <c r="X560" s="2" t="s">
        <v>200</v>
      </c>
      <c r="Y560" s="2" t="s">
        <v>2508</v>
      </c>
      <c r="Z560" s="4">
        <v>436</v>
      </c>
      <c r="AA560" s="4">
        <f>=ROUNDDOWN(484.444444444444,0)</f>
      </c>
      <c r="AB560" s="5">
        <v>0.9</v>
      </c>
      <c r="AC560" s="2" t="s">
        <v>200</v>
      </c>
      <c r="AD560" s="4"/>
      <c r="AE560" s="4"/>
      <c r="AF560" s="6">
        <v>63</v>
      </c>
      <c r="AG560" s="6"/>
      <c r="AH560" s="7">
        <v>1</v>
      </c>
      <c r="AI560" s="4"/>
      <c r="AJ560" s="4">
        <f>=ROUNDDOWN({0},0)</f>
      </c>
      <c r="AK560" s="5"/>
      <c r="AL560" s="2" t="s">
        <v>200</v>
      </c>
      <c r="AM560" s="4"/>
      <c r="AN560" s="4"/>
      <c r="AO560" s="7"/>
      <c r="AP560" s="4"/>
      <c r="AQ560" s="8"/>
      <c r="AR560" s="4"/>
      <c r="AS560" s="8"/>
      <c r="AT560" s="7"/>
      <c r="AU560" s="7"/>
      <c r="AV560" s="4" t="s">
        <v>200</v>
      </c>
      <c r="AW560" s="8" t="s">
        <v>200</v>
      </c>
      <c r="AX560" s="4" t="s">
        <v>200</v>
      </c>
      <c r="AY560" s="8" t="s">
        <v>200</v>
      </c>
      <c r="AZ560" s="7" t="s">
        <v>200</v>
      </c>
      <c r="BA560" s="7" t="s">
        <v>200</v>
      </c>
      <c r="BB560" s="7"/>
      <c r="BC560" s="4" t="s">
        <v>200</v>
      </c>
      <c r="BD560" s="8" t="s">
        <v>200</v>
      </c>
      <c r="BE560" s="4" t="s">
        <v>200</v>
      </c>
      <c r="BF560" s="8" t="s">
        <v>200</v>
      </c>
      <c r="BG560" s="7" t="s">
        <v>200</v>
      </c>
      <c r="BH560" s="7" t="s">
        <v>200</v>
      </c>
      <c r="BI560" s="7"/>
      <c r="BJ560" s="4">
        <v>1</v>
      </c>
      <c r="BK560" s="8">
        <v>59.25</v>
      </c>
      <c r="BL560" s="2" t="s">
        <v>2183</v>
      </c>
      <c r="BM560" s="7"/>
      <c r="BN560" s="7"/>
      <c r="BO560" s="4"/>
      <c r="BP560" s="8"/>
      <c r="BQ560" s="4"/>
      <c r="BR560" s="8"/>
      <c r="BS560" s="7"/>
      <c r="BT560" s="7"/>
      <c r="BU560" s="2" t="s">
        <v>3668</v>
      </c>
      <c r="BV560" s="2" t="s">
        <v>200</v>
      </c>
      <c r="BW560" s="2" t="s">
        <v>200</v>
      </c>
      <c r="BX560" s="2" t="s">
        <v>289</v>
      </c>
      <c r="BY560" s="2" t="s">
        <v>247</v>
      </c>
      <c r="BZ560" s="2" t="s">
        <v>212</v>
      </c>
      <c r="CA560" s="2" t="s">
        <v>2487</v>
      </c>
      <c r="CB560" s="2" t="s">
        <v>3669</v>
      </c>
      <c r="CC560" s="2" t="s">
        <v>213</v>
      </c>
      <c r="CD560" s="2" t="s">
        <v>200</v>
      </c>
      <c r="CE560" s="4"/>
      <c r="CF560" s="4">
        <v>436</v>
      </c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</row>
    <row r="561">
      <c r="A561" s="2" t="s">
        <v>3670</v>
      </c>
      <c r="B561" s="2" t="s">
        <v>719</v>
      </c>
      <c r="C561" s="2" t="s">
        <v>231</v>
      </c>
      <c r="D561" s="2" t="s">
        <v>1542</v>
      </c>
      <c r="E561" s="2" t="s">
        <v>2060</v>
      </c>
      <c r="F561" s="2" t="s">
        <v>3671</v>
      </c>
      <c r="G561" s="2" t="s">
        <v>3671</v>
      </c>
      <c r="H561" s="2" t="s">
        <v>3671</v>
      </c>
      <c r="I561" s="2" t="s">
        <v>3672</v>
      </c>
      <c r="J561" s="2" t="s">
        <v>711</v>
      </c>
      <c r="K561" s="2" t="s">
        <v>3673</v>
      </c>
      <c r="L561" s="3">
        <v>28.22</v>
      </c>
      <c r="M561" s="3">
        <v>29.63</v>
      </c>
      <c r="N561" s="3">
        <v>59.49</v>
      </c>
      <c r="O561" s="2" t="s">
        <v>212</v>
      </c>
      <c r="P561" s="2" t="s">
        <v>258</v>
      </c>
      <c r="Q561" s="2" t="s">
        <v>206</v>
      </c>
      <c r="R561" s="2" t="s">
        <v>200</v>
      </c>
      <c r="S561" s="2" t="s">
        <v>3674</v>
      </c>
      <c r="T561" s="2" t="s">
        <v>200</v>
      </c>
      <c r="U561" s="2" t="s">
        <v>270</v>
      </c>
      <c r="V561" s="2" t="s">
        <v>3675</v>
      </c>
      <c r="W561" s="2" t="s">
        <v>1399</v>
      </c>
      <c r="X561" s="2" t="s">
        <v>200</v>
      </c>
      <c r="Y561" s="2" t="s">
        <v>3676</v>
      </c>
      <c r="Z561" s="4">
        <v>141</v>
      </c>
      <c r="AA561" s="4">
        <f>=ROUNDDOWN(15.6666666666667,0)</f>
      </c>
      <c r="AB561" s="5">
        <v>9</v>
      </c>
      <c r="AC561" s="2" t="s">
        <v>1548</v>
      </c>
      <c r="AD561" s="4">
        <v>100</v>
      </c>
      <c r="AE561" s="4">
        <v>100</v>
      </c>
      <c r="AF561" s="6">
        <v>63</v>
      </c>
      <c r="AG561" s="6">
        <v>46</v>
      </c>
      <c r="AH561" s="7">
        <v>1</v>
      </c>
      <c r="AI561" s="4"/>
      <c r="AJ561" s="4">
        <f>=ROUNDDOWN({0},0)</f>
      </c>
      <c r="AK561" s="5"/>
      <c r="AL561" s="2" t="s">
        <v>200</v>
      </c>
      <c r="AM561" s="4"/>
      <c r="AN561" s="4"/>
      <c r="AO561" s="7"/>
      <c r="AP561" s="4"/>
      <c r="AQ561" s="8"/>
      <c r="AR561" s="4"/>
      <c r="AS561" s="8"/>
      <c r="AT561" s="7"/>
      <c r="AU561" s="7"/>
      <c r="AV561" s="4"/>
      <c r="AW561" s="8"/>
      <c r="AX561" s="4"/>
      <c r="AY561" s="8"/>
      <c r="AZ561" s="7"/>
      <c r="BA561" s="7"/>
      <c r="BB561" s="7"/>
      <c r="BC561" s="4"/>
      <c r="BD561" s="8"/>
      <c r="BE561" s="4"/>
      <c r="BF561" s="8"/>
      <c r="BG561" s="7"/>
      <c r="BH561" s="7"/>
      <c r="BI561" s="7"/>
      <c r="BJ561" s="4">
        <v>38</v>
      </c>
      <c r="BK561" s="8">
        <v>1242.96</v>
      </c>
      <c r="BL561" s="2" t="s">
        <v>3677</v>
      </c>
      <c r="BM561" s="7"/>
      <c r="BN561" s="7"/>
      <c r="BO561" s="4"/>
      <c r="BP561" s="8"/>
      <c r="BQ561" s="4"/>
      <c r="BR561" s="8"/>
      <c r="BS561" s="7"/>
      <c r="BT561" s="7"/>
      <c r="BU561" s="2" t="s">
        <v>3678</v>
      </c>
      <c r="BV561" s="2" t="s">
        <v>200</v>
      </c>
      <c r="BW561" s="2" t="s">
        <v>200</v>
      </c>
      <c r="BX561" s="2" t="s">
        <v>264</v>
      </c>
      <c r="BY561" s="2" t="s">
        <v>247</v>
      </c>
      <c r="BZ561" s="2" t="s">
        <v>212</v>
      </c>
      <c r="CA561" s="2" t="s">
        <v>1202</v>
      </c>
      <c r="CB561" s="2" t="s">
        <v>3679</v>
      </c>
      <c r="CC561" s="2" t="s">
        <v>213</v>
      </c>
      <c r="CD561" s="2" t="s">
        <v>200</v>
      </c>
      <c r="CE561" s="4"/>
      <c r="CF561" s="4">
        <v>92</v>
      </c>
      <c r="CG561" s="4"/>
      <c r="CH561" s="4">
        <v>49</v>
      </c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>
        <v>100</v>
      </c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</row>
    <row r="562">
      <c r="A562" s="2" t="s">
        <v>3680</v>
      </c>
      <c r="B562" s="2" t="s">
        <v>744</v>
      </c>
      <c r="C562" s="2" t="s">
        <v>1375</v>
      </c>
      <c r="D562" s="2" t="s">
        <v>1275</v>
      </c>
      <c r="E562" s="2" t="s">
        <v>1276</v>
      </c>
      <c r="F562" s="2" t="s">
        <v>3681</v>
      </c>
      <c r="G562" s="2" t="s">
        <v>3681</v>
      </c>
      <c r="H562" s="2" t="s">
        <v>3681</v>
      </c>
      <c r="I562" s="2" t="s">
        <v>3682</v>
      </c>
      <c r="J562" s="2" t="s">
        <v>711</v>
      </c>
      <c r="K562" s="2" t="s">
        <v>857</v>
      </c>
      <c r="L562" s="3">
        <v>112.1</v>
      </c>
      <c r="M562" s="3">
        <v>117.7</v>
      </c>
      <c r="N562" s="3">
        <v>239</v>
      </c>
      <c r="O562" s="2" t="s">
        <v>212</v>
      </c>
      <c r="P562" s="2" t="s">
        <v>205</v>
      </c>
      <c r="Q562" s="2" t="s">
        <v>206</v>
      </c>
      <c r="R562" s="2" t="s">
        <v>200</v>
      </c>
      <c r="S562" s="2" t="s">
        <v>200</v>
      </c>
      <c r="T562" s="2" t="s">
        <v>200</v>
      </c>
      <c r="U562" s="2" t="s">
        <v>270</v>
      </c>
      <c r="V562" s="2" t="s">
        <v>616</v>
      </c>
      <c r="W562" s="2" t="s">
        <v>419</v>
      </c>
      <c r="X562" s="2" t="s">
        <v>379</v>
      </c>
      <c r="Y562" s="2" t="s">
        <v>1940</v>
      </c>
      <c r="Z562" s="4">
        <v>74</v>
      </c>
      <c r="AA562" s="4">
        <f>=ROUNDDOWN(105.714285714286,0)</f>
      </c>
      <c r="AB562" s="5">
        <v>0.7</v>
      </c>
      <c r="AC562" s="2" t="s">
        <v>200</v>
      </c>
      <c r="AD562" s="4"/>
      <c r="AE562" s="4"/>
      <c r="AF562" s="6">
        <v>76</v>
      </c>
      <c r="AG562" s="6"/>
      <c r="AH562" s="7">
        <v>1</v>
      </c>
      <c r="AI562" s="4"/>
      <c r="AJ562" s="4">
        <f>=ROUNDDOWN({0},0)</f>
      </c>
      <c r="AK562" s="5"/>
      <c r="AL562" s="2" t="s">
        <v>200</v>
      </c>
      <c r="AM562" s="4"/>
      <c r="AN562" s="4"/>
      <c r="AO562" s="7"/>
      <c r="AP562" s="4"/>
      <c r="AQ562" s="8"/>
      <c r="AR562" s="4"/>
      <c r="AS562" s="8"/>
      <c r="AT562" s="7"/>
      <c r="AU562" s="7"/>
      <c r="AV562" s="4"/>
      <c r="AW562" s="8"/>
      <c r="AX562" s="4"/>
      <c r="AY562" s="8"/>
      <c r="AZ562" s="7"/>
      <c r="BA562" s="7"/>
      <c r="BB562" s="7"/>
      <c r="BC562" s="4" t="s">
        <v>200</v>
      </c>
      <c r="BD562" s="8" t="s">
        <v>200</v>
      </c>
      <c r="BE562" s="4" t="s">
        <v>200</v>
      </c>
      <c r="BF562" s="8" t="s">
        <v>200</v>
      </c>
      <c r="BG562" s="7" t="s">
        <v>200</v>
      </c>
      <c r="BH562" s="7" t="s">
        <v>200</v>
      </c>
      <c r="BI562" s="7"/>
      <c r="BJ562" s="4">
        <v>4</v>
      </c>
      <c r="BK562" s="8">
        <v>497.76</v>
      </c>
      <c r="BL562" s="2" t="s">
        <v>278</v>
      </c>
      <c r="BM562" s="7"/>
      <c r="BN562" s="7"/>
      <c r="BO562" s="4"/>
      <c r="BP562" s="8"/>
      <c r="BQ562" s="4"/>
      <c r="BR562" s="8"/>
      <c r="BS562" s="7"/>
      <c r="BT562" s="7"/>
      <c r="BU562" s="2" t="s">
        <v>3683</v>
      </c>
      <c r="BV562" s="2" t="s">
        <v>200</v>
      </c>
      <c r="BW562" s="2" t="s">
        <v>200</v>
      </c>
      <c r="BX562" s="2" t="s">
        <v>264</v>
      </c>
      <c r="BY562" s="2" t="s">
        <v>247</v>
      </c>
      <c r="BZ562" s="2" t="s">
        <v>212</v>
      </c>
      <c r="CA562" s="2" t="s">
        <v>1966</v>
      </c>
      <c r="CB562" s="2" t="s">
        <v>200</v>
      </c>
      <c r="CC562" s="2" t="s">
        <v>213</v>
      </c>
      <c r="CD562" s="2" t="s">
        <v>200</v>
      </c>
      <c r="CE562" s="4"/>
      <c r="CF562" s="4">
        <v>74</v>
      </c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</row>
    <row r="563">
      <c r="A563" s="2" t="s">
        <v>3684</v>
      </c>
      <c r="B563" s="2" t="s">
        <v>744</v>
      </c>
      <c r="C563" s="2" t="s">
        <v>1375</v>
      </c>
      <c r="D563" s="2" t="s">
        <v>1275</v>
      </c>
      <c r="E563" s="2" t="s">
        <v>1276</v>
      </c>
      <c r="F563" s="2" t="s">
        <v>3681</v>
      </c>
      <c r="G563" s="2" t="s">
        <v>3681</v>
      </c>
      <c r="H563" s="2" t="s">
        <v>3681</v>
      </c>
      <c r="I563" s="2" t="s">
        <v>3682</v>
      </c>
      <c r="J563" s="2" t="s">
        <v>711</v>
      </c>
      <c r="K563" s="2" t="s">
        <v>3685</v>
      </c>
      <c r="L563" s="3">
        <v>112.1</v>
      </c>
      <c r="M563" s="3">
        <v>117.7</v>
      </c>
      <c r="N563" s="3">
        <v>239</v>
      </c>
      <c r="O563" s="2" t="s">
        <v>212</v>
      </c>
      <c r="P563" s="2" t="s">
        <v>205</v>
      </c>
      <c r="Q563" s="2" t="s">
        <v>206</v>
      </c>
      <c r="R563" s="2" t="s">
        <v>200</v>
      </c>
      <c r="S563" s="2" t="s">
        <v>200</v>
      </c>
      <c r="T563" s="2" t="s">
        <v>200</v>
      </c>
      <c r="U563" s="2" t="s">
        <v>270</v>
      </c>
      <c r="V563" s="2" t="s">
        <v>616</v>
      </c>
      <c r="W563" s="2" t="s">
        <v>419</v>
      </c>
      <c r="X563" s="2" t="s">
        <v>379</v>
      </c>
      <c r="Y563" s="2" t="s">
        <v>2374</v>
      </c>
      <c r="Z563" s="4">
        <v>196</v>
      </c>
      <c r="AA563" s="4">
        <f>=ROUNDDOWN(980,0)</f>
      </c>
      <c r="AB563" s="5">
        <v>0.2</v>
      </c>
      <c r="AC563" s="2" t="s">
        <v>200</v>
      </c>
      <c r="AD563" s="4"/>
      <c r="AE563" s="4"/>
      <c r="AF563" s="6">
        <v>76</v>
      </c>
      <c r="AG563" s="6"/>
      <c r="AH563" s="7">
        <v>1</v>
      </c>
      <c r="AI563" s="4"/>
      <c r="AJ563" s="4">
        <f>=ROUNDDOWN({0},0)</f>
      </c>
      <c r="AK563" s="5"/>
      <c r="AL563" s="2" t="s">
        <v>200</v>
      </c>
      <c r="AM563" s="4"/>
      <c r="AN563" s="4"/>
      <c r="AO563" s="7"/>
      <c r="AP563" s="4"/>
      <c r="AQ563" s="8"/>
      <c r="AR563" s="4"/>
      <c r="AS563" s="8"/>
      <c r="AT563" s="7"/>
      <c r="AU563" s="7"/>
      <c r="AV563" s="4"/>
      <c r="AW563" s="8"/>
      <c r="AX563" s="4"/>
      <c r="AY563" s="8"/>
      <c r="AZ563" s="7"/>
      <c r="BA563" s="7"/>
      <c r="BB563" s="7"/>
      <c r="BC563" s="4" t="s">
        <v>200</v>
      </c>
      <c r="BD563" s="8" t="s">
        <v>200</v>
      </c>
      <c r="BE563" s="4" t="s">
        <v>200</v>
      </c>
      <c r="BF563" s="8" t="s">
        <v>200</v>
      </c>
      <c r="BG563" s="7" t="s">
        <v>200</v>
      </c>
      <c r="BH563" s="7" t="s">
        <v>200</v>
      </c>
      <c r="BI563" s="7"/>
      <c r="BJ563" s="4">
        <v>1</v>
      </c>
      <c r="BK563" s="8">
        <v>138.77</v>
      </c>
      <c r="BL563" s="2" t="s">
        <v>1292</v>
      </c>
      <c r="BM563" s="7"/>
      <c r="BN563" s="7"/>
      <c r="BO563" s="4"/>
      <c r="BP563" s="8"/>
      <c r="BQ563" s="4"/>
      <c r="BR563" s="8"/>
      <c r="BS563" s="7"/>
      <c r="BT563" s="7"/>
      <c r="BU563" s="2" t="s">
        <v>3686</v>
      </c>
      <c r="BV563" s="2" t="s">
        <v>200</v>
      </c>
      <c r="BW563" s="2" t="s">
        <v>200</v>
      </c>
      <c r="BX563" s="2" t="s">
        <v>264</v>
      </c>
      <c r="BY563" s="2" t="s">
        <v>247</v>
      </c>
      <c r="BZ563" s="2" t="s">
        <v>212</v>
      </c>
      <c r="CA563" s="2" t="s">
        <v>2220</v>
      </c>
      <c r="CB563" s="2" t="s">
        <v>200</v>
      </c>
      <c r="CC563" s="2" t="s">
        <v>213</v>
      </c>
      <c r="CD563" s="2" t="s">
        <v>200</v>
      </c>
      <c r="CE563" s="4"/>
      <c r="CF563" s="4">
        <v>196</v>
      </c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</row>
    <row r="564">
      <c r="A564" s="2" t="s">
        <v>3687</v>
      </c>
      <c r="B564" s="2" t="s">
        <v>744</v>
      </c>
      <c r="C564" s="2" t="s">
        <v>1375</v>
      </c>
      <c r="D564" s="2" t="s">
        <v>1275</v>
      </c>
      <c r="E564" s="2" t="s">
        <v>1276</v>
      </c>
      <c r="F564" s="2" t="s">
        <v>3681</v>
      </c>
      <c r="G564" s="2" t="s">
        <v>3681</v>
      </c>
      <c r="H564" s="2" t="s">
        <v>3681</v>
      </c>
      <c r="I564" s="2" t="s">
        <v>3682</v>
      </c>
      <c r="J564" s="2" t="s">
        <v>711</v>
      </c>
      <c r="K564" s="2" t="s">
        <v>3688</v>
      </c>
      <c r="L564" s="3">
        <v>112.1</v>
      </c>
      <c r="M564" s="3">
        <v>117.7</v>
      </c>
      <c r="N564" s="3">
        <v>239</v>
      </c>
      <c r="O564" s="2" t="s">
        <v>212</v>
      </c>
      <c r="P564" s="2" t="s">
        <v>205</v>
      </c>
      <c r="Q564" s="2" t="s">
        <v>206</v>
      </c>
      <c r="R564" s="2" t="s">
        <v>200</v>
      </c>
      <c r="S564" s="2" t="s">
        <v>200</v>
      </c>
      <c r="T564" s="2" t="s">
        <v>200</v>
      </c>
      <c r="U564" s="2" t="s">
        <v>270</v>
      </c>
      <c r="V564" s="2" t="s">
        <v>616</v>
      </c>
      <c r="W564" s="2" t="s">
        <v>419</v>
      </c>
      <c r="X564" s="2" t="s">
        <v>379</v>
      </c>
      <c r="Y564" s="2" t="s">
        <v>3689</v>
      </c>
      <c r="Z564" s="4">
        <v>68</v>
      </c>
      <c r="AA564" s="4">
        <f>=ROUNDDOWN(52.3076923076923,0)</f>
      </c>
      <c r="AB564" s="5">
        <v>1.3</v>
      </c>
      <c r="AC564" s="2" t="s">
        <v>200</v>
      </c>
      <c r="AD564" s="4"/>
      <c r="AE564" s="4"/>
      <c r="AF564" s="6">
        <v>76</v>
      </c>
      <c r="AG564" s="6"/>
      <c r="AH564" s="7">
        <v>1</v>
      </c>
      <c r="AI564" s="4"/>
      <c r="AJ564" s="4">
        <f>=ROUNDDOWN({0},0)</f>
      </c>
      <c r="AK564" s="5"/>
      <c r="AL564" s="2" t="s">
        <v>200</v>
      </c>
      <c r="AM564" s="4"/>
      <c r="AN564" s="4"/>
      <c r="AO564" s="7"/>
      <c r="AP564" s="4"/>
      <c r="AQ564" s="8"/>
      <c r="AR564" s="4"/>
      <c r="AS564" s="8"/>
      <c r="AT564" s="7"/>
      <c r="AU564" s="7"/>
      <c r="AV564" s="4"/>
      <c r="AW564" s="8"/>
      <c r="AX564" s="4"/>
      <c r="AY564" s="8"/>
      <c r="AZ564" s="7"/>
      <c r="BA564" s="7"/>
      <c r="BB564" s="7"/>
      <c r="BC564" s="4" t="s">
        <v>200</v>
      </c>
      <c r="BD564" s="8" t="s">
        <v>200</v>
      </c>
      <c r="BE564" s="4" t="s">
        <v>200</v>
      </c>
      <c r="BF564" s="8" t="s">
        <v>200</v>
      </c>
      <c r="BG564" s="7" t="s">
        <v>200</v>
      </c>
      <c r="BH564" s="7" t="s">
        <v>200</v>
      </c>
      <c r="BI564" s="7"/>
      <c r="BJ564" s="4">
        <v>4</v>
      </c>
      <c r="BK564" s="8">
        <v>494.36</v>
      </c>
      <c r="BL564" s="2" t="s">
        <v>1618</v>
      </c>
      <c r="BM564" s="7"/>
      <c r="BN564" s="7"/>
      <c r="BO564" s="4"/>
      <c r="BP564" s="8"/>
      <c r="BQ564" s="4"/>
      <c r="BR564" s="8"/>
      <c r="BS564" s="7"/>
      <c r="BT564" s="7"/>
      <c r="BU564" s="2" t="s">
        <v>3690</v>
      </c>
      <c r="BV564" s="2" t="s">
        <v>200</v>
      </c>
      <c r="BW564" s="2" t="s">
        <v>200</v>
      </c>
      <c r="BX564" s="2" t="s">
        <v>264</v>
      </c>
      <c r="BY564" s="2" t="s">
        <v>247</v>
      </c>
      <c r="BZ564" s="2" t="s">
        <v>212</v>
      </c>
      <c r="CA564" s="2" t="s">
        <v>2220</v>
      </c>
      <c r="CB564" s="2" t="s">
        <v>2786</v>
      </c>
      <c r="CC564" s="2" t="s">
        <v>213</v>
      </c>
      <c r="CD564" s="2" t="s">
        <v>200</v>
      </c>
      <c r="CE564" s="4"/>
      <c r="CF564" s="4">
        <v>68</v>
      </c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</row>
    <row r="565">
      <c r="A565" s="2" t="s">
        <v>3691</v>
      </c>
      <c r="B565" s="2" t="s">
        <v>744</v>
      </c>
      <c r="C565" s="2" t="s">
        <v>231</v>
      </c>
      <c r="D565" s="2" t="s">
        <v>3692</v>
      </c>
      <c r="E565" s="2" t="s">
        <v>3693</v>
      </c>
      <c r="F565" s="2" t="s">
        <v>3694</v>
      </c>
      <c r="G565" s="2" t="s">
        <v>3695</v>
      </c>
      <c r="H565" s="2" t="s">
        <v>3696</v>
      </c>
      <c r="I565" s="2" t="s">
        <v>3697</v>
      </c>
      <c r="J565" s="2" t="s">
        <v>711</v>
      </c>
      <c r="K565" s="2" t="s">
        <v>221</v>
      </c>
      <c r="L565" s="3">
        <v>239</v>
      </c>
      <c r="M565" s="3">
        <v>250.95</v>
      </c>
      <c r="N565" s="3">
        <v>499</v>
      </c>
      <c r="O565" s="2" t="s">
        <v>460</v>
      </c>
      <c r="P565" s="2" t="s">
        <v>285</v>
      </c>
      <c r="Q565" s="2" t="s">
        <v>206</v>
      </c>
      <c r="R565" s="2" t="s">
        <v>200</v>
      </c>
      <c r="S565" s="2" t="s">
        <v>200</v>
      </c>
      <c r="T565" s="2" t="s">
        <v>200</v>
      </c>
      <c r="U565" s="2" t="s">
        <v>200</v>
      </c>
      <c r="V565" s="2" t="s">
        <v>616</v>
      </c>
      <c r="W565" s="2" t="s">
        <v>419</v>
      </c>
      <c r="X565" s="2" t="s">
        <v>2095</v>
      </c>
      <c r="Y565" s="2" t="s">
        <v>3698</v>
      </c>
      <c r="Z565" s="4">
        <v>44</v>
      </c>
      <c r="AA565" s="4">
        <f>=ROUNDDOWN(146.666666666667,0)</f>
      </c>
      <c r="AB565" s="5">
        <v>0.3</v>
      </c>
      <c r="AC565" s="2" t="s">
        <v>200</v>
      </c>
      <c r="AD565" s="4"/>
      <c r="AE565" s="4"/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200</v>
      </c>
      <c r="AM565" s="4"/>
      <c r="AN565" s="4"/>
      <c r="AO565" s="7"/>
      <c r="AP565" s="4"/>
      <c r="AQ565" s="8"/>
      <c r="AR565" s="4"/>
      <c r="AS565" s="8"/>
      <c r="AT565" s="7"/>
      <c r="AU565" s="7"/>
      <c r="AV565" s="4"/>
      <c r="AW565" s="8"/>
      <c r="AX565" s="4"/>
      <c r="AY565" s="8"/>
      <c r="AZ565" s="7"/>
      <c r="BA565" s="7"/>
      <c r="BB565" s="7"/>
      <c r="BC565" s="4"/>
      <c r="BD565" s="8"/>
      <c r="BE565" s="4"/>
      <c r="BF565" s="8"/>
      <c r="BG565" s="7"/>
      <c r="BH565" s="7"/>
      <c r="BI565" s="7"/>
      <c r="BJ565" s="4">
        <v>2</v>
      </c>
      <c r="BK565" s="8">
        <v>538.71</v>
      </c>
      <c r="BL565" s="2" t="s">
        <v>1675</v>
      </c>
      <c r="BM565" s="7"/>
      <c r="BN565" s="7"/>
      <c r="BO565" s="4"/>
      <c r="BP565" s="8"/>
      <c r="BQ565" s="4"/>
      <c r="BR565" s="8"/>
      <c r="BS565" s="7"/>
      <c r="BT565" s="7"/>
      <c r="BU565" s="2" t="s">
        <v>3699</v>
      </c>
      <c r="BV565" s="2" t="s">
        <v>200</v>
      </c>
      <c r="BW565" s="2" t="s">
        <v>200</v>
      </c>
      <c r="BX565" s="2" t="s">
        <v>289</v>
      </c>
      <c r="BY565" s="2" t="s">
        <v>247</v>
      </c>
      <c r="BZ565" s="2" t="s">
        <v>212</v>
      </c>
      <c r="CA565" s="2" t="s">
        <v>3700</v>
      </c>
      <c r="CB565" s="2" t="s">
        <v>3701</v>
      </c>
      <c r="CC565" s="2" t="s">
        <v>213</v>
      </c>
      <c r="CD565" s="2" t="s">
        <v>200</v>
      </c>
      <c r="CE565" s="4"/>
      <c r="CF565" s="4">
        <v>44</v>
      </c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</row>
    <row r="566">
      <c r="A566" s="2" t="s">
        <v>3702</v>
      </c>
      <c r="B566" s="2" t="s">
        <v>992</v>
      </c>
      <c r="C566" s="2" t="s">
        <v>231</v>
      </c>
      <c r="D566" s="2" t="s">
        <v>992</v>
      </c>
      <c r="E566" s="2" t="s">
        <v>992</v>
      </c>
      <c r="F566" s="2" t="s">
        <v>3703</v>
      </c>
      <c r="G566" s="2" t="s">
        <v>3704</v>
      </c>
      <c r="H566" s="2" t="s">
        <v>3705</v>
      </c>
      <c r="I566" s="2" t="s">
        <v>3706</v>
      </c>
      <c r="J566" s="2" t="s">
        <v>3707</v>
      </c>
      <c r="K566" s="2" t="s">
        <v>3708</v>
      </c>
      <c r="L566" s="3">
        <v>24.44</v>
      </c>
      <c r="M566" s="3">
        <v>25.66</v>
      </c>
      <c r="N566" s="3">
        <v>54.99</v>
      </c>
      <c r="O566" s="2" t="s">
        <v>460</v>
      </c>
      <c r="P566" s="2" t="s">
        <v>285</v>
      </c>
      <c r="Q566" s="2" t="s">
        <v>206</v>
      </c>
      <c r="R566" s="2" t="s">
        <v>200</v>
      </c>
      <c r="S566" s="2" t="s">
        <v>200</v>
      </c>
      <c r="T566" s="2" t="s">
        <v>200</v>
      </c>
      <c r="U566" s="2" t="s">
        <v>270</v>
      </c>
      <c r="V566" s="2" t="s">
        <v>885</v>
      </c>
      <c r="W566" s="2" t="s">
        <v>1975</v>
      </c>
      <c r="X566" s="2" t="s">
        <v>200</v>
      </c>
      <c r="Y566" s="2" t="s">
        <v>3709</v>
      </c>
      <c r="Z566" s="4">
        <v>136</v>
      </c>
      <c r="AA566" s="4">
        <f>=ROUNDDOWN(272,0)</f>
      </c>
      <c r="AB566" s="5">
        <v>0.5</v>
      </c>
      <c r="AC566" s="2" t="s">
        <v>200</v>
      </c>
      <c r="AD566" s="4"/>
      <c r="AE566" s="4"/>
      <c r="AF566" s="6">
        <v>63</v>
      </c>
      <c r="AG566" s="6"/>
      <c r="AH566" s="7">
        <v>1</v>
      </c>
      <c r="AI566" s="4"/>
      <c r="AJ566" s="4">
        <f>=ROUNDDOWN({0},0)</f>
      </c>
      <c r="AK566" s="5"/>
      <c r="AL566" s="2" t="s">
        <v>200</v>
      </c>
      <c r="AM566" s="4"/>
      <c r="AN566" s="4"/>
      <c r="AO566" s="7"/>
      <c r="AP566" s="4"/>
      <c r="AQ566" s="8"/>
      <c r="AR566" s="4"/>
      <c r="AS566" s="8"/>
      <c r="AT566" s="7"/>
      <c r="AU566" s="7"/>
      <c r="AV566" s="4" t="s">
        <v>200</v>
      </c>
      <c r="AW566" s="8" t="s">
        <v>200</v>
      </c>
      <c r="AX566" s="4" t="s">
        <v>200</v>
      </c>
      <c r="AY566" s="8" t="s">
        <v>200</v>
      </c>
      <c r="AZ566" s="7" t="s">
        <v>200</v>
      </c>
      <c r="BA566" s="7" t="s">
        <v>200</v>
      </c>
      <c r="BB566" s="7"/>
      <c r="BC566" s="4" t="s">
        <v>200</v>
      </c>
      <c r="BD566" s="8" t="s">
        <v>200</v>
      </c>
      <c r="BE566" s="4" t="s">
        <v>200</v>
      </c>
      <c r="BF566" s="8" t="s">
        <v>200</v>
      </c>
      <c r="BG566" s="7" t="s">
        <v>200</v>
      </c>
      <c r="BH566" s="7" t="s">
        <v>200</v>
      </c>
      <c r="BI566" s="7"/>
      <c r="BJ566" s="4">
        <v>5</v>
      </c>
      <c r="BK566" s="8">
        <v>69.96</v>
      </c>
      <c r="BL566" s="2" t="s">
        <v>3710</v>
      </c>
      <c r="BM566" s="7"/>
      <c r="BN566" s="7"/>
      <c r="BO566" s="4"/>
      <c r="BP566" s="8"/>
      <c r="BQ566" s="4"/>
      <c r="BR566" s="8"/>
      <c r="BS566" s="7"/>
      <c r="BT566" s="7"/>
      <c r="BU566" s="2" t="s">
        <v>3711</v>
      </c>
      <c r="BV566" s="2" t="s">
        <v>200</v>
      </c>
      <c r="BW566" s="2" t="s">
        <v>200</v>
      </c>
      <c r="BX566" s="2" t="s">
        <v>289</v>
      </c>
      <c r="BY566" s="2" t="s">
        <v>247</v>
      </c>
      <c r="BZ566" s="2" t="s">
        <v>212</v>
      </c>
      <c r="CA566" s="2" t="s">
        <v>793</v>
      </c>
      <c r="CB566" s="2" t="s">
        <v>742</v>
      </c>
      <c r="CC566" s="2" t="s">
        <v>213</v>
      </c>
      <c r="CD566" s="2" t="s">
        <v>200</v>
      </c>
      <c r="CE566" s="4"/>
      <c r="CF566" s="4">
        <v>136</v>
      </c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</row>
    <row r="567">
      <c r="A567" s="2" t="s">
        <v>3712</v>
      </c>
      <c r="B567" s="2" t="s">
        <v>992</v>
      </c>
      <c r="C567" s="2" t="s">
        <v>231</v>
      </c>
      <c r="D567" s="2" t="s">
        <v>992</v>
      </c>
      <c r="E567" s="2" t="s">
        <v>992</v>
      </c>
      <c r="F567" s="2" t="s">
        <v>3703</v>
      </c>
      <c r="G567" s="2" t="s">
        <v>3704</v>
      </c>
      <c r="H567" s="2" t="s">
        <v>3705</v>
      </c>
      <c r="I567" s="2" t="s">
        <v>3706</v>
      </c>
      <c r="J567" s="2" t="s">
        <v>1585</v>
      </c>
      <c r="K567" s="2" t="s">
        <v>3708</v>
      </c>
      <c r="L567" s="3">
        <v>90.01</v>
      </c>
      <c r="M567" s="3">
        <v>94.51</v>
      </c>
      <c r="N567" s="3">
        <v>204.99</v>
      </c>
      <c r="O567" s="2" t="s">
        <v>460</v>
      </c>
      <c r="P567" s="2" t="s">
        <v>285</v>
      </c>
      <c r="Q567" s="2" t="s">
        <v>206</v>
      </c>
      <c r="R567" s="2" t="s">
        <v>200</v>
      </c>
      <c r="S567" s="2" t="s">
        <v>200</v>
      </c>
      <c r="T567" s="2" t="s">
        <v>200</v>
      </c>
      <c r="U567" s="2" t="s">
        <v>270</v>
      </c>
      <c r="V567" s="2" t="s">
        <v>885</v>
      </c>
      <c r="W567" s="2" t="s">
        <v>1975</v>
      </c>
      <c r="X567" s="2" t="s">
        <v>200</v>
      </c>
      <c r="Y567" s="2" t="s">
        <v>3709</v>
      </c>
      <c r="Z567" s="4">
        <v>89</v>
      </c>
      <c r="AA567" s="4">
        <f>=ROUNDDOWN(22.8205128205128,0)</f>
      </c>
      <c r="AB567" s="5">
        <v>3.9</v>
      </c>
      <c r="AC567" s="2" t="s">
        <v>200</v>
      </c>
      <c r="AD567" s="4"/>
      <c r="AE567" s="4"/>
      <c r="AF567" s="6">
        <v>63</v>
      </c>
      <c r="AG567" s="6"/>
      <c r="AH567" s="7">
        <v>1</v>
      </c>
      <c r="AI567" s="4"/>
      <c r="AJ567" s="4">
        <f>=ROUNDDOWN({0},0)</f>
      </c>
      <c r="AK567" s="5"/>
      <c r="AL567" s="2" t="s">
        <v>200</v>
      </c>
      <c r="AM567" s="4"/>
      <c r="AN567" s="4"/>
      <c r="AO567" s="7"/>
      <c r="AP567" s="4"/>
      <c r="AQ567" s="8"/>
      <c r="AR567" s="4"/>
      <c r="AS567" s="8"/>
      <c r="AT567" s="7"/>
      <c r="AU567" s="7"/>
      <c r="AV567" s="4" t="s">
        <v>200</v>
      </c>
      <c r="AW567" s="8" t="s">
        <v>200</v>
      </c>
      <c r="AX567" s="4" t="s">
        <v>200</v>
      </c>
      <c r="AY567" s="8" t="s">
        <v>200</v>
      </c>
      <c r="AZ567" s="7" t="s">
        <v>200</v>
      </c>
      <c r="BA567" s="7" t="s">
        <v>200</v>
      </c>
      <c r="BB567" s="7"/>
      <c r="BC567" s="4" t="s">
        <v>200</v>
      </c>
      <c r="BD567" s="8" t="s">
        <v>200</v>
      </c>
      <c r="BE567" s="4" t="s">
        <v>200</v>
      </c>
      <c r="BF567" s="8" t="s">
        <v>200</v>
      </c>
      <c r="BG567" s="7" t="s">
        <v>200</v>
      </c>
      <c r="BH567" s="7" t="s">
        <v>200</v>
      </c>
      <c r="BI567" s="7"/>
      <c r="BJ567" s="4">
        <v>2</v>
      </c>
      <c r="BK567" s="8"/>
      <c r="BL567" s="2" t="s">
        <v>3713</v>
      </c>
      <c r="BM567" s="7"/>
      <c r="BN567" s="7"/>
      <c r="BO567" s="4"/>
      <c r="BP567" s="8"/>
      <c r="BQ567" s="4"/>
      <c r="BR567" s="8"/>
      <c r="BS567" s="7"/>
      <c r="BT567" s="7"/>
      <c r="BU567" s="2" t="s">
        <v>3714</v>
      </c>
      <c r="BV567" s="2" t="s">
        <v>200</v>
      </c>
      <c r="BW567" s="2" t="s">
        <v>200</v>
      </c>
      <c r="BX567" s="2" t="s">
        <v>289</v>
      </c>
      <c r="BY567" s="2" t="s">
        <v>247</v>
      </c>
      <c r="BZ567" s="2" t="s">
        <v>212</v>
      </c>
      <c r="CA567" s="2" t="s">
        <v>793</v>
      </c>
      <c r="CB567" s="2" t="s">
        <v>3075</v>
      </c>
      <c r="CC567" s="2" t="s">
        <v>213</v>
      </c>
      <c r="CD567" s="2" t="s">
        <v>200</v>
      </c>
      <c r="CE567" s="4"/>
      <c r="CF567" s="4">
        <v>89</v>
      </c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</row>
    <row r="568">
      <c r="A568" s="2" t="s">
        <v>3715</v>
      </c>
      <c r="B568" s="2" t="s">
        <v>903</v>
      </c>
      <c r="C568" s="2" t="s">
        <v>231</v>
      </c>
      <c r="D568" s="2" t="s">
        <v>918</v>
      </c>
      <c r="E568" s="2" t="s">
        <v>934</v>
      </c>
      <c r="F568" s="2" t="s">
        <v>3716</v>
      </c>
      <c r="G568" s="2" t="s">
        <v>3717</v>
      </c>
      <c r="H568" s="2" t="s">
        <v>3718</v>
      </c>
      <c r="I568" s="2" t="s">
        <v>3719</v>
      </c>
      <c r="J568" s="2" t="s">
        <v>302</v>
      </c>
      <c r="K568" s="2" t="s">
        <v>660</v>
      </c>
      <c r="L568" s="3">
        <v>81.59</v>
      </c>
      <c r="M568" s="3">
        <v>85.67</v>
      </c>
      <c r="N568" s="3">
        <v>159.99</v>
      </c>
      <c r="O568" s="2" t="s">
        <v>212</v>
      </c>
      <c r="P568" s="2" t="s">
        <v>258</v>
      </c>
      <c r="Q568" s="2" t="s">
        <v>206</v>
      </c>
      <c r="R568" s="2" t="s">
        <v>200</v>
      </c>
      <c r="S568" s="2" t="s">
        <v>3720</v>
      </c>
      <c r="T568" s="2" t="s">
        <v>3721</v>
      </c>
      <c r="U568" s="2" t="s">
        <v>909</v>
      </c>
      <c r="V568" s="2" t="s">
        <v>940</v>
      </c>
      <c r="W568" s="2" t="s">
        <v>2691</v>
      </c>
      <c r="X568" s="2" t="s">
        <v>3722</v>
      </c>
      <c r="Y568" s="2" t="s">
        <v>261</v>
      </c>
      <c r="Z568" s="4">
        <v>290</v>
      </c>
      <c r="AA568" s="4">
        <f>=ROUNDDOWN(58,0)</f>
      </c>
      <c r="AB568" s="5">
        <v>5</v>
      </c>
      <c r="AC568" s="2" t="s">
        <v>200</v>
      </c>
      <c r="AD568" s="4"/>
      <c r="AE568" s="4"/>
      <c r="AF568" s="6">
        <v>65</v>
      </c>
      <c r="AG568" s="6">
        <v>73</v>
      </c>
      <c r="AH568" s="7">
        <v>1</v>
      </c>
      <c r="AI568" s="4"/>
      <c r="AJ568" s="4">
        <f>=ROUNDDOWN({0},0)</f>
      </c>
      <c r="AK568" s="5"/>
      <c r="AL568" s="2" t="s">
        <v>200</v>
      </c>
      <c r="AM568" s="4"/>
      <c r="AN568" s="4"/>
      <c r="AO568" s="7"/>
      <c r="AP568" s="4"/>
      <c r="AQ568" s="8"/>
      <c r="AR568" s="4"/>
      <c r="AS568" s="8"/>
      <c r="AT568" s="7"/>
      <c r="AU568" s="7"/>
      <c r="AV568" s="4" t="s">
        <v>200</v>
      </c>
      <c r="AW568" s="8" t="s">
        <v>200</v>
      </c>
      <c r="AX568" s="4" t="s">
        <v>200</v>
      </c>
      <c r="AY568" s="8" t="s">
        <v>200</v>
      </c>
      <c r="AZ568" s="7" t="s">
        <v>200</v>
      </c>
      <c r="BA568" s="7" t="s">
        <v>200</v>
      </c>
      <c r="BB568" s="7"/>
      <c r="BC568" s="4" t="s">
        <v>200</v>
      </c>
      <c r="BD568" s="8" t="s">
        <v>200</v>
      </c>
      <c r="BE568" s="4" t="s">
        <v>200</v>
      </c>
      <c r="BF568" s="8" t="s">
        <v>200</v>
      </c>
      <c r="BG568" s="7" t="s">
        <v>200</v>
      </c>
      <c r="BH568" s="7" t="s">
        <v>200</v>
      </c>
      <c r="BI568" s="7"/>
      <c r="BJ568" s="4">
        <v>24</v>
      </c>
      <c r="BK568" s="8">
        <v>2130.21</v>
      </c>
      <c r="BL568" s="2" t="s">
        <v>3723</v>
      </c>
      <c r="BM568" s="7"/>
      <c r="BN568" s="7"/>
      <c r="BO568" s="4"/>
      <c r="BP568" s="8"/>
      <c r="BQ568" s="4"/>
      <c r="BR568" s="8"/>
      <c r="BS568" s="7"/>
      <c r="BT568" s="7"/>
      <c r="BU568" s="2" t="s">
        <v>3724</v>
      </c>
      <c r="BV568" s="2" t="s">
        <v>200</v>
      </c>
      <c r="BW568" s="2" t="s">
        <v>200</v>
      </c>
      <c r="BX568" s="2" t="s">
        <v>264</v>
      </c>
      <c r="BY568" s="2" t="s">
        <v>247</v>
      </c>
      <c r="BZ568" s="2" t="s">
        <v>212</v>
      </c>
      <c r="CA568" s="2" t="s">
        <v>265</v>
      </c>
      <c r="CB568" s="2" t="s">
        <v>1108</v>
      </c>
      <c r="CC568" s="2" t="s">
        <v>213</v>
      </c>
      <c r="CD568" s="2" t="s">
        <v>200</v>
      </c>
      <c r="CE568" s="4">
        <v>148</v>
      </c>
      <c r="CF568" s="4">
        <v>113</v>
      </c>
      <c r="CG568" s="4"/>
      <c r="CH568" s="4">
        <v>29</v>
      </c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</row>
    <row r="569">
      <c r="A569" s="2" t="s">
        <v>3725</v>
      </c>
      <c r="B569" s="2" t="s">
        <v>903</v>
      </c>
      <c r="C569" s="2" t="s">
        <v>231</v>
      </c>
      <c r="D569" s="2" t="s">
        <v>918</v>
      </c>
      <c r="E569" s="2" t="s">
        <v>934</v>
      </c>
      <c r="F569" s="2" t="s">
        <v>3716</v>
      </c>
      <c r="G569" s="2" t="s">
        <v>3717</v>
      </c>
      <c r="H569" s="2" t="s">
        <v>3718</v>
      </c>
      <c r="I569" s="2" t="s">
        <v>3719</v>
      </c>
      <c r="J569" s="2" t="s">
        <v>236</v>
      </c>
      <c r="K569" s="2" t="s">
        <v>660</v>
      </c>
      <c r="L569" s="3">
        <v>81.59</v>
      </c>
      <c r="M569" s="3">
        <v>85.67</v>
      </c>
      <c r="N569" s="3">
        <v>159.99</v>
      </c>
      <c r="O569" s="2" t="s">
        <v>212</v>
      </c>
      <c r="P569" s="2" t="s">
        <v>258</v>
      </c>
      <c r="Q569" s="2" t="s">
        <v>206</v>
      </c>
      <c r="R569" s="2" t="s">
        <v>200</v>
      </c>
      <c r="S569" s="2" t="s">
        <v>3720</v>
      </c>
      <c r="T569" s="2" t="s">
        <v>3721</v>
      </c>
      <c r="U569" s="2" t="s">
        <v>909</v>
      </c>
      <c r="V569" s="2" t="s">
        <v>940</v>
      </c>
      <c r="W569" s="2" t="s">
        <v>2691</v>
      </c>
      <c r="X569" s="2" t="s">
        <v>3722</v>
      </c>
      <c r="Y569" s="2" t="s">
        <v>261</v>
      </c>
      <c r="Z569" s="4">
        <v>136</v>
      </c>
      <c r="AA569" s="4">
        <f>=ROUNDDOWN(68,0)</f>
      </c>
      <c r="AB569" s="5">
        <v>2</v>
      </c>
      <c r="AC569" s="2" t="s">
        <v>200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200</v>
      </c>
      <c r="AM569" s="4"/>
      <c r="AN569" s="4"/>
      <c r="AO569" s="7"/>
      <c r="AP569" s="4"/>
      <c r="AQ569" s="8"/>
      <c r="AR569" s="4"/>
      <c r="AS569" s="8"/>
      <c r="AT569" s="7"/>
      <c r="AU569" s="7"/>
      <c r="AV569" s="4" t="s">
        <v>200</v>
      </c>
      <c r="AW569" s="8" t="s">
        <v>200</v>
      </c>
      <c r="AX569" s="4" t="s">
        <v>200</v>
      </c>
      <c r="AY569" s="8" t="s">
        <v>200</v>
      </c>
      <c r="AZ569" s="7" t="s">
        <v>200</v>
      </c>
      <c r="BA569" s="7" t="s">
        <v>200</v>
      </c>
      <c r="BB569" s="7"/>
      <c r="BC569" s="4" t="s">
        <v>200</v>
      </c>
      <c r="BD569" s="8" t="s">
        <v>200</v>
      </c>
      <c r="BE569" s="4" t="s">
        <v>200</v>
      </c>
      <c r="BF569" s="8" t="s">
        <v>200</v>
      </c>
      <c r="BG569" s="7" t="s">
        <v>200</v>
      </c>
      <c r="BH569" s="7" t="s">
        <v>200</v>
      </c>
      <c r="BI569" s="7"/>
      <c r="BJ569" s="4">
        <v>10</v>
      </c>
      <c r="BK569" s="8">
        <v>852.36</v>
      </c>
      <c r="BL569" s="2" t="s">
        <v>363</v>
      </c>
      <c r="BM569" s="7"/>
      <c r="BN569" s="7"/>
      <c r="BO569" s="4"/>
      <c r="BP569" s="8"/>
      <c r="BQ569" s="4"/>
      <c r="BR569" s="8"/>
      <c r="BS569" s="7"/>
      <c r="BT569" s="7"/>
      <c r="BU569" s="2" t="s">
        <v>3726</v>
      </c>
      <c r="BV569" s="2" t="s">
        <v>200</v>
      </c>
      <c r="BW569" s="2" t="s">
        <v>200</v>
      </c>
      <c r="BX569" s="2" t="s">
        <v>264</v>
      </c>
      <c r="BY569" s="2" t="s">
        <v>247</v>
      </c>
      <c r="BZ569" s="2" t="s">
        <v>212</v>
      </c>
      <c r="CA569" s="2" t="s">
        <v>265</v>
      </c>
      <c r="CB569" s="2" t="s">
        <v>1108</v>
      </c>
      <c r="CC569" s="2" t="s">
        <v>213</v>
      </c>
      <c r="CD569" s="2" t="s">
        <v>200</v>
      </c>
      <c r="CE569" s="4">
        <v>112</v>
      </c>
      <c r="CF569" s="4">
        <v>24</v>
      </c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</row>
    <row r="570">
      <c r="A570" s="2" t="s">
        <v>3727</v>
      </c>
      <c r="B570" s="2" t="s">
        <v>903</v>
      </c>
      <c r="C570" s="2" t="s">
        <v>231</v>
      </c>
      <c r="D570" s="2" t="s">
        <v>1818</v>
      </c>
      <c r="E570" s="2" t="s">
        <v>1819</v>
      </c>
      <c r="F570" s="2" t="s">
        <v>3716</v>
      </c>
      <c r="G570" s="2" t="s">
        <v>3717</v>
      </c>
      <c r="H570" s="2" t="s">
        <v>3718</v>
      </c>
      <c r="I570" s="2" t="s">
        <v>3728</v>
      </c>
      <c r="J570" s="2" t="s">
        <v>612</v>
      </c>
      <c r="K570" s="2" t="s">
        <v>3729</v>
      </c>
      <c r="L570" s="3">
        <v>63.7</v>
      </c>
      <c r="M570" s="3">
        <v>66.88</v>
      </c>
      <c r="N570" s="3">
        <v>129.99</v>
      </c>
      <c r="O570" s="2" t="s">
        <v>212</v>
      </c>
      <c r="P570" s="2" t="s">
        <v>205</v>
      </c>
      <c r="Q570" s="2" t="s">
        <v>206</v>
      </c>
      <c r="R570" s="2" t="s">
        <v>200</v>
      </c>
      <c r="S570" s="2" t="s">
        <v>3730</v>
      </c>
      <c r="T570" s="2" t="s">
        <v>3721</v>
      </c>
      <c r="U570" s="2" t="s">
        <v>662</v>
      </c>
      <c r="V570" s="2" t="s">
        <v>940</v>
      </c>
      <c r="W570" s="2" t="s">
        <v>2691</v>
      </c>
      <c r="X570" s="2" t="s">
        <v>200</v>
      </c>
      <c r="Y570" s="2" t="s">
        <v>200</v>
      </c>
      <c r="Z570" s="4"/>
      <c r="AA570" s="4">
        <f>=ROUNDDOWN({0},0)</f>
      </c>
      <c r="AB570" s="5"/>
      <c r="AC570" s="2" t="s">
        <v>122</v>
      </c>
      <c r="AD570" s="4">
        <v>370</v>
      </c>
      <c r="AE570" s="4">
        <v>370</v>
      </c>
      <c r="AF570" s="6">
        <v>65</v>
      </c>
      <c r="AG570" s="6"/>
      <c r="AH570" s="7"/>
      <c r="AI570" s="4"/>
      <c r="AJ570" s="4">
        <f>=ROUNDDOWN({0},0)</f>
      </c>
      <c r="AK570" s="5"/>
      <c r="AL570" s="2" t="s">
        <v>200</v>
      </c>
      <c r="AM570" s="4"/>
      <c r="AN570" s="4"/>
      <c r="AO570" s="7"/>
      <c r="AP570" s="4"/>
      <c r="AQ570" s="8"/>
      <c r="AR570" s="4"/>
      <c r="AS570" s="8"/>
      <c r="AT570" s="7"/>
      <c r="AU570" s="7"/>
      <c r="AV570" s="4" t="s">
        <v>200</v>
      </c>
      <c r="AW570" s="8" t="s">
        <v>200</v>
      </c>
      <c r="AX570" s="4" t="s">
        <v>200</v>
      </c>
      <c r="AY570" s="8" t="s">
        <v>200</v>
      </c>
      <c r="AZ570" s="7" t="s">
        <v>200</v>
      </c>
      <c r="BA570" s="7" t="s">
        <v>200</v>
      </c>
      <c r="BB570" s="7"/>
      <c r="BC570" s="4" t="s">
        <v>200</v>
      </c>
      <c r="BD570" s="8" t="s">
        <v>200</v>
      </c>
      <c r="BE570" s="4" t="s">
        <v>200</v>
      </c>
      <c r="BF570" s="8" t="s">
        <v>200</v>
      </c>
      <c r="BG570" s="7" t="s">
        <v>200</v>
      </c>
      <c r="BH570" s="7" t="s">
        <v>200</v>
      </c>
      <c r="BI570" s="7"/>
      <c r="BJ570" s="4"/>
      <c r="BK570" s="8"/>
      <c r="BL570" s="2" t="s">
        <v>200</v>
      </c>
      <c r="BM570" s="7"/>
      <c r="BN570" s="7"/>
      <c r="BO570" s="4"/>
      <c r="BP570" s="8"/>
      <c r="BQ570" s="4"/>
      <c r="BR570" s="8"/>
      <c r="BS570" s="7"/>
      <c r="BT570" s="7"/>
      <c r="BU570" s="2" t="s">
        <v>210</v>
      </c>
      <c r="BV570" s="2" t="s">
        <v>200</v>
      </c>
      <c r="BW570" s="2" t="s">
        <v>200</v>
      </c>
      <c r="BX570" s="2" t="s">
        <v>620</v>
      </c>
      <c r="BY570" s="2" t="s">
        <v>211</v>
      </c>
      <c r="BZ570" s="2" t="s">
        <v>212</v>
      </c>
      <c r="CA570" s="2" t="s">
        <v>200</v>
      </c>
      <c r="CB570" s="2" t="s">
        <v>200</v>
      </c>
      <c r="CC570" s="2" t="s">
        <v>213</v>
      </c>
      <c r="CD570" s="2" t="s">
        <v>200</v>
      </c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>
        <v>370</v>
      </c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</row>
    <row r="571">
      <c r="A571" s="2" t="s">
        <v>3731</v>
      </c>
      <c r="B571" s="2" t="s">
        <v>903</v>
      </c>
      <c r="C571" s="2" t="s">
        <v>231</v>
      </c>
      <c r="D571" s="2" t="s">
        <v>608</v>
      </c>
      <c r="E571" s="2" t="s">
        <v>609</v>
      </c>
      <c r="F571" s="2" t="s">
        <v>3716</v>
      </c>
      <c r="G571" s="2" t="s">
        <v>3717</v>
      </c>
      <c r="H571" s="2" t="s">
        <v>3718</v>
      </c>
      <c r="I571" s="2" t="s">
        <v>3732</v>
      </c>
      <c r="J571" s="2" t="s">
        <v>297</v>
      </c>
      <c r="K571" s="2" t="s">
        <v>3729</v>
      </c>
      <c r="L571" s="3">
        <v>85.47</v>
      </c>
      <c r="M571" s="3">
        <v>89.74</v>
      </c>
      <c r="N571" s="3">
        <v>149.99</v>
      </c>
      <c r="O571" s="2" t="s">
        <v>212</v>
      </c>
      <c r="P571" s="2" t="s">
        <v>205</v>
      </c>
      <c r="Q571" s="2" t="s">
        <v>206</v>
      </c>
      <c r="R571" s="2" t="s">
        <v>200</v>
      </c>
      <c r="S571" s="2" t="s">
        <v>3730</v>
      </c>
      <c r="T571" s="2" t="s">
        <v>3721</v>
      </c>
      <c r="U571" s="2" t="s">
        <v>909</v>
      </c>
      <c r="V571" s="2" t="s">
        <v>940</v>
      </c>
      <c r="W571" s="2" t="s">
        <v>2691</v>
      </c>
      <c r="X571" s="2" t="s">
        <v>200</v>
      </c>
      <c r="Y571" s="2" t="s">
        <v>200</v>
      </c>
      <c r="Z571" s="4"/>
      <c r="AA571" s="4">
        <f>=ROUNDDOWN({0},0)</f>
      </c>
      <c r="AB571" s="5"/>
      <c r="AC571" s="2" t="s">
        <v>122</v>
      </c>
      <c r="AD571" s="4">
        <v>1072</v>
      </c>
      <c r="AE571" s="4">
        <v>1072</v>
      </c>
      <c r="AF571" s="6">
        <v>65</v>
      </c>
      <c r="AG571" s="6"/>
      <c r="AH571" s="7"/>
      <c r="AI571" s="4"/>
      <c r="AJ571" s="4">
        <f>=ROUNDDOWN({0},0)</f>
      </c>
      <c r="AK571" s="5"/>
      <c r="AL571" s="2" t="s">
        <v>200</v>
      </c>
      <c r="AM571" s="4"/>
      <c r="AN571" s="4"/>
      <c r="AO571" s="7"/>
      <c r="AP571" s="4"/>
      <c r="AQ571" s="8"/>
      <c r="AR571" s="4"/>
      <c r="AS571" s="8"/>
      <c r="AT571" s="7"/>
      <c r="AU571" s="7"/>
      <c r="AV571" s="4" t="s">
        <v>200</v>
      </c>
      <c r="AW571" s="8" t="s">
        <v>200</v>
      </c>
      <c r="AX571" s="4" t="s">
        <v>200</v>
      </c>
      <c r="AY571" s="8" t="s">
        <v>200</v>
      </c>
      <c r="AZ571" s="7" t="s">
        <v>200</v>
      </c>
      <c r="BA571" s="7" t="s">
        <v>200</v>
      </c>
      <c r="BB571" s="7"/>
      <c r="BC571" s="4" t="s">
        <v>200</v>
      </c>
      <c r="BD571" s="8" t="s">
        <v>200</v>
      </c>
      <c r="BE571" s="4" t="s">
        <v>200</v>
      </c>
      <c r="BF571" s="8" t="s">
        <v>200</v>
      </c>
      <c r="BG571" s="7" t="s">
        <v>200</v>
      </c>
      <c r="BH571" s="7" t="s">
        <v>200</v>
      </c>
      <c r="BI571" s="7"/>
      <c r="BJ571" s="4"/>
      <c r="BK571" s="8"/>
      <c r="BL571" s="2" t="s">
        <v>200</v>
      </c>
      <c r="BM571" s="7"/>
      <c r="BN571" s="7"/>
      <c r="BO571" s="4"/>
      <c r="BP571" s="8"/>
      <c r="BQ571" s="4"/>
      <c r="BR571" s="8"/>
      <c r="BS571" s="7"/>
      <c r="BT571" s="7"/>
      <c r="BU571" s="2" t="s">
        <v>210</v>
      </c>
      <c r="BV571" s="2" t="s">
        <v>200</v>
      </c>
      <c r="BW571" s="2" t="s">
        <v>200</v>
      </c>
      <c r="BX571" s="2" t="s">
        <v>620</v>
      </c>
      <c r="BY571" s="2" t="s">
        <v>211</v>
      </c>
      <c r="BZ571" s="2" t="s">
        <v>212</v>
      </c>
      <c r="CA571" s="2" t="s">
        <v>200</v>
      </c>
      <c r="CB571" s="2" t="s">
        <v>200</v>
      </c>
      <c r="CC571" s="2" t="s">
        <v>213</v>
      </c>
      <c r="CD571" s="2" t="s">
        <v>200</v>
      </c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>
        <v>1072</v>
      </c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</row>
    <row r="572">
      <c r="A572" s="2" t="s">
        <v>3733</v>
      </c>
      <c r="B572" s="2" t="s">
        <v>903</v>
      </c>
      <c r="C572" s="2" t="s">
        <v>231</v>
      </c>
      <c r="D572" s="2" t="s">
        <v>608</v>
      </c>
      <c r="E572" s="2" t="s">
        <v>609</v>
      </c>
      <c r="F572" s="2" t="s">
        <v>3716</v>
      </c>
      <c r="G572" s="2" t="s">
        <v>3717</v>
      </c>
      <c r="H572" s="2" t="s">
        <v>3718</v>
      </c>
      <c r="I572" s="2" t="s">
        <v>3732</v>
      </c>
      <c r="J572" s="2" t="s">
        <v>302</v>
      </c>
      <c r="K572" s="2" t="s">
        <v>3729</v>
      </c>
      <c r="L572" s="3">
        <v>95.51</v>
      </c>
      <c r="M572" s="3">
        <v>100.29</v>
      </c>
      <c r="N572" s="3">
        <v>169.99</v>
      </c>
      <c r="O572" s="2" t="s">
        <v>212</v>
      </c>
      <c r="P572" s="2" t="s">
        <v>205</v>
      </c>
      <c r="Q572" s="2" t="s">
        <v>206</v>
      </c>
      <c r="R572" s="2" t="s">
        <v>200</v>
      </c>
      <c r="S572" s="2" t="s">
        <v>3730</v>
      </c>
      <c r="T572" s="2" t="s">
        <v>3721</v>
      </c>
      <c r="U572" s="2" t="s">
        <v>909</v>
      </c>
      <c r="V572" s="2" t="s">
        <v>940</v>
      </c>
      <c r="W572" s="2" t="s">
        <v>2691</v>
      </c>
      <c r="X572" s="2" t="s">
        <v>200</v>
      </c>
      <c r="Y572" s="2" t="s">
        <v>200</v>
      </c>
      <c r="Z572" s="4"/>
      <c r="AA572" s="4">
        <f>=ROUNDDOWN({0},0)</f>
      </c>
      <c r="AB572" s="5"/>
      <c r="AC572" s="2" t="s">
        <v>122</v>
      </c>
      <c r="AD572" s="4">
        <v>1362</v>
      </c>
      <c r="AE572" s="4">
        <v>1362</v>
      </c>
      <c r="AF572" s="6">
        <v>65</v>
      </c>
      <c r="AG572" s="6"/>
      <c r="AH572" s="7"/>
      <c r="AI572" s="4"/>
      <c r="AJ572" s="4">
        <f>=ROUNDDOWN({0},0)</f>
      </c>
      <c r="AK572" s="5"/>
      <c r="AL572" s="2" t="s">
        <v>200</v>
      </c>
      <c r="AM572" s="4"/>
      <c r="AN572" s="4"/>
      <c r="AO572" s="7"/>
      <c r="AP572" s="4"/>
      <c r="AQ572" s="8"/>
      <c r="AR572" s="4"/>
      <c r="AS572" s="8"/>
      <c r="AT572" s="7"/>
      <c r="AU572" s="7"/>
      <c r="AV572" s="4" t="s">
        <v>200</v>
      </c>
      <c r="AW572" s="8" t="s">
        <v>200</v>
      </c>
      <c r="AX572" s="4" t="s">
        <v>200</v>
      </c>
      <c r="AY572" s="8" t="s">
        <v>200</v>
      </c>
      <c r="AZ572" s="7" t="s">
        <v>200</v>
      </c>
      <c r="BA572" s="7" t="s">
        <v>200</v>
      </c>
      <c r="BB572" s="7"/>
      <c r="BC572" s="4" t="s">
        <v>200</v>
      </c>
      <c r="BD572" s="8" t="s">
        <v>200</v>
      </c>
      <c r="BE572" s="4" t="s">
        <v>200</v>
      </c>
      <c r="BF572" s="8" t="s">
        <v>200</v>
      </c>
      <c r="BG572" s="7" t="s">
        <v>200</v>
      </c>
      <c r="BH572" s="7" t="s">
        <v>200</v>
      </c>
      <c r="BI572" s="7"/>
      <c r="BJ572" s="4"/>
      <c r="BK572" s="8"/>
      <c r="BL572" s="2" t="s">
        <v>200</v>
      </c>
      <c r="BM572" s="7"/>
      <c r="BN572" s="7"/>
      <c r="BO572" s="4"/>
      <c r="BP572" s="8"/>
      <c r="BQ572" s="4"/>
      <c r="BR572" s="8"/>
      <c r="BS572" s="7"/>
      <c r="BT572" s="7"/>
      <c r="BU572" s="2" t="s">
        <v>210</v>
      </c>
      <c r="BV572" s="2" t="s">
        <v>200</v>
      </c>
      <c r="BW572" s="2" t="s">
        <v>200</v>
      </c>
      <c r="BX572" s="2" t="s">
        <v>620</v>
      </c>
      <c r="BY572" s="2" t="s">
        <v>211</v>
      </c>
      <c r="BZ572" s="2" t="s">
        <v>212</v>
      </c>
      <c r="CA572" s="2" t="s">
        <v>200</v>
      </c>
      <c r="CB572" s="2" t="s">
        <v>200</v>
      </c>
      <c r="CC572" s="2" t="s">
        <v>213</v>
      </c>
      <c r="CD572" s="2" t="s">
        <v>200</v>
      </c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>
        <v>1362</v>
      </c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</row>
    <row r="573">
      <c r="A573" s="2" t="s">
        <v>3734</v>
      </c>
      <c r="B573" s="2" t="s">
        <v>903</v>
      </c>
      <c r="C573" s="2" t="s">
        <v>231</v>
      </c>
      <c r="D573" s="2" t="s">
        <v>1818</v>
      </c>
      <c r="E573" s="2" t="s">
        <v>1819</v>
      </c>
      <c r="F573" s="2" t="s">
        <v>3716</v>
      </c>
      <c r="G573" s="2" t="s">
        <v>3717</v>
      </c>
      <c r="H573" s="2" t="s">
        <v>3718</v>
      </c>
      <c r="I573" s="2" t="s">
        <v>3728</v>
      </c>
      <c r="J573" s="2" t="s">
        <v>924</v>
      </c>
      <c r="K573" s="2" t="s">
        <v>3729</v>
      </c>
      <c r="L573" s="3">
        <v>68.6</v>
      </c>
      <c r="M573" s="3">
        <v>72.02</v>
      </c>
      <c r="N573" s="3">
        <v>139.99</v>
      </c>
      <c r="O573" s="2" t="s">
        <v>212</v>
      </c>
      <c r="P573" s="2" t="s">
        <v>205</v>
      </c>
      <c r="Q573" s="2" t="s">
        <v>206</v>
      </c>
      <c r="R573" s="2" t="s">
        <v>200</v>
      </c>
      <c r="S573" s="2" t="s">
        <v>3730</v>
      </c>
      <c r="T573" s="2" t="s">
        <v>3721</v>
      </c>
      <c r="U573" s="2" t="s">
        <v>662</v>
      </c>
      <c r="V573" s="2" t="s">
        <v>940</v>
      </c>
      <c r="W573" s="2" t="s">
        <v>2691</v>
      </c>
      <c r="X573" s="2" t="s">
        <v>200</v>
      </c>
      <c r="Y573" s="2" t="s">
        <v>200</v>
      </c>
      <c r="Z573" s="4"/>
      <c r="AA573" s="4">
        <f>=ROUNDDOWN({0},0)</f>
      </c>
      <c r="AB573" s="5"/>
      <c r="AC573" s="2" t="s">
        <v>122</v>
      </c>
      <c r="AD573" s="4">
        <v>146</v>
      </c>
      <c r="AE573" s="4">
        <v>146</v>
      </c>
      <c r="AF573" s="6">
        <v>65</v>
      </c>
      <c r="AG573" s="6"/>
      <c r="AH573" s="7"/>
      <c r="AI573" s="4"/>
      <c r="AJ573" s="4">
        <f>=ROUNDDOWN({0},0)</f>
      </c>
      <c r="AK573" s="5"/>
      <c r="AL573" s="2" t="s">
        <v>200</v>
      </c>
      <c r="AM573" s="4"/>
      <c r="AN573" s="4"/>
      <c r="AO573" s="7"/>
      <c r="AP573" s="4"/>
      <c r="AQ573" s="8"/>
      <c r="AR573" s="4"/>
      <c r="AS573" s="8"/>
      <c r="AT573" s="7"/>
      <c r="AU573" s="7"/>
      <c r="AV573" s="4" t="s">
        <v>200</v>
      </c>
      <c r="AW573" s="8" t="s">
        <v>200</v>
      </c>
      <c r="AX573" s="4" t="s">
        <v>200</v>
      </c>
      <c r="AY573" s="8" t="s">
        <v>200</v>
      </c>
      <c r="AZ573" s="7" t="s">
        <v>200</v>
      </c>
      <c r="BA573" s="7" t="s">
        <v>200</v>
      </c>
      <c r="BB573" s="7"/>
      <c r="BC573" s="4" t="s">
        <v>200</v>
      </c>
      <c r="BD573" s="8" t="s">
        <v>200</v>
      </c>
      <c r="BE573" s="4" t="s">
        <v>200</v>
      </c>
      <c r="BF573" s="8" t="s">
        <v>200</v>
      </c>
      <c r="BG573" s="7" t="s">
        <v>200</v>
      </c>
      <c r="BH573" s="7" t="s">
        <v>200</v>
      </c>
      <c r="BI573" s="7"/>
      <c r="BJ573" s="4"/>
      <c r="BK573" s="8"/>
      <c r="BL573" s="2" t="s">
        <v>200</v>
      </c>
      <c r="BM573" s="7"/>
      <c r="BN573" s="7"/>
      <c r="BO573" s="4"/>
      <c r="BP573" s="8"/>
      <c r="BQ573" s="4"/>
      <c r="BR573" s="8"/>
      <c r="BS573" s="7"/>
      <c r="BT573" s="7"/>
      <c r="BU573" s="2" t="s">
        <v>210</v>
      </c>
      <c r="BV573" s="2" t="s">
        <v>200</v>
      </c>
      <c r="BW573" s="2" t="s">
        <v>200</v>
      </c>
      <c r="BX573" s="2" t="s">
        <v>620</v>
      </c>
      <c r="BY573" s="2" t="s">
        <v>211</v>
      </c>
      <c r="BZ573" s="2" t="s">
        <v>212</v>
      </c>
      <c r="CA573" s="2" t="s">
        <v>200</v>
      </c>
      <c r="CB573" s="2" t="s">
        <v>200</v>
      </c>
      <c r="CC573" s="2" t="s">
        <v>213</v>
      </c>
      <c r="CD573" s="2" t="s">
        <v>200</v>
      </c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>
        <v>146</v>
      </c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</row>
    <row r="574">
      <c r="A574" s="2" t="s">
        <v>3735</v>
      </c>
      <c r="B574" s="2" t="s">
        <v>903</v>
      </c>
      <c r="C574" s="2" t="s">
        <v>231</v>
      </c>
      <c r="D574" s="2" t="s">
        <v>608</v>
      </c>
      <c r="E574" s="2" t="s">
        <v>609</v>
      </c>
      <c r="F574" s="2" t="s">
        <v>3716</v>
      </c>
      <c r="G574" s="2" t="s">
        <v>3717</v>
      </c>
      <c r="H574" s="2" t="s">
        <v>3718</v>
      </c>
      <c r="I574" s="2" t="s">
        <v>3732</v>
      </c>
      <c r="J574" s="2" t="s">
        <v>236</v>
      </c>
      <c r="K574" s="2" t="s">
        <v>3729</v>
      </c>
      <c r="L574" s="3">
        <v>95.51</v>
      </c>
      <c r="M574" s="3">
        <v>100.29</v>
      </c>
      <c r="N574" s="3">
        <v>169.99</v>
      </c>
      <c r="O574" s="2" t="s">
        <v>212</v>
      </c>
      <c r="P574" s="2" t="s">
        <v>205</v>
      </c>
      <c r="Q574" s="2" t="s">
        <v>206</v>
      </c>
      <c r="R574" s="2" t="s">
        <v>200</v>
      </c>
      <c r="S574" s="2" t="s">
        <v>3730</v>
      </c>
      <c r="T574" s="2" t="s">
        <v>3721</v>
      </c>
      <c r="U574" s="2" t="s">
        <v>909</v>
      </c>
      <c r="V574" s="2" t="s">
        <v>940</v>
      </c>
      <c r="W574" s="2" t="s">
        <v>2691</v>
      </c>
      <c r="X574" s="2" t="s">
        <v>200</v>
      </c>
      <c r="Y574" s="2" t="s">
        <v>200</v>
      </c>
      <c r="Z574" s="4"/>
      <c r="AA574" s="4">
        <f>=ROUNDDOWN({0},0)</f>
      </c>
      <c r="AB574" s="5"/>
      <c r="AC574" s="2" t="s">
        <v>122</v>
      </c>
      <c r="AD574" s="4">
        <v>720</v>
      </c>
      <c r="AE574" s="4">
        <v>720</v>
      </c>
      <c r="AF574" s="6">
        <v>65</v>
      </c>
      <c r="AG574" s="6"/>
      <c r="AH574" s="7"/>
      <c r="AI574" s="4"/>
      <c r="AJ574" s="4">
        <f>=ROUNDDOWN({0},0)</f>
      </c>
      <c r="AK574" s="5"/>
      <c r="AL574" s="2" t="s">
        <v>200</v>
      </c>
      <c r="AM574" s="4"/>
      <c r="AN574" s="4"/>
      <c r="AO574" s="7"/>
      <c r="AP574" s="4"/>
      <c r="AQ574" s="8"/>
      <c r="AR574" s="4"/>
      <c r="AS574" s="8"/>
      <c r="AT574" s="7"/>
      <c r="AU574" s="7"/>
      <c r="AV574" s="4" t="s">
        <v>200</v>
      </c>
      <c r="AW574" s="8" t="s">
        <v>200</v>
      </c>
      <c r="AX574" s="4" t="s">
        <v>200</v>
      </c>
      <c r="AY574" s="8" t="s">
        <v>200</v>
      </c>
      <c r="AZ574" s="7" t="s">
        <v>200</v>
      </c>
      <c r="BA574" s="7" t="s">
        <v>200</v>
      </c>
      <c r="BB574" s="7"/>
      <c r="BC574" s="4" t="s">
        <v>200</v>
      </c>
      <c r="BD574" s="8" t="s">
        <v>200</v>
      </c>
      <c r="BE574" s="4" t="s">
        <v>200</v>
      </c>
      <c r="BF574" s="8" t="s">
        <v>200</v>
      </c>
      <c r="BG574" s="7" t="s">
        <v>200</v>
      </c>
      <c r="BH574" s="7" t="s">
        <v>200</v>
      </c>
      <c r="BI574" s="7"/>
      <c r="BJ574" s="4"/>
      <c r="BK574" s="8"/>
      <c r="BL574" s="2" t="s">
        <v>200</v>
      </c>
      <c r="BM574" s="7"/>
      <c r="BN574" s="7"/>
      <c r="BO574" s="4"/>
      <c r="BP574" s="8"/>
      <c r="BQ574" s="4"/>
      <c r="BR574" s="8"/>
      <c r="BS574" s="7"/>
      <c r="BT574" s="7"/>
      <c r="BU574" s="2" t="s">
        <v>210</v>
      </c>
      <c r="BV574" s="2" t="s">
        <v>200</v>
      </c>
      <c r="BW574" s="2" t="s">
        <v>200</v>
      </c>
      <c r="BX574" s="2" t="s">
        <v>620</v>
      </c>
      <c r="BY574" s="2" t="s">
        <v>211</v>
      </c>
      <c r="BZ574" s="2" t="s">
        <v>212</v>
      </c>
      <c r="CA574" s="2" t="s">
        <v>200</v>
      </c>
      <c r="CB574" s="2" t="s">
        <v>200</v>
      </c>
      <c r="CC574" s="2" t="s">
        <v>213</v>
      </c>
      <c r="CD574" s="2" t="s">
        <v>200</v>
      </c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>
        <v>720</v>
      </c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</row>
    <row r="575">
      <c r="A575" s="2" t="s">
        <v>3736</v>
      </c>
      <c r="B575" s="2" t="s">
        <v>744</v>
      </c>
      <c r="C575" s="2" t="s">
        <v>231</v>
      </c>
      <c r="D575" s="2" t="s">
        <v>795</v>
      </c>
      <c r="E575" s="2" t="s">
        <v>796</v>
      </c>
      <c r="F575" s="2" t="s">
        <v>3737</v>
      </c>
      <c r="G575" s="2" t="s">
        <v>3738</v>
      </c>
      <c r="H575" s="2" t="s">
        <v>3739</v>
      </c>
      <c r="I575" s="2" t="s">
        <v>3740</v>
      </c>
      <c r="J575" s="2" t="s">
        <v>711</v>
      </c>
      <c r="K575" s="2" t="s">
        <v>387</v>
      </c>
      <c r="L575" s="3">
        <v>190.4</v>
      </c>
      <c r="M575" s="3">
        <v>199.92</v>
      </c>
      <c r="N575" s="3">
        <v>399</v>
      </c>
      <c r="O575" s="2" t="s">
        <v>212</v>
      </c>
      <c r="P575" s="2" t="s">
        <v>258</v>
      </c>
      <c r="Q575" s="2" t="s">
        <v>206</v>
      </c>
      <c r="R575" s="2" t="s">
        <v>200</v>
      </c>
      <c r="S575" s="2" t="s">
        <v>3741</v>
      </c>
      <c r="T575" s="2" t="s">
        <v>200</v>
      </c>
      <c r="U575" s="2" t="s">
        <v>200</v>
      </c>
      <c r="V575" s="2" t="s">
        <v>208</v>
      </c>
      <c r="W575" s="2" t="s">
        <v>419</v>
      </c>
      <c r="X575" s="2" t="s">
        <v>200</v>
      </c>
      <c r="Y575" s="2" t="s">
        <v>2540</v>
      </c>
      <c r="Z575" s="4">
        <v>108</v>
      </c>
      <c r="AA575" s="4">
        <f>=ROUNDDOWN(12,0)</f>
      </c>
      <c r="AB575" s="5">
        <v>9</v>
      </c>
      <c r="AC575" s="2" t="s">
        <v>124</v>
      </c>
      <c r="AD575" s="4">
        <v>126</v>
      </c>
      <c r="AE575" s="4">
        <v>252</v>
      </c>
      <c r="AF575" s="6">
        <v>74</v>
      </c>
      <c r="AG575" s="6"/>
      <c r="AH575" s="7">
        <v>1</v>
      </c>
      <c r="AI575" s="4"/>
      <c r="AJ575" s="4">
        <f>=ROUNDDOWN({0},0)</f>
      </c>
      <c r="AK575" s="5"/>
      <c r="AL575" s="2" t="s">
        <v>200</v>
      </c>
      <c r="AM575" s="4"/>
      <c r="AN575" s="4"/>
      <c r="AO575" s="7"/>
      <c r="AP575" s="4"/>
      <c r="AQ575" s="8"/>
      <c r="AR575" s="4"/>
      <c r="AS575" s="8"/>
      <c r="AT575" s="7"/>
      <c r="AU575" s="7"/>
      <c r="AV575" s="4"/>
      <c r="AW575" s="8"/>
      <c r="AX575" s="4"/>
      <c r="AY575" s="8"/>
      <c r="AZ575" s="7"/>
      <c r="BA575" s="7"/>
      <c r="BB575" s="7"/>
      <c r="BC575" s="4" t="s">
        <v>200</v>
      </c>
      <c r="BD575" s="8" t="s">
        <v>200</v>
      </c>
      <c r="BE575" s="4" t="s">
        <v>200</v>
      </c>
      <c r="BF575" s="8" t="s">
        <v>200</v>
      </c>
      <c r="BG575" s="7" t="s">
        <v>200</v>
      </c>
      <c r="BH575" s="7" t="s">
        <v>200</v>
      </c>
      <c r="BI575" s="7"/>
      <c r="BJ575" s="4">
        <v>34</v>
      </c>
      <c r="BK575" s="8">
        <v>6651.74</v>
      </c>
      <c r="BL575" s="2" t="s">
        <v>3742</v>
      </c>
      <c r="BM575" s="7"/>
      <c r="BN575" s="7"/>
      <c r="BO575" s="4"/>
      <c r="BP575" s="8"/>
      <c r="BQ575" s="4"/>
      <c r="BR575" s="8"/>
      <c r="BS575" s="7"/>
      <c r="BT575" s="7"/>
      <c r="BU575" s="2" t="s">
        <v>3743</v>
      </c>
      <c r="BV575" s="2" t="s">
        <v>200</v>
      </c>
      <c r="BW575" s="2" t="s">
        <v>200</v>
      </c>
      <c r="BX575" s="2" t="s">
        <v>264</v>
      </c>
      <c r="BY575" s="2" t="s">
        <v>247</v>
      </c>
      <c r="BZ575" s="2" t="s">
        <v>212</v>
      </c>
      <c r="CA575" s="2" t="s">
        <v>1237</v>
      </c>
      <c r="CB575" s="2" t="s">
        <v>1229</v>
      </c>
      <c r="CC575" s="2" t="s">
        <v>213</v>
      </c>
      <c r="CD575" s="2" t="s">
        <v>200</v>
      </c>
      <c r="CE575" s="4"/>
      <c r="CF575" s="4">
        <v>108</v>
      </c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>
        <v>126</v>
      </c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>
        <v>126</v>
      </c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</row>
    <row r="576">
      <c r="A576" s="2" t="s">
        <v>3744</v>
      </c>
      <c r="B576" s="2" t="s">
        <v>744</v>
      </c>
      <c r="C576" s="2" t="s">
        <v>231</v>
      </c>
      <c r="D576" s="2" t="s">
        <v>795</v>
      </c>
      <c r="E576" s="2" t="s">
        <v>796</v>
      </c>
      <c r="F576" s="2" t="s">
        <v>3737</v>
      </c>
      <c r="G576" s="2" t="s">
        <v>3738</v>
      </c>
      <c r="H576" s="2" t="s">
        <v>3739</v>
      </c>
      <c r="I576" s="2" t="s">
        <v>3740</v>
      </c>
      <c r="J576" s="2" t="s">
        <v>711</v>
      </c>
      <c r="K576" s="2" t="s">
        <v>221</v>
      </c>
      <c r="L576" s="3">
        <v>190.4</v>
      </c>
      <c r="M576" s="3">
        <v>199.92</v>
      </c>
      <c r="N576" s="3">
        <v>399</v>
      </c>
      <c r="O576" s="2" t="s">
        <v>460</v>
      </c>
      <c r="P576" s="2" t="s">
        <v>285</v>
      </c>
      <c r="Q576" s="2" t="s">
        <v>206</v>
      </c>
      <c r="R576" s="2" t="s">
        <v>200</v>
      </c>
      <c r="S576" s="2" t="s">
        <v>200</v>
      </c>
      <c r="T576" s="2" t="s">
        <v>200</v>
      </c>
      <c r="U576" s="2" t="s">
        <v>200</v>
      </c>
      <c r="V576" s="2" t="s">
        <v>208</v>
      </c>
      <c r="W576" s="2" t="s">
        <v>419</v>
      </c>
      <c r="X576" s="2" t="s">
        <v>200</v>
      </c>
      <c r="Y576" s="2" t="s">
        <v>978</v>
      </c>
      <c r="Z576" s="4">
        <v>41</v>
      </c>
      <c r="AA576" s="4">
        <f>=ROUNDDOWN(17.8260869565217,0)</f>
      </c>
      <c r="AB576" s="5">
        <v>2.3</v>
      </c>
      <c r="AC576" s="2" t="s">
        <v>200</v>
      </c>
      <c r="AD576" s="4"/>
      <c r="AE576" s="4"/>
      <c r="AF576" s="6">
        <v>74</v>
      </c>
      <c r="AG576" s="6"/>
      <c r="AH576" s="7">
        <v>1</v>
      </c>
      <c r="AI576" s="4"/>
      <c r="AJ576" s="4">
        <f>=ROUNDDOWN({0},0)</f>
      </c>
      <c r="AK576" s="5"/>
      <c r="AL576" s="2" t="s">
        <v>200</v>
      </c>
      <c r="AM576" s="4"/>
      <c r="AN576" s="4"/>
      <c r="AO576" s="7"/>
      <c r="AP576" s="4"/>
      <c r="AQ576" s="8"/>
      <c r="AR576" s="4"/>
      <c r="AS576" s="8"/>
      <c r="AT576" s="7"/>
      <c r="AU576" s="7"/>
      <c r="AV576" s="4"/>
      <c r="AW576" s="8"/>
      <c r="AX576" s="4"/>
      <c r="AY576" s="8"/>
      <c r="AZ576" s="7"/>
      <c r="BA576" s="7"/>
      <c r="BB576" s="7"/>
      <c r="BC576" s="4" t="s">
        <v>200</v>
      </c>
      <c r="BD576" s="8" t="s">
        <v>200</v>
      </c>
      <c r="BE576" s="4" t="s">
        <v>200</v>
      </c>
      <c r="BF576" s="8" t="s">
        <v>200</v>
      </c>
      <c r="BG576" s="7" t="s">
        <v>200</v>
      </c>
      <c r="BH576" s="7" t="s">
        <v>200</v>
      </c>
      <c r="BI576" s="7"/>
      <c r="BJ576" s="4">
        <v>15</v>
      </c>
      <c r="BK576" s="8">
        <v>2172.65</v>
      </c>
      <c r="BL576" s="2" t="s">
        <v>752</v>
      </c>
      <c r="BM576" s="7"/>
      <c r="BN576" s="7"/>
      <c r="BO576" s="4"/>
      <c r="BP576" s="8"/>
      <c r="BQ576" s="4"/>
      <c r="BR576" s="8"/>
      <c r="BS576" s="7"/>
      <c r="BT576" s="7"/>
      <c r="BU576" s="2" t="s">
        <v>3745</v>
      </c>
      <c r="BV576" s="2" t="s">
        <v>200</v>
      </c>
      <c r="BW576" s="2" t="s">
        <v>200</v>
      </c>
      <c r="BX576" s="2" t="s">
        <v>289</v>
      </c>
      <c r="BY576" s="2" t="s">
        <v>247</v>
      </c>
      <c r="BZ576" s="2" t="s">
        <v>212</v>
      </c>
      <c r="CA576" s="2" t="s">
        <v>3746</v>
      </c>
      <c r="CB576" s="2" t="s">
        <v>3747</v>
      </c>
      <c r="CC576" s="2" t="s">
        <v>213</v>
      </c>
      <c r="CD576" s="2" t="s">
        <v>200</v>
      </c>
      <c r="CE576" s="4"/>
      <c r="CF576" s="4">
        <v>41</v>
      </c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</row>
    <row r="577">
      <c r="A577" s="2" t="s">
        <v>3748</v>
      </c>
      <c r="B577" s="2" t="s">
        <v>744</v>
      </c>
      <c r="C577" s="2" t="s">
        <v>730</v>
      </c>
      <c r="D577" s="2" t="s">
        <v>1275</v>
      </c>
      <c r="E577" s="2" t="s">
        <v>1276</v>
      </c>
      <c r="F577" s="2" t="s">
        <v>3749</v>
      </c>
      <c r="G577" s="2" t="s">
        <v>3749</v>
      </c>
      <c r="H577" s="2" t="s">
        <v>3749</v>
      </c>
      <c r="I577" s="2" t="s">
        <v>3750</v>
      </c>
      <c r="J577" s="2" t="s">
        <v>711</v>
      </c>
      <c r="K577" s="2" t="s">
        <v>1928</v>
      </c>
      <c r="L577" s="3">
        <v>561.91</v>
      </c>
      <c r="M577" s="3">
        <v>590.01</v>
      </c>
      <c r="N577" s="3">
        <v>1179</v>
      </c>
      <c r="O577" s="2" t="s">
        <v>212</v>
      </c>
      <c r="P577" s="2" t="s">
        <v>802</v>
      </c>
      <c r="Q577" s="2" t="s">
        <v>206</v>
      </c>
      <c r="R577" s="2" t="s">
        <v>16</v>
      </c>
      <c r="S577" s="2" t="s">
        <v>3751</v>
      </c>
      <c r="T577" s="2" t="s">
        <v>200</v>
      </c>
      <c r="U577" s="2" t="s">
        <v>677</v>
      </c>
      <c r="V577" s="2" t="s">
        <v>208</v>
      </c>
      <c r="W577" s="2" t="s">
        <v>1399</v>
      </c>
      <c r="X577" s="2" t="s">
        <v>737</v>
      </c>
      <c r="Y577" s="2" t="s">
        <v>1055</v>
      </c>
      <c r="Z577" s="4">
        <v>113</v>
      </c>
      <c r="AA577" s="4">
        <f>=ROUNDDOWN({0},0)</f>
      </c>
      <c r="AB577" s="5"/>
      <c r="AC577" s="2" t="s">
        <v>1674</v>
      </c>
      <c r="AD577" s="4">
        <v>50</v>
      </c>
      <c r="AE577" s="4">
        <v>165</v>
      </c>
      <c r="AF577" s="6"/>
      <c r="AG577" s="6"/>
      <c r="AH577" s="7">
        <v>1</v>
      </c>
      <c r="AI577" s="4"/>
      <c r="AJ577" s="4">
        <f>=ROUNDDOWN({0},0)</f>
      </c>
      <c r="AK577" s="5"/>
      <c r="AL577" s="2" t="s">
        <v>200</v>
      </c>
      <c r="AM577" s="4"/>
      <c r="AN577" s="4"/>
      <c r="AO577" s="7"/>
      <c r="AP577" s="4"/>
      <c r="AQ577" s="8"/>
      <c r="AR577" s="4"/>
      <c r="AS577" s="8"/>
      <c r="AT577" s="7"/>
      <c r="AU577" s="7"/>
      <c r="AV577" s="4"/>
      <c r="AW577" s="8"/>
      <c r="AX577" s="4"/>
      <c r="AY577" s="8"/>
      <c r="AZ577" s="7"/>
      <c r="BA577" s="7"/>
      <c r="BB577" s="7"/>
      <c r="BC577" s="4"/>
      <c r="BD577" s="8"/>
      <c r="BE577" s="4"/>
      <c r="BF577" s="8"/>
      <c r="BG577" s="7"/>
      <c r="BH577" s="7"/>
      <c r="BI577" s="7"/>
      <c r="BJ577" s="4"/>
      <c r="BK577" s="8"/>
      <c r="BL577" s="2" t="s">
        <v>200</v>
      </c>
      <c r="BM577" s="7"/>
      <c r="BN577" s="7"/>
      <c r="BO577" s="4"/>
      <c r="BP577" s="8"/>
      <c r="BQ577" s="4"/>
      <c r="BR577" s="8"/>
      <c r="BS577" s="7"/>
      <c r="BT577" s="7"/>
      <c r="BU577" s="2" t="s">
        <v>3752</v>
      </c>
      <c r="BV577" s="2" t="s">
        <v>200</v>
      </c>
      <c r="BW577" s="2" t="s">
        <v>200</v>
      </c>
      <c r="BX577" s="2" t="s">
        <v>620</v>
      </c>
      <c r="BY577" s="2" t="s">
        <v>247</v>
      </c>
      <c r="BZ577" s="2" t="s">
        <v>212</v>
      </c>
      <c r="CA577" s="2" t="s">
        <v>806</v>
      </c>
      <c r="CB577" s="2" t="s">
        <v>1264</v>
      </c>
      <c r="CC577" s="2" t="s">
        <v>213</v>
      </c>
      <c r="CD577" s="2" t="s">
        <v>200</v>
      </c>
      <c r="CE577" s="4"/>
      <c r="CF577" s="4">
        <v>113</v>
      </c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>
        <v>50</v>
      </c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>
        <v>115</v>
      </c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</row>
    <row r="578">
      <c r="A578" s="2" t="s">
        <v>3753</v>
      </c>
      <c r="B578" s="2" t="s">
        <v>744</v>
      </c>
      <c r="C578" s="2" t="s">
        <v>231</v>
      </c>
      <c r="D578" s="2" t="s">
        <v>2677</v>
      </c>
      <c r="E578" s="2" t="s">
        <v>2678</v>
      </c>
      <c r="F578" s="2" t="s">
        <v>3754</v>
      </c>
      <c r="G578" s="2" t="s">
        <v>3755</v>
      </c>
      <c r="H578" s="2" t="s">
        <v>3756</v>
      </c>
      <c r="I578" s="2" t="s">
        <v>3757</v>
      </c>
      <c r="J578" s="2" t="s">
        <v>711</v>
      </c>
      <c r="K578" s="2" t="s">
        <v>1214</v>
      </c>
      <c r="L578" s="3">
        <v>125.4</v>
      </c>
      <c r="M578" s="3">
        <v>131.67</v>
      </c>
      <c r="N578" s="3">
        <v>269</v>
      </c>
      <c r="O578" s="2" t="s">
        <v>212</v>
      </c>
      <c r="P578" s="2" t="s">
        <v>750</v>
      </c>
      <c r="Q578" s="2" t="s">
        <v>206</v>
      </c>
      <c r="R578" s="2" t="s">
        <v>200</v>
      </c>
      <c r="S578" s="2" t="s">
        <v>3758</v>
      </c>
      <c r="T578" s="2" t="s">
        <v>200</v>
      </c>
      <c r="U578" s="2" t="s">
        <v>200</v>
      </c>
      <c r="V578" s="2" t="s">
        <v>208</v>
      </c>
      <c r="W578" s="2" t="s">
        <v>419</v>
      </c>
      <c r="X578" s="2" t="s">
        <v>200</v>
      </c>
      <c r="Y578" s="2" t="s">
        <v>261</v>
      </c>
      <c r="Z578" s="4">
        <v>257</v>
      </c>
      <c r="AA578" s="4">
        <f>=ROUNDDOWN(51.4,0)</f>
      </c>
      <c r="AB578" s="5">
        <v>5</v>
      </c>
      <c r="AC578" s="2" t="s">
        <v>200</v>
      </c>
      <c r="AD578" s="4"/>
      <c r="AE578" s="4"/>
      <c r="AF578" s="6">
        <v>76</v>
      </c>
      <c r="AG578" s="6">
        <v>67</v>
      </c>
      <c r="AH578" s="7">
        <v>1</v>
      </c>
      <c r="AI578" s="4"/>
      <c r="AJ578" s="4">
        <f>=ROUNDDOWN({0},0)</f>
      </c>
      <c r="AK578" s="5"/>
      <c r="AL578" s="2" t="s">
        <v>200</v>
      </c>
      <c r="AM578" s="4"/>
      <c r="AN578" s="4"/>
      <c r="AO578" s="7"/>
      <c r="AP578" s="4"/>
      <c r="AQ578" s="8"/>
      <c r="AR578" s="4"/>
      <c r="AS578" s="8"/>
      <c r="AT578" s="7"/>
      <c r="AU578" s="7"/>
      <c r="AV578" s="4"/>
      <c r="AW578" s="8"/>
      <c r="AX578" s="4"/>
      <c r="AY578" s="8"/>
      <c r="AZ578" s="7"/>
      <c r="BA578" s="7"/>
      <c r="BB578" s="7"/>
      <c r="BC578" s="4"/>
      <c r="BD578" s="8"/>
      <c r="BE578" s="4"/>
      <c r="BF578" s="8"/>
      <c r="BG578" s="7"/>
      <c r="BH578" s="7"/>
      <c r="BI578" s="7"/>
      <c r="BJ578" s="4">
        <v>24</v>
      </c>
      <c r="BK578" s="8">
        <v>2658.46</v>
      </c>
      <c r="BL578" s="2" t="s">
        <v>3759</v>
      </c>
      <c r="BM578" s="7"/>
      <c r="BN578" s="7"/>
      <c r="BO578" s="4"/>
      <c r="BP578" s="8"/>
      <c r="BQ578" s="4"/>
      <c r="BR578" s="8"/>
      <c r="BS578" s="7"/>
      <c r="BT578" s="7"/>
      <c r="BU578" s="2" t="s">
        <v>3760</v>
      </c>
      <c r="BV578" s="2" t="s">
        <v>200</v>
      </c>
      <c r="BW578" s="2" t="s">
        <v>200</v>
      </c>
      <c r="BX578" s="2" t="s">
        <v>264</v>
      </c>
      <c r="BY578" s="2" t="s">
        <v>247</v>
      </c>
      <c r="BZ578" s="2" t="s">
        <v>212</v>
      </c>
      <c r="CA578" s="2" t="s">
        <v>265</v>
      </c>
      <c r="CB578" s="2" t="s">
        <v>3761</v>
      </c>
      <c r="CC578" s="2" t="s">
        <v>213</v>
      </c>
      <c r="CD578" s="2" t="s">
        <v>200</v>
      </c>
      <c r="CE578" s="4"/>
      <c r="CF578" s="4">
        <v>257</v>
      </c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</row>
    <row r="579">
      <c r="A579" s="2" t="s">
        <v>3762</v>
      </c>
      <c r="B579" s="2" t="s">
        <v>719</v>
      </c>
      <c r="C579" s="2" t="s">
        <v>745</v>
      </c>
      <c r="D579" s="2" t="s">
        <v>1554</v>
      </c>
      <c r="E579" s="2" t="s">
        <v>721</v>
      </c>
      <c r="F579" s="2" t="s">
        <v>3763</v>
      </c>
      <c r="G579" s="2" t="s">
        <v>3763</v>
      </c>
      <c r="H579" s="2" t="s">
        <v>3763</v>
      </c>
      <c r="I579" s="2" t="s">
        <v>3764</v>
      </c>
      <c r="J579" s="2" t="s">
        <v>711</v>
      </c>
      <c r="K579" s="2" t="s">
        <v>387</v>
      </c>
      <c r="L579" s="3">
        <v>45.71</v>
      </c>
      <c r="M579" s="3">
        <v>48</v>
      </c>
      <c r="N579" s="3">
        <v>99.99</v>
      </c>
      <c r="O579" s="2" t="s">
        <v>212</v>
      </c>
      <c r="P579" s="2" t="s">
        <v>285</v>
      </c>
      <c r="Q579" s="2" t="s">
        <v>206</v>
      </c>
      <c r="R579" s="2" t="s">
        <v>200</v>
      </c>
      <c r="S579" s="2" t="s">
        <v>200</v>
      </c>
      <c r="T579" s="2" t="s">
        <v>200</v>
      </c>
      <c r="U579" s="2" t="s">
        <v>270</v>
      </c>
      <c r="V579" s="2" t="s">
        <v>616</v>
      </c>
      <c r="W579" s="2" t="s">
        <v>1900</v>
      </c>
      <c r="X579" s="2" t="s">
        <v>1399</v>
      </c>
      <c r="Y579" s="2" t="s">
        <v>1734</v>
      </c>
      <c r="Z579" s="4">
        <v>45</v>
      </c>
      <c r="AA579" s="4">
        <f>=ROUNDDOWN(45,0)</f>
      </c>
      <c r="AB579" s="5">
        <v>1</v>
      </c>
      <c r="AC579" s="2" t="s">
        <v>200</v>
      </c>
      <c r="AD579" s="4"/>
      <c r="AE579" s="4"/>
      <c r="AF579" s="6">
        <v>63</v>
      </c>
      <c r="AG579" s="6"/>
      <c r="AH579" s="7">
        <v>1</v>
      </c>
      <c r="AI579" s="4"/>
      <c r="AJ579" s="4">
        <f>=ROUNDDOWN({0},0)</f>
      </c>
      <c r="AK579" s="5"/>
      <c r="AL579" s="2" t="s">
        <v>200</v>
      </c>
      <c r="AM579" s="4"/>
      <c r="AN579" s="4"/>
      <c r="AO579" s="7"/>
      <c r="AP579" s="4"/>
      <c r="AQ579" s="8"/>
      <c r="AR579" s="4"/>
      <c r="AS579" s="8"/>
      <c r="AT579" s="7"/>
      <c r="AU579" s="7"/>
      <c r="AV579" s="4"/>
      <c r="AW579" s="8"/>
      <c r="AX579" s="4"/>
      <c r="AY579" s="8"/>
      <c r="AZ579" s="7"/>
      <c r="BA579" s="7"/>
      <c r="BB579" s="7"/>
      <c r="BC579" s="4"/>
      <c r="BD579" s="8"/>
      <c r="BE579" s="4"/>
      <c r="BF579" s="8"/>
      <c r="BG579" s="7"/>
      <c r="BH579" s="7"/>
      <c r="BI579" s="7"/>
      <c r="BJ579" s="4">
        <v>4</v>
      </c>
      <c r="BK579" s="8">
        <v>238.43</v>
      </c>
      <c r="BL579" s="2" t="s">
        <v>3765</v>
      </c>
      <c r="BM579" s="7"/>
      <c r="BN579" s="7"/>
      <c r="BO579" s="4"/>
      <c r="BP579" s="8"/>
      <c r="BQ579" s="4"/>
      <c r="BR579" s="8"/>
      <c r="BS579" s="7"/>
      <c r="BT579" s="7"/>
      <c r="BU579" s="2" t="s">
        <v>3766</v>
      </c>
      <c r="BV579" s="2" t="s">
        <v>200</v>
      </c>
      <c r="BW579" s="2" t="s">
        <v>200</v>
      </c>
      <c r="BX579" s="2" t="s">
        <v>289</v>
      </c>
      <c r="BY579" s="2" t="s">
        <v>247</v>
      </c>
      <c r="BZ579" s="2" t="s">
        <v>212</v>
      </c>
      <c r="CA579" s="2" t="s">
        <v>1730</v>
      </c>
      <c r="CB579" s="2" t="s">
        <v>3767</v>
      </c>
      <c r="CC579" s="2" t="s">
        <v>213</v>
      </c>
      <c r="CD579" s="2" t="s">
        <v>200</v>
      </c>
      <c r="CE579" s="4"/>
      <c r="CF579" s="4">
        <v>45</v>
      </c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</row>
    <row r="580">
      <c r="A580" s="2" t="s">
        <v>3768</v>
      </c>
      <c r="B580" s="2" t="s">
        <v>705</v>
      </c>
      <c r="C580" s="2" t="s">
        <v>1375</v>
      </c>
      <c r="D580" s="2" t="s">
        <v>707</v>
      </c>
      <c r="E580" s="2" t="s">
        <v>708</v>
      </c>
      <c r="F580" s="2" t="s">
        <v>3769</v>
      </c>
      <c r="G580" s="2" t="s">
        <v>3769</v>
      </c>
      <c r="H580" s="2" t="s">
        <v>3769</v>
      </c>
      <c r="I580" s="2" t="s">
        <v>3770</v>
      </c>
      <c r="J580" s="2" t="s">
        <v>711</v>
      </c>
      <c r="K580" s="2" t="s">
        <v>237</v>
      </c>
      <c r="L580" s="3">
        <v>58.88</v>
      </c>
      <c r="M580" s="3">
        <v>61.82</v>
      </c>
      <c r="N580" s="3">
        <v>139.99</v>
      </c>
      <c r="O580" s="2" t="s">
        <v>460</v>
      </c>
      <c r="P580" s="2" t="s">
        <v>285</v>
      </c>
      <c r="Q580" s="2" t="s">
        <v>206</v>
      </c>
      <c r="R580" s="2" t="s">
        <v>200</v>
      </c>
      <c r="S580" s="2" t="s">
        <v>200</v>
      </c>
      <c r="T580" s="2" t="s">
        <v>200</v>
      </c>
      <c r="U580" s="2" t="s">
        <v>270</v>
      </c>
      <c r="V580" s="2" t="s">
        <v>616</v>
      </c>
      <c r="W580" s="2" t="s">
        <v>379</v>
      </c>
      <c r="X580" s="2" t="s">
        <v>419</v>
      </c>
      <c r="Y580" s="2" t="s">
        <v>428</v>
      </c>
      <c r="Z580" s="4">
        <v>60</v>
      </c>
      <c r="AA580" s="4">
        <f>=ROUNDDOWN(300,0)</f>
      </c>
      <c r="AB580" s="5">
        <v>0.2</v>
      </c>
      <c r="AC580" s="2" t="s">
        <v>200</v>
      </c>
      <c r="AD580" s="4"/>
      <c r="AE580" s="4"/>
      <c r="AF580" s="6">
        <v>63</v>
      </c>
      <c r="AG580" s="6"/>
      <c r="AH580" s="7">
        <v>1</v>
      </c>
      <c r="AI580" s="4"/>
      <c r="AJ580" s="4">
        <f>=ROUNDDOWN({0},0)</f>
      </c>
      <c r="AK580" s="5"/>
      <c r="AL580" s="2" t="s">
        <v>200</v>
      </c>
      <c r="AM580" s="4"/>
      <c r="AN580" s="4"/>
      <c r="AO580" s="7"/>
      <c r="AP580" s="4"/>
      <c r="AQ580" s="8"/>
      <c r="AR580" s="4"/>
      <c r="AS580" s="8"/>
      <c r="AT580" s="7"/>
      <c r="AU580" s="7"/>
      <c r="AV580" s="4"/>
      <c r="AW580" s="8"/>
      <c r="AX580" s="4"/>
      <c r="AY580" s="8"/>
      <c r="AZ580" s="7"/>
      <c r="BA580" s="7"/>
      <c r="BB580" s="7"/>
      <c r="BC580" s="4"/>
      <c r="BD580" s="8"/>
      <c r="BE580" s="4"/>
      <c r="BF580" s="8"/>
      <c r="BG580" s="7"/>
      <c r="BH580" s="7"/>
      <c r="BI580" s="7"/>
      <c r="BJ580" s="4">
        <v>1</v>
      </c>
      <c r="BK580" s="8">
        <v>133.54</v>
      </c>
      <c r="BL580" s="2" t="s">
        <v>3771</v>
      </c>
      <c r="BM580" s="7"/>
      <c r="BN580" s="7"/>
      <c r="BO580" s="4"/>
      <c r="BP580" s="8"/>
      <c r="BQ580" s="4"/>
      <c r="BR580" s="8"/>
      <c r="BS580" s="7"/>
      <c r="BT580" s="7"/>
      <c r="BU580" s="2" t="s">
        <v>3772</v>
      </c>
      <c r="BV580" s="2" t="s">
        <v>200</v>
      </c>
      <c r="BW580" s="2" t="s">
        <v>200</v>
      </c>
      <c r="BX580" s="2" t="s">
        <v>289</v>
      </c>
      <c r="BY580" s="2" t="s">
        <v>247</v>
      </c>
      <c r="BZ580" s="2" t="s">
        <v>212</v>
      </c>
      <c r="CA580" s="2" t="s">
        <v>3773</v>
      </c>
      <c r="CB580" s="2" t="s">
        <v>2406</v>
      </c>
      <c r="CC580" s="2" t="s">
        <v>213</v>
      </c>
      <c r="CD580" s="2" t="s">
        <v>200</v>
      </c>
      <c r="CE580" s="4"/>
      <c r="CF580" s="4">
        <v>60</v>
      </c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</row>
    <row r="581">
      <c r="A581" s="2" t="s">
        <v>3774</v>
      </c>
      <c r="B581" s="2" t="s">
        <v>719</v>
      </c>
      <c r="C581" s="2" t="s">
        <v>231</v>
      </c>
      <c r="D581" s="2" t="s">
        <v>1554</v>
      </c>
      <c r="E581" s="2" t="s">
        <v>1555</v>
      </c>
      <c r="F581" s="2" t="s">
        <v>3775</v>
      </c>
      <c r="G581" s="2" t="s">
        <v>3775</v>
      </c>
      <c r="H581" s="2" t="s">
        <v>3775</v>
      </c>
      <c r="I581" s="2" t="s">
        <v>3776</v>
      </c>
      <c r="J581" s="2" t="s">
        <v>711</v>
      </c>
      <c r="K581" s="2" t="s">
        <v>499</v>
      </c>
      <c r="L581" s="3">
        <v>45.74</v>
      </c>
      <c r="M581" s="3">
        <v>48.03</v>
      </c>
      <c r="N581" s="3">
        <v>89.24</v>
      </c>
      <c r="O581" s="2" t="s">
        <v>212</v>
      </c>
      <c r="P581" s="2" t="s">
        <v>258</v>
      </c>
      <c r="Q581" s="2" t="s">
        <v>206</v>
      </c>
      <c r="R581" s="2" t="s">
        <v>200</v>
      </c>
      <c r="S581" s="2" t="s">
        <v>3777</v>
      </c>
      <c r="T581" s="2" t="s">
        <v>200</v>
      </c>
      <c r="U581" s="2" t="s">
        <v>454</v>
      </c>
      <c r="V581" s="2" t="s">
        <v>724</v>
      </c>
      <c r="W581" s="2" t="s">
        <v>419</v>
      </c>
      <c r="X581" s="2" t="s">
        <v>200</v>
      </c>
      <c r="Y581" s="2" t="s">
        <v>2351</v>
      </c>
      <c r="Z581" s="4">
        <v>98</v>
      </c>
      <c r="AA581" s="4">
        <f>=ROUNDDOWN(24.5,0)</f>
      </c>
      <c r="AB581" s="5">
        <v>4</v>
      </c>
      <c r="AC581" s="2" t="s">
        <v>200</v>
      </c>
      <c r="AD581" s="4"/>
      <c r="AE581" s="4"/>
      <c r="AF581" s="6">
        <v>61</v>
      </c>
      <c r="AG581" s="6">
        <v>44</v>
      </c>
      <c r="AH581" s="7">
        <v>1</v>
      </c>
      <c r="AI581" s="4"/>
      <c r="AJ581" s="4">
        <f>=ROUNDDOWN({0},0)</f>
      </c>
      <c r="AK581" s="5"/>
      <c r="AL581" s="2" t="s">
        <v>200</v>
      </c>
      <c r="AM581" s="4"/>
      <c r="AN581" s="4"/>
      <c r="AO581" s="7"/>
      <c r="AP581" s="4"/>
      <c r="AQ581" s="8"/>
      <c r="AR581" s="4"/>
      <c r="AS581" s="8"/>
      <c r="AT581" s="7"/>
      <c r="AU581" s="7"/>
      <c r="AV581" s="4"/>
      <c r="AW581" s="8"/>
      <c r="AX581" s="4"/>
      <c r="AY581" s="8"/>
      <c r="AZ581" s="7"/>
      <c r="BA581" s="7"/>
      <c r="BB581" s="7"/>
      <c r="BC581" s="4"/>
      <c r="BD581" s="8"/>
      <c r="BE581" s="4"/>
      <c r="BF581" s="8"/>
      <c r="BG581" s="7"/>
      <c r="BH581" s="7"/>
      <c r="BI581" s="7"/>
      <c r="BJ581" s="4">
        <v>7</v>
      </c>
      <c r="BK581" s="8">
        <v>419.32</v>
      </c>
      <c r="BL581" s="2" t="s">
        <v>3778</v>
      </c>
      <c r="BM581" s="7"/>
      <c r="BN581" s="7"/>
      <c r="BO581" s="4"/>
      <c r="BP581" s="8"/>
      <c r="BQ581" s="4"/>
      <c r="BR581" s="8"/>
      <c r="BS581" s="7"/>
      <c r="BT581" s="7"/>
      <c r="BU581" s="2" t="s">
        <v>3779</v>
      </c>
      <c r="BV581" s="2" t="s">
        <v>200</v>
      </c>
      <c r="BW581" s="2" t="s">
        <v>200</v>
      </c>
      <c r="BX581" s="2" t="s">
        <v>620</v>
      </c>
      <c r="BY581" s="2" t="s">
        <v>247</v>
      </c>
      <c r="BZ581" s="2" t="s">
        <v>212</v>
      </c>
      <c r="CA581" s="2" t="s">
        <v>3780</v>
      </c>
      <c r="CB581" s="2" t="s">
        <v>3781</v>
      </c>
      <c r="CC581" s="2" t="s">
        <v>213</v>
      </c>
      <c r="CD581" s="2" t="s">
        <v>200</v>
      </c>
      <c r="CE581" s="4"/>
      <c r="CF581" s="4"/>
      <c r="CG581" s="4"/>
      <c r="CH581" s="4">
        <v>98</v>
      </c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</row>
    <row r="582">
      <c r="A582" s="2" t="s">
        <v>3782</v>
      </c>
      <c r="B582" s="2" t="s">
        <v>744</v>
      </c>
      <c r="C582" s="2" t="s">
        <v>231</v>
      </c>
      <c r="D582" s="2" t="s">
        <v>1275</v>
      </c>
      <c r="E582" s="2" t="s">
        <v>1276</v>
      </c>
      <c r="F582" s="2" t="s">
        <v>3783</v>
      </c>
      <c r="G582" s="2" t="s">
        <v>3784</v>
      </c>
      <c r="H582" s="2" t="s">
        <v>3785</v>
      </c>
      <c r="I582" s="2" t="s">
        <v>3786</v>
      </c>
      <c r="J582" s="2" t="s">
        <v>711</v>
      </c>
      <c r="K582" s="2" t="s">
        <v>2589</v>
      </c>
      <c r="L582" s="3">
        <v>492.12</v>
      </c>
      <c r="M582" s="3">
        <v>516.73</v>
      </c>
      <c r="N582" s="3">
        <v>1039</v>
      </c>
      <c r="O582" s="2" t="s">
        <v>212</v>
      </c>
      <c r="P582" s="2" t="s">
        <v>802</v>
      </c>
      <c r="Q582" s="2" t="s">
        <v>206</v>
      </c>
      <c r="R582" s="2" t="s">
        <v>200</v>
      </c>
      <c r="S582" s="2" t="s">
        <v>200</v>
      </c>
      <c r="T582" s="2" t="s">
        <v>200</v>
      </c>
      <c r="U582" s="2" t="s">
        <v>677</v>
      </c>
      <c r="V582" s="2" t="s">
        <v>208</v>
      </c>
      <c r="W582" s="2" t="s">
        <v>379</v>
      </c>
      <c r="X582" s="2" t="s">
        <v>200</v>
      </c>
      <c r="Y582" s="2" t="s">
        <v>852</v>
      </c>
      <c r="Z582" s="4">
        <v>126</v>
      </c>
      <c r="AA582" s="4">
        <f>=ROUNDDOWN({0},0)</f>
      </c>
      <c r="AB582" s="5"/>
      <c r="AC582" s="2" t="s">
        <v>3787</v>
      </c>
      <c r="AD582" s="4">
        <v>21</v>
      </c>
      <c r="AE582" s="4">
        <v>100</v>
      </c>
      <c r="AF582" s="6"/>
      <c r="AG582" s="6"/>
      <c r="AH582" s="7">
        <v>1</v>
      </c>
      <c r="AI582" s="4"/>
      <c r="AJ582" s="4">
        <f>=ROUNDDOWN({0},0)</f>
      </c>
      <c r="AK582" s="5"/>
      <c r="AL582" s="2" t="s">
        <v>200</v>
      </c>
      <c r="AM582" s="4"/>
      <c r="AN582" s="4"/>
      <c r="AO582" s="7"/>
      <c r="AP582" s="4"/>
      <c r="AQ582" s="8"/>
      <c r="AR582" s="4"/>
      <c r="AS582" s="8"/>
      <c r="AT582" s="7"/>
      <c r="AU582" s="7"/>
      <c r="AV582" s="4"/>
      <c r="AW582" s="8"/>
      <c r="AX582" s="4"/>
      <c r="AY582" s="8"/>
      <c r="AZ582" s="7"/>
      <c r="BA582" s="7"/>
      <c r="BB582" s="7"/>
      <c r="BC582" s="4"/>
      <c r="BD582" s="8"/>
      <c r="BE582" s="4"/>
      <c r="BF582" s="8"/>
      <c r="BG582" s="7"/>
      <c r="BH582" s="7"/>
      <c r="BI582" s="7"/>
      <c r="BJ582" s="4"/>
      <c r="BK582" s="8"/>
      <c r="BL582" s="2" t="s">
        <v>200</v>
      </c>
      <c r="BM582" s="7"/>
      <c r="BN582" s="7"/>
      <c r="BO582" s="4"/>
      <c r="BP582" s="8"/>
      <c r="BQ582" s="4"/>
      <c r="BR582" s="8"/>
      <c r="BS582" s="7"/>
      <c r="BT582" s="7"/>
      <c r="BU582" s="2" t="s">
        <v>3788</v>
      </c>
      <c r="BV582" s="2" t="s">
        <v>200</v>
      </c>
      <c r="BW582" s="2" t="s">
        <v>200</v>
      </c>
      <c r="BX582" s="2" t="s">
        <v>629</v>
      </c>
      <c r="BY582" s="2" t="s">
        <v>247</v>
      </c>
      <c r="BZ582" s="2" t="s">
        <v>212</v>
      </c>
      <c r="CA582" s="2" t="s">
        <v>806</v>
      </c>
      <c r="CB582" s="2" t="s">
        <v>200</v>
      </c>
      <c r="CC582" s="2" t="s">
        <v>213</v>
      </c>
      <c r="CD582" s="2" t="s">
        <v>200</v>
      </c>
      <c r="CE582" s="4"/>
      <c r="CF582" s="4">
        <v>126</v>
      </c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>
        <v>21</v>
      </c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>
        <v>29</v>
      </c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>
        <v>50</v>
      </c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</row>
    <row r="583">
      <c r="A583" s="2" t="s">
        <v>3789</v>
      </c>
      <c r="B583" s="2" t="s">
        <v>932</v>
      </c>
      <c r="C583" s="2" t="s">
        <v>877</v>
      </c>
      <c r="D583" s="2" t="s">
        <v>918</v>
      </c>
      <c r="E583" s="2" t="s">
        <v>934</v>
      </c>
      <c r="F583" s="2" t="s">
        <v>3790</v>
      </c>
      <c r="G583" s="2" t="s">
        <v>3791</v>
      </c>
      <c r="H583" s="2" t="s">
        <v>1357</v>
      </c>
      <c r="I583" s="2" t="s">
        <v>3792</v>
      </c>
      <c r="J583" s="2" t="s">
        <v>612</v>
      </c>
      <c r="K583" s="2" t="s">
        <v>3793</v>
      </c>
      <c r="L583" s="3">
        <v>29.9</v>
      </c>
      <c r="M583" s="3">
        <v>31.4</v>
      </c>
      <c r="N583" s="3">
        <v>64.99</v>
      </c>
      <c r="O583" s="2" t="s">
        <v>460</v>
      </c>
      <c r="P583" s="2" t="s">
        <v>750</v>
      </c>
      <c r="Q583" s="2" t="s">
        <v>206</v>
      </c>
      <c r="R583" s="2" t="s">
        <v>200</v>
      </c>
      <c r="S583" s="2" t="s">
        <v>3794</v>
      </c>
      <c r="T583" s="2" t="s">
        <v>378</v>
      </c>
      <c r="U583" s="2" t="s">
        <v>615</v>
      </c>
      <c r="V583" s="2" t="s">
        <v>940</v>
      </c>
      <c r="W583" s="2" t="s">
        <v>419</v>
      </c>
      <c r="X583" s="2" t="s">
        <v>970</v>
      </c>
      <c r="Y583" s="2" t="s">
        <v>3795</v>
      </c>
      <c r="Z583" s="4">
        <v>274</v>
      </c>
      <c r="AA583" s="4">
        <f>=ROUNDDOWN(152.222222222222,0)</f>
      </c>
      <c r="AB583" s="5">
        <v>1.8</v>
      </c>
      <c r="AC583" s="2" t="s">
        <v>200</v>
      </c>
      <c r="AD583" s="4"/>
      <c r="AE583" s="4"/>
      <c r="AF583" s="6">
        <v>64</v>
      </c>
      <c r="AG583" s="6"/>
      <c r="AH583" s="7">
        <v>0.8667</v>
      </c>
      <c r="AI583" s="4"/>
      <c r="AJ583" s="4">
        <f>=ROUNDDOWN({0},0)</f>
      </c>
      <c r="AK583" s="5"/>
      <c r="AL583" s="2" t="s">
        <v>200</v>
      </c>
      <c r="AM583" s="4"/>
      <c r="AN583" s="4"/>
      <c r="AO583" s="7"/>
      <c r="AP583" s="4"/>
      <c r="AQ583" s="8"/>
      <c r="AR583" s="4"/>
      <c r="AS583" s="8"/>
      <c r="AT583" s="7"/>
      <c r="AU583" s="7"/>
      <c r="AV583" s="4"/>
      <c r="AW583" s="8"/>
      <c r="AX583" s="4"/>
      <c r="AY583" s="8"/>
      <c r="AZ583" s="7"/>
      <c r="BA583" s="7"/>
      <c r="BB583" s="7"/>
      <c r="BC583" s="4"/>
      <c r="BD583" s="8"/>
      <c r="BE583" s="4"/>
      <c r="BF583" s="8"/>
      <c r="BG583" s="7"/>
      <c r="BH583" s="7"/>
      <c r="BI583" s="7"/>
      <c r="BJ583" s="4">
        <v>8</v>
      </c>
      <c r="BK583" s="8">
        <v>267.5</v>
      </c>
      <c r="BL583" s="2" t="s">
        <v>3796</v>
      </c>
      <c r="BM583" s="7"/>
      <c r="BN583" s="7"/>
      <c r="BO583" s="4"/>
      <c r="BP583" s="8"/>
      <c r="BQ583" s="4"/>
      <c r="BR583" s="8"/>
      <c r="BS583" s="7"/>
      <c r="BT583" s="7"/>
      <c r="BU583" s="2" t="s">
        <v>3797</v>
      </c>
      <c r="BV583" s="2" t="s">
        <v>200</v>
      </c>
      <c r="BW583" s="2" t="s">
        <v>200</v>
      </c>
      <c r="BX583" s="2" t="s">
        <v>264</v>
      </c>
      <c r="BY583" s="2" t="s">
        <v>247</v>
      </c>
      <c r="BZ583" s="2" t="s">
        <v>212</v>
      </c>
      <c r="CA583" s="2" t="s">
        <v>3798</v>
      </c>
      <c r="CB583" s="2" t="s">
        <v>3427</v>
      </c>
      <c r="CC583" s="2" t="s">
        <v>213</v>
      </c>
      <c r="CD583" s="2" t="s">
        <v>200</v>
      </c>
      <c r="CE583" s="4">
        <v>274</v>
      </c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</row>
    <row r="584">
      <c r="A584" s="2" t="s">
        <v>3799</v>
      </c>
      <c r="B584" s="2" t="s">
        <v>705</v>
      </c>
      <c r="C584" s="2" t="s">
        <v>730</v>
      </c>
      <c r="D584" s="2" t="s">
        <v>817</v>
      </c>
      <c r="E584" s="2" t="s">
        <v>818</v>
      </c>
      <c r="F584" s="2" t="s">
        <v>3800</v>
      </c>
      <c r="G584" s="2" t="s">
        <v>3800</v>
      </c>
      <c r="H584" s="2" t="s">
        <v>3800</v>
      </c>
      <c r="I584" s="2" t="s">
        <v>3801</v>
      </c>
      <c r="J584" s="2" t="s">
        <v>711</v>
      </c>
      <c r="K584" s="2" t="s">
        <v>3802</v>
      </c>
      <c r="L584" s="3">
        <v>41.4</v>
      </c>
      <c r="M584" s="3">
        <v>43.47</v>
      </c>
      <c r="N584" s="3">
        <v>94.99</v>
      </c>
      <c r="O584" s="2" t="s">
        <v>460</v>
      </c>
      <c r="P584" s="2" t="s">
        <v>285</v>
      </c>
      <c r="Q584" s="2" t="s">
        <v>206</v>
      </c>
      <c r="R584" s="2" t="s">
        <v>200</v>
      </c>
      <c r="S584" s="2" t="s">
        <v>200</v>
      </c>
      <c r="T584" s="2" t="s">
        <v>200</v>
      </c>
      <c r="U584" s="2" t="s">
        <v>270</v>
      </c>
      <c r="V584" s="2" t="s">
        <v>616</v>
      </c>
      <c r="W584" s="2" t="s">
        <v>379</v>
      </c>
      <c r="X584" s="2" t="s">
        <v>2053</v>
      </c>
      <c r="Y584" s="2" t="s">
        <v>1028</v>
      </c>
      <c r="Z584" s="4">
        <v>43</v>
      </c>
      <c r="AA584" s="4">
        <f>=ROUNDDOWN(43,0)</f>
      </c>
      <c r="AB584" s="5">
        <v>1</v>
      </c>
      <c r="AC584" s="2" t="s">
        <v>200</v>
      </c>
      <c r="AD584" s="4"/>
      <c r="AE584" s="4"/>
      <c r="AF584" s="6">
        <v>63</v>
      </c>
      <c r="AG584" s="6"/>
      <c r="AH584" s="7">
        <v>1</v>
      </c>
      <c r="AI584" s="4"/>
      <c r="AJ584" s="4">
        <f>=ROUNDDOWN({0},0)</f>
      </c>
      <c r="AK584" s="5"/>
      <c r="AL584" s="2" t="s">
        <v>200</v>
      </c>
      <c r="AM584" s="4"/>
      <c r="AN584" s="4"/>
      <c r="AO584" s="7"/>
      <c r="AP584" s="4"/>
      <c r="AQ584" s="8"/>
      <c r="AR584" s="4"/>
      <c r="AS584" s="8"/>
      <c r="AT584" s="7"/>
      <c r="AU584" s="7"/>
      <c r="AV584" s="4"/>
      <c r="AW584" s="8"/>
      <c r="AX584" s="4"/>
      <c r="AY584" s="8"/>
      <c r="AZ584" s="7"/>
      <c r="BA584" s="7"/>
      <c r="BB584" s="7"/>
      <c r="BC584" s="4"/>
      <c r="BD584" s="8"/>
      <c r="BE584" s="4"/>
      <c r="BF584" s="8"/>
      <c r="BG584" s="7"/>
      <c r="BH584" s="7"/>
      <c r="BI584" s="7"/>
      <c r="BJ584" s="4">
        <v>1</v>
      </c>
      <c r="BK584" s="8">
        <v>46.95</v>
      </c>
      <c r="BL584" s="2" t="s">
        <v>3803</v>
      </c>
      <c r="BM584" s="7"/>
      <c r="BN584" s="7"/>
      <c r="BO584" s="4"/>
      <c r="BP584" s="8"/>
      <c r="BQ584" s="4"/>
      <c r="BR584" s="8"/>
      <c r="BS584" s="7"/>
      <c r="BT584" s="7"/>
      <c r="BU584" s="2" t="s">
        <v>3804</v>
      </c>
      <c r="BV584" s="2" t="s">
        <v>200</v>
      </c>
      <c r="BW584" s="2" t="s">
        <v>200</v>
      </c>
      <c r="BX584" s="2" t="s">
        <v>289</v>
      </c>
      <c r="BY584" s="2" t="s">
        <v>247</v>
      </c>
      <c r="BZ584" s="2" t="s">
        <v>212</v>
      </c>
      <c r="CA584" s="2" t="s">
        <v>1031</v>
      </c>
      <c r="CB584" s="2" t="s">
        <v>3805</v>
      </c>
      <c r="CC584" s="2" t="s">
        <v>213</v>
      </c>
      <c r="CD584" s="2" t="s">
        <v>200</v>
      </c>
      <c r="CE584" s="4"/>
      <c r="CF584" s="4">
        <v>43</v>
      </c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</row>
    <row r="585">
      <c r="A585" s="2" t="s">
        <v>3806</v>
      </c>
      <c r="B585" s="2" t="s">
        <v>250</v>
      </c>
      <c r="C585" s="2" t="s">
        <v>877</v>
      </c>
      <c r="D585" s="2" t="s">
        <v>608</v>
      </c>
      <c r="E585" s="2" t="s">
        <v>1324</v>
      </c>
      <c r="F585" s="2" t="s">
        <v>3807</v>
      </c>
      <c r="G585" s="2" t="s">
        <v>3807</v>
      </c>
      <c r="H585" s="2" t="s">
        <v>3807</v>
      </c>
      <c r="I585" s="2" t="s">
        <v>3808</v>
      </c>
      <c r="J585" s="2" t="s">
        <v>256</v>
      </c>
      <c r="K585" s="2" t="s">
        <v>221</v>
      </c>
      <c r="L585" s="3">
        <v>33.33</v>
      </c>
      <c r="M585" s="3">
        <v>35</v>
      </c>
      <c r="N585" s="3">
        <v>69.99</v>
      </c>
      <c r="O585" s="2" t="s">
        <v>212</v>
      </c>
      <c r="P585" s="2" t="s">
        <v>205</v>
      </c>
      <c r="Q585" s="2" t="s">
        <v>206</v>
      </c>
      <c r="R585" s="2" t="s">
        <v>200</v>
      </c>
      <c r="S585" s="2" t="s">
        <v>3809</v>
      </c>
      <c r="T585" s="2" t="s">
        <v>378</v>
      </c>
      <c r="U585" s="2" t="s">
        <v>677</v>
      </c>
      <c r="V585" s="2" t="s">
        <v>208</v>
      </c>
      <c r="W585" s="2" t="s">
        <v>241</v>
      </c>
      <c r="X585" s="2" t="s">
        <v>200</v>
      </c>
      <c r="Y585" s="2" t="s">
        <v>2615</v>
      </c>
      <c r="Z585" s="4">
        <v>415</v>
      </c>
      <c r="AA585" s="4">
        <f>=ROUNDDOWN(51.875,0)</f>
      </c>
      <c r="AB585" s="5">
        <v>8</v>
      </c>
      <c r="AC585" s="2" t="s">
        <v>200</v>
      </c>
      <c r="AD585" s="4"/>
      <c r="AE585" s="4"/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200</v>
      </c>
      <c r="AM585" s="4"/>
      <c r="AN585" s="4"/>
      <c r="AO585" s="7"/>
      <c r="AP585" s="4"/>
      <c r="AQ585" s="8"/>
      <c r="AR585" s="4"/>
      <c r="AS585" s="8"/>
      <c r="AT585" s="7"/>
      <c r="AU585" s="7"/>
      <c r="AV585" s="4"/>
      <c r="AW585" s="8"/>
      <c r="AX585" s="4"/>
      <c r="AY585" s="8"/>
      <c r="AZ585" s="7"/>
      <c r="BA585" s="7"/>
      <c r="BB585" s="7"/>
      <c r="BC585" s="4" t="s">
        <v>200</v>
      </c>
      <c r="BD585" s="8" t="s">
        <v>200</v>
      </c>
      <c r="BE585" s="4" t="s">
        <v>200</v>
      </c>
      <c r="BF585" s="8" t="s">
        <v>200</v>
      </c>
      <c r="BG585" s="7" t="s">
        <v>200</v>
      </c>
      <c r="BH585" s="7" t="s">
        <v>200</v>
      </c>
      <c r="BI585" s="7"/>
      <c r="BJ585" s="4">
        <v>9</v>
      </c>
      <c r="BK585" s="8">
        <v>352.23</v>
      </c>
      <c r="BL585" s="2" t="s">
        <v>3343</v>
      </c>
      <c r="BM585" s="7"/>
      <c r="BN585" s="7"/>
      <c r="BO585" s="4"/>
      <c r="BP585" s="8"/>
      <c r="BQ585" s="4"/>
      <c r="BR585" s="8"/>
      <c r="BS585" s="7"/>
      <c r="BT585" s="7"/>
      <c r="BU585" s="2" t="s">
        <v>3810</v>
      </c>
      <c r="BV585" s="2" t="s">
        <v>200</v>
      </c>
      <c r="BW585" s="2" t="s">
        <v>200</v>
      </c>
      <c r="BX585" s="2" t="s">
        <v>264</v>
      </c>
      <c r="BY585" s="2" t="s">
        <v>247</v>
      </c>
      <c r="BZ585" s="2" t="s">
        <v>212</v>
      </c>
      <c r="CA585" s="2" t="s">
        <v>3811</v>
      </c>
      <c r="CB585" s="2" t="s">
        <v>915</v>
      </c>
      <c r="CC585" s="2" t="s">
        <v>213</v>
      </c>
      <c r="CD585" s="2" t="s">
        <v>200</v>
      </c>
      <c r="CE585" s="4">
        <v>415</v>
      </c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</row>
    <row r="586">
      <c r="A586" s="2" t="s">
        <v>3812</v>
      </c>
      <c r="B586" s="2" t="s">
        <v>250</v>
      </c>
      <c r="C586" s="2" t="s">
        <v>877</v>
      </c>
      <c r="D586" s="2" t="s">
        <v>608</v>
      </c>
      <c r="E586" s="2" t="s">
        <v>1324</v>
      </c>
      <c r="F586" s="2" t="s">
        <v>3807</v>
      </c>
      <c r="G586" s="2" t="s">
        <v>3807</v>
      </c>
      <c r="H586" s="2" t="s">
        <v>3807</v>
      </c>
      <c r="I586" s="2" t="s">
        <v>3808</v>
      </c>
      <c r="J586" s="2" t="s">
        <v>924</v>
      </c>
      <c r="K586" s="2" t="s">
        <v>3813</v>
      </c>
      <c r="L586" s="3">
        <v>42.85</v>
      </c>
      <c r="M586" s="3">
        <v>44.99</v>
      </c>
      <c r="N586" s="3">
        <v>89.99</v>
      </c>
      <c r="O586" s="2" t="s">
        <v>212</v>
      </c>
      <c r="P586" s="2" t="s">
        <v>205</v>
      </c>
      <c r="Q586" s="2" t="s">
        <v>206</v>
      </c>
      <c r="R586" s="2" t="s">
        <v>200</v>
      </c>
      <c r="S586" s="2" t="s">
        <v>3814</v>
      </c>
      <c r="T586" s="2" t="s">
        <v>378</v>
      </c>
      <c r="U586" s="2" t="s">
        <v>454</v>
      </c>
      <c r="V586" s="2" t="s">
        <v>208</v>
      </c>
      <c r="W586" s="2" t="s">
        <v>241</v>
      </c>
      <c r="X586" s="2" t="s">
        <v>200</v>
      </c>
      <c r="Y586" s="2" t="s">
        <v>2615</v>
      </c>
      <c r="Z586" s="4">
        <v>350</v>
      </c>
      <c r="AA586" s="4">
        <f>=ROUNDDOWN(50,0)</f>
      </c>
      <c r="AB586" s="5">
        <v>7</v>
      </c>
      <c r="AC586" s="2" t="s">
        <v>200</v>
      </c>
      <c r="AD586" s="4"/>
      <c r="AE586" s="4"/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200</v>
      </c>
      <c r="AM586" s="4"/>
      <c r="AN586" s="4"/>
      <c r="AO586" s="7"/>
      <c r="AP586" s="4"/>
      <c r="AQ586" s="8"/>
      <c r="AR586" s="4"/>
      <c r="AS586" s="8"/>
      <c r="AT586" s="7"/>
      <c r="AU586" s="7"/>
      <c r="AV586" s="4"/>
      <c r="AW586" s="8"/>
      <c r="AX586" s="4"/>
      <c r="AY586" s="8"/>
      <c r="AZ586" s="7"/>
      <c r="BA586" s="7"/>
      <c r="BB586" s="7"/>
      <c r="BC586" s="4" t="s">
        <v>200</v>
      </c>
      <c r="BD586" s="8" t="s">
        <v>200</v>
      </c>
      <c r="BE586" s="4" t="s">
        <v>200</v>
      </c>
      <c r="BF586" s="8" t="s">
        <v>200</v>
      </c>
      <c r="BG586" s="7" t="s">
        <v>200</v>
      </c>
      <c r="BH586" s="7" t="s">
        <v>200</v>
      </c>
      <c r="BI586" s="7"/>
      <c r="BJ586" s="4">
        <v>17</v>
      </c>
      <c r="BK586" s="8">
        <v>818.62</v>
      </c>
      <c r="BL586" s="2" t="s">
        <v>359</v>
      </c>
      <c r="BM586" s="7"/>
      <c r="BN586" s="7"/>
      <c r="BO586" s="4"/>
      <c r="BP586" s="8"/>
      <c r="BQ586" s="4"/>
      <c r="BR586" s="8"/>
      <c r="BS586" s="7"/>
      <c r="BT586" s="7"/>
      <c r="BU586" s="2" t="s">
        <v>3815</v>
      </c>
      <c r="BV586" s="2" t="s">
        <v>200</v>
      </c>
      <c r="BW586" s="2" t="s">
        <v>200</v>
      </c>
      <c r="BX586" s="2" t="s">
        <v>264</v>
      </c>
      <c r="BY586" s="2" t="s">
        <v>247</v>
      </c>
      <c r="BZ586" s="2" t="s">
        <v>212</v>
      </c>
      <c r="CA586" s="2" t="s">
        <v>2615</v>
      </c>
      <c r="CB586" s="2" t="s">
        <v>1966</v>
      </c>
      <c r="CC586" s="2" t="s">
        <v>213</v>
      </c>
      <c r="CD586" s="2" t="s">
        <v>200</v>
      </c>
      <c r="CE586" s="4">
        <v>350</v>
      </c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</row>
    <row r="587">
      <c r="A587" s="2" t="s">
        <v>3816</v>
      </c>
      <c r="B587" s="2" t="s">
        <v>250</v>
      </c>
      <c r="C587" s="2" t="s">
        <v>877</v>
      </c>
      <c r="D587" s="2" t="s">
        <v>608</v>
      </c>
      <c r="E587" s="2" t="s">
        <v>1324</v>
      </c>
      <c r="F587" s="2" t="s">
        <v>3807</v>
      </c>
      <c r="G587" s="2" t="s">
        <v>3807</v>
      </c>
      <c r="H587" s="2" t="s">
        <v>3807</v>
      </c>
      <c r="I587" s="2" t="s">
        <v>3808</v>
      </c>
      <c r="J587" s="2" t="s">
        <v>256</v>
      </c>
      <c r="K587" s="2" t="s">
        <v>2233</v>
      </c>
      <c r="L587" s="3">
        <v>33.33</v>
      </c>
      <c r="M587" s="3">
        <v>35</v>
      </c>
      <c r="N587" s="3">
        <v>69.99</v>
      </c>
      <c r="O587" s="2" t="s">
        <v>212</v>
      </c>
      <c r="P587" s="2" t="s">
        <v>205</v>
      </c>
      <c r="Q587" s="2" t="s">
        <v>206</v>
      </c>
      <c r="R587" s="2" t="s">
        <v>200</v>
      </c>
      <c r="S587" s="2" t="s">
        <v>3817</v>
      </c>
      <c r="T587" s="2" t="s">
        <v>378</v>
      </c>
      <c r="U587" s="2" t="s">
        <v>677</v>
      </c>
      <c r="V587" s="2" t="s">
        <v>208</v>
      </c>
      <c r="W587" s="2" t="s">
        <v>241</v>
      </c>
      <c r="X587" s="2" t="s">
        <v>200</v>
      </c>
      <c r="Y587" s="2" t="s">
        <v>2615</v>
      </c>
      <c r="Z587" s="4">
        <v>332</v>
      </c>
      <c r="AA587" s="4">
        <f>=ROUNDDOWN(55.3333333333333,0)</f>
      </c>
      <c r="AB587" s="5">
        <v>6</v>
      </c>
      <c r="AC587" s="2" t="s">
        <v>200</v>
      </c>
      <c r="AD587" s="4"/>
      <c r="AE587" s="4"/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200</v>
      </c>
      <c r="AM587" s="4"/>
      <c r="AN587" s="4"/>
      <c r="AO587" s="7"/>
      <c r="AP587" s="4"/>
      <c r="AQ587" s="8"/>
      <c r="AR587" s="4"/>
      <c r="AS587" s="8"/>
      <c r="AT587" s="7"/>
      <c r="AU587" s="7"/>
      <c r="AV587" s="4" t="s">
        <v>200</v>
      </c>
      <c r="AW587" s="8" t="s">
        <v>200</v>
      </c>
      <c r="AX587" s="4" t="s">
        <v>200</v>
      </c>
      <c r="AY587" s="8" t="s">
        <v>200</v>
      </c>
      <c r="AZ587" s="7" t="s">
        <v>200</v>
      </c>
      <c r="BA587" s="7" t="s">
        <v>200</v>
      </c>
      <c r="BB587" s="7"/>
      <c r="BC587" s="4" t="s">
        <v>200</v>
      </c>
      <c r="BD587" s="8" t="s">
        <v>200</v>
      </c>
      <c r="BE587" s="4" t="s">
        <v>200</v>
      </c>
      <c r="BF587" s="8" t="s">
        <v>200</v>
      </c>
      <c r="BG587" s="7" t="s">
        <v>200</v>
      </c>
      <c r="BH587" s="7" t="s">
        <v>200</v>
      </c>
      <c r="BI587" s="7"/>
      <c r="BJ587" s="4">
        <v>13</v>
      </c>
      <c r="BK587" s="8">
        <v>486.15</v>
      </c>
      <c r="BL587" s="2" t="s">
        <v>2202</v>
      </c>
      <c r="BM587" s="7"/>
      <c r="BN587" s="7"/>
      <c r="BO587" s="4"/>
      <c r="BP587" s="8"/>
      <c r="BQ587" s="4"/>
      <c r="BR587" s="8"/>
      <c r="BS587" s="7"/>
      <c r="BT587" s="7"/>
      <c r="BU587" s="2" t="s">
        <v>3818</v>
      </c>
      <c r="BV587" s="2" t="s">
        <v>200</v>
      </c>
      <c r="BW587" s="2" t="s">
        <v>200</v>
      </c>
      <c r="BX587" s="2" t="s">
        <v>264</v>
      </c>
      <c r="BY587" s="2" t="s">
        <v>247</v>
      </c>
      <c r="BZ587" s="2" t="s">
        <v>212</v>
      </c>
      <c r="CA587" s="2" t="s">
        <v>3811</v>
      </c>
      <c r="CB587" s="2" t="s">
        <v>2438</v>
      </c>
      <c r="CC587" s="2" t="s">
        <v>213</v>
      </c>
      <c r="CD587" s="2" t="s">
        <v>200</v>
      </c>
      <c r="CE587" s="4">
        <v>332</v>
      </c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</row>
    <row r="588">
      <c r="A588" s="2" t="s">
        <v>3819</v>
      </c>
      <c r="B588" s="2" t="s">
        <v>250</v>
      </c>
      <c r="C588" s="2" t="s">
        <v>877</v>
      </c>
      <c r="D588" s="2" t="s">
        <v>608</v>
      </c>
      <c r="E588" s="2" t="s">
        <v>1324</v>
      </c>
      <c r="F588" s="2" t="s">
        <v>3807</v>
      </c>
      <c r="G588" s="2" t="s">
        <v>3807</v>
      </c>
      <c r="H588" s="2" t="s">
        <v>3807</v>
      </c>
      <c r="I588" s="2" t="s">
        <v>3808</v>
      </c>
      <c r="J588" s="2" t="s">
        <v>612</v>
      </c>
      <c r="K588" s="2" t="s">
        <v>2233</v>
      </c>
      <c r="L588" s="3">
        <v>38.09</v>
      </c>
      <c r="M588" s="3">
        <v>39.99</v>
      </c>
      <c r="N588" s="3">
        <v>79.99</v>
      </c>
      <c r="O588" s="2" t="s">
        <v>212</v>
      </c>
      <c r="P588" s="2" t="s">
        <v>205</v>
      </c>
      <c r="Q588" s="2" t="s">
        <v>206</v>
      </c>
      <c r="R588" s="2" t="s">
        <v>200</v>
      </c>
      <c r="S588" s="2" t="s">
        <v>3817</v>
      </c>
      <c r="T588" s="2" t="s">
        <v>378</v>
      </c>
      <c r="U588" s="2" t="s">
        <v>454</v>
      </c>
      <c r="V588" s="2" t="s">
        <v>208</v>
      </c>
      <c r="W588" s="2" t="s">
        <v>241</v>
      </c>
      <c r="X588" s="2" t="s">
        <v>200</v>
      </c>
      <c r="Y588" s="2" t="s">
        <v>3820</v>
      </c>
      <c r="Z588" s="4">
        <v>676</v>
      </c>
      <c r="AA588" s="4">
        <f>=ROUNDDOWN(56.3333333333333,0)</f>
      </c>
      <c r="AB588" s="5">
        <v>12</v>
      </c>
      <c r="AC588" s="2" t="s">
        <v>200</v>
      </c>
      <c r="AD588" s="4"/>
      <c r="AE588" s="4"/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200</v>
      </c>
      <c r="AM588" s="4"/>
      <c r="AN588" s="4"/>
      <c r="AO588" s="7"/>
      <c r="AP588" s="4"/>
      <c r="AQ588" s="8"/>
      <c r="AR588" s="4"/>
      <c r="AS588" s="8"/>
      <c r="AT588" s="7"/>
      <c r="AU588" s="7"/>
      <c r="AV588" s="4" t="s">
        <v>200</v>
      </c>
      <c r="AW588" s="8" t="s">
        <v>200</v>
      </c>
      <c r="AX588" s="4" t="s">
        <v>200</v>
      </c>
      <c r="AY588" s="8" t="s">
        <v>200</v>
      </c>
      <c r="AZ588" s="7" t="s">
        <v>200</v>
      </c>
      <c r="BA588" s="7" t="s">
        <v>200</v>
      </c>
      <c r="BB588" s="7"/>
      <c r="BC588" s="4" t="s">
        <v>200</v>
      </c>
      <c r="BD588" s="8" t="s">
        <v>200</v>
      </c>
      <c r="BE588" s="4" t="s">
        <v>200</v>
      </c>
      <c r="BF588" s="8" t="s">
        <v>200</v>
      </c>
      <c r="BG588" s="7" t="s">
        <v>200</v>
      </c>
      <c r="BH588" s="7" t="s">
        <v>200</v>
      </c>
      <c r="BI588" s="7"/>
      <c r="BJ588" s="4">
        <v>34</v>
      </c>
      <c r="BK588" s="8">
        <v>1453.47</v>
      </c>
      <c r="BL588" s="2" t="s">
        <v>3147</v>
      </c>
      <c r="BM588" s="7"/>
      <c r="BN588" s="7"/>
      <c r="BO588" s="4"/>
      <c r="BP588" s="8"/>
      <c r="BQ588" s="4"/>
      <c r="BR588" s="8"/>
      <c r="BS588" s="7"/>
      <c r="BT588" s="7"/>
      <c r="BU588" s="2" t="s">
        <v>3821</v>
      </c>
      <c r="BV588" s="2" t="s">
        <v>200</v>
      </c>
      <c r="BW588" s="2" t="s">
        <v>200</v>
      </c>
      <c r="BX588" s="2" t="s">
        <v>264</v>
      </c>
      <c r="BY588" s="2" t="s">
        <v>247</v>
      </c>
      <c r="BZ588" s="2" t="s">
        <v>212</v>
      </c>
      <c r="CA588" s="2" t="s">
        <v>2615</v>
      </c>
      <c r="CB588" s="2" t="s">
        <v>3137</v>
      </c>
      <c r="CC588" s="2" t="s">
        <v>213</v>
      </c>
      <c r="CD588" s="2" t="s">
        <v>200</v>
      </c>
      <c r="CE588" s="4">
        <v>676</v>
      </c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</row>
    <row r="589">
      <c r="A589" s="2" t="s">
        <v>3822</v>
      </c>
      <c r="B589" s="2" t="s">
        <v>250</v>
      </c>
      <c r="C589" s="2" t="s">
        <v>877</v>
      </c>
      <c r="D589" s="2" t="s">
        <v>608</v>
      </c>
      <c r="E589" s="2" t="s">
        <v>1324</v>
      </c>
      <c r="F589" s="2" t="s">
        <v>3807</v>
      </c>
      <c r="G589" s="2" t="s">
        <v>3807</v>
      </c>
      <c r="H589" s="2" t="s">
        <v>3807</v>
      </c>
      <c r="I589" s="2" t="s">
        <v>3808</v>
      </c>
      <c r="J589" s="2" t="s">
        <v>924</v>
      </c>
      <c r="K589" s="2" t="s">
        <v>2233</v>
      </c>
      <c r="L589" s="3">
        <v>42.85</v>
      </c>
      <c r="M589" s="3">
        <v>44.99</v>
      </c>
      <c r="N589" s="3">
        <v>89.99</v>
      </c>
      <c r="O589" s="2" t="s">
        <v>212</v>
      </c>
      <c r="P589" s="2" t="s">
        <v>205</v>
      </c>
      <c r="Q589" s="2" t="s">
        <v>206</v>
      </c>
      <c r="R589" s="2" t="s">
        <v>200</v>
      </c>
      <c r="S589" s="2" t="s">
        <v>3817</v>
      </c>
      <c r="T589" s="2" t="s">
        <v>378</v>
      </c>
      <c r="U589" s="2" t="s">
        <v>454</v>
      </c>
      <c r="V589" s="2" t="s">
        <v>208</v>
      </c>
      <c r="W589" s="2" t="s">
        <v>241</v>
      </c>
      <c r="X589" s="2" t="s">
        <v>200</v>
      </c>
      <c r="Y589" s="2" t="s">
        <v>2615</v>
      </c>
      <c r="Z589" s="4">
        <v>326</v>
      </c>
      <c r="AA589" s="4">
        <f>=ROUNDDOWN(54.3333333333333,0)</f>
      </c>
      <c r="AB589" s="5">
        <v>6</v>
      </c>
      <c r="AC589" s="2" t="s">
        <v>200</v>
      </c>
      <c r="AD589" s="4"/>
      <c r="AE589" s="4"/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200</v>
      </c>
      <c r="AM589" s="4"/>
      <c r="AN589" s="4"/>
      <c r="AO589" s="7"/>
      <c r="AP589" s="4"/>
      <c r="AQ589" s="8"/>
      <c r="AR589" s="4"/>
      <c r="AS589" s="8"/>
      <c r="AT589" s="7"/>
      <c r="AU589" s="7"/>
      <c r="AV589" s="4" t="s">
        <v>200</v>
      </c>
      <c r="AW589" s="8" t="s">
        <v>200</v>
      </c>
      <c r="AX589" s="4" t="s">
        <v>200</v>
      </c>
      <c r="AY589" s="8" t="s">
        <v>200</v>
      </c>
      <c r="AZ589" s="7" t="s">
        <v>200</v>
      </c>
      <c r="BA589" s="7" t="s">
        <v>200</v>
      </c>
      <c r="BB589" s="7"/>
      <c r="BC589" s="4" t="s">
        <v>200</v>
      </c>
      <c r="BD589" s="8" t="s">
        <v>200</v>
      </c>
      <c r="BE589" s="4" t="s">
        <v>200</v>
      </c>
      <c r="BF589" s="8" t="s">
        <v>200</v>
      </c>
      <c r="BG589" s="7" t="s">
        <v>200</v>
      </c>
      <c r="BH589" s="7" t="s">
        <v>200</v>
      </c>
      <c r="BI589" s="7"/>
      <c r="BJ589" s="4">
        <v>14</v>
      </c>
      <c r="BK589" s="8">
        <v>673.51</v>
      </c>
      <c r="BL589" s="2" t="s">
        <v>3823</v>
      </c>
      <c r="BM589" s="7"/>
      <c r="BN589" s="7"/>
      <c r="BO589" s="4"/>
      <c r="BP589" s="8"/>
      <c r="BQ589" s="4"/>
      <c r="BR589" s="8"/>
      <c r="BS589" s="7"/>
      <c r="BT589" s="7"/>
      <c r="BU589" s="2" t="s">
        <v>3824</v>
      </c>
      <c r="BV589" s="2" t="s">
        <v>200</v>
      </c>
      <c r="BW589" s="2" t="s">
        <v>200</v>
      </c>
      <c r="BX589" s="2" t="s">
        <v>264</v>
      </c>
      <c r="BY589" s="2" t="s">
        <v>247</v>
      </c>
      <c r="BZ589" s="2" t="s">
        <v>212</v>
      </c>
      <c r="CA589" s="2" t="s">
        <v>2615</v>
      </c>
      <c r="CB589" s="2" t="s">
        <v>200</v>
      </c>
      <c r="CC589" s="2" t="s">
        <v>213</v>
      </c>
      <c r="CD589" s="2" t="s">
        <v>200</v>
      </c>
      <c r="CE589" s="4">
        <v>326</v>
      </c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</row>
    <row r="590">
      <c r="A590" s="2" t="s">
        <v>3825</v>
      </c>
      <c r="B590" s="2" t="s">
        <v>250</v>
      </c>
      <c r="C590" s="2" t="s">
        <v>877</v>
      </c>
      <c r="D590" s="2" t="s">
        <v>252</v>
      </c>
      <c r="E590" s="2" t="s">
        <v>374</v>
      </c>
      <c r="F590" s="2" t="s">
        <v>3807</v>
      </c>
      <c r="G590" s="2" t="s">
        <v>3807</v>
      </c>
      <c r="H590" s="2" t="s">
        <v>3807</v>
      </c>
      <c r="I590" s="2" t="s">
        <v>3826</v>
      </c>
      <c r="J590" s="2" t="s">
        <v>256</v>
      </c>
      <c r="K590" s="2" t="s">
        <v>257</v>
      </c>
      <c r="L590" s="3">
        <v>20.57</v>
      </c>
      <c r="M590" s="3">
        <v>21.6</v>
      </c>
      <c r="N590" s="3">
        <v>44.99</v>
      </c>
      <c r="O590" s="2" t="s">
        <v>212</v>
      </c>
      <c r="P590" s="2" t="s">
        <v>205</v>
      </c>
      <c r="Q590" s="2" t="s">
        <v>206</v>
      </c>
      <c r="R590" s="2" t="s">
        <v>200</v>
      </c>
      <c r="S590" s="2" t="s">
        <v>3827</v>
      </c>
      <c r="T590" s="2" t="s">
        <v>1176</v>
      </c>
      <c r="U590" s="2" t="s">
        <v>270</v>
      </c>
      <c r="V590" s="2" t="s">
        <v>208</v>
      </c>
      <c r="W590" s="2" t="s">
        <v>241</v>
      </c>
      <c r="X590" s="2" t="s">
        <v>200</v>
      </c>
      <c r="Y590" s="2" t="s">
        <v>2220</v>
      </c>
      <c r="Z590" s="4">
        <v>92</v>
      </c>
      <c r="AA590" s="4">
        <f>=ROUNDDOWN(4.8421052631579,0)</f>
      </c>
      <c r="AB590" s="5">
        <v>19</v>
      </c>
      <c r="AC590" s="2" t="s">
        <v>1141</v>
      </c>
      <c r="AD590" s="4">
        <v>170</v>
      </c>
      <c r="AE590" s="4">
        <v>600</v>
      </c>
      <c r="AF590" s="6">
        <v>65</v>
      </c>
      <c r="AG590" s="6"/>
      <c r="AH590" s="7">
        <v>0.7333</v>
      </c>
      <c r="AI590" s="4"/>
      <c r="AJ590" s="4">
        <f>=ROUNDDOWN({0},0)</f>
      </c>
      <c r="AK590" s="5"/>
      <c r="AL590" s="2" t="s">
        <v>200</v>
      </c>
      <c r="AM590" s="4"/>
      <c r="AN590" s="4"/>
      <c r="AO590" s="7"/>
      <c r="AP590" s="4"/>
      <c r="AQ590" s="8"/>
      <c r="AR590" s="4"/>
      <c r="AS590" s="8"/>
      <c r="AT590" s="7"/>
      <c r="AU590" s="7"/>
      <c r="AV590" s="4" t="s">
        <v>200</v>
      </c>
      <c r="AW590" s="8" t="s">
        <v>200</v>
      </c>
      <c r="AX590" s="4" t="s">
        <v>200</v>
      </c>
      <c r="AY590" s="8" t="s">
        <v>200</v>
      </c>
      <c r="AZ590" s="7" t="s">
        <v>200</v>
      </c>
      <c r="BA590" s="7" t="s">
        <v>200</v>
      </c>
      <c r="BB590" s="7"/>
      <c r="BC590" s="4" t="s">
        <v>200</v>
      </c>
      <c r="BD590" s="8" t="s">
        <v>200</v>
      </c>
      <c r="BE590" s="4" t="s">
        <v>200</v>
      </c>
      <c r="BF590" s="8" t="s">
        <v>200</v>
      </c>
      <c r="BG590" s="7" t="s">
        <v>200</v>
      </c>
      <c r="BH590" s="7" t="s">
        <v>200</v>
      </c>
      <c r="BI590" s="7"/>
      <c r="BJ590" s="4">
        <v>98</v>
      </c>
      <c r="BK590" s="8">
        <v>2286.34</v>
      </c>
      <c r="BL590" s="2" t="s">
        <v>1292</v>
      </c>
      <c r="BM590" s="7"/>
      <c r="BN590" s="7"/>
      <c r="BO590" s="4"/>
      <c r="BP590" s="8"/>
      <c r="BQ590" s="4"/>
      <c r="BR590" s="8"/>
      <c r="BS590" s="7"/>
      <c r="BT590" s="7"/>
      <c r="BU590" s="2" t="s">
        <v>3828</v>
      </c>
      <c r="BV590" s="2" t="s">
        <v>200</v>
      </c>
      <c r="BW590" s="2" t="s">
        <v>200</v>
      </c>
      <c r="BX590" s="2" t="s">
        <v>264</v>
      </c>
      <c r="BY590" s="2" t="s">
        <v>247</v>
      </c>
      <c r="BZ590" s="2" t="s">
        <v>212</v>
      </c>
      <c r="CA590" s="2" t="s">
        <v>955</v>
      </c>
      <c r="CB590" s="2" t="s">
        <v>2567</v>
      </c>
      <c r="CC590" s="2" t="s">
        <v>213</v>
      </c>
      <c r="CD590" s="2" t="s">
        <v>200</v>
      </c>
      <c r="CE590" s="4">
        <v>9</v>
      </c>
      <c r="CF590" s="4"/>
      <c r="CG590" s="4"/>
      <c r="CH590" s="4">
        <v>83</v>
      </c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>
        <v>170</v>
      </c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>
        <v>230</v>
      </c>
      <c r="EX590" s="4"/>
      <c r="EY590" s="4"/>
      <c r="EZ590" s="4"/>
      <c r="FA590" s="4"/>
      <c r="FB590" s="4"/>
      <c r="FC590" s="4"/>
      <c r="FD590" s="4"/>
      <c r="FE590" s="4"/>
      <c r="FF590" s="4">
        <v>200</v>
      </c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</row>
    <row r="591">
      <c r="A591" s="2" t="s">
        <v>3829</v>
      </c>
      <c r="B591" s="2" t="s">
        <v>250</v>
      </c>
      <c r="C591" s="2" t="s">
        <v>877</v>
      </c>
      <c r="D591" s="2" t="s">
        <v>252</v>
      </c>
      <c r="E591" s="2" t="s">
        <v>374</v>
      </c>
      <c r="F591" s="2" t="s">
        <v>3807</v>
      </c>
      <c r="G591" s="2" t="s">
        <v>3807</v>
      </c>
      <c r="H591" s="2" t="s">
        <v>3807</v>
      </c>
      <c r="I591" s="2" t="s">
        <v>3826</v>
      </c>
      <c r="J591" s="2" t="s">
        <v>277</v>
      </c>
      <c r="K591" s="2" t="s">
        <v>257</v>
      </c>
      <c r="L591" s="3">
        <v>23.8</v>
      </c>
      <c r="M591" s="3">
        <v>24.99</v>
      </c>
      <c r="N591" s="3">
        <v>49.99</v>
      </c>
      <c r="O591" s="2" t="s">
        <v>212</v>
      </c>
      <c r="P591" s="2" t="s">
        <v>205</v>
      </c>
      <c r="Q591" s="2" t="s">
        <v>206</v>
      </c>
      <c r="R591" s="2" t="s">
        <v>200</v>
      </c>
      <c r="S591" s="2" t="s">
        <v>3827</v>
      </c>
      <c r="T591" s="2" t="s">
        <v>1176</v>
      </c>
      <c r="U591" s="2" t="s">
        <v>270</v>
      </c>
      <c r="V591" s="2" t="s">
        <v>208</v>
      </c>
      <c r="W591" s="2" t="s">
        <v>241</v>
      </c>
      <c r="X591" s="2" t="s">
        <v>200</v>
      </c>
      <c r="Y591" s="2" t="s">
        <v>2220</v>
      </c>
      <c r="Z591" s="4">
        <v>84</v>
      </c>
      <c r="AA591" s="4">
        <f>=ROUNDDOWN(4.42105263157895,0)</f>
      </c>
      <c r="AB591" s="5">
        <v>19</v>
      </c>
      <c r="AC591" s="2" t="s">
        <v>1141</v>
      </c>
      <c r="AD591" s="4">
        <v>250</v>
      </c>
      <c r="AE591" s="4">
        <v>690</v>
      </c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200</v>
      </c>
      <c r="AM591" s="4"/>
      <c r="AN591" s="4"/>
      <c r="AO591" s="7"/>
      <c r="AP591" s="4"/>
      <c r="AQ591" s="8"/>
      <c r="AR591" s="4"/>
      <c r="AS591" s="8"/>
      <c r="AT591" s="7"/>
      <c r="AU591" s="7"/>
      <c r="AV591" s="4" t="s">
        <v>200</v>
      </c>
      <c r="AW591" s="8" t="s">
        <v>200</v>
      </c>
      <c r="AX591" s="4" t="s">
        <v>200</v>
      </c>
      <c r="AY591" s="8" t="s">
        <v>200</v>
      </c>
      <c r="AZ591" s="7" t="s">
        <v>200</v>
      </c>
      <c r="BA591" s="7" t="s">
        <v>200</v>
      </c>
      <c r="BB591" s="7"/>
      <c r="BC591" s="4" t="s">
        <v>200</v>
      </c>
      <c r="BD591" s="8" t="s">
        <v>200</v>
      </c>
      <c r="BE591" s="4" t="s">
        <v>200</v>
      </c>
      <c r="BF591" s="8" t="s">
        <v>200</v>
      </c>
      <c r="BG591" s="7" t="s">
        <v>200</v>
      </c>
      <c r="BH591" s="7" t="s">
        <v>200</v>
      </c>
      <c r="BI591" s="7"/>
      <c r="BJ591" s="4">
        <v>158</v>
      </c>
      <c r="BK591" s="8">
        <v>4256.42</v>
      </c>
      <c r="BL591" s="2" t="s">
        <v>2651</v>
      </c>
      <c r="BM591" s="7"/>
      <c r="BN591" s="7"/>
      <c r="BO591" s="4"/>
      <c r="BP591" s="8"/>
      <c r="BQ591" s="4"/>
      <c r="BR591" s="8"/>
      <c r="BS591" s="7"/>
      <c r="BT591" s="7"/>
      <c r="BU591" s="2" t="s">
        <v>3830</v>
      </c>
      <c r="BV591" s="2" t="s">
        <v>200</v>
      </c>
      <c r="BW591" s="2" t="s">
        <v>200</v>
      </c>
      <c r="BX591" s="2" t="s">
        <v>264</v>
      </c>
      <c r="BY591" s="2" t="s">
        <v>247</v>
      </c>
      <c r="BZ591" s="2" t="s">
        <v>212</v>
      </c>
      <c r="CA591" s="2" t="s">
        <v>955</v>
      </c>
      <c r="CB591" s="2" t="s">
        <v>200</v>
      </c>
      <c r="CC591" s="2" t="s">
        <v>213</v>
      </c>
      <c r="CD591" s="2" t="s">
        <v>200</v>
      </c>
      <c r="CE591" s="4">
        <v>14</v>
      </c>
      <c r="CF591" s="4"/>
      <c r="CG591" s="4"/>
      <c r="CH591" s="4">
        <v>70</v>
      </c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>
        <v>250</v>
      </c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>
        <v>190</v>
      </c>
      <c r="EX591" s="4"/>
      <c r="EY591" s="4"/>
      <c r="EZ591" s="4"/>
      <c r="FA591" s="4"/>
      <c r="FB591" s="4"/>
      <c r="FC591" s="4"/>
      <c r="FD591" s="4"/>
      <c r="FE591" s="4"/>
      <c r="FF591" s="4">
        <v>250</v>
      </c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</row>
    <row r="592">
      <c r="A592" s="2" t="s">
        <v>3831</v>
      </c>
      <c r="B592" s="2" t="s">
        <v>250</v>
      </c>
      <c r="C592" s="2" t="s">
        <v>877</v>
      </c>
      <c r="D592" s="2" t="s">
        <v>252</v>
      </c>
      <c r="E592" s="2" t="s">
        <v>374</v>
      </c>
      <c r="F592" s="2" t="s">
        <v>3807</v>
      </c>
      <c r="G592" s="2" t="s">
        <v>3807</v>
      </c>
      <c r="H592" s="2" t="s">
        <v>3807</v>
      </c>
      <c r="I592" s="2" t="s">
        <v>3826</v>
      </c>
      <c r="J592" s="2" t="s">
        <v>297</v>
      </c>
      <c r="K592" s="2" t="s">
        <v>257</v>
      </c>
      <c r="L592" s="3">
        <v>26.19</v>
      </c>
      <c r="M592" s="3">
        <v>27.5</v>
      </c>
      <c r="N592" s="3">
        <v>54.99</v>
      </c>
      <c r="O592" s="2" t="s">
        <v>212</v>
      </c>
      <c r="P592" s="2" t="s">
        <v>205</v>
      </c>
      <c r="Q592" s="2" t="s">
        <v>206</v>
      </c>
      <c r="R592" s="2" t="s">
        <v>200</v>
      </c>
      <c r="S592" s="2" t="s">
        <v>3827</v>
      </c>
      <c r="T592" s="2" t="s">
        <v>1176</v>
      </c>
      <c r="U592" s="2" t="s">
        <v>270</v>
      </c>
      <c r="V592" s="2" t="s">
        <v>208</v>
      </c>
      <c r="W592" s="2" t="s">
        <v>241</v>
      </c>
      <c r="X592" s="2" t="s">
        <v>200</v>
      </c>
      <c r="Y592" s="2" t="s">
        <v>2220</v>
      </c>
      <c r="Z592" s="4">
        <v>29</v>
      </c>
      <c r="AA592" s="4">
        <f>=ROUNDDOWN(0.935483870967742,0)</f>
      </c>
      <c r="AB592" s="5">
        <v>31</v>
      </c>
      <c r="AC592" s="2" t="s">
        <v>1141</v>
      </c>
      <c r="AD592" s="4">
        <v>330</v>
      </c>
      <c r="AE592" s="4">
        <v>1060</v>
      </c>
      <c r="AF592" s="6">
        <v>65</v>
      </c>
      <c r="AG592" s="6"/>
      <c r="AH592" s="7">
        <v>0.5333</v>
      </c>
      <c r="AI592" s="4"/>
      <c r="AJ592" s="4">
        <f>=ROUNDDOWN({0},0)</f>
      </c>
      <c r="AK592" s="5"/>
      <c r="AL592" s="2" t="s">
        <v>200</v>
      </c>
      <c r="AM592" s="4"/>
      <c r="AN592" s="4"/>
      <c r="AO592" s="7"/>
      <c r="AP592" s="4"/>
      <c r="AQ592" s="8"/>
      <c r="AR592" s="4"/>
      <c r="AS592" s="8"/>
      <c r="AT592" s="7"/>
      <c r="AU592" s="7"/>
      <c r="AV592" s="4" t="s">
        <v>200</v>
      </c>
      <c r="AW592" s="8" t="s">
        <v>200</v>
      </c>
      <c r="AX592" s="4" t="s">
        <v>200</v>
      </c>
      <c r="AY592" s="8" t="s">
        <v>200</v>
      </c>
      <c r="AZ592" s="7" t="s">
        <v>200</v>
      </c>
      <c r="BA592" s="7" t="s">
        <v>200</v>
      </c>
      <c r="BB592" s="7"/>
      <c r="BC592" s="4" t="s">
        <v>200</v>
      </c>
      <c r="BD592" s="8" t="s">
        <v>200</v>
      </c>
      <c r="BE592" s="4" t="s">
        <v>200</v>
      </c>
      <c r="BF592" s="8" t="s">
        <v>200</v>
      </c>
      <c r="BG592" s="7" t="s">
        <v>200</v>
      </c>
      <c r="BH592" s="7" t="s">
        <v>200</v>
      </c>
      <c r="BI592" s="7"/>
      <c r="BJ592" s="4">
        <v>211</v>
      </c>
      <c r="BK592" s="8">
        <v>6259.78</v>
      </c>
      <c r="BL592" s="2" t="s">
        <v>515</v>
      </c>
      <c r="BM592" s="7"/>
      <c r="BN592" s="7"/>
      <c r="BO592" s="4"/>
      <c r="BP592" s="8"/>
      <c r="BQ592" s="4"/>
      <c r="BR592" s="8"/>
      <c r="BS592" s="7"/>
      <c r="BT592" s="7"/>
      <c r="BU592" s="2" t="s">
        <v>3832</v>
      </c>
      <c r="BV592" s="2" t="s">
        <v>200</v>
      </c>
      <c r="BW592" s="2" t="s">
        <v>200</v>
      </c>
      <c r="BX592" s="2" t="s">
        <v>264</v>
      </c>
      <c r="BY592" s="2" t="s">
        <v>247</v>
      </c>
      <c r="BZ592" s="2" t="s">
        <v>212</v>
      </c>
      <c r="CA592" s="2" t="s">
        <v>955</v>
      </c>
      <c r="CB592" s="2" t="s">
        <v>200</v>
      </c>
      <c r="CC592" s="2" t="s">
        <v>213</v>
      </c>
      <c r="CD592" s="2" t="s">
        <v>200</v>
      </c>
      <c r="CE592" s="4">
        <v>26</v>
      </c>
      <c r="CF592" s="4"/>
      <c r="CG592" s="4"/>
      <c r="CH592" s="4">
        <v>3</v>
      </c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>
        <v>330</v>
      </c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>
        <v>380</v>
      </c>
      <c r="EX592" s="4"/>
      <c r="EY592" s="4"/>
      <c r="EZ592" s="4"/>
      <c r="FA592" s="4"/>
      <c r="FB592" s="4"/>
      <c r="FC592" s="4"/>
      <c r="FD592" s="4"/>
      <c r="FE592" s="4"/>
      <c r="FF592" s="4">
        <v>350</v>
      </c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</row>
    <row r="593">
      <c r="A593" s="2" t="s">
        <v>3833</v>
      </c>
      <c r="B593" s="2" t="s">
        <v>195</v>
      </c>
      <c r="C593" s="2" t="s">
        <v>624</v>
      </c>
      <c r="D593" s="2" t="s">
        <v>197</v>
      </c>
      <c r="E593" s="2" t="s">
        <v>198</v>
      </c>
      <c r="F593" s="2" t="s">
        <v>3834</v>
      </c>
      <c r="G593" s="2" t="s">
        <v>3834</v>
      </c>
      <c r="H593" s="2" t="s">
        <v>3834</v>
      </c>
      <c r="I593" s="2" t="s">
        <v>198</v>
      </c>
      <c r="J593" s="2" t="s">
        <v>256</v>
      </c>
      <c r="K593" s="2" t="s">
        <v>221</v>
      </c>
      <c r="L593" s="3">
        <v>16.56</v>
      </c>
      <c r="M593" s="3">
        <v>17.39</v>
      </c>
      <c r="N593" s="3">
        <v>36.99</v>
      </c>
      <c r="O593" s="2" t="s">
        <v>212</v>
      </c>
      <c r="P593" s="2" t="s">
        <v>258</v>
      </c>
      <c r="Q593" s="2" t="s">
        <v>206</v>
      </c>
      <c r="R593" s="2" t="s">
        <v>200</v>
      </c>
      <c r="S593" s="2" t="s">
        <v>3835</v>
      </c>
      <c r="T593" s="2" t="s">
        <v>1176</v>
      </c>
      <c r="U593" s="2" t="s">
        <v>270</v>
      </c>
      <c r="V593" s="2" t="s">
        <v>208</v>
      </c>
      <c r="W593" s="2" t="s">
        <v>241</v>
      </c>
      <c r="X593" s="2" t="s">
        <v>200</v>
      </c>
      <c r="Y593" s="2" t="s">
        <v>2374</v>
      </c>
      <c r="Z593" s="4">
        <v>282</v>
      </c>
      <c r="AA593" s="4">
        <f>=ROUNDDOWN(40.2857142857143,0)</f>
      </c>
      <c r="AB593" s="5">
        <v>7</v>
      </c>
      <c r="AC593" s="2" t="s">
        <v>200</v>
      </c>
      <c r="AD593" s="4"/>
      <c r="AE593" s="4"/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200</v>
      </c>
      <c r="AM593" s="4"/>
      <c r="AN593" s="4"/>
      <c r="AO593" s="7"/>
      <c r="AP593" s="4"/>
      <c r="AQ593" s="8"/>
      <c r="AR593" s="4"/>
      <c r="AS593" s="8"/>
      <c r="AT593" s="7"/>
      <c r="AU593" s="7"/>
      <c r="AV593" s="4" t="s">
        <v>200</v>
      </c>
      <c r="AW593" s="8" t="s">
        <v>200</v>
      </c>
      <c r="AX593" s="4" t="s">
        <v>200</v>
      </c>
      <c r="AY593" s="8" t="s">
        <v>200</v>
      </c>
      <c r="AZ593" s="7" t="s">
        <v>200</v>
      </c>
      <c r="BA593" s="7" t="s">
        <v>200</v>
      </c>
      <c r="BB593" s="7"/>
      <c r="BC593" s="4" t="s">
        <v>200</v>
      </c>
      <c r="BD593" s="8" t="s">
        <v>200</v>
      </c>
      <c r="BE593" s="4" t="s">
        <v>200</v>
      </c>
      <c r="BF593" s="8" t="s">
        <v>200</v>
      </c>
      <c r="BG593" s="7" t="s">
        <v>200</v>
      </c>
      <c r="BH593" s="7" t="s">
        <v>200</v>
      </c>
      <c r="BI593" s="7"/>
      <c r="BJ593" s="4">
        <v>9</v>
      </c>
      <c r="BK593" s="8">
        <v>167.98</v>
      </c>
      <c r="BL593" s="2" t="s">
        <v>2610</v>
      </c>
      <c r="BM593" s="7"/>
      <c r="BN593" s="7"/>
      <c r="BO593" s="4"/>
      <c r="BP593" s="8"/>
      <c r="BQ593" s="4"/>
      <c r="BR593" s="8"/>
      <c r="BS593" s="7"/>
      <c r="BT593" s="7"/>
      <c r="BU593" s="2" t="s">
        <v>3836</v>
      </c>
      <c r="BV593" s="2" t="s">
        <v>200</v>
      </c>
      <c r="BW593" s="2" t="s">
        <v>200</v>
      </c>
      <c r="BX593" s="2" t="s">
        <v>264</v>
      </c>
      <c r="BY593" s="2" t="s">
        <v>247</v>
      </c>
      <c r="BZ593" s="2" t="s">
        <v>212</v>
      </c>
      <c r="CA593" s="2" t="s">
        <v>1989</v>
      </c>
      <c r="CB593" s="2" t="s">
        <v>200</v>
      </c>
      <c r="CC593" s="2" t="s">
        <v>213</v>
      </c>
      <c r="CD593" s="2" t="s">
        <v>200</v>
      </c>
      <c r="CE593" s="4">
        <v>282</v>
      </c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</row>
    <row r="594">
      <c r="A594" s="2" t="s">
        <v>3837</v>
      </c>
      <c r="B594" s="2" t="s">
        <v>195</v>
      </c>
      <c r="C594" s="2" t="s">
        <v>624</v>
      </c>
      <c r="D594" s="2" t="s">
        <v>197</v>
      </c>
      <c r="E594" s="2" t="s">
        <v>198</v>
      </c>
      <c r="F594" s="2" t="s">
        <v>3834</v>
      </c>
      <c r="G594" s="2" t="s">
        <v>3834</v>
      </c>
      <c r="H594" s="2" t="s">
        <v>3834</v>
      </c>
      <c r="I594" s="2" t="s">
        <v>198</v>
      </c>
      <c r="J594" s="2" t="s">
        <v>612</v>
      </c>
      <c r="K594" s="2" t="s">
        <v>221</v>
      </c>
      <c r="L594" s="3">
        <v>19.6</v>
      </c>
      <c r="M594" s="3">
        <v>20.58</v>
      </c>
      <c r="N594" s="3">
        <v>41.99</v>
      </c>
      <c r="O594" s="2" t="s">
        <v>212</v>
      </c>
      <c r="P594" s="2" t="s">
        <v>258</v>
      </c>
      <c r="Q594" s="2" t="s">
        <v>206</v>
      </c>
      <c r="R594" s="2" t="s">
        <v>200</v>
      </c>
      <c r="S594" s="2" t="s">
        <v>3835</v>
      </c>
      <c r="T594" s="2" t="s">
        <v>1176</v>
      </c>
      <c r="U594" s="2" t="s">
        <v>270</v>
      </c>
      <c r="V594" s="2" t="s">
        <v>208</v>
      </c>
      <c r="W594" s="2" t="s">
        <v>241</v>
      </c>
      <c r="X594" s="2" t="s">
        <v>200</v>
      </c>
      <c r="Y594" s="2" t="s">
        <v>2374</v>
      </c>
      <c r="Z594" s="4">
        <v>376</v>
      </c>
      <c r="AA594" s="4">
        <f>=ROUNDDOWN(26.8571428571429,0)</f>
      </c>
      <c r="AB594" s="5">
        <v>14</v>
      </c>
      <c r="AC594" s="2" t="s">
        <v>553</v>
      </c>
      <c r="AD594" s="4">
        <v>200</v>
      </c>
      <c r="AE594" s="4">
        <v>200</v>
      </c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200</v>
      </c>
      <c r="AM594" s="4"/>
      <c r="AN594" s="4"/>
      <c r="AO594" s="7"/>
      <c r="AP594" s="4"/>
      <c r="AQ594" s="8"/>
      <c r="AR594" s="4"/>
      <c r="AS594" s="8"/>
      <c r="AT594" s="7"/>
      <c r="AU594" s="7"/>
      <c r="AV594" s="4" t="s">
        <v>200</v>
      </c>
      <c r="AW594" s="8" t="s">
        <v>200</v>
      </c>
      <c r="AX594" s="4" t="s">
        <v>200</v>
      </c>
      <c r="AY594" s="8" t="s">
        <v>200</v>
      </c>
      <c r="AZ594" s="7" t="s">
        <v>200</v>
      </c>
      <c r="BA594" s="7" t="s">
        <v>200</v>
      </c>
      <c r="BB594" s="7"/>
      <c r="BC594" s="4" t="s">
        <v>200</v>
      </c>
      <c r="BD594" s="8" t="s">
        <v>200</v>
      </c>
      <c r="BE594" s="4" t="s">
        <v>200</v>
      </c>
      <c r="BF594" s="8" t="s">
        <v>200</v>
      </c>
      <c r="BG594" s="7" t="s">
        <v>200</v>
      </c>
      <c r="BH594" s="7" t="s">
        <v>200</v>
      </c>
      <c r="BI594" s="7"/>
      <c r="BJ594" s="4">
        <v>128</v>
      </c>
      <c r="BK594" s="8">
        <v>2836.76</v>
      </c>
      <c r="BL594" s="2" t="s">
        <v>3838</v>
      </c>
      <c r="BM594" s="7"/>
      <c r="BN594" s="7"/>
      <c r="BO594" s="4"/>
      <c r="BP594" s="8"/>
      <c r="BQ594" s="4"/>
      <c r="BR594" s="8"/>
      <c r="BS594" s="7"/>
      <c r="BT594" s="7"/>
      <c r="BU594" s="2" t="s">
        <v>3839</v>
      </c>
      <c r="BV594" s="2" t="s">
        <v>200</v>
      </c>
      <c r="BW594" s="2" t="s">
        <v>200</v>
      </c>
      <c r="BX594" s="2" t="s">
        <v>264</v>
      </c>
      <c r="BY594" s="2" t="s">
        <v>247</v>
      </c>
      <c r="BZ594" s="2" t="s">
        <v>212</v>
      </c>
      <c r="CA594" s="2" t="s">
        <v>1989</v>
      </c>
      <c r="CB594" s="2" t="s">
        <v>3840</v>
      </c>
      <c r="CC594" s="2" t="s">
        <v>213</v>
      </c>
      <c r="CD594" s="2" t="s">
        <v>200</v>
      </c>
      <c r="CE594" s="4">
        <v>376</v>
      </c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>
        <v>200</v>
      </c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</row>
    <row r="595">
      <c r="A595" s="2" t="s">
        <v>3841</v>
      </c>
      <c r="B595" s="2" t="s">
        <v>195</v>
      </c>
      <c r="C595" s="2" t="s">
        <v>624</v>
      </c>
      <c r="D595" s="2" t="s">
        <v>197</v>
      </c>
      <c r="E595" s="2" t="s">
        <v>198</v>
      </c>
      <c r="F595" s="2" t="s">
        <v>3834</v>
      </c>
      <c r="G595" s="2" t="s">
        <v>3834</v>
      </c>
      <c r="H595" s="2" t="s">
        <v>3834</v>
      </c>
      <c r="I595" s="2" t="s">
        <v>198</v>
      </c>
      <c r="J595" s="2" t="s">
        <v>302</v>
      </c>
      <c r="K595" s="2" t="s">
        <v>221</v>
      </c>
      <c r="L595" s="3">
        <v>22.38</v>
      </c>
      <c r="M595" s="3">
        <v>23.5</v>
      </c>
      <c r="N595" s="3">
        <v>46.99</v>
      </c>
      <c r="O595" s="2" t="s">
        <v>212</v>
      </c>
      <c r="P595" s="2" t="s">
        <v>258</v>
      </c>
      <c r="Q595" s="2" t="s">
        <v>206</v>
      </c>
      <c r="R595" s="2" t="s">
        <v>200</v>
      </c>
      <c r="S595" s="2" t="s">
        <v>3835</v>
      </c>
      <c r="T595" s="2" t="s">
        <v>1176</v>
      </c>
      <c r="U595" s="2" t="s">
        <v>270</v>
      </c>
      <c r="V595" s="2" t="s">
        <v>208</v>
      </c>
      <c r="W595" s="2" t="s">
        <v>241</v>
      </c>
      <c r="X595" s="2" t="s">
        <v>200</v>
      </c>
      <c r="Y595" s="2" t="s">
        <v>2374</v>
      </c>
      <c r="Z595" s="4">
        <v>324</v>
      </c>
      <c r="AA595" s="4">
        <f>=ROUNDDOWN(29.4545454545455,0)</f>
      </c>
      <c r="AB595" s="5">
        <v>11</v>
      </c>
      <c r="AC595" s="2" t="s">
        <v>553</v>
      </c>
      <c r="AD595" s="4">
        <v>120</v>
      </c>
      <c r="AE595" s="4">
        <v>120</v>
      </c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200</v>
      </c>
      <c r="AM595" s="4"/>
      <c r="AN595" s="4"/>
      <c r="AO595" s="7"/>
      <c r="AP595" s="4"/>
      <c r="AQ595" s="8"/>
      <c r="AR595" s="4"/>
      <c r="AS595" s="8"/>
      <c r="AT595" s="7"/>
      <c r="AU595" s="7"/>
      <c r="AV595" s="4" t="s">
        <v>200</v>
      </c>
      <c r="AW595" s="8" t="s">
        <v>200</v>
      </c>
      <c r="AX595" s="4" t="s">
        <v>200</v>
      </c>
      <c r="AY595" s="8" t="s">
        <v>200</v>
      </c>
      <c r="AZ595" s="7" t="s">
        <v>200</v>
      </c>
      <c r="BA595" s="7" t="s">
        <v>200</v>
      </c>
      <c r="BB595" s="7"/>
      <c r="BC595" s="4" t="s">
        <v>200</v>
      </c>
      <c r="BD595" s="8" t="s">
        <v>200</v>
      </c>
      <c r="BE595" s="4" t="s">
        <v>200</v>
      </c>
      <c r="BF595" s="8" t="s">
        <v>200</v>
      </c>
      <c r="BG595" s="7" t="s">
        <v>200</v>
      </c>
      <c r="BH595" s="7" t="s">
        <v>200</v>
      </c>
      <c r="BI595" s="7"/>
      <c r="BJ595" s="4">
        <v>81</v>
      </c>
      <c r="BK595" s="8">
        <v>2052.15</v>
      </c>
      <c r="BL595" s="2" t="s">
        <v>370</v>
      </c>
      <c r="BM595" s="7"/>
      <c r="BN595" s="7"/>
      <c r="BO595" s="4"/>
      <c r="BP595" s="8"/>
      <c r="BQ595" s="4"/>
      <c r="BR595" s="8"/>
      <c r="BS595" s="7"/>
      <c r="BT595" s="7"/>
      <c r="BU595" s="2" t="s">
        <v>3842</v>
      </c>
      <c r="BV595" s="2" t="s">
        <v>200</v>
      </c>
      <c r="BW595" s="2" t="s">
        <v>200</v>
      </c>
      <c r="BX595" s="2" t="s">
        <v>264</v>
      </c>
      <c r="BY595" s="2" t="s">
        <v>247</v>
      </c>
      <c r="BZ595" s="2" t="s">
        <v>212</v>
      </c>
      <c r="CA595" s="2" t="s">
        <v>1989</v>
      </c>
      <c r="CB595" s="2" t="s">
        <v>384</v>
      </c>
      <c r="CC595" s="2" t="s">
        <v>213</v>
      </c>
      <c r="CD595" s="2" t="s">
        <v>200</v>
      </c>
      <c r="CE595" s="4">
        <v>324</v>
      </c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>
        <v>120</v>
      </c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</row>
    <row r="596">
      <c r="A596" s="2" t="s">
        <v>3843</v>
      </c>
      <c r="B596" s="2" t="s">
        <v>195</v>
      </c>
      <c r="C596" s="2" t="s">
        <v>624</v>
      </c>
      <c r="D596" s="2" t="s">
        <v>197</v>
      </c>
      <c r="E596" s="2" t="s">
        <v>198</v>
      </c>
      <c r="F596" s="2" t="s">
        <v>3834</v>
      </c>
      <c r="G596" s="2" t="s">
        <v>3834</v>
      </c>
      <c r="H596" s="2" t="s">
        <v>3834</v>
      </c>
      <c r="I596" s="2" t="s">
        <v>198</v>
      </c>
      <c r="J596" s="2" t="s">
        <v>256</v>
      </c>
      <c r="K596" s="2" t="s">
        <v>3844</v>
      </c>
      <c r="L596" s="3">
        <v>16.56</v>
      </c>
      <c r="M596" s="3">
        <v>17.39</v>
      </c>
      <c r="N596" s="3">
        <v>36.99</v>
      </c>
      <c r="O596" s="2" t="s">
        <v>212</v>
      </c>
      <c r="P596" s="2" t="s">
        <v>258</v>
      </c>
      <c r="Q596" s="2" t="s">
        <v>206</v>
      </c>
      <c r="R596" s="2" t="s">
        <v>200</v>
      </c>
      <c r="S596" s="2" t="s">
        <v>3845</v>
      </c>
      <c r="T596" s="2" t="s">
        <v>1176</v>
      </c>
      <c r="U596" s="2" t="s">
        <v>270</v>
      </c>
      <c r="V596" s="2" t="s">
        <v>208</v>
      </c>
      <c r="W596" s="2" t="s">
        <v>241</v>
      </c>
      <c r="X596" s="2" t="s">
        <v>200</v>
      </c>
      <c r="Y596" s="2" t="s">
        <v>2374</v>
      </c>
      <c r="Z596" s="4">
        <v>221</v>
      </c>
      <c r="AA596" s="4">
        <f>=ROUNDDOWN(27.625,0)</f>
      </c>
      <c r="AB596" s="5">
        <v>8</v>
      </c>
      <c r="AC596" s="2" t="s">
        <v>115</v>
      </c>
      <c r="AD596" s="4">
        <v>50</v>
      </c>
      <c r="AE596" s="4">
        <v>130</v>
      </c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200</v>
      </c>
      <c r="AM596" s="4"/>
      <c r="AN596" s="4"/>
      <c r="AO596" s="7"/>
      <c r="AP596" s="4"/>
      <c r="AQ596" s="8"/>
      <c r="AR596" s="4"/>
      <c r="AS596" s="8"/>
      <c r="AT596" s="7"/>
      <c r="AU596" s="7"/>
      <c r="AV596" s="4" t="s">
        <v>200</v>
      </c>
      <c r="AW596" s="8" t="s">
        <v>200</v>
      </c>
      <c r="AX596" s="4" t="s">
        <v>200</v>
      </c>
      <c r="AY596" s="8" t="s">
        <v>200</v>
      </c>
      <c r="AZ596" s="7" t="s">
        <v>200</v>
      </c>
      <c r="BA596" s="7" t="s">
        <v>200</v>
      </c>
      <c r="BB596" s="7"/>
      <c r="BC596" s="4" t="s">
        <v>200</v>
      </c>
      <c r="BD596" s="8" t="s">
        <v>200</v>
      </c>
      <c r="BE596" s="4" t="s">
        <v>200</v>
      </c>
      <c r="BF596" s="8" t="s">
        <v>200</v>
      </c>
      <c r="BG596" s="7" t="s">
        <v>200</v>
      </c>
      <c r="BH596" s="7" t="s">
        <v>200</v>
      </c>
      <c r="BI596" s="7"/>
      <c r="BJ596" s="4">
        <v>54</v>
      </c>
      <c r="BK596" s="8">
        <v>1009.09</v>
      </c>
      <c r="BL596" s="2" t="s">
        <v>370</v>
      </c>
      <c r="BM596" s="7"/>
      <c r="BN596" s="7"/>
      <c r="BO596" s="4"/>
      <c r="BP596" s="8"/>
      <c r="BQ596" s="4"/>
      <c r="BR596" s="8"/>
      <c r="BS596" s="7"/>
      <c r="BT596" s="7"/>
      <c r="BU596" s="2" t="s">
        <v>3846</v>
      </c>
      <c r="BV596" s="2" t="s">
        <v>200</v>
      </c>
      <c r="BW596" s="2" t="s">
        <v>200</v>
      </c>
      <c r="BX596" s="2" t="s">
        <v>264</v>
      </c>
      <c r="BY596" s="2" t="s">
        <v>247</v>
      </c>
      <c r="BZ596" s="2" t="s">
        <v>212</v>
      </c>
      <c r="CA596" s="2" t="s">
        <v>1989</v>
      </c>
      <c r="CB596" s="2" t="s">
        <v>697</v>
      </c>
      <c r="CC596" s="2" t="s">
        <v>213</v>
      </c>
      <c r="CD596" s="2" t="s">
        <v>200</v>
      </c>
      <c r="CE596" s="4">
        <v>221</v>
      </c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>
        <v>50</v>
      </c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>
        <v>80</v>
      </c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</row>
    <row r="597">
      <c r="A597" s="2" t="s">
        <v>3847</v>
      </c>
      <c r="B597" s="2" t="s">
        <v>195</v>
      </c>
      <c r="C597" s="2" t="s">
        <v>624</v>
      </c>
      <c r="D597" s="2" t="s">
        <v>197</v>
      </c>
      <c r="E597" s="2" t="s">
        <v>198</v>
      </c>
      <c r="F597" s="2" t="s">
        <v>3834</v>
      </c>
      <c r="G597" s="2" t="s">
        <v>3834</v>
      </c>
      <c r="H597" s="2" t="s">
        <v>3834</v>
      </c>
      <c r="I597" s="2" t="s">
        <v>198</v>
      </c>
      <c r="J597" s="2" t="s">
        <v>612</v>
      </c>
      <c r="K597" s="2" t="s">
        <v>3844</v>
      </c>
      <c r="L597" s="3">
        <v>19.6</v>
      </c>
      <c r="M597" s="3">
        <v>20.58</v>
      </c>
      <c r="N597" s="3">
        <v>41.99</v>
      </c>
      <c r="O597" s="2" t="s">
        <v>212</v>
      </c>
      <c r="P597" s="2" t="s">
        <v>258</v>
      </c>
      <c r="Q597" s="2" t="s">
        <v>206</v>
      </c>
      <c r="R597" s="2" t="s">
        <v>200</v>
      </c>
      <c r="S597" s="2" t="s">
        <v>3845</v>
      </c>
      <c r="T597" s="2" t="s">
        <v>1176</v>
      </c>
      <c r="U597" s="2" t="s">
        <v>270</v>
      </c>
      <c r="V597" s="2" t="s">
        <v>208</v>
      </c>
      <c r="W597" s="2" t="s">
        <v>241</v>
      </c>
      <c r="X597" s="2" t="s">
        <v>200</v>
      </c>
      <c r="Y597" s="2" t="s">
        <v>2374</v>
      </c>
      <c r="Z597" s="4">
        <v>409</v>
      </c>
      <c r="AA597" s="4">
        <f>=ROUNDDOWN(27.2666666666667,0)</f>
      </c>
      <c r="AB597" s="5">
        <v>15</v>
      </c>
      <c r="AC597" s="2" t="s">
        <v>115</v>
      </c>
      <c r="AD597" s="4">
        <v>200</v>
      </c>
      <c r="AE597" s="4">
        <v>330</v>
      </c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200</v>
      </c>
      <c r="AM597" s="4"/>
      <c r="AN597" s="4"/>
      <c r="AO597" s="7"/>
      <c r="AP597" s="4"/>
      <c r="AQ597" s="8"/>
      <c r="AR597" s="4"/>
      <c r="AS597" s="8"/>
      <c r="AT597" s="7"/>
      <c r="AU597" s="7"/>
      <c r="AV597" s="4" t="s">
        <v>200</v>
      </c>
      <c r="AW597" s="8" t="s">
        <v>200</v>
      </c>
      <c r="AX597" s="4" t="s">
        <v>200</v>
      </c>
      <c r="AY597" s="8" t="s">
        <v>200</v>
      </c>
      <c r="AZ597" s="7" t="s">
        <v>200</v>
      </c>
      <c r="BA597" s="7" t="s">
        <v>200</v>
      </c>
      <c r="BB597" s="7"/>
      <c r="BC597" s="4" t="s">
        <v>200</v>
      </c>
      <c r="BD597" s="8" t="s">
        <v>200</v>
      </c>
      <c r="BE597" s="4" t="s">
        <v>200</v>
      </c>
      <c r="BF597" s="8" t="s">
        <v>200</v>
      </c>
      <c r="BG597" s="7" t="s">
        <v>200</v>
      </c>
      <c r="BH597" s="7" t="s">
        <v>200</v>
      </c>
      <c r="BI597" s="7"/>
      <c r="BJ597" s="4">
        <v>119</v>
      </c>
      <c r="BK597" s="8">
        <v>2632.87</v>
      </c>
      <c r="BL597" s="2" t="s">
        <v>3848</v>
      </c>
      <c r="BM597" s="7"/>
      <c r="BN597" s="7"/>
      <c r="BO597" s="4"/>
      <c r="BP597" s="8"/>
      <c r="BQ597" s="4"/>
      <c r="BR597" s="8"/>
      <c r="BS597" s="7"/>
      <c r="BT597" s="7"/>
      <c r="BU597" s="2" t="s">
        <v>3849</v>
      </c>
      <c r="BV597" s="2" t="s">
        <v>200</v>
      </c>
      <c r="BW597" s="2" t="s">
        <v>200</v>
      </c>
      <c r="BX597" s="2" t="s">
        <v>264</v>
      </c>
      <c r="BY597" s="2" t="s">
        <v>247</v>
      </c>
      <c r="BZ597" s="2" t="s">
        <v>212</v>
      </c>
      <c r="CA597" s="2" t="s">
        <v>1989</v>
      </c>
      <c r="CB597" s="2" t="s">
        <v>384</v>
      </c>
      <c r="CC597" s="2" t="s">
        <v>213</v>
      </c>
      <c r="CD597" s="2" t="s">
        <v>200</v>
      </c>
      <c r="CE597" s="4">
        <v>409</v>
      </c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>
        <v>200</v>
      </c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>
        <v>130</v>
      </c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</row>
    <row r="598">
      <c r="A598" s="2" t="s">
        <v>3850</v>
      </c>
      <c r="B598" s="2" t="s">
        <v>195</v>
      </c>
      <c r="C598" s="2" t="s">
        <v>624</v>
      </c>
      <c r="D598" s="2" t="s">
        <v>197</v>
      </c>
      <c r="E598" s="2" t="s">
        <v>198</v>
      </c>
      <c r="F598" s="2" t="s">
        <v>3834</v>
      </c>
      <c r="G598" s="2" t="s">
        <v>3834</v>
      </c>
      <c r="H598" s="2" t="s">
        <v>3834</v>
      </c>
      <c r="I598" s="2" t="s">
        <v>198</v>
      </c>
      <c r="J598" s="2" t="s">
        <v>302</v>
      </c>
      <c r="K598" s="2" t="s">
        <v>3844</v>
      </c>
      <c r="L598" s="3">
        <v>22.38</v>
      </c>
      <c r="M598" s="3">
        <v>23.5</v>
      </c>
      <c r="N598" s="3">
        <v>46.99</v>
      </c>
      <c r="O598" s="2" t="s">
        <v>212</v>
      </c>
      <c r="P598" s="2" t="s">
        <v>258</v>
      </c>
      <c r="Q598" s="2" t="s">
        <v>206</v>
      </c>
      <c r="R598" s="2" t="s">
        <v>200</v>
      </c>
      <c r="S598" s="2" t="s">
        <v>3845</v>
      </c>
      <c r="T598" s="2" t="s">
        <v>1176</v>
      </c>
      <c r="U598" s="2" t="s">
        <v>270</v>
      </c>
      <c r="V598" s="2" t="s">
        <v>208</v>
      </c>
      <c r="W598" s="2" t="s">
        <v>241</v>
      </c>
      <c r="X598" s="2" t="s">
        <v>200</v>
      </c>
      <c r="Y598" s="2" t="s">
        <v>2374</v>
      </c>
      <c r="Z598" s="4">
        <v>160</v>
      </c>
      <c r="AA598" s="4">
        <f>=ROUNDDOWN(13.3333333333333,0)</f>
      </c>
      <c r="AB598" s="5">
        <v>12</v>
      </c>
      <c r="AC598" s="2" t="s">
        <v>115</v>
      </c>
      <c r="AD598" s="4">
        <v>30</v>
      </c>
      <c r="AE598" s="4">
        <v>340</v>
      </c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200</v>
      </c>
      <c r="AM598" s="4"/>
      <c r="AN598" s="4"/>
      <c r="AO598" s="7"/>
      <c r="AP598" s="4"/>
      <c r="AQ598" s="8"/>
      <c r="AR598" s="4"/>
      <c r="AS598" s="8"/>
      <c r="AT598" s="7"/>
      <c r="AU598" s="7"/>
      <c r="AV598" s="4" t="s">
        <v>200</v>
      </c>
      <c r="AW598" s="8" t="s">
        <v>200</v>
      </c>
      <c r="AX598" s="4" t="s">
        <v>200</v>
      </c>
      <c r="AY598" s="8" t="s">
        <v>200</v>
      </c>
      <c r="AZ598" s="7" t="s">
        <v>200</v>
      </c>
      <c r="BA598" s="7" t="s">
        <v>200</v>
      </c>
      <c r="BB598" s="7"/>
      <c r="BC598" s="4" t="s">
        <v>200</v>
      </c>
      <c r="BD598" s="8" t="s">
        <v>200</v>
      </c>
      <c r="BE598" s="4" t="s">
        <v>200</v>
      </c>
      <c r="BF598" s="8" t="s">
        <v>200</v>
      </c>
      <c r="BG598" s="7" t="s">
        <v>200</v>
      </c>
      <c r="BH598" s="7" t="s">
        <v>200</v>
      </c>
      <c r="BI598" s="7"/>
      <c r="BJ598" s="4">
        <v>92</v>
      </c>
      <c r="BK598" s="8">
        <v>2338.99</v>
      </c>
      <c r="BL598" s="2" t="s">
        <v>3851</v>
      </c>
      <c r="BM598" s="7"/>
      <c r="BN598" s="7"/>
      <c r="BO598" s="4"/>
      <c r="BP598" s="8"/>
      <c r="BQ598" s="4"/>
      <c r="BR598" s="8"/>
      <c r="BS598" s="7"/>
      <c r="BT598" s="7"/>
      <c r="BU598" s="2" t="s">
        <v>3852</v>
      </c>
      <c r="BV598" s="2" t="s">
        <v>200</v>
      </c>
      <c r="BW598" s="2" t="s">
        <v>200</v>
      </c>
      <c r="BX598" s="2" t="s">
        <v>264</v>
      </c>
      <c r="BY598" s="2" t="s">
        <v>247</v>
      </c>
      <c r="BZ598" s="2" t="s">
        <v>212</v>
      </c>
      <c r="CA598" s="2" t="s">
        <v>1989</v>
      </c>
      <c r="CB598" s="2" t="s">
        <v>2790</v>
      </c>
      <c r="CC598" s="2" t="s">
        <v>213</v>
      </c>
      <c r="CD598" s="2" t="s">
        <v>200</v>
      </c>
      <c r="CE598" s="4">
        <v>160</v>
      </c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>
        <v>30</v>
      </c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>
        <v>310</v>
      </c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</row>
    <row r="599">
      <c r="A599" s="2" t="s">
        <v>3853</v>
      </c>
      <c r="B599" s="2" t="s">
        <v>195</v>
      </c>
      <c r="C599" s="2" t="s">
        <v>624</v>
      </c>
      <c r="D599" s="2" t="s">
        <v>197</v>
      </c>
      <c r="E599" s="2" t="s">
        <v>198</v>
      </c>
      <c r="F599" s="2" t="s">
        <v>3834</v>
      </c>
      <c r="G599" s="2" t="s">
        <v>3834</v>
      </c>
      <c r="H599" s="2" t="s">
        <v>3834</v>
      </c>
      <c r="I599" s="2" t="s">
        <v>198</v>
      </c>
      <c r="J599" s="2" t="s">
        <v>256</v>
      </c>
      <c r="K599" s="2" t="s">
        <v>1700</v>
      </c>
      <c r="L599" s="3">
        <v>16.56</v>
      </c>
      <c r="M599" s="3">
        <v>17.39</v>
      </c>
      <c r="N599" s="3">
        <v>36.99</v>
      </c>
      <c r="O599" s="2" t="s">
        <v>212</v>
      </c>
      <c r="P599" s="2" t="s">
        <v>258</v>
      </c>
      <c r="Q599" s="2" t="s">
        <v>206</v>
      </c>
      <c r="R599" s="2" t="s">
        <v>200</v>
      </c>
      <c r="S599" s="2" t="s">
        <v>3854</v>
      </c>
      <c r="T599" s="2" t="s">
        <v>1176</v>
      </c>
      <c r="U599" s="2" t="s">
        <v>270</v>
      </c>
      <c r="V599" s="2" t="s">
        <v>208</v>
      </c>
      <c r="W599" s="2" t="s">
        <v>241</v>
      </c>
      <c r="X599" s="2" t="s">
        <v>200</v>
      </c>
      <c r="Y599" s="2" t="s">
        <v>2132</v>
      </c>
      <c r="Z599" s="4">
        <v>233</v>
      </c>
      <c r="AA599" s="4">
        <f>=ROUNDDOWN(33.2857142857143,0)</f>
      </c>
      <c r="AB599" s="5">
        <v>7</v>
      </c>
      <c r="AC599" s="2" t="s">
        <v>369</v>
      </c>
      <c r="AD599" s="4">
        <v>80</v>
      </c>
      <c r="AE599" s="4">
        <v>80</v>
      </c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200</v>
      </c>
      <c r="AM599" s="4"/>
      <c r="AN599" s="4"/>
      <c r="AO599" s="7"/>
      <c r="AP599" s="4"/>
      <c r="AQ599" s="8"/>
      <c r="AR599" s="4"/>
      <c r="AS599" s="8"/>
      <c r="AT599" s="7"/>
      <c r="AU599" s="7"/>
      <c r="AV599" s="4" t="s">
        <v>200</v>
      </c>
      <c r="AW599" s="8" t="s">
        <v>200</v>
      </c>
      <c r="AX599" s="4" t="s">
        <v>200</v>
      </c>
      <c r="AY599" s="8" t="s">
        <v>200</v>
      </c>
      <c r="AZ599" s="7" t="s">
        <v>200</v>
      </c>
      <c r="BA599" s="7" t="s">
        <v>200</v>
      </c>
      <c r="BB599" s="7"/>
      <c r="BC599" s="4" t="s">
        <v>200</v>
      </c>
      <c r="BD599" s="8" t="s">
        <v>200</v>
      </c>
      <c r="BE599" s="4" t="s">
        <v>200</v>
      </c>
      <c r="BF599" s="8" t="s">
        <v>200</v>
      </c>
      <c r="BG599" s="7" t="s">
        <v>200</v>
      </c>
      <c r="BH599" s="7" t="s">
        <v>200</v>
      </c>
      <c r="BI599" s="7"/>
      <c r="BJ599" s="4">
        <v>30</v>
      </c>
      <c r="BK599" s="8">
        <v>562.1</v>
      </c>
      <c r="BL599" s="2" t="s">
        <v>1111</v>
      </c>
      <c r="BM599" s="7"/>
      <c r="BN599" s="7"/>
      <c r="BO599" s="4"/>
      <c r="BP599" s="8"/>
      <c r="BQ599" s="4"/>
      <c r="BR599" s="8"/>
      <c r="BS599" s="7"/>
      <c r="BT599" s="7"/>
      <c r="BU599" s="2" t="s">
        <v>3855</v>
      </c>
      <c r="BV599" s="2" t="s">
        <v>200</v>
      </c>
      <c r="BW599" s="2" t="s">
        <v>200</v>
      </c>
      <c r="BX599" s="2" t="s">
        <v>264</v>
      </c>
      <c r="BY599" s="2" t="s">
        <v>247</v>
      </c>
      <c r="BZ599" s="2" t="s">
        <v>212</v>
      </c>
      <c r="CA599" s="2" t="s">
        <v>1989</v>
      </c>
      <c r="CB599" s="2" t="s">
        <v>1264</v>
      </c>
      <c r="CC599" s="2" t="s">
        <v>213</v>
      </c>
      <c r="CD599" s="2" t="s">
        <v>200</v>
      </c>
      <c r="CE599" s="4">
        <v>233</v>
      </c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>
        <v>80</v>
      </c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</row>
    <row r="600">
      <c r="A600" s="2" t="s">
        <v>3856</v>
      </c>
      <c r="B600" s="2" t="s">
        <v>195</v>
      </c>
      <c r="C600" s="2" t="s">
        <v>624</v>
      </c>
      <c r="D600" s="2" t="s">
        <v>197</v>
      </c>
      <c r="E600" s="2" t="s">
        <v>198</v>
      </c>
      <c r="F600" s="2" t="s">
        <v>3834</v>
      </c>
      <c r="G600" s="2" t="s">
        <v>3834</v>
      </c>
      <c r="H600" s="2" t="s">
        <v>3834</v>
      </c>
      <c r="I600" s="2" t="s">
        <v>198</v>
      </c>
      <c r="J600" s="2" t="s">
        <v>612</v>
      </c>
      <c r="K600" s="2" t="s">
        <v>1700</v>
      </c>
      <c r="L600" s="3">
        <v>19.6</v>
      </c>
      <c r="M600" s="3">
        <v>20.58</v>
      </c>
      <c r="N600" s="3">
        <v>41.99</v>
      </c>
      <c r="O600" s="2" t="s">
        <v>212</v>
      </c>
      <c r="P600" s="2" t="s">
        <v>258</v>
      </c>
      <c r="Q600" s="2" t="s">
        <v>206</v>
      </c>
      <c r="R600" s="2" t="s">
        <v>200</v>
      </c>
      <c r="S600" s="2" t="s">
        <v>3854</v>
      </c>
      <c r="T600" s="2" t="s">
        <v>1176</v>
      </c>
      <c r="U600" s="2" t="s">
        <v>270</v>
      </c>
      <c r="V600" s="2" t="s">
        <v>208</v>
      </c>
      <c r="W600" s="2" t="s">
        <v>241</v>
      </c>
      <c r="X600" s="2" t="s">
        <v>200</v>
      </c>
      <c r="Y600" s="2" t="s">
        <v>2132</v>
      </c>
      <c r="Z600" s="4">
        <v>209</v>
      </c>
      <c r="AA600" s="4">
        <f>=ROUNDDOWN(16.0769230769231,0)</f>
      </c>
      <c r="AB600" s="5">
        <v>13</v>
      </c>
      <c r="AC600" s="2" t="s">
        <v>115</v>
      </c>
      <c r="AD600" s="4">
        <v>200</v>
      </c>
      <c r="AE600" s="4">
        <v>280</v>
      </c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200</v>
      </c>
      <c r="AM600" s="4"/>
      <c r="AN600" s="4"/>
      <c r="AO600" s="7"/>
      <c r="AP600" s="4"/>
      <c r="AQ600" s="8"/>
      <c r="AR600" s="4"/>
      <c r="AS600" s="8"/>
      <c r="AT600" s="7"/>
      <c r="AU600" s="7"/>
      <c r="AV600" s="4" t="s">
        <v>200</v>
      </c>
      <c r="AW600" s="8" t="s">
        <v>200</v>
      </c>
      <c r="AX600" s="4" t="s">
        <v>200</v>
      </c>
      <c r="AY600" s="8" t="s">
        <v>200</v>
      </c>
      <c r="AZ600" s="7" t="s">
        <v>200</v>
      </c>
      <c r="BA600" s="7" t="s">
        <v>200</v>
      </c>
      <c r="BB600" s="7"/>
      <c r="BC600" s="4" t="s">
        <v>200</v>
      </c>
      <c r="BD600" s="8" t="s">
        <v>200</v>
      </c>
      <c r="BE600" s="4" t="s">
        <v>200</v>
      </c>
      <c r="BF600" s="8" t="s">
        <v>200</v>
      </c>
      <c r="BG600" s="7" t="s">
        <v>200</v>
      </c>
      <c r="BH600" s="7" t="s">
        <v>200</v>
      </c>
      <c r="BI600" s="7"/>
      <c r="BJ600" s="4">
        <v>154</v>
      </c>
      <c r="BK600" s="8">
        <v>3411.85</v>
      </c>
      <c r="BL600" s="2" t="s">
        <v>3857</v>
      </c>
      <c r="BM600" s="7"/>
      <c r="BN600" s="7"/>
      <c r="BO600" s="4"/>
      <c r="BP600" s="8"/>
      <c r="BQ600" s="4"/>
      <c r="BR600" s="8"/>
      <c r="BS600" s="7"/>
      <c r="BT600" s="7"/>
      <c r="BU600" s="2" t="s">
        <v>3858</v>
      </c>
      <c r="BV600" s="2" t="s">
        <v>200</v>
      </c>
      <c r="BW600" s="2" t="s">
        <v>200</v>
      </c>
      <c r="BX600" s="2" t="s">
        <v>264</v>
      </c>
      <c r="BY600" s="2" t="s">
        <v>247</v>
      </c>
      <c r="BZ600" s="2" t="s">
        <v>212</v>
      </c>
      <c r="CA600" s="2" t="s">
        <v>1989</v>
      </c>
      <c r="CB600" s="2" t="s">
        <v>2795</v>
      </c>
      <c r="CC600" s="2" t="s">
        <v>213</v>
      </c>
      <c r="CD600" s="2" t="s">
        <v>200</v>
      </c>
      <c r="CE600" s="4">
        <v>209</v>
      </c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>
        <v>200</v>
      </c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>
        <v>80</v>
      </c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</row>
    <row r="601">
      <c r="A601" s="2" t="s">
        <v>3859</v>
      </c>
      <c r="B601" s="2" t="s">
        <v>195</v>
      </c>
      <c r="C601" s="2" t="s">
        <v>624</v>
      </c>
      <c r="D601" s="2" t="s">
        <v>197</v>
      </c>
      <c r="E601" s="2" t="s">
        <v>198</v>
      </c>
      <c r="F601" s="2" t="s">
        <v>3834</v>
      </c>
      <c r="G601" s="2" t="s">
        <v>3834</v>
      </c>
      <c r="H601" s="2" t="s">
        <v>3834</v>
      </c>
      <c r="I601" s="2" t="s">
        <v>198</v>
      </c>
      <c r="J601" s="2" t="s">
        <v>256</v>
      </c>
      <c r="K601" s="2" t="s">
        <v>257</v>
      </c>
      <c r="L601" s="3">
        <v>16.56</v>
      </c>
      <c r="M601" s="3">
        <v>17.39</v>
      </c>
      <c r="N601" s="3">
        <v>36.99</v>
      </c>
      <c r="O601" s="2" t="s">
        <v>212</v>
      </c>
      <c r="P601" s="2" t="s">
        <v>258</v>
      </c>
      <c r="Q601" s="2" t="s">
        <v>206</v>
      </c>
      <c r="R601" s="2" t="s">
        <v>200</v>
      </c>
      <c r="S601" s="2" t="s">
        <v>3860</v>
      </c>
      <c r="T601" s="2" t="s">
        <v>1176</v>
      </c>
      <c r="U601" s="2" t="s">
        <v>270</v>
      </c>
      <c r="V601" s="2" t="s">
        <v>208</v>
      </c>
      <c r="W601" s="2" t="s">
        <v>241</v>
      </c>
      <c r="X601" s="2" t="s">
        <v>200</v>
      </c>
      <c r="Y601" s="2" t="s">
        <v>2132</v>
      </c>
      <c r="Z601" s="4">
        <v>274</v>
      </c>
      <c r="AA601" s="4">
        <f>=ROUNDDOWN(68.5,0)</f>
      </c>
      <c r="AB601" s="5">
        <v>4</v>
      </c>
      <c r="AC601" s="2" t="s">
        <v>200</v>
      </c>
      <c r="AD601" s="4"/>
      <c r="AE601" s="4"/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200</v>
      </c>
      <c r="AM601" s="4"/>
      <c r="AN601" s="4"/>
      <c r="AO601" s="7"/>
      <c r="AP601" s="4"/>
      <c r="AQ601" s="8"/>
      <c r="AR601" s="4"/>
      <c r="AS601" s="8"/>
      <c r="AT601" s="7"/>
      <c r="AU601" s="7"/>
      <c r="AV601" s="4" t="s">
        <v>200</v>
      </c>
      <c r="AW601" s="8" t="s">
        <v>200</v>
      </c>
      <c r="AX601" s="4" t="s">
        <v>200</v>
      </c>
      <c r="AY601" s="8" t="s">
        <v>200</v>
      </c>
      <c r="AZ601" s="7" t="s">
        <v>200</v>
      </c>
      <c r="BA601" s="7" t="s">
        <v>200</v>
      </c>
      <c r="BB601" s="7"/>
      <c r="BC601" s="4" t="s">
        <v>200</v>
      </c>
      <c r="BD601" s="8" t="s">
        <v>200</v>
      </c>
      <c r="BE601" s="4" t="s">
        <v>200</v>
      </c>
      <c r="BF601" s="8" t="s">
        <v>200</v>
      </c>
      <c r="BG601" s="7" t="s">
        <v>200</v>
      </c>
      <c r="BH601" s="7" t="s">
        <v>200</v>
      </c>
      <c r="BI601" s="7"/>
      <c r="BJ601" s="4">
        <v>25</v>
      </c>
      <c r="BK601" s="8">
        <v>465.08</v>
      </c>
      <c r="BL601" s="2" t="s">
        <v>1111</v>
      </c>
      <c r="BM601" s="7"/>
      <c r="BN601" s="7"/>
      <c r="BO601" s="4"/>
      <c r="BP601" s="8"/>
      <c r="BQ601" s="4"/>
      <c r="BR601" s="8"/>
      <c r="BS601" s="7"/>
      <c r="BT601" s="7"/>
      <c r="BU601" s="2" t="s">
        <v>3861</v>
      </c>
      <c r="BV601" s="2" t="s">
        <v>200</v>
      </c>
      <c r="BW601" s="2" t="s">
        <v>200</v>
      </c>
      <c r="BX601" s="2" t="s">
        <v>264</v>
      </c>
      <c r="BY601" s="2" t="s">
        <v>247</v>
      </c>
      <c r="BZ601" s="2" t="s">
        <v>212</v>
      </c>
      <c r="CA601" s="2" t="s">
        <v>1989</v>
      </c>
      <c r="CB601" s="2" t="s">
        <v>200</v>
      </c>
      <c r="CC601" s="2" t="s">
        <v>213</v>
      </c>
      <c r="CD601" s="2" t="s">
        <v>200</v>
      </c>
      <c r="CE601" s="4">
        <v>274</v>
      </c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</row>
    <row r="602">
      <c r="A602" s="2" t="s">
        <v>3862</v>
      </c>
      <c r="B602" s="2" t="s">
        <v>195</v>
      </c>
      <c r="C602" s="2" t="s">
        <v>624</v>
      </c>
      <c r="D602" s="2" t="s">
        <v>197</v>
      </c>
      <c r="E602" s="2" t="s">
        <v>198</v>
      </c>
      <c r="F602" s="2" t="s">
        <v>3834</v>
      </c>
      <c r="G602" s="2" t="s">
        <v>3834</v>
      </c>
      <c r="H602" s="2" t="s">
        <v>3834</v>
      </c>
      <c r="I602" s="2" t="s">
        <v>198</v>
      </c>
      <c r="J602" s="2" t="s">
        <v>612</v>
      </c>
      <c r="K602" s="2" t="s">
        <v>257</v>
      </c>
      <c r="L602" s="3">
        <v>19.6</v>
      </c>
      <c r="M602" s="3">
        <v>20.58</v>
      </c>
      <c r="N602" s="3">
        <v>41.99</v>
      </c>
      <c r="O602" s="2" t="s">
        <v>212</v>
      </c>
      <c r="P602" s="2" t="s">
        <v>258</v>
      </c>
      <c r="Q602" s="2" t="s">
        <v>206</v>
      </c>
      <c r="R602" s="2" t="s">
        <v>200</v>
      </c>
      <c r="S602" s="2" t="s">
        <v>3860</v>
      </c>
      <c r="T602" s="2" t="s">
        <v>1176</v>
      </c>
      <c r="U602" s="2" t="s">
        <v>270</v>
      </c>
      <c r="V602" s="2" t="s">
        <v>208</v>
      </c>
      <c r="W602" s="2" t="s">
        <v>241</v>
      </c>
      <c r="X602" s="2" t="s">
        <v>200</v>
      </c>
      <c r="Y602" s="2" t="s">
        <v>2132</v>
      </c>
      <c r="Z602" s="4">
        <v>395</v>
      </c>
      <c r="AA602" s="4">
        <f>=ROUNDDOWN(48.7654320987654,0)</f>
      </c>
      <c r="AB602" s="5">
        <v>8.1</v>
      </c>
      <c r="AC602" s="2" t="s">
        <v>200</v>
      </c>
      <c r="AD602" s="4"/>
      <c r="AE602" s="4"/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200</v>
      </c>
      <c r="AM602" s="4"/>
      <c r="AN602" s="4"/>
      <c r="AO602" s="7"/>
      <c r="AP602" s="4"/>
      <c r="AQ602" s="8"/>
      <c r="AR602" s="4"/>
      <c r="AS602" s="8"/>
      <c r="AT602" s="7"/>
      <c r="AU602" s="7"/>
      <c r="AV602" s="4" t="s">
        <v>200</v>
      </c>
      <c r="AW602" s="8" t="s">
        <v>200</v>
      </c>
      <c r="AX602" s="4" t="s">
        <v>200</v>
      </c>
      <c r="AY602" s="8" t="s">
        <v>200</v>
      </c>
      <c r="AZ602" s="7" t="s">
        <v>200</v>
      </c>
      <c r="BA602" s="7" t="s">
        <v>200</v>
      </c>
      <c r="BB602" s="7"/>
      <c r="BC602" s="4" t="s">
        <v>200</v>
      </c>
      <c r="BD602" s="8" t="s">
        <v>200</v>
      </c>
      <c r="BE602" s="4" t="s">
        <v>200</v>
      </c>
      <c r="BF602" s="8" t="s">
        <v>200</v>
      </c>
      <c r="BG602" s="7" t="s">
        <v>200</v>
      </c>
      <c r="BH602" s="7" t="s">
        <v>200</v>
      </c>
      <c r="BI602" s="7"/>
      <c r="BJ602" s="4">
        <v>89</v>
      </c>
      <c r="BK602" s="8">
        <v>1967.21</v>
      </c>
      <c r="BL602" s="2" t="s">
        <v>3848</v>
      </c>
      <c r="BM602" s="7"/>
      <c r="BN602" s="7"/>
      <c r="BO602" s="4"/>
      <c r="BP602" s="8"/>
      <c r="BQ602" s="4"/>
      <c r="BR602" s="8"/>
      <c r="BS602" s="7"/>
      <c r="BT602" s="7"/>
      <c r="BU602" s="2" t="s">
        <v>3863</v>
      </c>
      <c r="BV602" s="2" t="s">
        <v>200</v>
      </c>
      <c r="BW602" s="2" t="s">
        <v>200</v>
      </c>
      <c r="BX602" s="2" t="s">
        <v>264</v>
      </c>
      <c r="BY602" s="2" t="s">
        <v>247</v>
      </c>
      <c r="BZ602" s="2" t="s">
        <v>212</v>
      </c>
      <c r="CA602" s="2" t="s">
        <v>1989</v>
      </c>
      <c r="CB602" s="2" t="s">
        <v>3864</v>
      </c>
      <c r="CC602" s="2" t="s">
        <v>213</v>
      </c>
      <c r="CD602" s="2" t="s">
        <v>200</v>
      </c>
      <c r="CE602" s="4">
        <v>395</v>
      </c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</row>
    <row r="603">
      <c r="A603" s="2" t="s">
        <v>3865</v>
      </c>
      <c r="B603" s="2" t="s">
        <v>195</v>
      </c>
      <c r="C603" s="2" t="s">
        <v>624</v>
      </c>
      <c r="D603" s="2" t="s">
        <v>197</v>
      </c>
      <c r="E603" s="2" t="s">
        <v>198</v>
      </c>
      <c r="F603" s="2" t="s">
        <v>3834</v>
      </c>
      <c r="G603" s="2" t="s">
        <v>3834</v>
      </c>
      <c r="H603" s="2" t="s">
        <v>3834</v>
      </c>
      <c r="I603" s="2" t="s">
        <v>198</v>
      </c>
      <c r="J603" s="2" t="s">
        <v>302</v>
      </c>
      <c r="K603" s="2" t="s">
        <v>257</v>
      </c>
      <c r="L603" s="3">
        <v>22.38</v>
      </c>
      <c r="M603" s="3">
        <v>23.5</v>
      </c>
      <c r="N603" s="3">
        <v>46.99</v>
      </c>
      <c r="O603" s="2" t="s">
        <v>212</v>
      </c>
      <c r="P603" s="2" t="s">
        <v>258</v>
      </c>
      <c r="Q603" s="2" t="s">
        <v>206</v>
      </c>
      <c r="R603" s="2" t="s">
        <v>200</v>
      </c>
      <c r="S603" s="2" t="s">
        <v>3860</v>
      </c>
      <c r="T603" s="2" t="s">
        <v>1176</v>
      </c>
      <c r="U603" s="2" t="s">
        <v>270</v>
      </c>
      <c r="V603" s="2" t="s">
        <v>208</v>
      </c>
      <c r="W603" s="2" t="s">
        <v>241</v>
      </c>
      <c r="X603" s="2" t="s">
        <v>200</v>
      </c>
      <c r="Y603" s="2" t="s">
        <v>2132</v>
      </c>
      <c r="Z603" s="4">
        <v>228</v>
      </c>
      <c r="AA603" s="4">
        <f>=ROUNDDOWN(32.5714285714286,0)</f>
      </c>
      <c r="AB603" s="5">
        <v>7</v>
      </c>
      <c r="AC603" s="2" t="s">
        <v>200</v>
      </c>
      <c r="AD603" s="4"/>
      <c r="AE603" s="4"/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200</v>
      </c>
      <c r="AM603" s="4"/>
      <c r="AN603" s="4"/>
      <c r="AO603" s="7"/>
      <c r="AP603" s="4"/>
      <c r="AQ603" s="8"/>
      <c r="AR603" s="4"/>
      <c r="AS603" s="8"/>
      <c r="AT603" s="7"/>
      <c r="AU603" s="7"/>
      <c r="AV603" s="4" t="s">
        <v>200</v>
      </c>
      <c r="AW603" s="8" t="s">
        <v>200</v>
      </c>
      <c r="AX603" s="4" t="s">
        <v>200</v>
      </c>
      <c r="AY603" s="8" t="s">
        <v>200</v>
      </c>
      <c r="AZ603" s="7" t="s">
        <v>200</v>
      </c>
      <c r="BA603" s="7" t="s">
        <v>200</v>
      </c>
      <c r="BB603" s="7"/>
      <c r="BC603" s="4" t="s">
        <v>200</v>
      </c>
      <c r="BD603" s="8" t="s">
        <v>200</v>
      </c>
      <c r="BE603" s="4" t="s">
        <v>200</v>
      </c>
      <c r="BF603" s="8" t="s">
        <v>200</v>
      </c>
      <c r="BG603" s="7" t="s">
        <v>200</v>
      </c>
      <c r="BH603" s="7" t="s">
        <v>200</v>
      </c>
      <c r="BI603" s="7"/>
      <c r="BJ603" s="4">
        <v>70</v>
      </c>
      <c r="BK603" s="8">
        <v>1775.58</v>
      </c>
      <c r="BL603" s="2" t="s">
        <v>3838</v>
      </c>
      <c r="BM603" s="7"/>
      <c r="BN603" s="7"/>
      <c r="BO603" s="4"/>
      <c r="BP603" s="8"/>
      <c r="BQ603" s="4"/>
      <c r="BR603" s="8"/>
      <c r="BS603" s="7"/>
      <c r="BT603" s="7"/>
      <c r="BU603" s="2" t="s">
        <v>3866</v>
      </c>
      <c r="BV603" s="2" t="s">
        <v>200</v>
      </c>
      <c r="BW603" s="2" t="s">
        <v>200</v>
      </c>
      <c r="BX603" s="2" t="s">
        <v>264</v>
      </c>
      <c r="BY603" s="2" t="s">
        <v>247</v>
      </c>
      <c r="BZ603" s="2" t="s">
        <v>212</v>
      </c>
      <c r="CA603" s="2" t="s">
        <v>1989</v>
      </c>
      <c r="CB603" s="2" t="s">
        <v>2743</v>
      </c>
      <c r="CC603" s="2" t="s">
        <v>213</v>
      </c>
      <c r="CD603" s="2" t="s">
        <v>200</v>
      </c>
      <c r="CE603" s="4">
        <v>228</v>
      </c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</row>
    <row r="604">
      <c r="A604" s="2" t="s">
        <v>3867</v>
      </c>
      <c r="B604" s="2" t="s">
        <v>195</v>
      </c>
      <c r="C604" s="2" t="s">
        <v>3204</v>
      </c>
      <c r="D604" s="2" t="s">
        <v>1168</v>
      </c>
      <c r="E604" s="2" t="s">
        <v>3205</v>
      </c>
      <c r="F604" s="2" t="s">
        <v>3868</v>
      </c>
      <c r="G604" s="2" t="s">
        <v>3868</v>
      </c>
      <c r="H604" s="2" t="s">
        <v>3868</v>
      </c>
      <c r="I604" s="2" t="s">
        <v>198</v>
      </c>
      <c r="J604" s="2" t="s">
        <v>256</v>
      </c>
      <c r="K604" s="2" t="s">
        <v>221</v>
      </c>
      <c r="L604" s="3">
        <v>42.85</v>
      </c>
      <c r="M604" s="3">
        <v>44.99</v>
      </c>
      <c r="N604" s="3">
        <v>89.99</v>
      </c>
      <c r="O604" s="2" t="s">
        <v>212</v>
      </c>
      <c r="P604" s="2" t="s">
        <v>205</v>
      </c>
      <c r="Q604" s="2" t="s">
        <v>206</v>
      </c>
      <c r="R604" s="2" t="s">
        <v>200</v>
      </c>
      <c r="S604" s="2" t="s">
        <v>3869</v>
      </c>
      <c r="T604" s="2" t="s">
        <v>1176</v>
      </c>
      <c r="U604" s="2" t="s">
        <v>270</v>
      </c>
      <c r="V604" s="2" t="s">
        <v>208</v>
      </c>
      <c r="W604" s="2" t="s">
        <v>241</v>
      </c>
      <c r="X604" s="2" t="s">
        <v>200</v>
      </c>
      <c r="Y604" s="2" t="s">
        <v>3870</v>
      </c>
      <c r="Z604" s="4">
        <v>201</v>
      </c>
      <c r="AA604" s="4">
        <f>=ROUNDDOWN({0},0)</f>
      </c>
      <c r="AB604" s="5"/>
      <c r="AC604" s="2" t="s">
        <v>200</v>
      </c>
      <c r="AD604" s="4"/>
      <c r="AE604" s="4"/>
      <c r="AF604" s="6">
        <v>66</v>
      </c>
      <c r="AG604" s="6"/>
      <c r="AH604" s="7">
        <v>1</v>
      </c>
      <c r="AI604" s="4"/>
      <c r="AJ604" s="4">
        <f>=ROUNDDOWN({0},0)</f>
      </c>
      <c r="AK604" s="5"/>
      <c r="AL604" s="2" t="s">
        <v>200</v>
      </c>
      <c r="AM604" s="4"/>
      <c r="AN604" s="4"/>
      <c r="AO604" s="7"/>
      <c r="AP604" s="4"/>
      <c r="AQ604" s="8"/>
      <c r="AR604" s="4"/>
      <c r="AS604" s="8"/>
      <c r="AT604" s="7"/>
      <c r="AU604" s="7"/>
      <c r="AV604" s="4" t="s">
        <v>200</v>
      </c>
      <c r="AW604" s="8" t="s">
        <v>200</v>
      </c>
      <c r="AX604" s="4" t="s">
        <v>200</v>
      </c>
      <c r="AY604" s="8" t="s">
        <v>200</v>
      </c>
      <c r="AZ604" s="7" t="s">
        <v>200</v>
      </c>
      <c r="BA604" s="7" t="s">
        <v>200</v>
      </c>
      <c r="BB604" s="7"/>
      <c r="BC604" s="4" t="s">
        <v>200</v>
      </c>
      <c r="BD604" s="8" t="s">
        <v>200</v>
      </c>
      <c r="BE604" s="4" t="s">
        <v>200</v>
      </c>
      <c r="BF604" s="8" t="s">
        <v>200</v>
      </c>
      <c r="BG604" s="7" t="s">
        <v>200</v>
      </c>
      <c r="BH604" s="7" t="s">
        <v>200</v>
      </c>
      <c r="BI604" s="7"/>
      <c r="BJ604" s="4">
        <v>14</v>
      </c>
      <c r="BK604" s="8">
        <v>676.21</v>
      </c>
      <c r="BL604" s="2" t="s">
        <v>319</v>
      </c>
      <c r="BM604" s="7"/>
      <c r="BN604" s="7"/>
      <c r="BO604" s="4"/>
      <c r="BP604" s="8"/>
      <c r="BQ604" s="4"/>
      <c r="BR604" s="8"/>
      <c r="BS604" s="7"/>
      <c r="BT604" s="7"/>
      <c r="BU604" s="2" t="s">
        <v>3871</v>
      </c>
      <c r="BV604" s="2" t="s">
        <v>200</v>
      </c>
      <c r="BW604" s="2" t="s">
        <v>200</v>
      </c>
      <c r="BX604" s="2" t="s">
        <v>264</v>
      </c>
      <c r="BY604" s="2" t="s">
        <v>247</v>
      </c>
      <c r="BZ604" s="2" t="s">
        <v>212</v>
      </c>
      <c r="CA604" s="2" t="s">
        <v>1179</v>
      </c>
      <c r="CB604" s="2" t="s">
        <v>200</v>
      </c>
      <c r="CC604" s="2" t="s">
        <v>213</v>
      </c>
      <c r="CD604" s="2" t="s">
        <v>200</v>
      </c>
      <c r="CE604" s="4"/>
      <c r="CF604" s="4"/>
      <c r="CG604" s="4"/>
      <c r="CH604" s="4">
        <v>201</v>
      </c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</row>
    <row r="605">
      <c r="A605" s="2" t="s">
        <v>3872</v>
      </c>
      <c r="B605" s="2" t="s">
        <v>195</v>
      </c>
      <c r="C605" s="2" t="s">
        <v>3204</v>
      </c>
      <c r="D605" s="2" t="s">
        <v>1168</v>
      </c>
      <c r="E605" s="2" t="s">
        <v>3205</v>
      </c>
      <c r="F605" s="2" t="s">
        <v>3868</v>
      </c>
      <c r="G605" s="2" t="s">
        <v>3868</v>
      </c>
      <c r="H605" s="2" t="s">
        <v>3868</v>
      </c>
      <c r="I605" s="2" t="s">
        <v>198</v>
      </c>
      <c r="J605" s="2" t="s">
        <v>277</v>
      </c>
      <c r="K605" s="2" t="s">
        <v>221</v>
      </c>
      <c r="L605" s="3">
        <v>47.61</v>
      </c>
      <c r="M605" s="3">
        <v>49.99</v>
      </c>
      <c r="N605" s="3">
        <v>99.99</v>
      </c>
      <c r="O605" s="2" t="s">
        <v>212</v>
      </c>
      <c r="P605" s="2" t="s">
        <v>205</v>
      </c>
      <c r="Q605" s="2" t="s">
        <v>206</v>
      </c>
      <c r="R605" s="2" t="s">
        <v>200</v>
      </c>
      <c r="S605" s="2" t="s">
        <v>3869</v>
      </c>
      <c r="T605" s="2" t="s">
        <v>1176</v>
      </c>
      <c r="U605" s="2" t="s">
        <v>270</v>
      </c>
      <c r="V605" s="2" t="s">
        <v>208</v>
      </c>
      <c r="W605" s="2" t="s">
        <v>241</v>
      </c>
      <c r="X605" s="2" t="s">
        <v>200</v>
      </c>
      <c r="Y605" s="2" t="s">
        <v>3870</v>
      </c>
      <c r="Z605" s="4">
        <v>205</v>
      </c>
      <c r="AA605" s="4">
        <f>=ROUNDDOWN({0},0)</f>
      </c>
      <c r="AB605" s="5"/>
      <c r="AC605" s="2" t="s">
        <v>200</v>
      </c>
      <c r="AD605" s="4"/>
      <c r="AE605" s="4"/>
      <c r="AF605" s="6">
        <v>66</v>
      </c>
      <c r="AG605" s="6"/>
      <c r="AH605" s="7">
        <v>1</v>
      </c>
      <c r="AI605" s="4"/>
      <c r="AJ605" s="4">
        <f>=ROUNDDOWN({0},0)</f>
      </c>
      <c r="AK605" s="5"/>
      <c r="AL605" s="2" t="s">
        <v>200</v>
      </c>
      <c r="AM605" s="4"/>
      <c r="AN605" s="4"/>
      <c r="AO605" s="7"/>
      <c r="AP605" s="4"/>
      <c r="AQ605" s="8"/>
      <c r="AR605" s="4"/>
      <c r="AS605" s="8"/>
      <c r="AT605" s="7"/>
      <c r="AU605" s="7"/>
      <c r="AV605" s="4" t="s">
        <v>200</v>
      </c>
      <c r="AW605" s="8" t="s">
        <v>200</v>
      </c>
      <c r="AX605" s="4" t="s">
        <v>200</v>
      </c>
      <c r="AY605" s="8" t="s">
        <v>200</v>
      </c>
      <c r="AZ605" s="7" t="s">
        <v>200</v>
      </c>
      <c r="BA605" s="7" t="s">
        <v>200</v>
      </c>
      <c r="BB605" s="7"/>
      <c r="BC605" s="4" t="s">
        <v>200</v>
      </c>
      <c r="BD605" s="8" t="s">
        <v>200</v>
      </c>
      <c r="BE605" s="4" t="s">
        <v>200</v>
      </c>
      <c r="BF605" s="8" t="s">
        <v>200</v>
      </c>
      <c r="BG605" s="7" t="s">
        <v>200</v>
      </c>
      <c r="BH605" s="7" t="s">
        <v>200</v>
      </c>
      <c r="BI605" s="7"/>
      <c r="BJ605" s="4">
        <v>26</v>
      </c>
      <c r="BK605" s="8">
        <v>1402.24</v>
      </c>
      <c r="BL605" s="2" t="s">
        <v>2202</v>
      </c>
      <c r="BM605" s="7"/>
      <c r="BN605" s="7"/>
      <c r="BO605" s="4"/>
      <c r="BP605" s="8"/>
      <c r="BQ605" s="4"/>
      <c r="BR605" s="8"/>
      <c r="BS605" s="7"/>
      <c r="BT605" s="7"/>
      <c r="BU605" s="2" t="s">
        <v>3873</v>
      </c>
      <c r="BV605" s="2" t="s">
        <v>200</v>
      </c>
      <c r="BW605" s="2" t="s">
        <v>200</v>
      </c>
      <c r="BX605" s="2" t="s">
        <v>264</v>
      </c>
      <c r="BY605" s="2" t="s">
        <v>247</v>
      </c>
      <c r="BZ605" s="2" t="s">
        <v>212</v>
      </c>
      <c r="CA605" s="2" t="s">
        <v>1179</v>
      </c>
      <c r="CB605" s="2" t="s">
        <v>200</v>
      </c>
      <c r="CC605" s="2" t="s">
        <v>213</v>
      </c>
      <c r="CD605" s="2" t="s">
        <v>200</v>
      </c>
      <c r="CE605" s="4"/>
      <c r="CF605" s="4"/>
      <c r="CG605" s="4"/>
      <c r="CH605" s="4">
        <v>205</v>
      </c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</row>
    <row r="606">
      <c r="A606" s="2" t="s">
        <v>3874</v>
      </c>
      <c r="B606" s="2" t="s">
        <v>195</v>
      </c>
      <c r="C606" s="2" t="s">
        <v>3204</v>
      </c>
      <c r="D606" s="2" t="s">
        <v>1168</v>
      </c>
      <c r="E606" s="2" t="s">
        <v>3205</v>
      </c>
      <c r="F606" s="2" t="s">
        <v>3868</v>
      </c>
      <c r="G606" s="2" t="s">
        <v>3868</v>
      </c>
      <c r="H606" s="2" t="s">
        <v>3868</v>
      </c>
      <c r="I606" s="2" t="s">
        <v>198</v>
      </c>
      <c r="J606" s="2" t="s">
        <v>256</v>
      </c>
      <c r="K606" s="2" t="s">
        <v>223</v>
      </c>
      <c r="L606" s="3">
        <v>42.85</v>
      </c>
      <c r="M606" s="3">
        <v>44.99</v>
      </c>
      <c r="N606" s="3">
        <v>89.99</v>
      </c>
      <c r="O606" s="2" t="s">
        <v>212</v>
      </c>
      <c r="P606" s="2" t="s">
        <v>205</v>
      </c>
      <c r="Q606" s="2" t="s">
        <v>206</v>
      </c>
      <c r="R606" s="2" t="s">
        <v>200</v>
      </c>
      <c r="S606" s="2" t="s">
        <v>3875</v>
      </c>
      <c r="T606" s="2" t="s">
        <v>1176</v>
      </c>
      <c r="U606" s="2" t="s">
        <v>270</v>
      </c>
      <c r="V606" s="2" t="s">
        <v>208</v>
      </c>
      <c r="W606" s="2" t="s">
        <v>241</v>
      </c>
      <c r="X606" s="2" t="s">
        <v>200</v>
      </c>
      <c r="Y606" s="2" t="s">
        <v>3870</v>
      </c>
      <c r="Z606" s="4">
        <v>293</v>
      </c>
      <c r="AA606" s="4">
        <f>=ROUNDDOWN({0},0)</f>
      </c>
      <c r="AB606" s="5"/>
      <c r="AC606" s="2" t="s">
        <v>200</v>
      </c>
      <c r="AD606" s="4"/>
      <c r="AE606" s="4"/>
      <c r="AF606" s="6">
        <v>66</v>
      </c>
      <c r="AG606" s="6"/>
      <c r="AH606" s="7">
        <v>1</v>
      </c>
      <c r="AI606" s="4"/>
      <c r="AJ606" s="4">
        <f>=ROUNDDOWN({0},0)</f>
      </c>
      <c r="AK606" s="5"/>
      <c r="AL606" s="2" t="s">
        <v>200</v>
      </c>
      <c r="AM606" s="4"/>
      <c r="AN606" s="4"/>
      <c r="AO606" s="7"/>
      <c r="AP606" s="4"/>
      <c r="AQ606" s="8"/>
      <c r="AR606" s="4"/>
      <c r="AS606" s="8"/>
      <c r="AT606" s="7"/>
      <c r="AU606" s="7"/>
      <c r="AV606" s="4" t="s">
        <v>200</v>
      </c>
      <c r="AW606" s="8" t="s">
        <v>200</v>
      </c>
      <c r="AX606" s="4" t="s">
        <v>200</v>
      </c>
      <c r="AY606" s="8" t="s">
        <v>200</v>
      </c>
      <c r="AZ606" s="7" t="s">
        <v>200</v>
      </c>
      <c r="BA606" s="7" t="s">
        <v>200</v>
      </c>
      <c r="BB606" s="7"/>
      <c r="BC606" s="4" t="s">
        <v>200</v>
      </c>
      <c r="BD606" s="8" t="s">
        <v>200</v>
      </c>
      <c r="BE606" s="4" t="s">
        <v>200</v>
      </c>
      <c r="BF606" s="8" t="s">
        <v>200</v>
      </c>
      <c r="BG606" s="7" t="s">
        <v>200</v>
      </c>
      <c r="BH606" s="7" t="s">
        <v>200</v>
      </c>
      <c r="BI606" s="7"/>
      <c r="BJ606" s="4">
        <v>14</v>
      </c>
      <c r="BK606" s="8">
        <v>680.26</v>
      </c>
      <c r="BL606" s="2" t="s">
        <v>2436</v>
      </c>
      <c r="BM606" s="7"/>
      <c r="BN606" s="7"/>
      <c r="BO606" s="4"/>
      <c r="BP606" s="8"/>
      <c r="BQ606" s="4"/>
      <c r="BR606" s="8"/>
      <c r="BS606" s="7"/>
      <c r="BT606" s="7"/>
      <c r="BU606" s="2" t="s">
        <v>3876</v>
      </c>
      <c r="BV606" s="2" t="s">
        <v>200</v>
      </c>
      <c r="BW606" s="2" t="s">
        <v>200</v>
      </c>
      <c r="BX606" s="2" t="s">
        <v>264</v>
      </c>
      <c r="BY606" s="2" t="s">
        <v>247</v>
      </c>
      <c r="BZ606" s="2" t="s">
        <v>212</v>
      </c>
      <c r="CA606" s="2" t="s">
        <v>3877</v>
      </c>
      <c r="CB606" s="2" t="s">
        <v>200</v>
      </c>
      <c r="CC606" s="2" t="s">
        <v>213</v>
      </c>
      <c r="CD606" s="2" t="s">
        <v>200</v>
      </c>
      <c r="CE606" s="4"/>
      <c r="CF606" s="4"/>
      <c r="CG606" s="4"/>
      <c r="CH606" s="4">
        <v>293</v>
      </c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</row>
    <row r="607">
      <c r="A607" s="2" t="s">
        <v>3878</v>
      </c>
      <c r="B607" s="2" t="s">
        <v>195</v>
      </c>
      <c r="C607" s="2" t="s">
        <v>3204</v>
      </c>
      <c r="D607" s="2" t="s">
        <v>1168</v>
      </c>
      <c r="E607" s="2" t="s">
        <v>3205</v>
      </c>
      <c r="F607" s="2" t="s">
        <v>3868</v>
      </c>
      <c r="G607" s="2" t="s">
        <v>3868</v>
      </c>
      <c r="H607" s="2" t="s">
        <v>3868</v>
      </c>
      <c r="I607" s="2" t="s">
        <v>198</v>
      </c>
      <c r="J607" s="2" t="s">
        <v>277</v>
      </c>
      <c r="K607" s="2" t="s">
        <v>223</v>
      </c>
      <c r="L607" s="3">
        <v>47.61</v>
      </c>
      <c r="M607" s="3">
        <v>49.99</v>
      </c>
      <c r="N607" s="3">
        <v>99.99</v>
      </c>
      <c r="O607" s="2" t="s">
        <v>212</v>
      </c>
      <c r="P607" s="2" t="s">
        <v>205</v>
      </c>
      <c r="Q607" s="2" t="s">
        <v>206</v>
      </c>
      <c r="R607" s="2" t="s">
        <v>200</v>
      </c>
      <c r="S607" s="2" t="s">
        <v>3875</v>
      </c>
      <c r="T607" s="2" t="s">
        <v>1176</v>
      </c>
      <c r="U607" s="2" t="s">
        <v>270</v>
      </c>
      <c r="V607" s="2" t="s">
        <v>208</v>
      </c>
      <c r="W607" s="2" t="s">
        <v>241</v>
      </c>
      <c r="X607" s="2" t="s">
        <v>200</v>
      </c>
      <c r="Y607" s="2" t="s">
        <v>3870</v>
      </c>
      <c r="Z607" s="4">
        <v>254</v>
      </c>
      <c r="AA607" s="4">
        <f>=ROUNDDOWN({0},0)</f>
      </c>
      <c r="AB607" s="5"/>
      <c r="AC607" s="2" t="s">
        <v>200</v>
      </c>
      <c r="AD607" s="4"/>
      <c r="AE607" s="4"/>
      <c r="AF607" s="6">
        <v>66</v>
      </c>
      <c r="AG607" s="6"/>
      <c r="AH607" s="7">
        <v>1</v>
      </c>
      <c r="AI607" s="4"/>
      <c r="AJ607" s="4">
        <f>=ROUNDDOWN({0},0)</f>
      </c>
      <c r="AK607" s="5"/>
      <c r="AL607" s="2" t="s">
        <v>200</v>
      </c>
      <c r="AM607" s="4"/>
      <c r="AN607" s="4"/>
      <c r="AO607" s="7"/>
      <c r="AP607" s="4"/>
      <c r="AQ607" s="8"/>
      <c r="AR607" s="4"/>
      <c r="AS607" s="8"/>
      <c r="AT607" s="7"/>
      <c r="AU607" s="7"/>
      <c r="AV607" s="4" t="s">
        <v>200</v>
      </c>
      <c r="AW607" s="8" t="s">
        <v>200</v>
      </c>
      <c r="AX607" s="4" t="s">
        <v>200</v>
      </c>
      <c r="AY607" s="8" t="s">
        <v>200</v>
      </c>
      <c r="AZ607" s="7" t="s">
        <v>200</v>
      </c>
      <c r="BA607" s="7" t="s">
        <v>200</v>
      </c>
      <c r="BB607" s="7"/>
      <c r="BC607" s="4" t="s">
        <v>200</v>
      </c>
      <c r="BD607" s="8" t="s">
        <v>200</v>
      </c>
      <c r="BE607" s="4" t="s">
        <v>200</v>
      </c>
      <c r="BF607" s="8" t="s">
        <v>200</v>
      </c>
      <c r="BG607" s="7" t="s">
        <v>200</v>
      </c>
      <c r="BH607" s="7" t="s">
        <v>200</v>
      </c>
      <c r="BI607" s="7"/>
      <c r="BJ607" s="4">
        <v>19</v>
      </c>
      <c r="BK607" s="8">
        <v>1017.31</v>
      </c>
      <c r="BL607" s="2" t="s">
        <v>3879</v>
      </c>
      <c r="BM607" s="7"/>
      <c r="BN607" s="7"/>
      <c r="BO607" s="4"/>
      <c r="BP607" s="8"/>
      <c r="BQ607" s="4"/>
      <c r="BR607" s="8"/>
      <c r="BS607" s="7"/>
      <c r="BT607" s="7"/>
      <c r="BU607" s="2" t="s">
        <v>3880</v>
      </c>
      <c r="BV607" s="2" t="s">
        <v>200</v>
      </c>
      <c r="BW607" s="2" t="s">
        <v>200</v>
      </c>
      <c r="BX607" s="2" t="s">
        <v>264</v>
      </c>
      <c r="BY607" s="2" t="s">
        <v>247</v>
      </c>
      <c r="BZ607" s="2" t="s">
        <v>212</v>
      </c>
      <c r="CA607" s="2" t="s">
        <v>1179</v>
      </c>
      <c r="CB607" s="2" t="s">
        <v>200</v>
      </c>
      <c r="CC607" s="2" t="s">
        <v>213</v>
      </c>
      <c r="CD607" s="2" t="s">
        <v>200</v>
      </c>
      <c r="CE607" s="4"/>
      <c r="CF607" s="4"/>
      <c r="CG607" s="4"/>
      <c r="CH607" s="4">
        <v>254</v>
      </c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</row>
    <row r="608">
      <c r="A608" s="2" t="s">
        <v>3881</v>
      </c>
      <c r="B608" s="2" t="s">
        <v>195</v>
      </c>
      <c r="C608" s="2" t="s">
        <v>3204</v>
      </c>
      <c r="D608" s="2" t="s">
        <v>1168</v>
      </c>
      <c r="E608" s="2" t="s">
        <v>3205</v>
      </c>
      <c r="F608" s="2" t="s">
        <v>3868</v>
      </c>
      <c r="G608" s="2" t="s">
        <v>3868</v>
      </c>
      <c r="H608" s="2" t="s">
        <v>3868</v>
      </c>
      <c r="I608" s="2" t="s">
        <v>198</v>
      </c>
      <c r="J608" s="2" t="s">
        <v>297</v>
      </c>
      <c r="K608" s="2" t="s">
        <v>223</v>
      </c>
      <c r="L608" s="3">
        <v>66.66</v>
      </c>
      <c r="M608" s="3">
        <v>69.99</v>
      </c>
      <c r="N608" s="3">
        <v>139.99</v>
      </c>
      <c r="O608" s="2" t="s">
        <v>212</v>
      </c>
      <c r="P608" s="2" t="s">
        <v>205</v>
      </c>
      <c r="Q608" s="2" t="s">
        <v>206</v>
      </c>
      <c r="R608" s="2" t="s">
        <v>200</v>
      </c>
      <c r="S608" s="2" t="s">
        <v>3875</v>
      </c>
      <c r="T608" s="2" t="s">
        <v>1176</v>
      </c>
      <c r="U608" s="2" t="s">
        <v>270</v>
      </c>
      <c r="V608" s="2" t="s">
        <v>208</v>
      </c>
      <c r="W608" s="2" t="s">
        <v>241</v>
      </c>
      <c r="X608" s="2" t="s">
        <v>200</v>
      </c>
      <c r="Y608" s="2" t="s">
        <v>3870</v>
      </c>
      <c r="Z608" s="4">
        <v>279</v>
      </c>
      <c r="AA608" s="4">
        <f>=ROUNDDOWN({0},0)</f>
      </c>
      <c r="AB608" s="5"/>
      <c r="AC608" s="2" t="s">
        <v>200</v>
      </c>
      <c r="AD608" s="4"/>
      <c r="AE608" s="4"/>
      <c r="AF608" s="6">
        <v>66</v>
      </c>
      <c r="AG608" s="6"/>
      <c r="AH608" s="7">
        <v>1</v>
      </c>
      <c r="AI608" s="4"/>
      <c r="AJ608" s="4">
        <f>=ROUNDDOWN({0},0)</f>
      </c>
      <c r="AK608" s="5"/>
      <c r="AL608" s="2" t="s">
        <v>200</v>
      </c>
      <c r="AM608" s="4"/>
      <c r="AN608" s="4"/>
      <c r="AO608" s="7"/>
      <c r="AP608" s="4"/>
      <c r="AQ608" s="8"/>
      <c r="AR608" s="4"/>
      <c r="AS608" s="8"/>
      <c r="AT608" s="7"/>
      <c r="AU608" s="7"/>
      <c r="AV608" s="4" t="s">
        <v>200</v>
      </c>
      <c r="AW608" s="8" t="s">
        <v>200</v>
      </c>
      <c r="AX608" s="4" t="s">
        <v>200</v>
      </c>
      <c r="AY608" s="8" t="s">
        <v>200</v>
      </c>
      <c r="AZ608" s="7" t="s">
        <v>200</v>
      </c>
      <c r="BA608" s="7" t="s">
        <v>200</v>
      </c>
      <c r="BB608" s="7"/>
      <c r="BC608" s="4" t="s">
        <v>200</v>
      </c>
      <c r="BD608" s="8" t="s">
        <v>200</v>
      </c>
      <c r="BE608" s="4" t="s">
        <v>200</v>
      </c>
      <c r="BF608" s="8" t="s">
        <v>200</v>
      </c>
      <c r="BG608" s="7" t="s">
        <v>200</v>
      </c>
      <c r="BH608" s="7" t="s">
        <v>200</v>
      </c>
      <c r="BI608" s="7"/>
      <c r="BJ608" s="4">
        <v>28</v>
      </c>
      <c r="BK608" s="8">
        <v>2114.42</v>
      </c>
      <c r="BL608" s="2" t="s">
        <v>319</v>
      </c>
      <c r="BM608" s="7"/>
      <c r="BN608" s="7"/>
      <c r="BO608" s="4"/>
      <c r="BP608" s="8"/>
      <c r="BQ608" s="4"/>
      <c r="BR608" s="8"/>
      <c r="BS608" s="7"/>
      <c r="BT608" s="7"/>
      <c r="BU608" s="2" t="s">
        <v>3882</v>
      </c>
      <c r="BV608" s="2" t="s">
        <v>200</v>
      </c>
      <c r="BW608" s="2" t="s">
        <v>200</v>
      </c>
      <c r="BX608" s="2" t="s">
        <v>264</v>
      </c>
      <c r="BY608" s="2" t="s">
        <v>247</v>
      </c>
      <c r="BZ608" s="2" t="s">
        <v>212</v>
      </c>
      <c r="CA608" s="2" t="s">
        <v>1179</v>
      </c>
      <c r="CB608" s="2" t="s">
        <v>200</v>
      </c>
      <c r="CC608" s="2" t="s">
        <v>213</v>
      </c>
      <c r="CD608" s="2" t="s">
        <v>200</v>
      </c>
      <c r="CE608" s="4"/>
      <c r="CF608" s="4"/>
      <c r="CG608" s="4"/>
      <c r="CH608" s="4">
        <v>279</v>
      </c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</row>
    <row r="609">
      <c r="A609" s="2" t="s">
        <v>3883</v>
      </c>
      <c r="B609" s="2" t="s">
        <v>195</v>
      </c>
      <c r="C609" s="2" t="s">
        <v>3204</v>
      </c>
      <c r="D609" s="2" t="s">
        <v>1168</v>
      </c>
      <c r="E609" s="2" t="s">
        <v>3205</v>
      </c>
      <c r="F609" s="2" t="s">
        <v>3868</v>
      </c>
      <c r="G609" s="2" t="s">
        <v>3868</v>
      </c>
      <c r="H609" s="2" t="s">
        <v>3868</v>
      </c>
      <c r="I609" s="2" t="s">
        <v>198</v>
      </c>
      <c r="J609" s="2" t="s">
        <v>302</v>
      </c>
      <c r="K609" s="2" t="s">
        <v>223</v>
      </c>
      <c r="L609" s="3">
        <v>76.19</v>
      </c>
      <c r="M609" s="3">
        <v>80</v>
      </c>
      <c r="N609" s="3">
        <v>159.99</v>
      </c>
      <c r="O609" s="2" t="s">
        <v>212</v>
      </c>
      <c r="P609" s="2" t="s">
        <v>205</v>
      </c>
      <c r="Q609" s="2" t="s">
        <v>206</v>
      </c>
      <c r="R609" s="2" t="s">
        <v>200</v>
      </c>
      <c r="S609" s="2" t="s">
        <v>3875</v>
      </c>
      <c r="T609" s="2" t="s">
        <v>1176</v>
      </c>
      <c r="U609" s="2" t="s">
        <v>270</v>
      </c>
      <c r="V609" s="2" t="s">
        <v>208</v>
      </c>
      <c r="W609" s="2" t="s">
        <v>241</v>
      </c>
      <c r="X609" s="2" t="s">
        <v>200</v>
      </c>
      <c r="Y609" s="2" t="s">
        <v>3870</v>
      </c>
      <c r="Z609" s="4">
        <v>260</v>
      </c>
      <c r="AA609" s="4">
        <f>=ROUNDDOWN({0},0)</f>
      </c>
      <c r="AB609" s="5"/>
      <c r="AC609" s="2" t="s">
        <v>200</v>
      </c>
      <c r="AD609" s="4"/>
      <c r="AE609" s="4"/>
      <c r="AF609" s="6">
        <v>66</v>
      </c>
      <c r="AG609" s="6"/>
      <c r="AH609" s="7">
        <v>1</v>
      </c>
      <c r="AI609" s="4"/>
      <c r="AJ609" s="4">
        <f>=ROUNDDOWN({0},0)</f>
      </c>
      <c r="AK609" s="5"/>
      <c r="AL609" s="2" t="s">
        <v>200</v>
      </c>
      <c r="AM609" s="4"/>
      <c r="AN609" s="4"/>
      <c r="AO609" s="7"/>
      <c r="AP609" s="4"/>
      <c r="AQ609" s="8"/>
      <c r="AR609" s="4"/>
      <c r="AS609" s="8"/>
      <c r="AT609" s="7"/>
      <c r="AU609" s="7"/>
      <c r="AV609" s="4" t="s">
        <v>200</v>
      </c>
      <c r="AW609" s="8" t="s">
        <v>200</v>
      </c>
      <c r="AX609" s="4" t="s">
        <v>200</v>
      </c>
      <c r="AY609" s="8" t="s">
        <v>200</v>
      </c>
      <c r="AZ609" s="7" t="s">
        <v>200</v>
      </c>
      <c r="BA609" s="7" t="s">
        <v>200</v>
      </c>
      <c r="BB609" s="7"/>
      <c r="BC609" s="4" t="s">
        <v>200</v>
      </c>
      <c r="BD609" s="8" t="s">
        <v>200</v>
      </c>
      <c r="BE609" s="4" t="s">
        <v>200</v>
      </c>
      <c r="BF609" s="8" t="s">
        <v>200</v>
      </c>
      <c r="BG609" s="7" t="s">
        <v>200</v>
      </c>
      <c r="BH609" s="7" t="s">
        <v>200</v>
      </c>
      <c r="BI609" s="7"/>
      <c r="BJ609" s="4">
        <v>22</v>
      </c>
      <c r="BK609" s="8">
        <v>1892</v>
      </c>
      <c r="BL609" s="2" t="s">
        <v>327</v>
      </c>
      <c r="BM609" s="7"/>
      <c r="BN609" s="7"/>
      <c r="BO609" s="4"/>
      <c r="BP609" s="8"/>
      <c r="BQ609" s="4"/>
      <c r="BR609" s="8"/>
      <c r="BS609" s="7"/>
      <c r="BT609" s="7"/>
      <c r="BU609" s="2" t="s">
        <v>3884</v>
      </c>
      <c r="BV609" s="2" t="s">
        <v>200</v>
      </c>
      <c r="BW609" s="2" t="s">
        <v>200</v>
      </c>
      <c r="BX609" s="2" t="s">
        <v>264</v>
      </c>
      <c r="BY609" s="2" t="s">
        <v>247</v>
      </c>
      <c r="BZ609" s="2" t="s">
        <v>212</v>
      </c>
      <c r="CA609" s="2" t="s">
        <v>1179</v>
      </c>
      <c r="CB609" s="2" t="s">
        <v>200</v>
      </c>
      <c r="CC609" s="2" t="s">
        <v>213</v>
      </c>
      <c r="CD609" s="2" t="s">
        <v>200</v>
      </c>
      <c r="CE609" s="4"/>
      <c r="CF609" s="4"/>
      <c r="CG609" s="4"/>
      <c r="CH609" s="4">
        <v>260</v>
      </c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</row>
    <row r="610">
      <c r="A610" s="2" t="s">
        <v>3885</v>
      </c>
      <c r="B610" s="2" t="s">
        <v>195</v>
      </c>
      <c r="C610" s="2" t="s">
        <v>3204</v>
      </c>
      <c r="D610" s="2" t="s">
        <v>1168</v>
      </c>
      <c r="E610" s="2" t="s">
        <v>3205</v>
      </c>
      <c r="F610" s="2" t="s">
        <v>3868</v>
      </c>
      <c r="G610" s="2" t="s">
        <v>3868</v>
      </c>
      <c r="H610" s="2" t="s">
        <v>3868</v>
      </c>
      <c r="I610" s="2" t="s">
        <v>198</v>
      </c>
      <c r="J610" s="2" t="s">
        <v>277</v>
      </c>
      <c r="K610" s="2" t="s">
        <v>2233</v>
      </c>
      <c r="L610" s="3">
        <v>47.61</v>
      </c>
      <c r="M610" s="3">
        <v>49.99</v>
      </c>
      <c r="N610" s="3">
        <v>99.99</v>
      </c>
      <c r="O610" s="2" t="s">
        <v>212</v>
      </c>
      <c r="P610" s="2" t="s">
        <v>205</v>
      </c>
      <c r="Q610" s="2" t="s">
        <v>206</v>
      </c>
      <c r="R610" s="2" t="s">
        <v>200</v>
      </c>
      <c r="S610" s="2" t="s">
        <v>3886</v>
      </c>
      <c r="T610" s="2" t="s">
        <v>1176</v>
      </c>
      <c r="U610" s="2" t="s">
        <v>270</v>
      </c>
      <c r="V610" s="2" t="s">
        <v>208</v>
      </c>
      <c r="W610" s="2" t="s">
        <v>241</v>
      </c>
      <c r="X610" s="2" t="s">
        <v>200</v>
      </c>
      <c r="Y610" s="2" t="s">
        <v>3870</v>
      </c>
      <c r="Z610" s="4">
        <v>166</v>
      </c>
      <c r="AA610" s="4">
        <f>=ROUNDDOWN({0},0)</f>
      </c>
      <c r="AB610" s="5"/>
      <c r="AC610" s="2" t="s">
        <v>200</v>
      </c>
      <c r="AD610" s="4"/>
      <c r="AE610" s="4"/>
      <c r="AF610" s="6">
        <v>66</v>
      </c>
      <c r="AG610" s="6"/>
      <c r="AH610" s="7">
        <v>1</v>
      </c>
      <c r="AI610" s="4"/>
      <c r="AJ610" s="4">
        <f>=ROUNDDOWN({0},0)</f>
      </c>
      <c r="AK610" s="5"/>
      <c r="AL610" s="2" t="s">
        <v>200</v>
      </c>
      <c r="AM610" s="4"/>
      <c r="AN610" s="4"/>
      <c r="AO610" s="7"/>
      <c r="AP610" s="4"/>
      <c r="AQ610" s="8"/>
      <c r="AR610" s="4"/>
      <c r="AS610" s="8"/>
      <c r="AT610" s="7"/>
      <c r="AU610" s="7"/>
      <c r="AV610" s="4"/>
      <c r="AW610" s="8"/>
      <c r="AX610" s="4"/>
      <c r="AY610" s="8"/>
      <c r="AZ610" s="7"/>
      <c r="BA610" s="7"/>
      <c r="BB610" s="7"/>
      <c r="BC610" s="4" t="s">
        <v>200</v>
      </c>
      <c r="BD610" s="8" t="s">
        <v>200</v>
      </c>
      <c r="BE610" s="4" t="s">
        <v>200</v>
      </c>
      <c r="BF610" s="8" t="s">
        <v>200</v>
      </c>
      <c r="BG610" s="7" t="s">
        <v>200</v>
      </c>
      <c r="BH610" s="7" t="s">
        <v>200</v>
      </c>
      <c r="BI610" s="7"/>
      <c r="BJ610" s="4">
        <v>18</v>
      </c>
      <c r="BK610" s="8">
        <v>971.82</v>
      </c>
      <c r="BL610" s="2" t="s">
        <v>2436</v>
      </c>
      <c r="BM610" s="7"/>
      <c r="BN610" s="7"/>
      <c r="BO610" s="4"/>
      <c r="BP610" s="8"/>
      <c r="BQ610" s="4"/>
      <c r="BR610" s="8"/>
      <c r="BS610" s="7"/>
      <c r="BT610" s="7"/>
      <c r="BU610" s="2" t="s">
        <v>3887</v>
      </c>
      <c r="BV610" s="2" t="s">
        <v>200</v>
      </c>
      <c r="BW610" s="2" t="s">
        <v>200</v>
      </c>
      <c r="BX610" s="2" t="s">
        <v>264</v>
      </c>
      <c r="BY610" s="2" t="s">
        <v>247</v>
      </c>
      <c r="BZ610" s="2" t="s">
        <v>212</v>
      </c>
      <c r="CA610" s="2" t="s">
        <v>3877</v>
      </c>
      <c r="CB610" s="2" t="s">
        <v>200</v>
      </c>
      <c r="CC610" s="2" t="s">
        <v>213</v>
      </c>
      <c r="CD610" s="2" t="s">
        <v>200</v>
      </c>
      <c r="CE610" s="4"/>
      <c r="CF610" s="4"/>
      <c r="CG610" s="4"/>
      <c r="CH610" s="4">
        <v>166</v>
      </c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</row>
    <row r="611">
      <c r="A611" s="2" t="s">
        <v>3888</v>
      </c>
      <c r="B611" s="2" t="s">
        <v>903</v>
      </c>
      <c r="C611" s="2" t="s">
        <v>231</v>
      </c>
      <c r="D611" s="2" t="s">
        <v>608</v>
      </c>
      <c r="E611" s="2" t="s">
        <v>609</v>
      </c>
      <c r="F611" s="2" t="s">
        <v>2002</v>
      </c>
      <c r="G611" s="2" t="s">
        <v>3889</v>
      </c>
      <c r="H611" s="2" t="s">
        <v>3890</v>
      </c>
      <c r="I611" s="2" t="s">
        <v>3891</v>
      </c>
      <c r="J611" s="2" t="s">
        <v>612</v>
      </c>
      <c r="K611" s="2" t="s">
        <v>203</v>
      </c>
      <c r="L611" s="3">
        <v>57.14</v>
      </c>
      <c r="M611" s="3">
        <v>60</v>
      </c>
      <c r="N611" s="3">
        <v>119.99</v>
      </c>
      <c r="O611" s="2" t="s">
        <v>460</v>
      </c>
      <c r="P611" s="2" t="s">
        <v>285</v>
      </c>
      <c r="Q611" s="2" t="s">
        <v>206</v>
      </c>
      <c r="R611" s="2" t="s">
        <v>200</v>
      </c>
      <c r="S611" s="2" t="s">
        <v>3892</v>
      </c>
      <c r="T611" s="2" t="s">
        <v>378</v>
      </c>
      <c r="U611" s="2" t="s">
        <v>615</v>
      </c>
      <c r="V611" s="2" t="s">
        <v>339</v>
      </c>
      <c r="W611" s="2" t="s">
        <v>1291</v>
      </c>
      <c r="X611" s="2" t="s">
        <v>241</v>
      </c>
      <c r="Y611" s="2" t="s">
        <v>3893</v>
      </c>
      <c r="Z611" s="4">
        <v>355</v>
      </c>
      <c r="AA611" s="4">
        <f>=ROUNDDOWN(88.75,0)</f>
      </c>
      <c r="AB611" s="5">
        <v>4</v>
      </c>
      <c r="AC611" s="2" t="s">
        <v>200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200</v>
      </c>
      <c r="AM611" s="4"/>
      <c r="AN611" s="4"/>
      <c r="AO611" s="7"/>
      <c r="AP611" s="4"/>
      <c r="AQ611" s="8"/>
      <c r="AR611" s="4"/>
      <c r="AS611" s="8"/>
      <c r="AT611" s="7"/>
      <c r="AU611" s="7"/>
      <c r="AV611" s="4"/>
      <c r="AW611" s="8"/>
      <c r="AX611" s="4"/>
      <c r="AY611" s="8"/>
      <c r="AZ611" s="7"/>
      <c r="BA611" s="7"/>
      <c r="BB611" s="7"/>
      <c r="BC611" s="4"/>
      <c r="BD611" s="8"/>
      <c r="BE611" s="4"/>
      <c r="BF611" s="8"/>
      <c r="BG611" s="7"/>
      <c r="BH611" s="7"/>
      <c r="BI611" s="7"/>
      <c r="BJ611" s="4">
        <v>28</v>
      </c>
      <c r="BK611" s="8">
        <v>1059.6</v>
      </c>
      <c r="BL611" s="2" t="s">
        <v>3894</v>
      </c>
      <c r="BM611" s="7"/>
      <c r="BN611" s="7"/>
      <c r="BO611" s="4"/>
      <c r="BP611" s="8"/>
      <c r="BQ611" s="4"/>
      <c r="BR611" s="8"/>
      <c r="BS611" s="7"/>
      <c r="BT611" s="7"/>
      <c r="BU611" s="2" t="s">
        <v>3895</v>
      </c>
      <c r="BV611" s="2" t="s">
        <v>200</v>
      </c>
      <c r="BW611" s="2" t="s">
        <v>200</v>
      </c>
      <c r="BX611" s="2" t="s">
        <v>289</v>
      </c>
      <c r="BY611" s="2" t="s">
        <v>247</v>
      </c>
      <c r="BZ611" s="2" t="s">
        <v>212</v>
      </c>
      <c r="CA611" s="2" t="s">
        <v>2913</v>
      </c>
      <c r="CB611" s="2" t="s">
        <v>424</v>
      </c>
      <c r="CC611" s="2" t="s">
        <v>213</v>
      </c>
      <c r="CD611" s="2" t="s">
        <v>200</v>
      </c>
      <c r="CE611" s="4">
        <v>355</v>
      </c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</row>
    <row r="612">
      <c r="A612" s="2" t="s">
        <v>3896</v>
      </c>
      <c r="B612" s="2" t="s">
        <v>195</v>
      </c>
      <c r="C612" s="2" t="s">
        <v>231</v>
      </c>
      <c r="D612" s="2" t="s">
        <v>1524</v>
      </c>
      <c r="E612" s="2" t="s">
        <v>2324</v>
      </c>
      <c r="F612" s="2" t="s">
        <v>3897</v>
      </c>
      <c r="G612" s="2" t="s">
        <v>3898</v>
      </c>
      <c r="H612" s="2" t="s">
        <v>3898</v>
      </c>
      <c r="I612" s="2" t="s">
        <v>3899</v>
      </c>
      <c r="J612" s="2" t="s">
        <v>1660</v>
      </c>
      <c r="K612" s="2" t="s">
        <v>237</v>
      </c>
      <c r="L612" s="3">
        <v>14.86</v>
      </c>
      <c r="M612" s="3">
        <v>15.6</v>
      </c>
      <c r="N612" s="3">
        <v>34.99</v>
      </c>
      <c r="O612" s="2" t="s">
        <v>212</v>
      </c>
      <c r="P612" s="2" t="s">
        <v>1247</v>
      </c>
      <c r="Q612" s="2" t="s">
        <v>206</v>
      </c>
      <c r="R612" s="2" t="s">
        <v>200</v>
      </c>
      <c r="S612" s="2" t="s">
        <v>3900</v>
      </c>
      <c r="T612" s="2" t="s">
        <v>1899</v>
      </c>
      <c r="U612" s="2" t="s">
        <v>200</v>
      </c>
      <c r="V612" s="2" t="s">
        <v>208</v>
      </c>
      <c r="W612" s="2" t="s">
        <v>242</v>
      </c>
      <c r="X612" s="2" t="s">
        <v>200</v>
      </c>
      <c r="Y612" s="2" t="s">
        <v>261</v>
      </c>
      <c r="Z612" s="4">
        <v>263</v>
      </c>
      <c r="AA612" s="4">
        <f>=ROUNDDOWN(9.96212121212121,0)</f>
      </c>
      <c r="AB612" s="5">
        <v>26.4</v>
      </c>
      <c r="AC612" s="2" t="s">
        <v>111</v>
      </c>
      <c r="AD612" s="4">
        <v>400</v>
      </c>
      <c r="AE612" s="4">
        <v>1070</v>
      </c>
      <c r="AF612" s="6">
        <v>64</v>
      </c>
      <c r="AG612" s="6"/>
      <c r="AH612" s="7">
        <v>1</v>
      </c>
      <c r="AI612" s="4"/>
      <c r="AJ612" s="4">
        <f>=ROUNDDOWN({0},0)</f>
      </c>
      <c r="AK612" s="5"/>
      <c r="AL612" s="2" t="s">
        <v>200</v>
      </c>
      <c r="AM612" s="4"/>
      <c r="AN612" s="4"/>
      <c r="AO612" s="7"/>
      <c r="AP612" s="4"/>
      <c r="AQ612" s="8"/>
      <c r="AR612" s="4"/>
      <c r="AS612" s="8"/>
      <c r="AT612" s="7"/>
      <c r="AU612" s="7"/>
      <c r="AV612" s="4" t="s">
        <v>200</v>
      </c>
      <c r="AW612" s="8" t="s">
        <v>200</v>
      </c>
      <c r="AX612" s="4" t="s">
        <v>200</v>
      </c>
      <c r="AY612" s="8" t="s">
        <v>200</v>
      </c>
      <c r="AZ612" s="7" t="s">
        <v>200</v>
      </c>
      <c r="BA612" s="7" t="s">
        <v>200</v>
      </c>
      <c r="BB612" s="7"/>
      <c r="BC612" s="4" t="s">
        <v>200</v>
      </c>
      <c r="BD612" s="8" t="s">
        <v>200</v>
      </c>
      <c r="BE612" s="4" t="s">
        <v>200</v>
      </c>
      <c r="BF612" s="8" t="s">
        <v>200</v>
      </c>
      <c r="BG612" s="7" t="s">
        <v>200</v>
      </c>
      <c r="BH612" s="7" t="s">
        <v>200</v>
      </c>
      <c r="BI612" s="7"/>
      <c r="BJ612" s="4">
        <v>271</v>
      </c>
      <c r="BK612" s="8">
        <v>4089.48</v>
      </c>
      <c r="BL612" s="2" t="s">
        <v>3901</v>
      </c>
      <c r="BM612" s="7"/>
      <c r="BN612" s="7"/>
      <c r="BO612" s="4"/>
      <c r="BP612" s="8"/>
      <c r="BQ612" s="4"/>
      <c r="BR612" s="8"/>
      <c r="BS612" s="7"/>
      <c r="BT612" s="7"/>
      <c r="BU612" s="2" t="s">
        <v>3902</v>
      </c>
      <c r="BV612" s="2" t="s">
        <v>200</v>
      </c>
      <c r="BW612" s="2" t="s">
        <v>200</v>
      </c>
      <c r="BX612" s="2" t="s">
        <v>264</v>
      </c>
      <c r="BY612" s="2" t="s">
        <v>247</v>
      </c>
      <c r="BZ612" s="2" t="s">
        <v>212</v>
      </c>
      <c r="CA612" s="2" t="s">
        <v>265</v>
      </c>
      <c r="CB612" s="2" t="s">
        <v>3903</v>
      </c>
      <c r="CC612" s="2" t="s">
        <v>213</v>
      </c>
      <c r="CD612" s="2" t="s">
        <v>200</v>
      </c>
      <c r="CE612" s="4">
        <v>263</v>
      </c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>
        <v>400</v>
      </c>
      <c r="CY612" s="4"/>
      <c r="CZ612" s="4"/>
      <c r="DA612" s="4"/>
      <c r="DB612" s="4"/>
      <c r="DC612" s="4"/>
      <c r="DD612" s="4">
        <v>670</v>
      </c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</row>
    <row r="613">
      <c r="A613" s="2" t="s">
        <v>3904</v>
      </c>
      <c r="B613" s="2" t="s">
        <v>195</v>
      </c>
      <c r="C613" s="2" t="s">
        <v>231</v>
      </c>
      <c r="D613" s="2" t="s">
        <v>2254</v>
      </c>
      <c r="E613" s="2" t="s">
        <v>2255</v>
      </c>
      <c r="F613" s="2" t="s">
        <v>3897</v>
      </c>
      <c r="G613" s="2" t="s">
        <v>3898</v>
      </c>
      <c r="H613" s="2" t="s">
        <v>3898</v>
      </c>
      <c r="I613" s="2" t="s">
        <v>3905</v>
      </c>
      <c r="J613" s="2" t="s">
        <v>1173</v>
      </c>
      <c r="K613" s="2" t="s">
        <v>237</v>
      </c>
      <c r="L613" s="3">
        <v>14.72</v>
      </c>
      <c r="M613" s="3">
        <v>15.46</v>
      </c>
      <c r="N613" s="3">
        <v>31.99</v>
      </c>
      <c r="O613" s="2" t="s">
        <v>212</v>
      </c>
      <c r="P613" s="2" t="s">
        <v>258</v>
      </c>
      <c r="Q613" s="2" t="s">
        <v>206</v>
      </c>
      <c r="R613" s="2" t="s">
        <v>200</v>
      </c>
      <c r="S613" s="2" t="s">
        <v>3900</v>
      </c>
      <c r="T613" s="2" t="s">
        <v>1899</v>
      </c>
      <c r="U613" s="2" t="s">
        <v>270</v>
      </c>
      <c r="V613" s="2" t="s">
        <v>208</v>
      </c>
      <c r="W613" s="2" t="s">
        <v>242</v>
      </c>
      <c r="X613" s="2" t="s">
        <v>200</v>
      </c>
      <c r="Y613" s="2" t="s">
        <v>261</v>
      </c>
      <c r="Z613" s="4">
        <v>681</v>
      </c>
      <c r="AA613" s="4">
        <f>=ROUNDDOWN(19.4571428571429,0)</f>
      </c>
      <c r="AB613" s="5">
        <v>35</v>
      </c>
      <c r="AC613" s="2" t="s">
        <v>111</v>
      </c>
      <c r="AD613" s="4">
        <v>700</v>
      </c>
      <c r="AE613" s="4">
        <v>930</v>
      </c>
      <c r="AF613" s="6">
        <v>64</v>
      </c>
      <c r="AG613" s="6"/>
      <c r="AH613" s="7">
        <v>1</v>
      </c>
      <c r="AI613" s="4"/>
      <c r="AJ613" s="4">
        <f>=ROUNDDOWN({0},0)</f>
      </c>
      <c r="AK613" s="5"/>
      <c r="AL613" s="2" t="s">
        <v>200</v>
      </c>
      <c r="AM613" s="4"/>
      <c r="AN613" s="4"/>
      <c r="AO613" s="7"/>
      <c r="AP613" s="4"/>
      <c r="AQ613" s="8"/>
      <c r="AR613" s="4"/>
      <c r="AS613" s="8"/>
      <c r="AT613" s="7"/>
      <c r="AU613" s="7"/>
      <c r="AV613" s="4" t="s">
        <v>200</v>
      </c>
      <c r="AW613" s="8" t="s">
        <v>200</v>
      </c>
      <c r="AX613" s="4" t="s">
        <v>200</v>
      </c>
      <c r="AY613" s="8" t="s">
        <v>200</v>
      </c>
      <c r="AZ613" s="7" t="s">
        <v>200</v>
      </c>
      <c r="BA613" s="7" t="s">
        <v>200</v>
      </c>
      <c r="BB613" s="7"/>
      <c r="BC613" s="4" t="s">
        <v>200</v>
      </c>
      <c r="BD613" s="8" t="s">
        <v>200</v>
      </c>
      <c r="BE613" s="4" t="s">
        <v>200</v>
      </c>
      <c r="BF613" s="8" t="s">
        <v>200</v>
      </c>
      <c r="BG613" s="7" t="s">
        <v>200</v>
      </c>
      <c r="BH613" s="7" t="s">
        <v>200</v>
      </c>
      <c r="BI613" s="7"/>
      <c r="BJ613" s="4">
        <v>1282</v>
      </c>
      <c r="BK613" s="8">
        <v>18656.79</v>
      </c>
      <c r="BL613" s="2" t="s">
        <v>3906</v>
      </c>
      <c r="BM613" s="7"/>
      <c r="BN613" s="7"/>
      <c r="BO613" s="4"/>
      <c r="BP613" s="8"/>
      <c r="BQ613" s="4"/>
      <c r="BR613" s="8"/>
      <c r="BS613" s="7"/>
      <c r="BT613" s="7"/>
      <c r="BU613" s="2" t="s">
        <v>3907</v>
      </c>
      <c r="BV613" s="2" t="s">
        <v>200</v>
      </c>
      <c r="BW613" s="2" t="s">
        <v>200</v>
      </c>
      <c r="BX613" s="2" t="s">
        <v>264</v>
      </c>
      <c r="BY613" s="2" t="s">
        <v>247</v>
      </c>
      <c r="BZ613" s="2" t="s">
        <v>212</v>
      </c>
      <c r="CA613" s="2" t="s">
        <v>265</v>
      </c>
      <c r="CB613" s="2" t="s">
        <v>1108</v>
      </c>
      <c r="CC613" s="2" t="s">
        <v>213</v>
      </c>
      <c r="CD613" s="2" t="s">
        <v>200</v>
      </c>
      <c r="CE613" s="4">
        <v>681</v>
      </c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>
        <v>700</v>
      </c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>
        <v>230</v>
      </c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</row>
    <row r="614">
      <c r="A614" s="2" t="s">
        <v>3908</v>
      </c>
      <c r="B614" s="2" t="s">
        <v>195</v>
      </c>
      <c r="C614" s="2" t="s">
        <v>231</v>
      </c>
      <c r="D614" s="2" t="s">
        <v>1524</v>
      </c>
      <c r="E614" s="2" t="s">
        <v>2324</v>
      </c>
      <c r="F614" s="2" t="s">
        <v>3897</v>
      </c>
      <c r="G614" s="2" t="s">
        <v>3898</v>
      </c>
      <c r="H614" s="2" t="s">
        <v>3898</v>
      </c>
      <c r="I614" s="2" t="s">
        <v>3899</v>
      </c>
      <c r="J614" s="2" t="s">
        <v>1660</v>
      </c>
      <c r="K614" s="2" t="s">
        <v>387</v>
      </c>
      <c r="L614" s="3">
        <v>14.86</v>
      </c>
      <c r="M614" s="3">
        <v>15.6</v>
      </c>
      <c r="N614" s="3">
        <v>34.99</v>
      </c>
      <c r="O614" s="2" t="s">
        <v>212</v>
      </c>
      <c r="P614" s="2" t="s">
        <v>258</v>
      </c>
      <c r="Q614" s="2" t="s">
        <v>206</v>
      </c>
      <c r="R614" s="2" t="s">
        <v>200</v>
      </c>
      <c r="S614" s="2" t="s">
        <v>3909</v>
      </c>
      <c r="T614" s="2" t="s">
        <v>200</v>
      </c>
      <c r="U614" s="2" t="s">
        <v>200</v>
      </c>
      <c r="V614" s="2" t="s">
        <v>208</v>
      </c>
      <c r="W614" s="2" t="s">
        <v>242</v>
      </c>
      <c r="X614" s="2" t="s">
        <v>200</v>
      </c>
      <c r="Y614" s="2" t="s">
        <v>3910</v>
      </c>
      <c r="Z614" s="4">
        <v>534</v>
      </c>
      <c r="AA614" s="4">
        <f>=ROUNDDOWN(35.6,0)</f>
      </c>
      <c r="AB614" s="5">
        <v>15</v>
      </c>
      <c r="AC614" s="2" t="s">
        <v>118</v>
      </c>
      <c r="AD614" s="4">
        <v>500</v>
      </c>
      <c r="AE614" s="4">
        <v>500</v>
      </c>
      <c r="AF614" s="6">
        <v>64</v>
      </c>
      <c r="AG614" s="6"/>
      <c r="AH614" s="7">
        <v>1</v>
      </c>
      <c r="AI614" s="4"/>
      <c r="AJ614" s="4">
        <f>=ROUNDDOWN({0},0)</f>
      </c>
      <c r="AK614" s="5"/>
      <c r="AL614" s="2" t="s">
        <v>200</v>
      </c>
      <c r="AM614" s="4"/>
      <c r="AN614" s="4"/>
      <c r="AO614" s="7"/>
      <c r="AP614" s="4"/>
      <c r="AQ614" s="8"/>
      <c r="AR614" s="4"/>
      <c r="AS614" s="8"/>
      <c r="AT614" s="7"/>
      <c r="AU614" s="7"/>
      <c r="AV614" s="4" t="s">
        <v>200</v>
      </c>
      <c r="AW614" s="8" t="s">
        <v>200</v>
      </c>
      <c r="AX614" s="4" t="s">
        <v>200</v>
      </c>
      <c r="AY614" s="8" t="s">
        <v>200</v>
      </c>
      <c r="AZ614" s="7" t="s">
        <v>200</v>
      </c>
      <c r="BA614" s="7" t="s">
        <v>200</v>
      </c>
      <c r="BB614" s="7"/>
      <c r="BC614" s="4" t="s">
        <v>200</v>
      </c>
      <c r="BD614" s="8" t="s">
        <v>200</v>
      </c>
      <c r="BE614" s="4" t="s">
        <v>200</v>
      </c>
      <c r="BF614" s="8" t="s">
        <v>200</v>
      </c>
      <c r="BG614" s="7" t="s">
        <v>200</v>
      </c>
      <c r="BH614" s="7" t="s">
        <v>200</v>
      </c>
      <c r="BI614" s="7"/>
      <c r="BJ614" s="4">
        <v>145</v>
      </c>
      <c r="BK614" s="8">
        <v>2186.14</v>
      </c>
      <c r="BL614" s="2" t="s">
        <v>3911</v>
      </c>
      <c r="BM614" s="7"/>
      <c r="BN614" s="7"/>
      <c r="BO614" s="4"/>
      <c r="BP614" s="8"/>
      <c r="BQ614" s="4"/>
      <c r="BR614" s="8"/>
      <c r="BS614" s="7"/>
      <c r="BT614" s="7"/>
      <c r="BU614" s="2" t="s">
        <v>3912</v>
      </c>
      <c r="BV614" s="2" t="s">
        <v>200</v>
      </c>
      <c r="BW614" s="2" t="s">
        <v>200</v>
      </c>
      <c r="BX614" s="2" t="s">
        <v>264</v>
      </c>
      <c r="BY614" s="2" t="s">
        <v>247</v>
      </c>
      <c r="BZ614" s="2" t="s">
        <v>212</v>
      </c>
      <c r="CA614" s="2" t="s">
        <v>3913</v>
      </c>
      <c r="CB614" s="2" t="s">
        <v>3914</v>
      </c>
      <c r="CC614" s="2" t="s">
        <v>213</v>
      </c>
      <c r="CD614" s="2" t="s">
        <v>200</v>
      </c>
      <c r="CE614" s="4">
        <v>314</v>
      </c>
      <c r="CF614" s="4"/>
      <c r="CG614" s="4"/>
      <c r="CH614" s="4"/>
      <c r="CI614" s="4"/>
      <c r="CJ614" s="4"/>
      <c r="CK614" s="4"/>
      <c r="CL614" s="4"/>
      <c r="CM614" s="4"/>
      <c r="CN614" s="4"/>
      <c r="CO614" s="4">
        <v>220</v>
      </c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>
        <v>500</v>
      </c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</row>
    <row r="615">
      <c r="A615" s="2" t="s">
        <v>3915</v>
      </c>
      <c r="B615" s="2" t="s">
        <v>195</v>
      </c>
      <c r="C615" s="2" t="s">
        <v>231</v>
      </c>
      <c r="D615" s="2" t="s">
        <v>2254</v>
      </c>
      <c r="E615" s="2" t="s">
        <v>2255</v>
      </c>
      <c r="F615" s="2" t="s">
        <v>3897</v>
      </c>
      <c r="G615" s="2" t="s">
        <v>3898</v>
      </c>
      <c r="H615" s="2" t="s">
        <v>3898</v>
      </c>
      <c r="I615" s="2" t="s">
        <v>3905</v>
      </c>
      <c r="J615" s="2" t="s">
        <v>1173</v>
      </c>
      <c r="K615" s="2" t="s">
        <v>387</v>
      </c>
      <c r="L615" s="3">
        <v>14.72</v>
      </c>
      <c r="M615" s="3">
        <v>15.46</v>
      </c>
      <c r="N615" s="3">
        <v>31.99</v>
      </c>
      <c r="O615" s="2" t="s">
        <v>212</v>
      </c>
      <c r="P615" s="2" t="s">
        <v>258</v>
      </c>
      <c r="Q615" s="2" t="s">
        <v>206</v>
      </c>
      <c r="R615" s="2" t="s">
        <v>200</v>
      </c>
      <c r="S615" s="2" t="s">
        <v>3909</v>
      </c>
      <c r="T615" s="2" t="s">
        <v>1899</v>
      </c>
      <c r="U615" s="2" t="s">
        <v>270</v>
      </c>
      <c r="V615" s="2" t="s">
        <v>208</v>
      </c>
      <c r="W615" s="2" t="s">
        <v>242</v>
      </c>
      <c r="X615" s="2" t="s">
        <v>200</v>
      </c>
      <c r="Y615" s="2" t="s">
        <v>3910</v>
      </c>
      <c r="Z615" s="4">
        <v>513</v>
      </c>
      <c r="AA615" s="4">
        <f>=ROUNDDOWN(13.1538461538462,0)</f>
      </c>
      <c r="AB615" s="5">
        <v>39</v>
      </c>
      <c r="AC615" s="2" t="s">
        <v>3916</v>
      </c>
      <c r="AD615" s="4">
        <v>370</v>
      </c>
      <c r="AE615" s="4">
        <v>1370</v>
      </c>
      <c r="AF615" s="6">
        <v>64</v>
      </c>
      <c r="AG615" s="6"/>
      <c r="AH615" s="7">
        <v>1</v>
      </c>
      <c r="AI615" s="4"/>
      <c r="AJ615" s="4">
        <f>=ROUNDDOWN({0},0)</f>
      </c>
      <c r="AK615" s="5"/>
      <c r="AL615" s="2" t="s">
        <v>200</v>
      </c>
      <c r="AM615" s="4"/>
      <c r="AN615" s="4"/>
      <c r="AO615" s="7"/>
      <c r="AP615" s="4"/>
      <c r="AQ615" s="8"/>
      <c r="AR615" s="4"/>
      <c r="AS615" s="8"/>
      <c r="AT615" s="7"/>
      <c r="AU615" s="7"/>
      <c r="AV615" s="4" t="s">
        <v>200</v>
      </c>
      <c r="AW615" s="8" t="s">
        <v>200</v>
      </c>
      <c r="AX615" s="4" t="s">
        <v>200</v>
      </c>
      <c r="AY615" s="8" t="s">
        <v>200</v>
      </c>
      <c r="AZ615" s="7" t="s">
        <v>200</v>
      </c>
      <c r="BA615" s="7" t="s">
        <v>200</v>
      </c>
      <c r="BB615" s="7"/>
      <c r="BC615" s="4" t="s">
        <v>200</v>
      </c>
      <c r="BD615" s="8" t="s">
        <v>200</v>
      </c>
      <c r="BE615" s="4" t="s">
        <v>200</v>
      </c>
      <c r="BF615" s="8" t="s">
        <v>200</v>
      </c>
      <c r="BG615" s="7" t="s">
        <v>200</v>
      </c>
      <c r="BH615" s="7" t="s">
        <v>200</v>
      </c>
      <c r="BI615" s="7"/>
      <c r="BJ615" s="4">
        <v>1507</v>
      </c>
      <c r="BK615" s="8">
        <v>21960.37</v>
      </c>
      <c r="BL615" s="2" t="s">
        <v>3917</v>
      </c>
      <c r="BM615" s="7"/>
      <c r="BN615" s="7"/>
      <c r="BO615" s="4"/>
      <c r="BP615" s="8"/>
      <c r="BQ615" s="4"/>
      <c r="BR615" s="8"/>
      <c r="BS615" s="7"/>
      <c r="BT615" s="7"/>
      <c r="BU615" s="2" t="s">
        <v>3918</v>
      </c>
      <c r="BV615" s="2" t="s">
        <v>200</v>
      </c>
      <c r="BW615" s="2" t="s">
        <v>200</v>
      </c>
      <c r="BX615" s="2" t="s">
        <v>264</v>
      </c>
      <c r="BY615" s="2" t="s">
        <v>247</v>
      </c>
      <c r="BZ615" s="2" t="s">
        <v>212</v>
      </c>
      <c r="CA615" s="2" t="s">
        <v>3919</v>
      </c>
      <c r="CB615" s="2" t="s">
        <v>3920</v>
      </c>
      <c r="CC615" s="2" t="s">
        <v>213</v>
      </c>
      <c r="CD615" s="2" t="s">
        <v>200</v>
      </c>
      <c r="CE615" s="4">
        <v>33</v>
      </c>
      <c r="CF615" s="4"/>
      <c r="CG615" s="4"/>
      <c r="CH615" s="4"/>
      <c r="CI615" s="4"/>
      <c r="CJ615" s="4"/>
      <c r="CK615" s="4"/>
      <c r="CL615" s="4"/>
      <c r="CM615" s="4"/>
      <c r="CN615" s="4"/>
      <c r="CO615" s="4">
        <v>480</v>
      </c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>
        <v>370</v>
      </c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>
        <v>500</v>
      </c>
      <c r="EG615" s="4"/>
      <c r="EH615" s="4"/>
      <c r="EI615" s="4"/>
      <c r="EJ615" s="4"/>
      <c r="EK615" s="4"/>
      <c r="EL615" s="4"/>
      <c r="EM615" s="4"/>
      <c r="EN615" s="4"/>
      <c r="EO615" s="4"/>
      <c r="EP615" s="4">
        <v>500</v>
      </c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</row>
    <row r="616">
      <c r="A616" s="2" t="s">
        <v>3921</v>
      </c>
      <c r="B616" s="2" t="s">
        <v>195</v>
      </c>
      <c r="C616" s="2" t="s">
        <v>231</v>
      </c>
      <c r="D616" s="2" t="s">
        <v>1524</v>
      </c>
      <c r="E616" s="2" t="s">
        <v>2324</v>
      </c>
      <c r="F616" s="2" t="s">
        <v>3897</v>
      </c>
      <c r="G616" s="2" t="s">
        <v>3898</v>
      </c>
      <c r="H616" s="2" t="s">
        <v>3898</v>
      </c>
      <c r="I616" s="2" t="s">
        <v>3899</v>
      </c>
      <c r="J616" s="2" t="s">
        <v>1660</v>
      </c>
      <c r="K616" s="2" t="s">
        <v>221</v>
      </c>
      <c r="L616" s="3">
        <v>14.86</v>
      </c>
      <c r="M616" s="3">
        <v>15.6</v>
      </c>
      <c r="N616" s="3">
        <v>34.99</v>
      </c>
      <c r="O616" s="2" t="s">
        <v>212</v>
      </c>
      <c r="P616" s="2" t="s">
        <v>1075</v>
      </c>
      <c r="Q616" s="2" t="s">
        <v>206</v>
      </c>
      <c r="R616" s="2" t="s">
        <v>200</v>
      </c>
      <c r="S616" s="2" t="s">
        <v>3922</v>
      </c>
      <c r="T616" s="2" t="s">
        <v>1899</v>
      </c>
      <c r="U616" s="2" t="s">
        <v>200</v>
      </c>
      <c r="V616" s="2" t="s">
        <v>208</v>
      </c>
      <c r="W616" s="2" t="s">
        <v>242</v>
      </c>
      <c r="X616" s="2" t="s">
        <v>200</v>
      </c>
      <c r="Y616" s="2" t="s">
        <v>261</v>
      </c>
      <c r="Z616" s="4">
        <v>834</v>
      </c>
      <c r="AA616" s="4">
        <f>=ROUNDDOWN(21.9473684210526,0)</f>
      </c>
      <c r="AB616" s="5">
        <v>38</v>
      </c>
      <c r="AC616" s="2" t="s">
        <v>118</v>
      </c>
      <c r="AD616" s="4">
        <v>1300</v>
      </c>
      <c r="AE616" s="4">
        <v>1300</v>
      </c>
      <c r="AF616" s="6">
        <v>64</v>
      </c>
      <c r="AG616" s="6"/>
      <c r="AH616" s="7">
        <v>1</v>
      </c>
      <c r="AI616" s="4"/>
      <c r="AJ616" s="4">
        <f>=ROUNDDOWN({0},0)</f>
      </c>
      <c r="AK616" s="5"/>
      <c r="AL616" s="2" t="s">
        <v>200</v>
      </c>
      <c r="AM616" s="4"/>
      <c r="AN616" s="4"/>
      <c r="AO616" s="7"/>
      <c r="AP616" s="4"/>
      <c r="AQ616" s="8"/>
      <c r="AR616" s="4"/>
      <c r="AS616" s="8"/>
      <c r="AT616" s="7"/>
      <c r="AU616" s="7"/>
      <c r="AV616" s="4" t="s">
        <v>200</v>
      </c>
      <c r="AW616" s="8" t="s">
        <v>200</v>
      </c>
      <c r="AX616" s="4" t="s">
        <v>200</v>
      </c>
      <c r="AY616" s="8" t="s">
        <v>200</v>
      </c>
      <c r="AZ616" s="7" t="s">
        <v>200</v>
      </c>
      <c r="BA616" s="7" t="s">
        <v>200</v>
      </c>
      <c r="BB616" s="7"/>
      <c r="BC616" s="4" t="s">
        <v>200</v>
      </c>
      <c r="BD616" s="8" t="s">
        <v>200</v>
      </c>
      <c r="BE616" s="4" t="s">
        <v>200</v>
      </c>
      <c r="BF616" s="8" t="s">
        <v>200</v>
      </c>
      <c r="BG616" s="7" t="s">
        <v>200</v>
      </c>
      <c r="BH616" s="7" t="s">
        <v>200</v>
      </c>
      <c r="BI616" s="7"/>
      <c r="BJ616" s="4">
        <v>420</v>
      </c>
      <c r="BK616" s="8">
        <v>6344.53</v>
      </c>
      <c r="BL616" s="2" t="s">
        <v>3923</v>
      </c>
      <c r="BM616" s="7"/>
      <c r="BN616" s="7"/>
      <c r="BO616" s="4"/>
      <c r="BP616" s="8"/>
      <c r="BQ616" s="4"/>
      <c r="BR616" s="8"/>
      <c r="BS616" s="7"/>
      <c r="BT616" s="7"/>
      <c r="BU616" s="2" t="s">
        <v>3924</v>
      </c>
      <c r="BV616" s="2" t="s">
        <v>200</v>
      </c>
      <c r="BW616" s="2" t="s">
        <v>200</v>
      </c>
      <c r="BX616" s="2" t="s">
        <v>264</v>
      </c>
      <c r="BY616" s="2" t="s">
        <v>247</v>
      </c>
      <c r="BZ616" s="2" t="s">
        <v>212</v>
      </c>
      <c r="CA616" s="2" t="s">
        <v>265</v>
      </c>
      <c r="CB616" s="2" t="s">
        <v>3925</v>
      </c>
      <c r="CC616" s="2" t="s">
        <v>213</v>
      </c>
      <c r="CD616" s="2" t="s">
        <v>200</v>
      </c>
      <c r="CE616" s="4">
        <v>834</v>
      </c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>
        <v>1300</v>
      </c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</row>
    <row r="617">
      <c r="A617" s="2" t="s">
        <v>3926</v>
      </c>
      <c r="B617" s="2" t="s">
        <v>195</v>
      </c>
      <c r="C617" s="2" t="s">
        <v>231</v>
      </c>
      <c r="D617" s="2" t="s">
        <v>2254</v>
      </c>
      <c r="E617" s="2" t="s">
        <v>2255</v>
      </c>
      <c r="F617" s="2" t="s">
        <v>3897</v>
      </c>
      <c r="G617" s="2" t="s">
        <v>3898</v>
      </c>
      <c r="H617" s="2" t="s">
        <v>3898</v>
      </c>
      <c r="I617" s="2" t="s">
        <v>3905</v>
      </c>
      <c r="J617" s="2" t="s">
        <v>1173</v>
      </c>
      <c r="K617" s="2" t="s">
        <v>221</v>
      </c>
      <c r="L617" s="3">
        <v>14.72</v>
      </c>
      <c r="M617" s="3">
        <v>15.46</v>
      </c>
      <c r="N617" s="3">
        <v>31.99</v>
      </c>
      <c r="O617" s="2" t="s">
        <v>212</v>
      </c>
      <c r="P617" s="2" t="s">
        <v>258</v>
      </c>
      <c r="Q617" s="2" t="s">
        <v>206</v>
      </c>
      <c r="R617" s="2" t="s">
        <v>200</v>
      </c>
      <c r="S617" s="2" t="s">
        <v>3922</v>
      </c>
      <c r="T617" s="2" t="s">
        <v>1899</v>
      </c>
      <c r="U617" s="2" t="s">
        <v>270</v>
      </c>
      <c r="V617" s="2" t="s">
        <v>208</v>
      </c>
      <c r="W617" s="2" t="s">
        <v>242</v>
      </c>
      <c r="X617" s="2" t="s">
        <v>200</v>
      </c>
      <c r="Y617" s="2" t="s">
        <v>261</v>
      </c>
      <c r="Z617" s="4">
        <v>185</v>
      </c>
      <c r="AA617" s="4">
        <f>=ROUNDDOWN(4.625,0)</f>
      </c>
      <c r="AB617" s="5">
        <v>40</v>
      </c>
      <c r="AC617" s="2" t="s">
        <v>3916</v>
      </c>
      <c r="AD617" s="4">
        <v>260</v>
      </c>
      <c r="AE617" s="4">
        <v>1410</v>
      </c>
      <c r="AF617" s="6">
        <v>64</v>
      </c>
      <c r="AG617" s="6"/>
      <c r="AH617" s="7">
        <v>1</v>
      </c>
      <c r="AI617" s="4"/>
      <c r="AJ617" s="4">
        <f>=ROUNDDOWN({0},0)</f>
      </c>
      <c r="AK617" s="5"/>
      <c r="AL617" s="2" t="s">
        <v>200</v>
      </c>
      <c r="AM617" s="4"/>
      <c r="AN617" s="4"/>
      <c r="AO617" s="7"/>
      <c r="AP617" s="4"/>
      <c r="AQ617" s="8"/>
      <c r="AR617" s="4"/>
      <c r="AS617" s="8"/>
      <c r="AT617" s="7"/>
      <c r="AU617" s="7"/>
      <c r="AV617" s="4" t="s">
        <v>200</v>
      </c>
      <c r="AW617" s="8" t="s">
        <v>200</v>
      </c>
      <c r="AX617" s="4" t="s">
        <v>200</v>
      </c>
      <c r="AY617" s="8" t="s">
        <v>200</v>
      </c>
      <c r="AZ617" s="7" t="s">
        <v>200</v>
      </c>
      <c r="BA617" s="7" t="s">
        <v>200</v>
      </c>
      <c r="BB617" s="7"/>
      <c r="BC617" s="4" t="s">
        <v>200</v>
      </c>
      <c r="BD617" s="8" t="s">
        <v>200</v>
      </c>
      <c r="BE617" s="4" t="s">
        <v>200</v>
      </c>
      <c r="BF617" s="8" t="s">
        <v>200</v>
      </c>
      <c r="BG617" s="7" t="s">
        <v>200</v>
      </c>
      <c r="BH617" s="7" t="s">
        <v>200</v>
      </c>
      <c r="BI617" s="7"/>
      <c r="BJ617" s="4">
        <v>1893</v>
      </c>
      <c r="BK617" s="8">
        <v>27477.99</v>
      </c>
      <c r="BL617" s="2" t="s">
        <v>3927</v>
      </c>
      <c r="BM617" s="7"/>
      <c r="BN617" s="7"/>
      <c r="BO617" s="4"/>
      <c r="BP617" s="8"/>
      <c r="BQ617" s="4"/>
      <c r="BR617" s="8"/>
      <c r="BS617" s="7"/>
      <c r="BT617" s="7"/>
      <c r="BU617" s="2" t="s">
        <v>3928</v>
      </c>
      <c r="BV617" s="2" t="s">
        <v>200</v>
      </c>
      <c r="BW617" s="2" t="s">
        <v>200</v>
      </c>
      <c r="BX617" s="2" t="s">
        <v>264</v>
      </c>
      <c r="BY617" s="2" t="s">
        <v>247</v>
      </c>
      <c r="BZ617" s="2" t="s">
        <v>212</v>
      </c>
      <c r="CA617" s="2" t="s">
        <v>265</v>
      </c>
      <c r="CB617" s="2" t="s">
        <v>3929</v>
      </c>
      <c r="CC617" s="2" t="s">
        <v>213</v>
      </c>
      <c r="CD617" s="2" t="s">
        <v>200</v>
      </c>
      <c r="CE617" s="4">
        <v>185</v>
      </c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>
        <v>260</v>
      </c>
      <c r="DS617" s="4"/>
      <c r="DT617" s="4"/>
      <c r="DU617" s="4"/>
      <c r="DV617" s="4"/>
      <c r="DW617" s="4">
        <v>150</v>
      </c>
      <c r="DX617" s="4"/>
      <c r="DY617" s="4"/>
      <c r="DZ617" s="4"/>
      <c r="EA617" s="4"/>
      <c r="EB617" s="4"/>
      <c r="EC617" s="4"/>
      <c r="ED617" s="4"/>
      <c r="EE617" s="4"/>
      <c r="EF617" s="4">
        <v>500</v>
      </c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>
        <v>500</v>
      </c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</row>
    <row r="618">
      <c r="A618" s="2" t="s">
        <v>3930</v>
      </c>
      <c r="B618" s="2" t="s">
        <v>195</v>
      </c>
      <c r="C618" s="2" t="s">
        <v>231</v>
      </c>
      <c r="D618" s="2" t="s">
        <v>2254</v>
      </c>
      <c r="E618" s="2" t="s">
        <v>2255</v>
      </c>
      <c r="F618" s="2" t="s">
        <v>3897</v>
      </c>
      <c r="G618" s="2" t="s">
        <v>3898</v>
      </c>
      <c r="H618" s="2" t="s">
        <v>3898</v>
      </c>
      <c r="I618" s="2" t="s">
        <v>3905</v>
      </c>
      <c r="J618" s="2" t="s">
        <v>1173</v>
      </c>
      <c r="K618" s="2" t="s">
        <v>436</v>
      </c>
      <c r="L618" s="3">
        <v>14.72</v>
      </c>
      <c r="M618" s="3">
        <v>15.46</v>
      </c>
      <c r="N618" s="3">
        <v>31.99</v>
      </c>
      <c r="O618" s="2" t="s">
        <v>212</v>
      </c>
      <c r="P618" s="2" t="s">
        <v>258</v>
      </c>
      <c r="Q618" s="2" t="s">
        <v>206</v>
      </c>
      <c r="R618" s="2" t="s">
        <v>200</v>
      </c>
      <c r="S618" s="2" t="s">
        <v>3931</v>
      </c>
      <c r="T618" s="2" t="s">
        <v>1899</v>
      </c>
      <c r="U618" s="2" t="s">
        <v>270</v>
      </c>
      <c r="V618" s="2" t="s">
        <v>208</v>
      </c>
      <c r="W618" s="2" t="s">
        <v>242</v>
      </c>
      <c r="X618" s="2" t="s">
        <v>200</v>
      </c>
      <c r="Y618" s="2" t="s">
        <v>261</v>
      </c>
      <c r="Z618" s="4">
        <v>834</v>
      </c>
      <c r="AA618" s="4">
        <f>=ROUNDDOWN(16.4497041420118,0)</f>
      </c>
      <c r="AB618" s="5">
        <v>50.7</v>
      </c>
      <c r="AC618" s="2" t="s">
        <v>117</v>
      </c>
      <c r="AD618" s="4">
        <v>700</v>
      </c>
      <c r="AE618" s="4">
        <v>1950</v>
      </c>
      <c r="AF618" s="6">
        <v>64</v>
      </c>
      <c r="AG618" s="6"/>
      <c r="AH618" s="7">
        <v>0.9</v>
      </c>
      <c r="AI618" s="4"/>
      <c r="AJ618" s="4">
        <f>=ROUNDDOWN({0},0)</f>
      </c>
      <c r="AK618" s="5"/>
      <c r="AL618" s="2" t="s">
        <v>200</v>
      </c>
      <c r="AM618" s="4"/>
      <c r="AN618" s="4"/>
      <c r="AO618" s="7"/>
      <c r="AP618" s="4"/>
      <c r="AQ618" s="8"/>
      <c r="AR618" s="4"/>
      <c r="AS618" s="8"/>
      <c r="AT618" s="7"/>
      <c r="AU618" s="7"/>
      <c r="AV618" s="4"/>
      <c r="AW618" s="8"/>
      <c r="AX618" s="4"/>
      <c r="AY618" s="8"/>
      <c r="AZ618" s="7"/>
      <c r="BA618" s="7"/>
      <c r="BB618" s="7"/>
      <c r="BC618" s="4" t="s">
        <v>200</v>
      </c>
      <c r="BD618" s="8" t="s">
        <v>200</v>
      </c>
      <c r="BE618" s="4" t="s">
        <v>200</v>
      </c>
      <c r="BF618" s="8" t="s">
        <v>200</v>
      </c>
      <c r="BG618" s="7" t="s">
        <v>200</v>
      </c>
      <c r="BH618" s="7" t="s">
        <v>200</v>
      </c>
      <c r="BI618" s="7"/>
      <c r="BJ618" s="4">
        <v>2098</v>
      </c>
      <c r="BK618" s="8">
        <v>29571.91</v>
      </c>
      <c r="BL618" s="2" t="s">
        <v>3932</v>
      </c>
      <c r="BM618" s="7"/>
      <c r="BN618" s="7"/>
      <c r="BO618" s="4"/>
      <c r="BP618" s="8"/>
      <c r="BQ618" s="4"/>
      <c r="BR618" s="8"/>
      <c r="BS618" s="7"/>
      <c r="BT618" s="7"/>
      <c r="BU618" s="2" t="s">
        <v>3933</v>
      </c>
      <c r="BV618" s="2" t="s">
        <v>200</v>
      </c>
      <c r="BW618" s="2" t="s">
        <v>200</v>
      </c>
      <c r="BX618" s="2" t="s">
        <v>264</v>
      </c>
      <c r="BY618" s="2" t="s">
        <v>247</v>
      </c>
      <c r="BZ618" s="2" t="s">
        <v>212</v>
      </c>
      <c r="CA618" s="2" t="s">
        <v>265</v>
      </c>
      <c r="CB618" s="2" t="s">
        <v>3934</v>
      </c>
      <c r="CC618" s="2" t="s">
        <v>213</v>
      </c>
      <c r="CD618" s="2" t="s">
        <v>200</v>
      </c>
      <c r="CE618" s="4">
        <v>44</v>
      </c>
      <c r="CF618" s="4"/>
      <c r="CG618" s="4"/>
      <c r="CH618" s="4"/>
      <c r="CI618" s="4"/>
      <c r="CJ618" s="4"/>
      <c r="CK618" s="4"/>
      <c r="CL618" s="4"/>
      <c r="CM618" s="4"/>
      <c r="CN618" s="4"/>
      <c r="CO618" s="4">
        <v>790</v>
      </c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>
        <v>700</v>
      </c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>
        <v>250</v>
      </c>
      <c r="DX618" s="4"/>
      <c r="DY618" s="4"/>
      <c r="DZ618" s="4"/>
      <c r="EA618" s="4"/>
      <c r="EB618" s="4"/>
      <c r="EC618" s="4"/>
      <c r="ED618" s="4"/>
      <c r="EE618" s="4"/>
      <c r="EF618" s="4">
        <v>500</v>
      </c>
      <c r="EG618" s="4"/>
      <c r="EH618" s="4"/>
      <c r="EI618" s="4"/>
      <c r="EJ618" s="4"/>
      <c r="EK618" s="4"/>
      <c r="EL618" s="4"/>
      <c r="EM618" s="4"/>
      <c r="EN618" s="4"/>
      <c r="EO618" s="4"/>
      <c r="EP618" s="4">
        <v>500</v>
      </c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</row>
    <row r="619">
      <c r="A619" s="2" t="s">
        <v>3935</v>
      </c>
      <c r="B619" s="2" t="s">
        <v>932</v>
      </c>
      <c r="C619" s="2" t="s">
        <v>1839</v>
      </c>
      <c r="D619" s="2" t="s">
        <v>1818</v>
      </c>
      <c r="E619" s="2" t="s">
        <v>2000</v>
      </c>
      <c r="F619" s="2" t="s">
        <v>3936</v>
      </c>
      <c r="G619" s="2" t="s">
        <v>3937</v>
      </c>
      <c r="H619" s="2" t="s">
        <v>3938</v>
      </c>
      <c r="I619" s="2" t="s">
        <v>3939</v>
      </c>
      <c r="J619" s="2" t="s">
        <v>924</v>
      </c>
      <c r="K619" s="2" t="s">
        <v>203</v>
      </c>
      <c r="L619" s="3">
        <v>38.09</v>
      </c>
      <c r="M619" s="3">
        <v>39.99</v>
      </c>
      <c r="N619" s="3">
        <v>79.99</v>
      </c>
      <c r="O619" s="2" t="s">
        <v>212</v>
      </c>
      <c r="P619" s="2" t="s">
        <v>205</v>
      </c>
      <c r="Q619" s="2" t="s">
        <v>206</v>
      </c>
      <c r="R619" s="2" t="s">
        <v>200</v>
      </c>
      <c r="S619" s="2" t="s">
        <v>3940</v>
      </c>
      <c r="T619" s="2" t="s">
        <v>1176</v>
      </c>
      <c r="U619" s="2" t="s">
        <v>454</v>
      </c>
      <c r="V619" s="2" t="s">
        <v>208</v>
      </c>
      <c r="W619" s="2" t="s">
        <v>241</v>
      </c>
      <c r="X619" s="2" t="s">
        <v>419</v>
      </c>
      <c r="Y619" s="2" t="s">
        <v>2220</v>
      </c>
      <c r="Z619" s="4">
        <v>319</v>
      </c>
      <c r="AA619" s="4">
        <f>=ROUNDDOWN(79.75,0)</f>
      </c>
      <c r="AB619" s="5">
        <v>4</v>
      </c>
      <c r="AC619" s="2" t="s">
        <v>200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200</v>
      </c>
      <c r="AM619" s="4"/>
      <c r="AN619" s="4"/>
      <c r="AO619" s="7"/>
      <c r="AP619" s="4"/>
      <c r="AQ619" s="8"/>
      <c r="AR619" s="4"/>
      <c r="AS619" s="8"/>
      <c r="AT619" s="7"/>
      <c r="AU619" s="7"/>
      <c r="AV619" s="4"/>
      <c r="AW619" s="8"/>
      <c r="AX619" s="4"/>
      <c r="AY619" s="8"/>
      <c r="AZ619" s="7"/>
      <c r="BA619" s="7"/>
      <c r="BB619" s="7"/>
      <c r="BC619" s="4"/>
      <c r="BD619" s="8"/>
      <c r="BE619" s="4"/>
      <c r="BF619" s="8"/>
      <c r="BG619" s="7"/>
      <c r="BH619" s="7"/>
      <c r="BI619" s="7"/>
      <c r="BJ619" s="4">
        <v>13</v>
      </c>
      <c r="BK619" s="8">
        <v>555.47</v>
      </c>
      <c r="BL619" s="2" t="s">
        <v>272</v>
      </c>
      <c r="BM619" s="7"/>
      <c r="BN619" s="7"/>
      <c r="BO619" s="4"/>
      <c r="BP619" s="8"/>
      <c r="BQ619" s="4"/>
      <c r="BR619" s="8"/>
      <c r="BS619" s="7"/>
      <c r="BT619" s="7"/>
      <c r="BU619" s="2" t="s">
        <v>3941</v>
      </c>
      <c r="BV619" s="2" t="s">
        <v>200</v>
      </c>
      <c r="BW619" s="2" t="s">
        <v>200</v>
      </c>
      <c r="BX619" s="2" t="s">
        <v>264</v>
      </c>
      <c r="BY619" s="2" t="s">
        <v>247</v>
      </c>
      <c r="BZ619" s="2" t="s">
        <v>212</v>
      </c>
      <c r="CA619" s="2" t="s">
        <v>2516</v>
      </c>
      <c r="CB619" s="2" t="s">
        <v>3625</v>
      </c>
      <c r="CC619" s="2" t="s">
        <v>213</v>
      </c>
      <c r="CD619" s="2" t="s">
        <v>200</v>
      </c>
      <c r="CE619" s="4">
        <v>319</v>
      </c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</row>
    <row r="620">
      <c r="A620" s="2" t="s">
        <v>3942</v>
      </c>
      <c r="B620" s="2" t="s">
        <v>2391</v>
      </c>
      <c r="C620" s="2" t="s">
        <v>946</v>
      </c>
      <c r="D620" s="2" t="s">
        <v>2392</v>
      </c>
      <c r="E620" s="2" t="s">
        <v>2393</v>
      </c>
      <c r="F620" s="2" t="s">
        <v>3943</v>
      </c>
      <c r="G620" s="2" t="s">
        <v>3943</v>
      </c>
      <c r="H620" s="2" t="s">
        <v>3943</v>
      </c>
      <c r="I620" s="2" t="s">
        <v>3944</v>
      </c>
      <c r="J620" s="2" t="s">
        <v>3945</v>
      </c>
      <c r="K620" s="2" t="s">
        <v>237</v>
      </c>
      <c r="L620" s="3">
        <v>6</v>
      </c>
      <c r="M620" s="3">
        <v>6.3</v>
      </c>
      <c r="N620" s="3">
        <v>7.49</v>
      </c>
      <c r="O620" s="2" t="s">
        <v>417</v>
      </c>
      <c r="P620" s="2" t="s">
        <v>1258</v>
      </c>
      <c r="Q620" s="2" t="s">
        <v>206</v>
      </c>
      <c r="R620" s="2" t="s">
        <v>1259</v>
      </c>
      <c r="S620" s="2" t="s">
        <v>200</v>
      </c>
      <c r="T620" s="2" t="s">
        <v>200</v>
      </c>
      <c r="U620" s="2" t="s">
        <v>200</v>
      </c>
      <c r="V620" s="2" t="s">
        <v>616</v>
      </c>
      <c r="W620" s="2" t="s">
        <v>200</v>
      </c>
      <c r="X620" s="2" t="s">
        <v>200</v>
      </c>
      <c r="Y620" s="2" t="s">
        <v>3946</v>
      </c>
      <c r="Z620" s="4">
        <v>76</v>
      </c>
      <c r="AA620" s="4">
        <f>=ROUNDDOWN(38,0)</f>
      </c>
      <c r="AB620" s="5">
        <v>2</v>
      </c>
      <c r="AC620" s="2" t="s">
        <v>200</v>
      </c>
      <c r="AD620" s="4"/>
      <c r="AE620" s="4"/>
      <c r="AF620" s="6"/>
      <c r="AG620" s="6">
        <v>47</v>
      </c>
      <c r="AH620" s="7">
        <v>1</v>
      </c>
      <c r="AI620" s="4"/>
      <c r="AJ620" s="4">
        <f>=ROUNDDOWN({0},0)</f>
      </c>
      <c r="AK620" s="5"/>
      <c r="AL620" s="2" t="s">
        <v>200</v>
      </c>
      <c r="AM620" s="4"/>
      <c r="AN620" s="4"/>
      <c r="AO620" s="7"/>
      <c r="AP620" s="4"/>
      <c r="AQ620" s="8"/>
      <c r="AR620" s="4"/>
      <c r="AS620" s="8"/>
      <c r="AT620" s="7"/>
      <c r="AU620" s="7"/>
      <c r="AV620" s="4"/>
      <c r="AW620" s="8"/>
      <c r="AX620" s="4"/>
      <c r="AY620" s="8"/>
      <c r="AZ620" s="7"/>
      <c r="BA620" s="7"/>
      <c r="BB620" s="7"/>
      <c r="BC620" s="4"/>
      <c r="BD620" s="8"/>
      <c r="BE620" s="4"/>
      <c r="BF620" s="8"/>
      <c r="BG620" s="7"/>
      <c r="BH620" s="7"/>
      <c r="BI620" s="7"/>
      <c r="BJ620" s="4">
        <v>1</v>
      </c>
      <c r="BK620" s="8">
        <v>5.66</v>
      </c>
      <c r="BL620" s="2" t="s">
        <v>1029</v>
      </c>
      <c r="BM620" s="7"/>
      <c r="BN620" s="7"/>
      <c r="BO620" s="4"/>
      <c r="BP620" s="8"/>
      <c r="BQ620" s="4"/>
      <c r="BR620" s="8"/>
      <c r="BS620" s="7"/>
      <c r="BT620" s="7"/>
      <c r="BU620" s="2" t="s">
        <v>3947</v>
      </c>
      <c r="BV620" s="2" t="s">
        <v>200</v>
      </c>
      <c r="BW620" s="2" t="s">
        <v>200</v>
      </c>
      <c r="BX620" s="2" t="s">
        <v>264</v>
      </c>
      <c r="BY620" s="2" t="s">
        <v>247</v>
      </c>
      <c r="BZ620" s="2" t="s">
        <v>212</v>
      </c>
      <c r="CA620" s="2" t="s">
        <v>200</v>
      </c>
      <c r="CB620" s="2" t="s">
        <v>200</v>
      </c>
      <c r="CC620" s="2" t="s">
        <v>213</v>
      </c>
      <c r="CD620" s="2" t="s">
        <v>200</v>
      </c>
      <c r="CE620" s="4"/>
      <c r="CF620" s="4">
        <v>76</v>
      </c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</row>
    <row r="621">
      <c r="A621" s="2" t="s">
        <v>3948</v>
      </c>
      <c r="B621" s="2" t="s">
        <v>827</v>
      </c>
      <c r="C621" s="2" t="s">
        <v>231</v>
      </c>
      <c r="D621" s="2" t="s">
        <v>828</v>
      </c>
      <c r="E621" s="2" t="s">
        <v>863</v>
      </c>
      <c r="F621" s="2" t="s">
        <v>3949</v>
      </c>
      <c r="G621" s="2" t="s">
        <v>3950</v>
      </c>
      <c r="H621" s="2" t="s">
        <v>3951</v>
      </c>
      <c r="I621" s="2" t="s">
        <v>867</v>
      </c>
      <c r="J621" s="2" t="s">
        <v>3952</v>
      </c>
      <c r="K621" s="2" t="s">
        <v>3953</v>
      </c>
      <c r="L621" s="3">
        <v>25.75</v>
      </c>
      <c r="M621" s="3">
        <v>27.04</v>
      </c>
      <c r="N621" s="3">
        <v>57.99</v>
      </c>
      <c r="O621" s="2" t="s">
        <v>417</v>
      </c>
      <c r="P621" s="2" t="s">
        <v>285</v>
      </c>
      <c r="Q621" s="2" t="s">
        <v>206</v>
      </c>
      <c r="R621" s="2" t="s">
        <v>200</v>
      </c>
      <c r="S621" s="2" t="s">
        <v>3954</v>
      </c>
      <c r="T621" s="2" t="s">
        <v>870</v>
      </c>
      <c r="U621" s="2" t="s">
        <v>270</v>
      </c>
      <c r="V621" s="2" t="s">
        <v>208</v>
      </c>
      <c r="W621" s="2" t="s">
        <v>241</v>
      </c>
      <c r="X621" s="2" t="s">
        <v>200</v>
      </c>
      <c r="Y621" s="2" t="s">
        <v>871</v>
      </c>
      <c r="Z621" s="4">
        <v>12</v>
      </c>
      <c r="AA621" s="4">
        <f>=ROUNDDOWN(2.35294117647059,0)</f>
      </c>
      <c r="AB621" s="5">
        <v>5.1</v>
      </c>
      <c r="AC621" s="2" t="s">
        <v>200</v>
      </c>
      <c r="AD621" s="4"/>
      <c r="AE621" s="4"/>
      <c r="AF621" s="6">
        <v>72</v>
      </c>
      <c r="AG621" s="6"/>
      <c r="AH621" s="7">
        <v>0.8667</v>
      </c>
      <c r="AI621" s="4"/>
      <c r="AJ621" s="4">
        <f>=ROUNDDOWN({0},0)</f>
      </c>
      <c r="AK621" s="5"/>
      <c r="AL621" s="2" t="s">
        <v>200</v>
      </c>
      <c r="AM621" s="4"/>
      <c r="AN621" s="4"/>
      <c r="AO621" s="7"/>
      <c r="AP621" s="4"/>
      <c r="AQ621" s="8"/>
      <c r="AR621" s="4"/>
      <c r="AS621" s="8"/>
      <c r="AT621" s="7"/>
      <c r="AU621" s="7"/>
      <c r="AV621" s="4"/>
      <c r="AW621" s="8"/>
      <c r="AX621" s="4"/>
      <c r="AY621" s="8"/>
      <c r="AZ621" s="7"/>
      <c r="BA621" s="7"/>
      <c r="BB621" s="7"/>
      <c r="BC621" s="4" t="s">
        <v>200</v>
      </c>
      <c r="BD621" s="8" t="s">
        <v>200</v>
      </c>
      <c r="BE621" s="4" t="s">
        <v>200</v>
      </c>
      <c r="BF621" s="8" t="s">
        <v>200</v>
      </c>
      <c r="BG621" s="7" t="s">
        <v>200</v>
      </c>
      <c r="BH621" s="7" t="s">
        <v>200</v>
      </c>
      <c r="BI621" s="7"/>
      <c r="BJ621" s="4">
        <v>10</v>
      </c>
      <c r="BK621" s="8">
        <v>301.65</v>
      </c>
      <c r="BL621" s="2" t="s">
        <v>3955</v>
      </c>
      <c r="BM621" s="7"/>
      <c r="BN621" s="7"/>
      <c r="BO621" s="4"/>
      <c r="BP621" s="8"/>
      <c r="BQ621" s="4"/>
      <c r="BR621" s="8"/>
      <c r="BS621" s="7"/>
      <c r="BT621" s="7"/>
      <c r="BU621" s="2" t="s">
        <v>3956</v>
      </c>
      <c r="BV621" s="2" t="s">
        <v>200</v>
      </c>
      <c r="BW621" s="2" t="s">
        <v>200</v>
      </c>
      <c r="BX621" s="2" t="s">
        <v>289</v>
      </c>
      <c r="BY621" s="2" t="s">
        <v>247</v>
      </c>
      <c r="BZ621" s="2" t="s">
        <v>212</v>
      </c>
      <c r="CA621" s="2" t="s">
        <v>3957</v>
      </c>
      <c r="CB621" s="2" t="s">
        <v>3958</v>
      </c>
      <c r="CC621" s="2" t="s">
        <v>213</v>
      </c>
      <c r="CD621" s="2" t="s">
        <v>200</v>
      </c>
      <c r="CE621" s="4">
        <v>12</v>
      </c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</row>
    <row r="622">
      <c r="A622" s="2" t="s">
        <v>3959</v>
      </c>
      <c r="B622" s="2" t="s">
        <v>827</v>
      </c>
      <c r="C622" s="2" t="s">
        <v>231</v>
      </c>
      <c r="D622" s="2" t="s">
        <v>828</v>
      </c>
      <c r="E622" s="2" t="s">
        <v>863</v>
      </c>
      <c r="F622" s="2" t="s">
        <v>3949</v>
      </c>
      <c r="G622" s="2" t="s">
        <v>3950</v>
      </c>
      <c r="H622" s="2" t="s">
        <v>3951</v>
      </c>
      <c r="I622" s="2" t="s">
        <v>867</v>
      </c>
      <c r="J622" s="2" t="s">
        <v>3952</v>
      </c>
      <c r="K622" s="2" t="s">
        <v>3960</v>
      </c>
      <c r="L622" s="3">
        <v>25.75</v>
      </c>
      <c r="M622" s="3">
        <v>27.04</v>
      </c>
      <c r="N622" s="3">
        <v>57.99</v>
      </c>
      <c r="O622" s="2" t="s">
        <v>212</v>
      </c>
      <c r="P622" s="2" t="s">
        <v>258</v>
      </c>
      <c r="Q622" s="2" t="s">
        <v>206</v>
      </c>
      <c r="R622" s="2" t="s">
        <v>200</v>
      </c>
      <c r="S622" s="2" t="s">
        <v>3961</v>
      </c>
      <c r="T622" s="2" t="s">
        <v>870</v>
      </c>
      <c r="U622" s="2" t="s">
        <v>270</v>
      </c>
      <c r="V622" s="2" t="s">
        <v>208</v>
      </c>
      <c r="W622" s="2" t="s">
        <v>241</v>
      </c>
      <c r="X622" s="2" t="s">
        <v>200</v>
      </c>
      <c r="Y622" s="2" t="s">
        <v>871</v>
      </c>
      <c r="Z622" s="4">
        <v>319</v>
      </c>
      <c r="AA622" s="4">
        <f>=ROUNDDOWN(39.875,0)</f>
      </c>
      <c r="AB622" s="5">
        <v>8</v>
      </c>
      <c r="AC622" s="2" t="s">
        <v>126</v>
      </c>
      <c r="AD622" s="4">
        <v>132</v>
      </c>
      <c r="AE622" s="4">
        <v>132</v>
      </c>
      <c r="AF622" s="6">
        <v>75</v>
      </c>
      <c r="AG622" s="6"/>
      <c r="AH622" s="7">
        <v>1</v>
      </c>
      <c r="AI622" s="4"/>
      <c r="AJ622" s="4">
        <f>=ROUNDDOWN({0},0)</f>
      </c>
      <c r="AK622" s="5"/>
      <c r="AL622" s="2" t="s">
        <v>200</v>
      </c>
      <c r="AM622" s="4"/>
      <c r="AN622" s="4"/>
      <c r="AO622" s="7"/>
      <c r="AP622" s="4"/>
      <c r="AQ622" s="8"/>
      <c r="AR622" s="4"/>
      <c r="AS622" s="8"/>
      <c r="AT622" s="7"/>
      <c r="AU622" s="7"/>
      <c r="AV622" s="4" t="s">
        <v>200</v>
      </c>
      <c r="AW622" s="8" t="s">
        <v>200</v>
      </c>
      <c r="AX622" s="4" t="s">
        <v>200</v>
      </c>
      <c r="AY622" s="8" t="s">
        <v>200</v>
      </c>
      <c r="AZ622" s="7" t="s">
        <v>200</v>
      </c>
      <c r="BA622" s="7" t="s">
        <v>200</v>
      </c>
      <c r="BB622" s="7"/>
      <c r="BC622" s="4" t="s">
        <v>200</v>
      </c>
      <c r="BD622" s="8" t="s">
        <v>200</v>
      </c>
      <c r="BE622" s="4" t="s">
        <v>200</v>
      </c>
      <c r="BF622" s="8" t="s">
        <v>200</v>
      </c>
      <c r="BG622" s="7" t="s">
        <v>200</v>
      </c>
      <c r="BH622" s="7" t="s">
        <v>200</v>
      </c>
      <c r="BI622" s="7"/>
      <c r="BJ622" s="4">
        <v>17</v>
      </c>
      <c r="BK622" s="8">
        <v>479.64</v>
      </c>
      <c r="BL622" s="2" t="s">
        <v>3962</v>
      </c>
      <c r="BM622" s="7"/>
      <c r="BN622" s="7"/>
      <c r="BO622" s="4"/>
      <c r="BP622" s="8"/>
      <c r="BQ622" s="4"/>
      <c r="BR622" s="8"/>
      <c r="BS622" s="7"/>
      <c r="BT622" s="7"/>
      <c r="BU622" s="2" t="s">
        <v>3963</v>
      </c>
      <c r="BV622" s="2" t="s">
        <v>200</v>
      </c>
      <c r="BW622" s="2" t="s">
        <v>200</v>
      </c>
      <c r="BX622" s="2" t="s">
        <v>264</v>
      </c>
      <c r="BY622" s="2" t="s">
        <v>247</v>
      </c>
      <c r="BZ622" s="2" t="s">
        <v>212</v>
      </c>
      <c r="CA622" s="2" t="s">
        <v>3957</v>
      </c>
      <c r="CB622" s="2" t="s">
        <v>3964</v>
      </c>
      <c r="CC622" s="2" t="s">
        <v>213</v>
      </c>
      <c r="CD622" s="2" t="s">
        <v>200</v>
      </c>
      <c r="CE622" s="4">
        <v>319</v>
      </c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>
        <v>132</v>
      </c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</row>
    <row r="623">
      <c r="A623" s="2" t="s">
        <v>3965</v>
      </c>
      <c r="B623" s="2" t="s">
        <v>827</v>
      </c>
      <c r="C623" s="2" t="s">
        <v>231</v>
      </c>
      <c r="D623" s="2" t="s">
        <v>828</v>
      </c>
      <c r="E623" s="2" t="s">
        <v>863</v>
      </c>
      <c r="F623" s="2" t="s">
        <v>3949</v>
      </c>
      <c r="G623" s="2" t="s">
        <v>3950</v>
      </c>
      <c r="H623" s="2" t="s">
        <v>3951</v>
      </c>
      <c r="I623" s="2" t="s">
        <v>867</v>
      </c>
      <c r="J623" s="2" t="s">
        <v>3057</v>
      </c>
      <c r="K623" s="2" t="s">
        <v>3960</v>
      </c>
      <c r="L623" s="3">
        <v>26.35</v>
      </c>
      <c r="M623" s="3">
        <v>27.67</v>
      </c>
      <c r="N623" s="3">
        <v>59.99</v>
      </c>
      <c r="O623" s="2" t="s">
        <v>212</v>
      </c>
      <c r="P623" s="2" t="s">
        <v>1247</v>
      </c>
      <c r="Q623" s="2" t="s">
        <v>206</v>
      </c>
      <c r="R623" s="2" t="s">
        <v>200</v>
      </c>
      <c r="S623" s="2" t="s">
        <v>3961</v>
      </c>
      <c r="T623" s="2" t="s">
        <v>870</v>
      </c>
      <c r="U623" s="2" t="s">
        <v>270</v>
      </c>
      <c r="V623" s="2" t="s">
        <v>208</v>
      </c>
      <c r="W623" s="2" t="s">
        <v>241</v>
      </c>
      <c r="X623" s="2" t="s">
        <v>200</v>
      </c>
      <c r="Y623" s="2" t="s">
        <v>871</v>
      </c>
      <c r="Z623" s="4">
        <v>190</v>
      </c>
      <c r="AA623" s="4">
        <f>=ROUNDDOWN(15.8333333333333,0)</f>
      </c>
      <c r="AB623" s="5">
        <v>12</v>
      </c>
      <c r="AC623" s="2" t="s">
        <v>126</v>
      </c>
      <c r="AD623" s="4">
        <v>280</v>
      </c>
      <c r="AE623" s="4">
        <v>420</v>
      </c>
      <c r="AF623" s="6">
        <v>75</v>
      </c>
      <c r="AG623" s="6"/>
      <c r="AH623" s="7">
        <v>0.4</v>
      </c>
      <c r="AI623" s="4"/>
      <c r="AJ623" s="4">
        <f>=ROUNDDOWN({0},0)</f>
      </c>
      <c r="AK623" s="5"/>
      <c r="AL623" s="2" t="s">
        <v>200</v>
      </c>
      <c r="AM623" s="4"/>
      <c r="AN623" s="4"/>
      <c r="AO623" s="7"/>
      <c r="AP623" s="4"/>
      <c r="AQ623" s="8"/>
      <c r="AR623" s="4"/>
      <c r="AS623" s="8"/>
      <c r="AT623" s="7"/>
      <c r="AU623" s="7"/>
      <c r="AV623" s="4" t="s">
        <v>200</v>
      </c>
      <c r="AW623" s="8" t="s">
        <v>200</v>
      </c>
      <c r="AX623" s="4" t="s">
        <v>200</v>
      </c>
      <c r="AY623" s="8" t="s">
        <v>200</v>
      </c>
      <c r="AZ623" s="7" t="s">
        <v>200</v>
      </c>
      <c r="BA623" s="7" t="s">
        <v>200</v>
      </c>
      <c r="BB623" s="7"/>
      <c r="BC623" s="4" t="s">
        <v>200</v>
      </c>
      <c r="BD623" s="8" t="s">
        <v>200</v>
      </c>
      <c r="BE623" s="4" t="s">
        <v>200</v>
      </c>
      <c r="BF623" s="8" t="s">
        <v>200</v>
      </c>
      <c r="BG623" s="7" t="s">
        <v>200</v>
      </c>
      <c r="BH623" s="7" t="s">
        <v>200</v>
      </c>
      <c r="BI623" s="7"/>
      <c r="BJ623" s="4">
        <v>32</v>
      </c>
      <c r="BK623" s="8">
        <v>947.34</v>
      </c>
      <c r="BL623" s="2" t="s">
        <v>3966</v>
      </c>
      <c r="BM623" s="7"/>
      <c r="BN623" s="7"/>
      <c r="BO623" s="4"/>
      <c r="BP623" s="8"/>
      <c r="BQ623" s="4"/>
      <c r="BR623" s="8"/>
      <c r="BS623" s="7"/>
      <c r="BT623" s="7"/>
      <c r="BU623" s="2" t="s">
        <v>3967</v>
      </c>
      <c r="BV623" s="2" t="s">
        <v>200</v>
      </c>
      <c r="BW623" s="2" t="s">
        <v>200</v>
      </c>
      <c r="BX623" s="2" t="s">
        <v>264</v>
      </c>
      <c r="BY623" s="2" t="s">
        <v>247</v>
      </c>
      <c r="BZ623" s="2" t="s">
        <v>212</v>
      </c>
      <c r="CA623" s="2" t="s">
        <v>3957</v>
      </c>
      <c r="CB623" s="2" t="s">
        <v>1774</v>
      </c>
      <c r="CC623" s="2" t="s">
        <v>213</v>
      </c>
      <c r="CD623" s="2" t="s">
        <v>200</v>
      </c>
      <c r="CE623" s="4">
        <v>190</v>
      </c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>
        <v>280</v>
      </c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>
        <v>140</v>
      </c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</row>
    <row r="624">
      <c r="A624" s="2" t="s">
        <v>3968</v>
      </c>
      <c r="B624" s="2" t="s">
        <v>827</v>
      </c>
      <c r="C624" s="2" t="s">
        <v>231</v>
      </c>
      <c r="D624" s="2" t="s">
        <v>828</v>
      </c>
      <c r="E624" s="2" t="s">
        <v>863</v>
      </c>
      <c r="F624" s="2" t="s">
        <v>3949</v>
      </c>
      <c r="G624" s="2" t="s">
        <v>3950</v>
      </c>
      <c r="H624" s="2" t="s">
        <v>3951</v>
      </c>
      <c r="I624" s="2" t="s">
        <v>867</v>
      </c>
      <c r="J624" s="2" t="s">
        <v>868</v>
      </c>
      <c r="K624" s="2" t="s">
        <v>3960</v>
      </c>
      <c r="L624" s="3">
        <v>27.95</v>
      </c>
      <c r="M624" s="3">
        <v>29.35</v>
      </c>
      <c r="N624" s="3">
        <v>64.99</v>
      </c>
      <c r="O624" s="2" t="s">
        <v>212</v>
      </c>
      <c r="P624" s="2" t="s">
        <v>1247</v>
      </c>
      <c r="Q624" s="2" t="s">
        <v>206</v>
      </c>
      <c r="R624" s="2" t="s">
        <v>200</v>
      </c>
      <c r="S624" s="2" t="s">
        <v>3961</v>
      </c>
      <c r="T624" s="2" t="s">
        <v>870</v>
      </c>
      <c r="U624" s="2" t="s">
        <v>270</v>
      </c>
      <c r="V624" s="2" t="s">
        <v>208</v>
      </c>
      <c r="W624" s="2" t="s">
        <v>241</v>
      </c>
      <c r="X624" s="2" t="s">
        <v>200</v>
      </c>
      <c r="Y624" s="2" t="s">
        <v>871</v>
      </c>
      <c r="Z624" s="4">
        <v>234</v>
      </c>
      <c r="AA624" s="4">
        <f>=ROUNDDOWN(19.5,0)</f>
      </c>
      <c r="AB624" s="5">
        <v>12</v>
      </c>
      <c r="AC624" s="2" t="s">
        <v>126</v>
      </c>
      <c r="AD624" s="4">
        <v>120</v>
      </c>
      <c r="AE624" s="4">
        <v>412</v>
      </c>
      <c r="AF624" s="6">
        <v>75</v>
      </c>
      <c r="AG624" s="6"/>
      <c r="AH624" s="7">
        <v>1</v>
      </c>
      <c r="AI624" s="4"/>
      <c r="AJ624" s="4">
        <f>=ROUNDDOWN({0},0)</f>
      </c>
      <c r="AK624" s="5"/>
      <c r="AL624" s="2" t="s">
        <v>200</v>
      </c>
      <c r="AM624" s="4"/>
      <c r="AN624" s="4"/>
      <c r="AO624" s="7"/>
      <c r="AP624" s="4"/>
      <c r="AQ624" s="8"/>
      <c r="AR624" s="4"/>
      <c r="AS624" s="8"/>
      <c r="AT624" s="7"/>
      <c r="AU624" s="7"/>
      <c r="AV624" s="4" t="s">
        <v>200</v>
      </c>
      <c r="AW624" s="8" t="s">
        <v>200</v>
      </c>
      <c r="AX624" s="4" t="s">
        <v>200</v>
      </c>
      <c r="AY624" s="8" t="s">
        <v>200</v>
      </c>
      <c r="AZ624" s="7" t="s">
        <v>200</v>
      </c>
      <c r="BA624" s="7" t="s">
        <v>200</v>
      </c>
      <c r="BB624" s="7"/>
      <c r="BC624" s="4" t="s">
        <v>200</v>
      </c>
      <c r="BD624" s="8" t="s">
        <v>200</v>
      </c>
      <c r="BE624" s="4" t="s">
        <v>200</v>
      </c>
      <c r="BF624" s="8" t="s">
        <v>200</v>
      </c>
      <c r="BG624" s="7" t="s">
        <v>200</v>
      </c>
      <c r="BH624" s="7" t="s">
        <v>200</v>
      </c>
      <c r="BI624" s="7"/>
      <c r="BJ624" s="4">
        <v>50</v>
      </c>
      <c r="BK624" s="8">
        <v>1807.97</v>
      </c>
      <c r="BL624" s="2" t="s">
        <v>3969</v>
      </c>
      <c r="BM624" s="7"/>
      <c r="BN624" s="7"/>
      <c r="BO624" s="4"/>
      <c r="BP624" s="8"/>
      <c r="BQ624" s="4"/>
      <c r="BR624" s="8"/>
      <c r="BS624" s="7"/>
      <c r="BT624" s="7"/>
      <c r="BU624" s="2" t="s">
        <v>3970</v>
      </c>
      <c r="BV624" s="2" t="s">
        <v>200</v>
      </c>
      <c r="BW624" s="2" t="s">
        <v>200</v>
      </c>
      <c r="BX624" s="2" t="s">
        <v>264</v>
      </c>
      <c r="BY624" s="2" t="s">
        <v>247</v>
      </c>
      <c r="BZ624" s="2" t="s">
        <v>212</v>
      </c>
      <c r="CA624" s="2" t="s">
        <v>3957</v>
      </c>
      <c r="CB624" s="2" t="s">
        <v>754</v>
      </c>
      <c r="CC624" s="2" t="s">
        <v>213</v>
      </c>
      <c r="CD624" s="2" t="s">
        <v>200</v>
      </c>
      <c r="CE624" s="4">
        <v>234</v>
      </c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>
        <v>120</v>
      </c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>
        <v>292</v>
      </c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</row>
    <row r="625">
      <c r="A625" s="2" t="s">
        <v>3971</v>
      </c>
      <c r="B625" s="2" t="s">
        <v>827</v>
      </c>
      <c r="C625" s="2" t="s">
        <v>745</v>
      </c>
      <c r="D625" s="2" t="s">
        <v>828</v>
      </c>
      <c r="E625" s="2" t="s">
        <v>1011</v>
      </c>
      <c r="F625" s="2" t="s">
        <v>3972</v>
      </c>
      <c r="G625" s="2" t="s">
        <v>3185</v>
      </c>
      <c r="H625" s="2" t="s">
        <v>3973</v>
      </c>
      <c r="I625" s="2" t="s">
        <v>3974</v>
      </c>
      <c r="J625" s="2" t="s">
        <v>2727</v>
      </c>
      <c r="K625" s="2" t="s">
        <v>3975</v>
      </c>
      <c r="L625" s="3">
        <v>29.45</v>
      </c>
      <c r="M625" s="3">
        <v>30.92</v>
      </c>
      <c r="N625" s="3">
        <v>64.99</v>
      </c>
      <c r="O625" s="2" t="s">
        <v>212</v>
      </c>
      <c r="P625" s="2" t="s">
        <v>205</v>
      </c>
      <c r="Q625" s="2" t="s">
        <v>206</v>
      </c>
      <c r="R625" s="2" t="s">
        <v>200</v>
      </c>
      <c r="S625" s="2" t="s">
        <v>3976</v>
      </c>
      <c r="T625" s="2" t="s">
        <v>200</v>
      </c>
      <c r="U625" s="2" t="s">
        <v>677</v>
      </c>
      <c r="V625" s="2" t="s">
        <v>3675</v>
      </c>
      <c r="W625" s="2" t="s">
        <v>200</v>
      </c>
      <c r="X625" s="2" t="s">
        <v>200</v>
      </c>
      <c r="Y625" s="2" t="s">
        <v>3977</v>
      </c>
      <c r="Z625" s="4">
        <v>332</v>
      </c>
      <c r="AA625" s="4">
        <f>=ROUNDDOWN(11.448275862069,0)</f>
      </c>
      <c r="AB625" s="5">
        <v>29</v>
      </c>
      <c r="AC625" s="2" t="s">
        <v>112</v>
      </c>
      <c r="AD625" s="4">
        <v>444</v>
      </c>
      <c r="AE625" s="4">
        <v>444</v>
      </c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200</v>
      </c>
      <c r="AM625" s="4"/>
      <c r="AN625" s="4"/>
      <c r="AO625" s="7"/>
      <c r="AP625" s="4"/>
      <c r="AQ625" s="8"/>
      <c r="AR625" s="4"/>
      <c r="AS625" s="8"/>
      <c r="AT625" s="7"/>
      <c r="AU625" s="7"/>
      <c r="AV625" s="4"/>
      <c r="AW625" s="8"/>
      <c r="AX625" s="4"/>
      <c r="AY625" s="8"/>
      <c r="AZ625" s="7"/>
      <c r="BA625" s="7"/>
      <c r="BB625" s="7"/>
      <c r="BC625" s="4"/>
      <c r="BD625" s="8"/>
      <c r="BE625" s="4"/>
      <c r="BF625" s="8"/>
      <c r="BG625" s="7"/>
      <c r="BH625" s="7"/>
      <c r="BI625" s="7"/>
      <c r="BJ625" s="4">
        <v>8</v>
      </c>
      <c r="BK625" s="8">
        <v>270.96</v>
      </c>
      <c r="BL625" s="2" t="s">
        <v>1259</v>
      </c>
      <c r="BM625" s="7"/>
      <c r="BN625" s="7"/>
      <c r="BO625" s="4"/>
      <c r="BP625" s="8"/>
      <c r="BQ625" s="4"/>
      <c r="BR625" s="8"/>
      <c r="BS625" s="7"/>
      <c r="BT625" s="7"/>
      <c r="BU625" s="2" t="s">
        <v>3978</v>
      </c>
      <c r="BV625" s="2" t="s">
        <v>200</v>
      </c>
      <c r="BW625" s="2" t="s">
        <v>200</v>
      </c>
      <c r="BX625" s="2" t="s">
        <v>264</v>
      </c>
      <c r="BY625" s="2" t="s">
        <v>247</v>
      </c>
      <c r="BZ625" s="2" t="s">
        <v>212</v>
      </c>
      <c r="CA625" s="2" t="s">
        <v>963</v>
      </c>
      <c r="CB625" s="2" t="s">
        <v>200</v>
      </c>
      <c r="CC625" s="2" t="s">
        <v>213</v>
      </c>
      <c r="CD625" s="2" t="s">
        <v>200</v>
      </c>
      <c r="CE625" s="4">
        <v>208</v>
      </c>
      <c r="CF625" s="4"/>
      <c r="CG625" s="4"/>
      <c r="CH625" s="4">
        <v>124</v>
      </c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>
        <v>444</v>
      </c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</row>
    <row r="626">
      <c r="A626" s="2" t="s">
        <v>3979</v>
      </c>
      <c r="B626" s="2" t="s">
        <v>827</v>
      </c>
      <c r="C626" s="2" t="s">
        <v>877</v>
      </c>
      <c r="D626" s="2" t="s">
        <v>1642</v>
      </c>
      <c r="E626" s="2" t="s">
        <v>1643</v>
      </c>
      <c r="F626" s="2" t="s">
        <v>3980</v>
      </c>
      <c r="G626" s="2" t="s">
        <v>3981</v>
      </c>
      <c r="H626" s="2" t="s">
        <v>3982</v>
      </c>
      <c r="I626" s="2" t="s">
        <v>3983</v>
      </c>
      <c r="J626" s="2" t="s">
        <v>3984</v>
      </c>
      <c r="K626" s="2" t="s">
        <v>221</v>
      </c>
      <c r="L626" s="3">
        <v>43.13</v>
      </c>
      <c r="M626" s="3">
        <v>45.29</v>
      </c>
      <c r="N626" s="3">
        <v>89.99</v>
      </c>
      <c r="O626" s="2" t="s">
        <v>212</v>
      </c>
      <c r="P626" s="2" t="s">
        <v>3519</v>
      </c>
      <c r="Q626" s="2" t="s">
        <v>206</v>
      </c>
      <c r="R626" s="2" t="s">
        <v>200</v>
      </c>
      <c r="S626" s="2" t="s">
        <v>3985</v>
      </c>
      <c r="T626" s="2" t="s">
        <v>200</v>
      </c>
      <c r="U626" s="2" t="s">
        <v>270</v>
      </c>
      <c r="V626" s="2" t="s">
        <v>208</v>
      </c>
      <c r="W626" s="2" t="s">
        <v>241</v>
      </c>
      <c r="X626" s="2" t="s">
        <v>200</v>
      </c>
      <c r="Y626" s="2" t="s">
        <v>3986</v>
      </c>
      <c r="Z626" s="4">
        <v>839</v>
      </c>
      <c r="AA626" s="4">
        <f>=ROUNDDOWN(41.95,0)</f>
      </c>
      <c r="AB626" s="5">
        <v>20</v>
      </c>
      <c r="AC626" s="2" t="s">
        <v>200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200</v>
      </c>
      <c r="AM626" s="4"/>
      <c r="AN626" s="4"/>
      <c r="AO626" s="7"/>
      <c r="AP626" s="4"/>
      <c r="AQ626" s="8"/>
      <c r="AR626" s="4"/>
      <c r="AS626" s="8"/>
      <c r="AT626" s="7"/>
      <c r="AU626" s="7"/>
      <c r="AV626" s="4"/>
      <c r="AW626" s="8"/>
      <c r="AX626" s="4"/>
      <c r="AY626" s="8"/>
      <c r="AZ626" s="7"/>
      <c r="BA626" s="7"/>
      <c r="BB626" s="7"/>
      <c r="BC626" s="4"/>
      <c r="BD626" s="8"/>
      <c r="BE626" s="4"/>
      <c r="BF626" s="8"/>
      <c r="BG626" s="7"/>
      <c r="BH626" s="7"/>
      <c r="BI626" s="7"/>
      <c r="BJ626" s="4">
        <v>52</v>
      </c>
      <c r="BK626" s="8">
        <v>2426.92</v>
      </c>
      <c r="BL626" s="2" t="s">
        <v>3987</v>
      </c>
      <c r="BM626" s="7"/>
      <c r="BN626" s="7"/>
      <c r="BO626" s="4"/>
      <c r="BP626" s="8"/>
      <c r="BQ626" s="4"/>
      <c r="BR626" s="8"/>
      <c r="BS626" s="7"/>
      <c r="BT626" s="7"/>
      <c r="BU626" s="2" t="s">
        <v>3988</v>
      </c>
      <c r="BV626" s="2" t="s">
        <v>200</v>
      </c>
      <c r="BW626" s="2" t="s">
        <v>200</v>
      </c>
      <c r="BX626" s="2" t="s">
        <v>264</v>
      </c>
      <c r="BY626" s="2" t="s">
        <v>247</v>
      </c>
      <c r="BZ626" s="2" t="s">
        <v>212</v>
      </c>
      <c r="CA626" s="2" t="s">
        <v>3986</v>
      </c>
      <c r="CB626" s="2" t="s">
        <v>3989</v>
      </c>
      <c r="CC626" s="2" t="s">
        <v>213</v>
      </c>
      <c r="CD626" s="2" t="s">
        <v>200</v>
      </c>
      <c r="CE626" s="4">
        <v>839</v>
      </c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</row>
    <row r="627">
      <c r="A627" s="2" t="s">
        <v>3990</v>
      </c>
      <c r="B627" s="2" t="s">
        <v>827</v>
      </c>
      <c r="C627" s="2" t="s">
        <v>231</v>
      </c>
      <c r="D627" s="2" t="s">
        <v>828</v>
      </c>
      <c r="E627" s="2" t="s">
        <v>1588</v>
      </c>
      <c r="F627" s="2" t="s">
        <v>3991</v>
      </c>
      <c r="G627" s="2" t="s">
        <v>3992</v>
      </c>
      <c r="H627" s="2" t="s">
        <v>3993</v>
      </c>
      <c r="I627" s="2" t="s">
        <v>3994</v>
      </c>
      <c r="J627" s="2" t="s">
        <v>1242</v>
      </c>
      <c r="K627" s="2" t="s">
        <v>221</v>
      </c>
      <c r="L627" s="3">
        <v>15.75</v>
      </c>
      <c r="M627" s="3">
        <v>16.54</v>
      </c>
      <c r="N627" s="3">
        <v>34.99</v>
      </c>
      <c r="O627" s="2" t="s">
        <v>460</v>
      </c>
      <c r="P627" s="2" t="s">
        <v>285</v>
      </c>
      <c r="Q627" s="2" t="s">
        <v>206</v>
      </c>
      <c r="R627" s="2" t="s">
        <v>200</v>
      </c>
      <c r="S627" s="2" t="s">
        <v>3995</v>
      </c>
      <c r="T627" s="2" t="s">
        <v>200</v>
      </c>
      <c r="U627" s="2" t="s">
        <v>200</v>
      </c>
      <c r="V627" s="2" t="s">
        <v>885</v>
      </c>
      <c r="W627" s="2" t="s">
        <v>379</v>
      </c>
      <c r="X627" s="2" t="s">
        <v>1588</v>
      </c>
      <c r="Y627" s="2" t="s">
        <v>261</v>
      </c>
      <c r="Z627" s="4">
        <v>17</v>
      </c>
      <c r="AA627" s="4">
        <f>=ROUNDDOWN(4.25,0)</f>
      </c>
      <c r="AB627" s="5">
        <v>4</v>
      </c>
      <c r="AC627" s="2" t="s">
        <v>200</v>
      </c>
      <c r="AD627" s="4"/>
      <c r="AE627" s="4"/>
      <c r="AF627" s="6">
        <v>65</v>
      </c>
      <c r="AG627" s="6"/>
      <c r="AH627" s="7">
        <v>0.9667</v>
      </c>
      <c r="AI627" s="4"/>
      <c r="AJ627" s="4">
        <f>=ROUNDDOWN({0},0)</f>
      </c>
      <c r="AK627" s="5"/>
      <c r="AL627" s="2" t="s">
        <v>200</v>
      </c>
      <c r="AM627" s="4"/>
      <c r="AN627" s="4"/>
      <c r="AO627" s="7"/>
      <c r="AP627" s="4"/>
      <c r="AQ627" s="8"/>
      <c r="AR627" s="4"/>
      <c r="AS627" s="8"/>
      <c r="AT627" s="7"/>
      <c r="AU627" s="7"/>
      <c r="AV627" s="4"/>
      <c r="AW627" s="8"/>
      <c r="AX627" s="4"/>
      <c r="AY627" s="8"/>
      <c r="AZ627" s="7"/>
      <c r="BA627" s="7"/>
      <c r="BB627" s="7"/>
      <c r="BC627" s="4" t="s">
        <v>200</v>
      </c>
      <c r="BD627" s="8" t="s">
        <v>200</v>
      </c>
      <c r="BE627" s="4" t="s">
        <v>200</v>
      </c>
      <c r="BF627" s="8" t="s">
        <v>200</v>
      </c>
      <c r="BG627" s="7" t="s">
        <v>200</v>
      </c>
      <c r="BH627" s="7" t="s">
        <v>200</v>
      </c>
      <c r="BI627" s="7"/>
      <c r="BJ627" s="4">
        <v>8</v>
      </c>
      <c r="BK627" s="8">
        <v>70.16</v>
      </c>
      <c r="BL627" s="2" t="s">
        <v>3996</v>
      </c>
      <c r="BM627" s="7"/>
      <c r="BN627" s="7"/>
      <c r="BO627" s="4"/>
      <c r="BP627" s="8"/>
      <c r="BQ627" s="4"/>
      <c r="BR627" s="8"/>
      <c r="BS627" s="7"/>
      <c r="BT627" s="7"/>
      <c r="BU627" s="2" t="s">
        <v>3997</v>
      </c>
      <c r="BV627" s="2" t="s">
        <v>200</v>
      </c>
      <c r="BW627" s="2" t="s">
        <v>200</v>
      </c>
      <c r="BX627" s="2" t="s">
        <v>289</v>
      </c>
      <c r="BY627" s="2" t="s">
        <v>247</v>
      </c>
      <c r="BZ627" s="2" t="s">
        <v>212</v>
      </c>
      <c r="CA627" s="2" t="s">
        <v>3998</v>
      </c>
      <c r="CB627" s="2" t="s">
        <v>3999</v>
      </c>
      <c r="CC627" s="2" t="s">
        <v>213</v>
      </c>
      <c r="CD627" s="2" t="s">
        <v>200</v>
      </c>
      <c r="CE627" s="4">
        <v>17</v>
      </c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</row>
    <row r="628">
      <c r="A628" s="2" t="s">
        <v>4000</v>
      </c>
      <c r="B628" s="2" t="s">
        <v>827</v>
      </c>
      <c r="C628" s="2" t="s">
        <v>231</v>
      </c>
      <c r="D628" s="2" t="s">
        <v>828</v>
      </c>
      <c r="E628" s="2" t="s">
        <v>1588</v>
      </c>
      <c r="F628" s="2" t="s">
        <v>3991</v>
      </c>
      <c r="G628" s="2" t="s">
        <v>3992</v>
      </c>
      <c r="H628" s="2" t="s">
        <v>3993</v>
      </c>
      <c r="I628" s="2" t="s">
        <v>3994</v>
      </c>
      <c r="J628" s="2" t="s">
        <v>4001</v>
      </c>
      <c r="K628" s="2" t="s">
        <v>436</v>
      </c>
      <c r="L628" s="3">
        <v>10.5</v>
      </c>
      <c r="M628" s="3">
        <v>11.02</v>
      </c>
      <c r="N628" s="3">
        <v>24.99</v>
      </c>
      <c r="O628" s="2" t="s">
        <v>212</v>
      </c>
      <c r="P628" s="2" t="s">
        <v>258</v>
      </c>
      <c r="Q628" s="2" t="s">
        <v>206</v>
      </c>
      <c r="R628" s="2" t="s">
        <v>200</v>
      </c>
      <c r="S628" s="2" t="s">
        <v>4002</v>
      </c>
      <c r="T628" s="2" t="s">
        <v>200</v>
      </c>
      <c r="U628" s="2" t="s">
        <v>200</v>
      </c>
      <c r="V628" s="2" t="s">
        <v>885</v>
      </c>
      <c r="W628" s="2" t="s">
        <v>379</v>
      </c>
      <c r="X628" s="2" t="s">
        <v>1588</v>
      </c>
      <c r="Y628" s="2" t="s">
        <v>261</v>
      </c>
      <c r="Z628" s="4">
        <v>195</v>
      </c>
      <c r="AA628" s="4">
        <f>=ROUNDDOWN(19.5,0)</f>
      </c>
      <c r="AB628" s="5">
        <v>10</v>
      </c>
      <c r="AC628" s="2" t="s">
        <v>691</v>
      </c>
      <c r="AD628" s="4">
        <v>74</v>
      </c>
      <c r="AE628" s="4">
        <v>74</v>
      </c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200</v>
      </c>
      <c r="AM628" s="4"/>
      <c r="AN628" s="4"/>
      <c r="AO628" s="7"/>
      <c r="AP628" s="4"/>
      <c r="AQ628" s="8"/>
      <c r="AR628" s="4"/>
      <c r="AS628" s="8"/>
      <c r="AT628" s="7"/>
      <c r="AU628" s="7"/>
      <c r="AV628" s="4"/>
      <c r="AW628" s="8"/>
      <c r="AX628" s="4"/>
      <c r="AY628" s="8"/>
      <c r="AZ628" s="7"/>
      <c r="BA628" s="7"/>
      <c r="BB628" s="7"/>
      <c r="BC628" s="4" t="s">
        <v>200</v>
      </c>
      <c r="BD628" s="8" t="s">
        <v>200</v>
      </c>
      <c r="BE628" s="4" t="s">
        <v>200</v>
      </c>
      <c r="BF628" s="8" t="s">
        <v>200</v>
      </c>
      <c r="BG628" s="7" t="s">
        <v>200</v>
      </c>
      <c r="BH628" s="7" t="s">
        <v>200</v>
      </c>
      <c r="BI628" s="7"/>
      <c r="BJ628" s="4">
        <v>46</v>
      </c>
      <c r="BK628" s="8">
        <v>504.6</v>
      </c>
      <c r="BL628" s="2" t="s">
        <v>4003</v>
      </c>
      <c r="BM628" s="7"/>
      <c r="BN628" s="7"/>
      <c r="BO628" s="4"/>
      <c r="BP628" s="8"/>
      <c r="BQ628" s="4"/>
      <c r="BR628" s="8"/>
      <c r="BS628" s="7"/>
      <c r="BT628" s="7"/>
      <c r="BU628" s="2" t="s">
        <v>4004</v>
      </c>
      <c r="BV628" s="2" t="s">
        <v>200</v>
      </c>
      <c r="BW628" s="2" t="s">
        <v>200</v>
      </c>
      <c r="BX628" s="2" t="s">
        <v>264</v>
      </c>
      <c r="BY628" s="2" t="s">
        <v>247</v>
      </c>
      <c r="BZ628" s="2" t="s">
        <v>212</v>
      </c>
      <c r="CA628" s="2" t="s">
        <v>3998</v>
      </c>
      <c r="CB628" s="2" t="s">
        <v>4005</v>
      </c>
      <c r="CC628" s="2" t="s">
        <v>213</v>
      </c>
      <c r="CD628" s="2" t="s">
        <v>200</v>
      </c>
      <c r="CE628" s="4">
        <v>195</v>
      </c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>
        <v>74</v>
      </c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</row>
    <row r="629">
      <c r="A629" s="2" t="s">
        <v>4006</v>
      </c>
      <c r="B629" s="2" t="s">
        <v>195</v>
      </c>
      <c r="C629" s="2" t="s">
        <v>877</v>
      </c>
      <c r="D629" s="2" t="s">
        <v>608</v>
      </c>
      <c r="E629" s="2" t="s">
        <v>609</v>
      </c>
      <c r="F629" s="2" t="s">
        <v>4007</v>
      </c>
      <c r="G629" s="2" t="s">
        <v>4007</v>
      </c>
      <c r="H629" s="2" t="s">
        <v>4007</v>
      </c>
      <c r="I629" s="2" t="s">
        <v>4008</v>
      </c>
      <c r="J629" s="2" t="s">
        <v>924</v>
      </c>
      <c r="K629" s="2" t="s">
        <v>499</v>
      </c>
      <c r="L629" s="3">
        <v>43.49</v>
      </c>
      <c r="M629" s="3">
        <v>45.66</v>
      </c>
      <c r="N629" s="3">
        <v>74.99</v>
      </c>
      <c r="O629" s="2" t="s">
        <v>460</v>
      </c>
      <c r="P629" s="2" t="s">
        <v>1258</v>
      </c>
      <c r="Q629" s="2" t="s">
        <v>206</v>
      </c>
      <c r="R629" s="2" t="s">
        <v>1259</v>
      </c>
      <c r="S629" s="2" t="s">
        <v>200</v>
      </c>
      <c r="T629" s="2" t="s">
        <v>1176</v>
      </c>
      <c r="U629" s="2" t="s">
        <v>454</v>
      </c>
      <c r="V629" s="2" t="s">
        <v>208</v>
      </c>
      <c r="W629" s="2" t="s">
        <v>200</v>
      </c>
      <c r="X629" s="2" t="s">
        <v>200</v>
      </c>
      <c r="Y629" s="2" t="s">
        <v>4009</v>
      </c>
      <c r="Z629" s="4">
        <v>62</v>
      </c>
      <c r="AA629" s="4">
        <f>=ROUNDDOWN(24.8,0)</f>
      </c>
      <c r="AB629" s="5">
        <v>2.5</v>
      </c>
      <c r="AC629" s="2" t="s">
        <v>200</v>
      </c>
      <c r="AD629" s="4"/>
      <c r="AE629" s="4"/>
      <c r="AF629" s="6">
        <v>64</v>
      </c>
      <c r="AG629" s="6"/>
      <c r="AH629" s="7">
        <v>1</v>
      </c>
      <c r="AI629" s="4"/>
      <c r="AJ629" s="4">
        <f>=ROUNDDOWN({0},0)</f>
      </c>
      <c r="AK629" s="5"/>
      <c r="AL629" s="2" t="s">
        <v>200</v>
      </c>
      <c r="AM629" s="4"/>
      <c r="AN629" s="4"/>
      <c r="AO629" s="7"/>
      <c r="AP629" s="4"/>
      <c r="AQ629" s="8"/>
      <c r="AR629" s="4"/>
      <c r="AS629" s="8"/>
      <c r="AT629" s="7"/>
      <c r="AU629" s="7"/>
      <c r="AV629" s="4"/>
      <c r="AW629" s="8"/>
      <c r="AX629" s="4"/>
      <c r="AY629" s="8"/>
      <c r="AZ629" s="7"/>
      <c r="BA629" s="7"/>
      <c r="BB629" s="7"/>
      <c r="BC629" s="4" t="s">
        <v>200</v>
      </c>
      <c r="BD629" s="8" t="s">
        <v>200</v>
      </c>
      <c r="BE629" s="4" t="s">
        <v>200</v>
      </c>
      <c r="BF629" s="8" t="s">
        <v>200</v>
      </c>
      <c r="BG629" s="7" t="s">
        <v>200</v>
      </c>
      <c r="BH629" s="7" t="s">
        <v>200</v>
      </c>
      <c r="BI629" s="7"/>
      <c r="BJ629" s="4">
        <v>1</v>
      </c>
      <c r="BK629" s="8">
        <v>51.11</v>
      </c>
      <c r="BL629" s="2" t="s">
        <v>4010</v>
      </c>
      <c r="BM629" s="7"/>
      <c r="BN629" s="7"/>
      <c r="BO629" s="4"/>
      <c r="BP629" s="8"/>
      <c r="BQ629" s="4"/>
      <c r="BR629" s="8"/>
      <c r="BS629" s="7"/>
      <c r="BT629" s="7"/>
      <c r="BU629" s="2" t="s">
        <v>4011</v>
      </c>
      <c r="BV629" s="2" t="s">
        <v>200</v>
      </c>
      <c r="BW629" s="2" t="s">
        <v>200</v>
      </c>
      <c r="BX629" s="2" t="s">
        <v>264</v>
      </c>
      <c r="BY629" s="2" t="s">
        <v>247</v>
      </c>
      <c r="BZ629" s="2" t="s">
        <v>212</v>
      </c>
      <c r="CA629" s="2" t="s">
        <v>678</v>
      </c>
      <c r="CB629" s="2" t="s">
        <v>200</v>
      </c>
      <c r="CC629" s="2" t="s">
        <v>213</v>
      </c>
      <c r="CD629" s="2" t="s">
        <v>200</v>
      </c>
      <c r="CE629" s="4">
        <v>62</v>
      </c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</row>
    <row r="630">
      <c r="A630" s="2" t="s">
        <v>4012</v>
      </c>
      <c r="B630" s="2" t="s">
        <v>195</v>
      </c>
      <c r="C630" s="2" t="s">
        <v>877</v>
      </c>
      <c r="D630" s="2" t="s">
        <v>608</v>
      </c>
      <c r="E630" s="2" t="s">
        <v>609</v>
      </c>
      <c r="F630" s="2" t="s">
        <v>4007</v>
      </c>
      <c r="G630" s="2" t="s">
        <v>4007</v>
      </c>
      <c r="H630" s="2" t="s">
        <v>4007</v>
      </c>
      <c r="I630" s="2" t="s">
        <v>4008</v>
      </c>
      <c r="J630" s="2" t="s">
        <v>612</v>
      </c>
      <c r="K630" s="2" t="s">
        <v>221</v>
      </c>
      <c r="L630" s="3">
        <v>37.69</v>
      </c>
      <c r="M630" s="3">
        <v>39.57</v>
      </c>
      <c r="N630" s="3">
        <v>64.99</v>
      </c>
      <c r="O630" s="2" t="s">
        <v>417</v>
      </c>
      <c r="P630" s="2" t="s">
        <v>1258</v>
      </c>
      <c r="Q630" s="2" t="s">
        <v>206</v>
      </c>
      <c r="R630" s="2" t="s">
        <v>1259</v>
      </c>
      <c r="S630" s="2" t="s">
        <v>200</v>
      </c>
      <c r="T630" s="2" t="s">
        <v>1176</v>
      </c>
      <c r="U630" s="2" t="s">
        <v>454</v>
      </c>
      <c r="V630" s="2" t="s">
        <v>208</v>
      </c>
      <c r="W630" s="2" t="s">
        <v>200</v>
      </c>
      <c r="X630" s="2" t="s">
        <v>200</v>
      </c>
      <c r="Y630" s="2" t="s">
        <v>4009</v>
      </c>
      <c r="Z630" s="4">
        <v>142</v>
      </c>
      <c r="AA630" s="4">
        <f>=ROUNDDOWN(157.777777777778,0)</f>
      </c>
      <c r="AB630" s="5">
        <v>0.9</v>
      </c>
      <c r="AC630" s="2" t="s">
        <v>200</v>
      </c>
      <c r="AD630" s="4"/>
      <c r="AE630" s="4"/>
      <c r="AF630" s="6">
        <v>64</v>
      </c>
      <c r="AG630" s="6"/>
      <c r="AH630" s="7">
        <v>0.9</v>
      </c>
      <c r="AI630" s="4"/>
      <c r="AJ630" s="4">
        <f>=ROUNDDOWN({0},0)</f>
      </c>
      <c r="AK630" s="5"/>
      <c r="AL630" s="2" t="s">
        <v>200</v>
      </c>
      <c r="AM630" s="4"/>
      <c r="AN630" s="4"/>
      <c r="AO630" s="7"/>
      <c r="AP630" s="4"/>
      <c r="AQ630" s="8"/>
      <c r="AR630" s="4"/>
      <c r="AS630" s="8"/>
      <c r="AT630" s="7"/>
      <c r="AU630" s="7"/>
      <c r="AV630" s="4" t="s">
        <v>200</v>
      </c>
      <c r="AW630" s="8" t="s">
        <v>200</v>
      </c>
      <c r="AX630" s="4" t="s">
        <v>200</v>
      </c>
      <c r="AY630" s="8" t="s">
        <v>200</v>
      </c>
      <c r="AZ630" s="7" t="s">
        <v>200</v>
      </c>
      <c r="BA630" s="7" t="s">
        <v>200</v>
      </c>
      <c r="BB630" s="7"/>
      <c r="BC630" s="4" t="s">
        <v>200</v>
      </c>
      <c r="BD630" s="8" t="s">
        <v>200</v>
      </c>
      <c r="BE630" s="4" t="s">
        <v>200</v>
      </c>
      <c r="BF630" s="8" t="s">
        <v>200</v>
      </c>
      <c r="BG630" s="7" t="s">
        <v>200</v>
      </c>
      <c r="BH630" s="7" t="s">
        <v>200</v>
      </c>
      <c r="BI630" s="7"/>
      <c r="BJ630" s="4">
        <v>2</v>
      </c>
      <c r="BK630" s="8">
        <v>93.5</v>
      </c>
      <c r="BL630" s="2" t="s">
        <v>4013</v>
      </c>
      <c r="BM630" s="7"/>
      <c r="BN630" s="7"/>
      <c r="BO630" s="4"/>
      <c r="BP630" s="8"/>
      <c r="BQ630" s="4"/>
      <c r="BR630" s="8"/>
      <c r="BS630" s="7"/>
      <c r="BT630" s="7"/>
      <c r="BU630" s="2" t="s">
        <v>4014</v>
      </c>
      <c r="BV630" s="2" t="s">
        <v>200</v>
      </c>
      <c r="BW630" s="2" t="s">
        <v>200</v>
      </c>
      <c r="BX630" s="2" t="s">
        <v>264</v>
      </c>
      <c r="BY630" s="2" t="s">
        <v>247</v>
      </c>
      <c r="BZ630" s="2" t="s">
        <v>212</v>
      </c>
      <c r="CA630" s="2" t="s">
        <v>678</v>
      </c>
      <c r="CB630" s="2" t="s">
        <v>4015</v>
      </c>
      <c r="CC630" s="2" t="s">
        <v>213</v>
      </c>
      <c r="CD630" s="2" t="s">
        <v>200</v>
      </c>
      <c r="CE630" s="4">
        <v>142</v>
      </c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</row>
    <row r="631">
      <c r="A631" s="2" t="s">
        <v>4016</v>
      </c>
      <c r="B631" s="2" t="s">
        <v>195</v>
      </c>
      <c r="C631" s="2" t="s">
        <v>877</v>
      </c>
      <c r="D631" s="2" t="s">
        <v>608</v>
      </c>
      <c r="E631" s="2" t="s">
        <v>609</v>
      </c>
      <c r="F631" s="2" t="s">
        <v>4007</v>
      </c>
      <c r="G631" s="2" t="s">
        <v>4007</v>
      </c>
      <c r="H631" s="2" t="s">
        <v>4007</v>
      </c>
      <c r="I631" s="2" t="s">
        <v>4008</v>
      </c>
      <c r="J631" s="2" t="s">
        <v>924</v>
      </c>
      <c r="K631" s="2" t="s">
        <v>221</v>
      </c>
      <c r="L631" s="3">
        <v>43.49</v>
      </c>
      <c r="M631" s="3">
        <v>45.66</v>
      </c>
      <c r="N631" s="3">
        <v>74.99</v>
      </c>
      <c r="O631" s="2" t="s">
        <v>460</v>
      </c>
      <c r="P631" s="2" t="s">
        <v>1258</v>
      </c>
      <c r="Q631" s="2" t="s">
        <v>206</v>
      </c>
      <c r="R631" s="2" t="s">
        <v>1259</v>
      </c>
      <c r="S631" s="2" t="s">
        <v>200</v>
      </c>
      <c r="T631" s="2" t="s">
        <v>1176</v>
      </c>
      <c r="U631" s="2" t="s">
        <v>454</v>
      </c>
      <c r="V631" s="2" t="s">
        <v>208</v>
      </c>
      <c r="W631" s="2" t="s">
        <v>200</v>
      </c>
      <c r="X631" s="2" t="s">
        <v>200</v>
      </c>
      <c r="Y631" s="2" t="s">
        <v>4009</v>
      </c>
      <c r="Z631" s="4">
        <v>147</v>
      </c>
      <c r="AA631" s="4">
        <f>=ROUNDDOWN(54.4444444444444,0)</f>
      </c>
      <c r="AB631" s="5">
        <v>2.7</v>
      </c>
      <c r="AC631" s="2" t="s">
        <v>200</v>
      </c>
      <c r="AD631" s="4"/>
      <c r="AE631" s="4"/>
      <c r="AF631" s="6">
        <v>64</v>
      </c>
      <c r="AG631" s="6"/>
      <c r="AH631" s="7">
        <v>0.9</v>
      </c>
      <c r="AI631" s="4"/>
      <c r="AJ631" s="4">
        <f>=ROUNDDOWN({0},0)</f>
      </c>
      <c r="AK631" s="5"/>
      <c r="AL631" s="2" t="s">
        <v>200</v>
      </c>
      <c r="AM631" s="4"/>
      <c r="AN631" s="4"/>
      <c r="AO631" s="7"/>
      <c r="AP631" s="4"/>
      <c r="AQ631" s="8"/>
      <c r="AR631" s="4"/>
      <c r="AS631" s="8"/>
      <c r="AT631" s="7"/>
      <c r="AU631" s="7"/>
      <c r="AV631" s="4" t="s">
        <v>200</v>
      </c>
      <c r="AW631" s="8" t="s">
        <v>200</v>
      </c>
      <c r="AX631" s="4" t="s">
        <v>200</v>
      </c>
      <c r="AY631" s="8" t="s">
        <v>200</v>
      </c>
      <c r="AZ631" s="7" t="s">
        <v>200</v>
      </c>
      <c r="BA631" s="7" t="s">
        <v>200</v>
      </c>
      <c r="BB631" s="7"/>
      <c r="BC631" s="4" t="s">
        <v>200</v>
      </c>
      <c r="BD631" s="8" t="s">
        <v>200</v>
      </c>
      <c r="BE631" s="4" t="s">
        <v>200</v>
      </c>
      <c r="BF631" s="8" t="s">
        <v>200</v>
      </c>
      <c r="BG631" s="7" t="s">
        <v>200</v>
      </c>
      <c r="BH631" s="7" t="s">
        <v>200</v>
      </c>
      <c r="BI631" s="7"/>
      <c r="BJ631" s="4">
        <v>7</v>
      </c>
      <c r="BK631" s="8">
        <v>264.48</v>
      </c>
      <c r="BL631" s="2" t="s">
        <v>4017</v>
      </c>
      <c r="BM631" s="7"/>
      <c r="BN631" s="7"/>
      <c r="BO631" s="4"/>
      <c r="BP631" s="8"/>
      <c r="BQ631" s="4"/>
      <c r="BR631" s="8"/>
      <c r="BS631" s="7"/>
      <c r="BT631" s="7"/>
      <c r="BU631" s="2" t="s">
        <v>4018</v>
      </c>
      <c r="BV631" s="2" t="s">
        <v>200</v>
      </c>
      <c r="BW631" s="2" t="s">
        <v>200</v>
      </c>
      <c r="BX631" s="2" t="s">
        <v>264</v>
      </c>
      <c r="BY631" s="2" t="s">
        <v>247</v>
      </c>
      <c r="BZ631" s="2" t="s">
        <v>212</v>
      </c>
      <c r="CA631" s="2" t="s">
        <v>678</v>
      </c>
      <c r="CB631" s="2" t="s">
        <v>4019</v>
      </c>
      <c r="CC631" s="2" t="s">
        <v>213</v>
      </c>
      <c r="CD631" s="2" t="s">
        <v>200</v>
      </c>
      <c r="CE631" s="4">
        <v>147</v>
      </c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</row>
    <row r="632">
      <c r="A632" s="2" t="s">
        <v>4020</v>
      </c>
      <c r="B632" s="2" t="s">
        <v>195</v>
      </c>
      <c r="C632" s="2" t="s">
        <v>877</v>
      </c>
      <c r="D632" s="2" t="s">
        <v>608</v>
      </c>
      <c r="E632" s="2" t="s">
        <v>609</v>
      </c>
      <c r="F632" s="2" t="s">
        <v>4007</v>
      </c>
      <c r="G632" s="2" t="s">
        <v>4007</v>
      </c>
      <c r="H632" s="2" t="s">
        <v>4007</v>
      </c>
      <c r="I632" s="2" t="s">
        <v>4008</v>
      </c>
      <c r="J632" s="2" t="s">
        <v>612</v>
      </c>
      <c r="K632" s="2" t="s">
        <v>850</v>
      </c>
      <c r="L632" s="3">
        <v>37.69</v>
      </c>
      <c r="M632" s="3">
        <v>39.57</v>
      </c>
      <c r="N632" s="3">
        <v>64.99</v>
      </c>
      <c r="O632" s="2" t="s">
        <v>460</v>
      </c>
      <c r="P632" s="2" t="s">
        <v>1258</v>
      </c>
      <c r="Q632" s="2" t="s">
        <v>206</v>
      </c>
      <c r="R632" s="2" t="s">
        <v>1259</v>
      </c>
      <c r="S632" s="2" t="s">
        <v>200</v>
      </c>
      <c r="T632" s="2" t="s">
        <v>200</v>
      </c>
      <c r="U632" s="2" t="s">
        <v>454</v>
      </c>
      <c r="V632" s="2" t="s">
        <v>208</v>
      </c>
      <c r="W632" s="2" t="s">
        <v>200</v>
      </c>
      <c r="X632" s="2" t="s">
        <v>200</v>
      </c>
      <c r="Y632" s="2" t="s">
        <v>4021</v>
      </c>
      <c r="Z632" s="4">
        <v>60</v>
      </c>
      <c r="AA632" s="4">
        <f>=ROUNDDOWN(22.2222222222222,0)</f>
      </c>
      <c r="AB632" s="5">
        <v>2.7</v>
      </c>
      <c r="AC632" s="2" t="s">
        <v>200</v>
      </c>
      <c r="AD632" s="4"/>
      <c r="AE632" s="4"/>
      <c r="AF632" s="6">
        <v>64</v>
      </c>
      <c r="AG632" s="6"/>
      <c r="AH632" s="7">
        <v>1</v>
      </c>
      <c r="AI632" s="4"/>
      <c r="AJ632" s="4">
        <f>=ROUNDDOWN({0},0)</f>
      </c>
      <c r="AK632" s="5"/>
      <c r="AL632" s="2" t="s">
        <v>200</v>
      </c>
      <c r="AM632" s="4"/>
      <c r="AN632" s="4"/>
      <c r="AO632" s="7"/>
      <c r="AP632" s="4"/>
      <c r="AQ632" s="8"/>
      <c r="AR632" s="4"/>
      <c r="AS632" s="8"/>
      <c r="AT632" s="7"/>
      <c r="AU632" s="7"/>
      <c r="AV632" s="4" t="s">
        <v>200</v>
      </c>
      <c r="AW632" s="8" t="s">
        <v>200</v>
      </c>
      <c r="AX632" s="4" t="s">
        <v>200</v>
      </c>
      <c r="AY632" s="8" t="s">
        <v>200</v>
      </c>
      <c r="AZ632" s="7" t="s">
        <v>200</v>
      </c>
      <c r="BA632" s="7" t="s">
        <v>200</v>
      </c>
      <c r="BB632" s="7"/>
      <c r="BC632" s="4" t="s">
        <v>200</v>
      </c>
      <c r="BD632" s="8" t="s">
        <v>200</v>
      </c>
      <c r="BE632" s="4" t="s">
        <v>200</v>
      </c>
      <c r="BF632" s="8" t="s">
        <v>200</v>
      </c>
      <c r="BG632" s="7" t="s">
        <v>200</v>
      </c>
      <c r="BH632" s="7" t="s">
        <v>200</v>
      </c>
      <c r="BI632" s="7"/>
      <c r="BJ632" s="4">
        <v>19</v>
      </c>
      <c r="BK632" s="8">
        <v>789.69</v>
      </c>
      <c r="BL632" s="2" t="s">
        <v>4017</v>
      </c>
      <c r="BM632" s="7"/>
      <c r="BN632" s="7"/>
      <c r="BO632" s="4"/>
      <c r="BP632" s="8"/>
      <c r="BQ632" s="4"/>
      <c r="BR632" s="8"/>
      <c r="BS632" s="7"/>
      <c r="BT632" s="7"/>
      <c r="BU632" s="2" t="s">
        <v>4022</v>
      </c>
      <c r="BV632" s="2" t="s">
        <v>200</v>
      </c>
      <c r="BW632" s="2" t="s">
        <v>200</v>
      </c>
      <c r="BX632" s="2" t="s">
        <v>264</v>
      </c>
      <c r="BY632" s="2" t="s">
        <v>247</v>
      </c>
      <c r="BZ632" s="2" t="s">
        <v>212</v>
      </c>
      <c r="CA632" s="2" t="s">
        <v>678</v>
      </c>
      <c r="CB632" s="2" t="s">
        <v>4023</v>
      </c>
      <c r="CC632" s="2" t="s">
        <v>213</v>
      </c>
      <c r="CD632" s="2" t="s">
        <v>200</v>
      </c>
      <c r="CE632" s="4"/>
      <c r="CF632" s="4"/>
      <c r="CG632" s="4"/>
      <c r="CH632" s="4">
        <v>60</v>
      </c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</row>
    <row r="633">
      <c r="A633" s="2" t="s">
        <v>4024</v>
      </c>
      <c r="B633" s="2" t="s">
        <v>195</v>
      </c>
      <c r="C633" s="2" t="s">
        <v>877</v>
      </c>
      <c r="D633" s="2" t="s">
        <v>608</v>
      </c>
      <c r="E633" s="2" t="s">
        <v>609</v>
      </c>
      <c r="F633" s="2" t="s">
        <v>4007</v>
      </c>
      <c r="G633" s="2" t="s">
        <v>4007</v>
      </c>
      <c r="H633" s="2" t="s">
        <v>4007</v>
      </c>
      <c r="I633" s="2" t="s">
        <v>4008</v>
      </c>
      <c r="J633" s="2" t="s">
        <v>924</v>
      </c>
      <c r="K633" s="2" t="s">
        <v>850</v>
      </c>
      <c r="L633" s="3">
        <v>43.49</v>
      </c>
      <c r="M633" s="3">
        <v>45.66</v>
      </c>
      <c r="N633" s="3">
        <v>74.99</v>
      </c>
      <c r="O633" s="2" t="s">
        <v>460</v>
      </c>
      <c r="P633" s="2" t="s">
        <v>1258</v>
      </c>
      <c r="Q633" s="2" t="s">
        <v>206</v>
      </c>
      <c r="R633" s="2" t="s">
        <v>1259</v>
      </c>
      <c r="S633" s="2" t="s">
        <v>200</v>
      </c>
      <c r="T633" s="2" t="s">
        <v>200</v>
      </c>
      <c r="U633" s="2" t="s">
        <v>454</v>
      </c>
      <c r="V633" s="2" t="s">
        <v>208</v>
      </c>
      <c r="W633" s="2" t="s">
        <v>200</v>
      </c>
      <c r="X633" s="2" t="s">
        <v>200</v>
      </c>
      <c r="Y633" s="2" t="s">
        <v>4021</v>
      </c>
      <c r="Z633" s="4">
        <v>43</v>
      </c>
      <c r="AA633" s="4">
        <f>=ROUNDDOWN(15.3571428571429,0)</f>
      </c>
      <c r="AB633" s="5">
        <v>2.8</v>
      </c>
      <c r="AC633" s="2" t="s">
        <v>200</v>
      </c>
      <c r="AD633" s="4"/>
      <c r="AE633" s="4"/>
      <c r="AF633" s="6">
        <v>64</v>
      </c>
      <c r="AG633" s="6"/>
      <c r="AH633" s="7">
        <v>1</v>
      </c>
      <c r="AI633" s="4"/>
      <c r="AJ633" s="4">
        <f>=ROUNDDOWN({0},0)</f>
      </c>
      <c r="AK633" s="5"/>
      <c r="AL633" s="2" t="s">
        <v>200</v>
      </c>
      <c r="AM633" s="4"/>
      <c r="AN633" s="4"/>
      <c r="AO633" s="7"/>
      <c r="AP633" s="4"/>
      <c r="AQ633" s="8"/>
      <c r="AR633" s="4"/>
      <c r="AS633" s="8"/>
      <c r="AT633" s="7"/>
      <c r="AU633" s="7"/>
      <c r="AV633" s="4" t="s">
        <v>200</v>
      </c>
      <c r="AW633" s="8" t="s">
        <v>200</v>
      </c>
      <c r="AX633" s="4" t="s">
        <v>200</v>
      </c>
      <c r="AY633" s="8" t="s">
        <v>200</v>
      </c>
      <c r="AZ633" s="7" t="s">
        <v>200</v>
      </c>
      <c r="BA633" s="7" t="s">
        <v>200</v>
      </c>
      <c r="BB633" s="7"/>
      <c r="BC633" s="4" t="s">
        <v>200</v>
      </c>
      <c r="BD633" s="8" t="s">
        <v>200</v>
      </c>
      <c r="BE633" s="4" t="s">
        <v>200</v>
      </c>
      <c r="BF633" s="8" t="s">
        <v>200</v>
      </c>
      <c r="BG633" s="7" t="s">
        <v>200</v>
      </c>
      <c r="BH633" s="7" t="s">
        <v>200</v>
      </c>
      <c r="BI633" s="7"/>
      <c r="BJ633" s="4">
        <v>2</v>
      </c>
      <c r="BK633" s="8">
        <v>51.11</v>
      </c>
      <c r="BL633" s="2" t="s">
        <v>4017</v>
      </c>
      <c r="BM633" s="7"/>
      <c r="BN633" s="7"/>
      <c r="BO633" s="4"/>
      <c r="BP633" s="8"/>
      <c r="BQ633" s="4"/>
      <c r="BR633" s="8"/>
      <c r="BS633" s="7"/>
      <c r="BT633" s="7"/>
      <c r="BU633" s="2" t="s">
        <v>4025</v>
      </c>
      <c r="BV633" s="2" t="s">
        <v>200</v>
      </c>
      <c r="BW633" s="2" t="s">
        <v>200</v>
      </c>
      <c r="BX633" s="2" t="s">
        <v>264</v>
      </c>
      <c r="BY633" s="2" t="s">
        <v>247</v>
      </c>
      <c r="BZ633" s="2" t="s">
        <v>212</v>
      </c>
      <c r="CA633" s="2" t="s">
        <v>678</v>
      </c>
      <c r="CB633" s="2" t="s">
        <v>4026</v>
      </c>
      <c r="CC633" s="2" t="s">
        <v>213</v>
      </c>
      <c r="CD633" s="2" t="s">
        <v>200</v>
      </c>
      <c r="CE633" s="4"/>
      <c r="CF633" s="4"/>
      <c r="CG633" s="4"/>
      <c r="CH633" s="4">
        <v>43</v>
      </c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</row>
    <row r="634">
      <c r="A634" s="2" t="s">
        <v>4027</v>
      </c>
      <c r="B634" s="2" t="s">
        <v>705</v>
      </c>
      <c r="C634" s="2" t="s">
        <v>706</v>
      </c>
      <c r="D634" s="2" t="s">
        <v>707</v>
      </c>
      <c r="E634" s="2" t="s">
        <v>708</v>
      </c>
      <c r="F634" s="2" t="s">
        <v>4028</v>
      </c>
      <c r="G634" s="2" t="s">
        <v>4028</v>
      </c>
      <c r="H634" s="2" t="s">
        <v>4028</v>
      </c>
      <c r="I634" s="2" t="s">
        <v>4029</v>
      </c>
      <c r="J634" s="2" t="s">
        <v>711</v>
      </c>
      <c r="K634" s="2" t="s">
        <v>4030</v>
      </c>
      <c r="L634" s="3">
        <v>182</v>
      </c>
      <c r="M634" s="3">
        <v>191.1</v>
      </c>
      <c r="N634" s="3">
        <v>369.99</v>
      </c>
      <c r="O634" s="2" t="s">
        <v>212</v>
      </c>
      <c r="P634" s="2" t="s">
        <v>205</v>
      </c>
      <c r="Q634" s="2" t="s">
        <v>206</v>
      </c>
      <c r="R634" s="2" t="s">
        <v>200</v>
      </c>
      <c r="S634" s="2" t="s">
        <v>200</v>
      </c>
      <c r="T634" s="2" t="s">
        <v>200</v>
      </c>
      <c r="U634" s="2" t="s">
        <v>270</v>
      </c>
      <c r="V634" s="2" t="s">
        <v>1594</v>
      </c>
      <c r="W634" s="2" t="s">
        <v>419</v>
      </c>
      <c r="X634" s="2" t="s">
        <v>737</v>
      </c>
      <c r="Y634" s="2" t="s">
        <v>690</v>
      </c>
      <c r="Z634" s="4">
        <v>200</v>
      </c>
      <c r="AA634" s="4">
        <f>=ROUNDDOWN({0},0)</f>
      </c>
      <c r="AB634" s="5"/>
      <c r="AC634" s="2" t="s">
        <v>200</v>
      </c>
      <c r="AD634" s="4"/>
      <c r="AE634" s="4"/>
      <c r="AF634" s="6">
        <v>72</v>
      </c>
      <c r="AG634" s="6"/>
      <c r="AH634" s="7">
        <v>1</v>
      </c>
      <c r="AI634" s="4"/>
      <c r="AJ634" s="4">
        <f>=ROUNDDOWN({0},0)</f>
      </c>
      <c r="AK634" s="5"/>
      <c r="AL634" s="2" t="s">
        <v>200</v>
      </c>
      <c r="AM634" s="4"/>
      <c r="AN634" s="4"/>
      <c r="AO634" s="7"/>
      <c r="AP634" s="4"/>
      <c r="AQ634" s="8"/>
      <c r="AR634" s="4"/>
      <c r="AS634" s="8"/>
      <c r="AT634" s="7"/>
      <c r="AU634" s="7"/>
      <c r="AV634" s="4"/>
      <c r="AW634" s="8"/>
      <c r="AX634" s="4"/>
      <c r="AY634" s="8"/>
      <c r="AZ634" s="7"/>
      <c r="BA634" s="7"/>
      <c r="BB634" s="7"/>
      <c r="BC634" s="4" t="s">
        <v>200</v>
      </c>
      <c r="BD634" s="8" t="s">
        <v>200</v>
      </c>
      <c r="BE634" s="4" t="s">
        <v>200</v>
      </c>
      <c r="BF634" s="8" t="s">
        <v>200</v>
      </c>
      <c r="BG634" s="7" t="s">
        <v>200</v>
      </c>
      <c r="BH634" s="7" t="s">
        <v>200</v>
      </c>
      <c r="BI634" s="7"/>
      <c r="BJ634" s="4"/>
      <c r="BK634" s="8"/>
      <c r="BL634" s="2" t="s">
        <v>200</v>
      </c>
      <c r="BM634" s="7"/>
      <c r="BN634" s="7"/>
      <c r="BO634" s="4"/>
      <c r="BP634" s="8"/>
      <c r="BQ634" s="4"/>
      <c r="BR634" s="8"/>
      <c r="BS634" s="7"/>
      <c r="BT634" s="7"/>
      <c r="BU634" s="2" t="s">
        <v>4031</v>
      </c>
      <c r="BV634" s="2" t="s">
        <v>200</v>
      </c>
      <c r="BW634" s="2" t="s">
        <v>200</v>
      </c>
      <c r="BX634" s="2" t="s">
        <v>210</v>
      </c>
      <c r="BY634" s="2" t="s">
        <v>247</v>
      </c>
      <c r="BZ634" s="2" t="s">
        <v>212</v>
      </c>
      <c r="CA634" s="2" t="s">
        <v>109</v>
      </c>
      <c r="CB634" s="2" t="s">
        <v>200</v>
      </c>
      <c r="CC634" s="2" t="s">
        <v>213</v>
      </c>
      <c r="CD634" s="2" t="s">
        <v>200</v>
      </c>
      <c r="CE634" s="4"/>
      <c r="CF634" s="4">
        <v>200</v>
      </c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</row>
    <row r="635">
      <c r="A635" s="2" t="s">
        <v>4032</v>
      </c>
      <c r="B635" s="2" t="s">
        <v>705</v>
      </c>
      <c r="C635" s="2" t="s">
        <v>706</v>
      </c>
      <c r="D635" s="2" t="s">
        <v>707</v>
      </c>
      <c r="E635" s="2" t="s">
        <v>708</v>
      </c>
      <c r="F635" s="2" t="s">
        <v>4028</v>
      </c>
      <c r="G635" s="2" t="s">
        <v>4028</v>
      </c>
      <c r="H635" s="2" t="s">
        <v>4028</v>
      </c>
      <c r="I635" s="2" t="s">
        <v>4029</v>
      </c>
      <c r="J635" s="2" t="s">
        <v>711</v>
      </c>
      <c r="K635" s="2" t="s">
        <v>4033</v>
      </c>
      <c r="L635" s="3">
        <v>182</v>
      </c>
      <c r="M635" s="3">
        <v>191.1</v>
      </c>
      <c r="N635" s="3">
        <v>369.99</v>
      </c>
      <c r="O635" s="2" t="s">
        <v>212</v>
      </c>
      <c r="P635" s="2" t="s">
        <v>205</v>
      </c>
      <c r="Q635" s="2" t="s">
        <v>206</v>
      </c>
      <c r="R635" s="2" t="s">
        <v>200</v>
      </c>
      <c r="S635" s="2" t="s">
        <v>200</v>
      </c>
      <c r="T635" s="2" t="s">
        <v>200</v>
      </c>
      <c r="U635" s="2" t="s">
        <v>270</v>
      </c>
      <c r="V635" s="2" t="s">
        <v>1594</v>
      </c>
      <c r="W635" s="2" t="s">
        <v>419</v>
      </c>
      <c r="X635" s="2" t="s">
        <v>737</v>
      </c>
      <c r="Y635" s="2" t="s">
        <v>690</v>
      </c>
      <c r="Z635" s="4">
        <v>99</v>
      </c>
      <c r="AA635" s="4">
        <f>=ROUNDDOWN({0},0)</f>
      </c>
      <c r="AB635" s="5"/>
      <c r="AC635" s="2" t="s">
        <v>200</v>
      </c>
      <c r="AD635" s="4"/>
      <c r="AE635" s="4"/>
      <c r="AF635" s="6">
        <v>72</v>
      </c>
      <c r="AG635" s="6"/>
      <c r="AH635" s="7">
        <v>1</v>
      </c>
      <c r="AI635" s="4"/>
      <c r="AJ635" s="4">
        <f>=ROUNDDOWN({0},0)</f>
      </c>
      <c r="AK635" s="5"/>
      <c r="AL635" s="2" t="s">
        <v>200</v>
      </c>
      <c r="AM635" s="4"/>
      <c r="AN635" s="4"/>
      <c r="AO635" s="7"/>
      <c r="AP635" s="4"/>
      <c r="AQ635" s="8"/>
      <c r="AR635" s="4"/>
      <c r="AS635" s="8"/>
      <c r="AT635" s="7"/>
      <c r="AU635" s="7"/>
      <c r="AV635" s="4"/>
      <c r="AW635" s="8"/>
      <c r="AX635" s="4"/>
      <c r="AY635" s="8"/>
      <c r="AZ635" s="7"/>
      <c r="BA635" s="7"/>
      <c r="BB635" s="7"/>
      <c r="BC635" s="4" t="s">
        <v>200</v>
      </c>
      <c r="BD635" s="8" t="s">
        <v>200</v>
      </c>
      <c r="BE635" s="4" t="s">
        <v>200</v>
      </c>
      <c r="BF635" s="8" t="s">
        <v>200</v>
      </c>
      <c r="BG635" s="7" t="s">
        <v>200</v>
      </c>
      <c r="BH635" s="7" t="s">
        <v>200</v>
      </c>
      <c r="BI635" s="7"/>
      <c r="BJ635" s="4"/>
      <c r="BK635" s="8"/>
      <c r="BL635" s="2" t="s">
        <v>200</v>
      </c>
      <c r="BM635" s="7"/>
      <c r="BN635" s="7"/>
      <c r="BO635" s="4"/>
      <c r="BP635" s="8"/>
      <c r="BQ635" s="4"/>
      <c r="BR635" s="8"/>
      <c r="BS635" s="7"/>
      <c r="BT635" s="7"/>
      <c r="BU635" s="2" t="s">
        <v>4034</v>
      </c>
      <c r="BV635" s="2" t="s">
        <v>200</v>
      </c>
      <c r="BW635" s="2" t="s">
        <v>200</v>
      </c>
      <c r="BX635" s="2" t="s">
        <v>210</v>
      </c>
      <c r="BY635" s="2" t="s">
        <v>247</v>
      </c>
      <c r="BZ635" s="2" t="s">
        <v>212</v>
      </c>
      <c r="CA635" s="2" t="s">
        <v>109</v>
      </c>
      <c r="CB635" s="2" t="s">
        <v>200</v>
      </c>
      <c r="CC635" s="2" t="s">
        <v>213</v>
      </c>
      <c r="CD635" s="2" t="s">
        <v>200</v>
      </c>
      <c r="CE635" s="4"/>
      <c r="CF635" s="4">
        <v>99</v>
      </c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</row>
    <row r="636">
      <c r="A636" s="2" t="s">
        <v>4035</v>
      </c>
      <c r="B636" s="2" t="s">
        <v>827</v>
      </c>
      <c r="C636" s="2" t="s">
        <v>231</v>
      </c>
      <c r="D636" s="2" t="s">
        <v>1084</v>
      </c>
      <c r="E636" s="2" t="s">
        <v>1085</v>
      </c>
      <c r="F636" s="2" t="s">
        <v>4036</v>
      </c>
      <c r="G636" s="2" t="s">
        <v>4037</v>
      </c>
      <c r="H636" s="2" t="s">
        <v>4038</v>
      </c>
      <c r="I636" s="2" t="s">
        <v>4039</v>
      </c>
      <c r="J636" s="2" t="s">
        <v>4040</v>
      </c>
      <c r="K636" s="2" t="s">
        <v>4041</v>
      </c>
      <c r="L636" s="3">
        <v>12.42</v>
      </c>
      <c r="M636" s="3">
        <v>13.04</v>
      </c>
      <c r="N636" s="3">
        <v>26.99</v>
      </c>
      <c r="O636" s="2" t="s">
        <v>212</v>
      </c>
      <c r="P636" s="2" t="s">
        <v>258</v>
      </c>
      <c r="Q636" s="2" t="s">
        <v>206</v>
      </c>
      <c r="R636" s="2" t="s">
        <v>200</v>
      </c>
      <c r="S636" s="2" t="s">
        <v>4042</v>
      </c>
      <c r="T636" s="2" t="s">
        <v>200</v>
      </c>
      <c r="U636" s="2" t="s">
        <v>200</v>
      </c>
      <c r="V636" s="2" t="s">
        <v>208</v>
      </c>
      <c r="W636" s="2" t="s">
        <v>736</v>
      </c>
      <c r="X636" s="2" t="s">
        <v>200</v>
      </c>
      <c r="Y636" s="2" t="s">
        <v>4043</v>
      </c>
      <c r="Z636" s="4">
        <v>562</v>
      </c>
      <c r="AA636" s="4">
        <f>=ROUNDDOWN(28.1,0)</f>
      </c>
      <c r="AB636" s="5">
        <v>20</v>
      </c>
      <c r="AC636" s="2" t="s">
        <v>200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200</v>
      </c>
      <c r="AM636" s="4"/>
      <c r="AN636" s="4"/>
      <c r="AO636" s="7"/>
      <c r="AP636" s="4"/>
      <c r="AQ636" s="8"/>
      <c r="AR636" s="4"/>
      <c r="AS636" s="8"/>
      <c r="AT636" s="7"/>
      <c r="AU636" s="7"/>
      <c r="AV636" s="4"/>
      <c r="AW636" s="8"/>
      <c r="AX636" s="4"/>
      <c r="AY636" s="8"/>
      <c r="AZ636" s="7"/>
      <c r="BA636" s="7"/>
      <c r="BB636" s="7"/>
      <c r="BC636" s="4" t="s">
        <v>200</v>
      </c>
      <c r="BD636" s="8" t="s">
        <v>200</v>
      </c>
      <c r="BE636" s="4" t="s">
        <v>200</v>
      </c>
      <c r="BF636" s="8" t="s">
        <v>200</v>
      </c>
      <c r="BG636" s="7" t="s">
        <v>200</v>
      </c>
      <c r="BH636" s="7" t="s">
        <v>200</v>
      </c>
      <c r="BI636" s="7"/>
      <c r="BJ636" s="4">
        <v>71</v>
      </c>
      <c r="BK636" s="8">
        <v>904.37</v>
      </c>
      <c r="BL636" s="2" t="s">
        <v>4044</v>
      </c>
      <c r="BM636" s="7"/>
      <c r="BN636" s="7"/>
      <c r="BO636" s="4"/>
      <c r="BP636" s="8"/>
      <c r="BQ636" s="4"/>
      <c r="BR636" s="8"/>
      <c r="BS636" s="7"/>
      <c r="BT636" s="7"/>
      <c r="BU636" s="2" t="s">
        <v>4045</v>
      </c>
      <c r="BV636" s="2" t="s">
        <v>200</v>
      </c>
      <c r="BW636" s="2" t="s">
        <v>200</v>
      </c>
      <c r="BX636" s="2" t="s">
        <v>264</v>
      </c>
      <c r="BY636" s="2" t="s">
        <v>247</v>
      </c>
      <c r="BZ636" s="2" t="s">
        <v>212</v>
      </c>
      <c r="CA636" s="2" t="s">
        <v>4046</v>
      </c>
      <c r="CB636" s="2" t="s">
        <v>4047</v>
      </c>
      <c r="CC636" s="2" t="s">
        <v>213</v>
      </c>
      <c r="CD636" s="2" t="s">
        <v>200</v>
      </c>
      <c r="CE636" s="4">
        <v>562</v>
      </c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</row>
    <row r="637">
      <c r="A637" s="2" t="s">
        <v>4048</v>
      </c>
      <c r="B637" s="2" t="s">
        <v>827</v>
      </c>
      <c r="C637" s="2" t="s">
        <v>231</v>
      </c>
      <c r="D637" s="2" t="s">
        <v>1084</v>
      </c>
      <c r="E637" s="2" t="s">
        <v>1085</v>
      </c>
      <c r="F637" s="2" t="s">
        <v>4036</v>
      </c>
      <c r="G637" s="2" t="s">
        <v>4037</v>
      </c>
      <c r="H637" s="2" t="s">
        <v>4038</v>
      </c>
      <c r="I637" s="2" t="s">
        <v>4039</v>
      </c>
      <c r="J637" s="2" t="s">
        <v>4040</v>
      </c>
      <c r="K637" s="2" t="s">
        <v>223</v>
      </c>
      <c r="L637" s="3">
        <v>12.42</v>
      </c>
      <c r="M637" s="3">
        <v>13.04</v>
      </c>
      <c r="N637" s="3">
        <v>26.99</v>
      </c>
      <c r="O637" s="2" t="s">
        <v>212</v>
      </c>
      <c r="P637" s="2" t="s">
        <v>258</v>
      </c>
      <c r="Q637" s="2" t="s">
        <v>206</v>
      </c>
      <c r="R637" s="2" t="s">
        <v>200</v>
      </c>
      <c r="S637" s="2" t="s">
        <v>4049</v>
      </c>
      <c r="T637" s="2" t="s">
        <v>1176</v>
      </c>
      <c r="U637" s="2" t="s">
        <v>270</v>
      </c>
      <c r="V637" s="2" t="s">
        <v>208</v>
      </c>
      <c r="W637" s="2" t="s">
        <v>736</v>
      </c>
      <c r="X637" s="2" t="s">
        <v>200</v>
      </c>
      <c r="Y637" s="2" t="s">
        <v>4050</v>
      </c>
      <c r="Z637" s="4">
        <v>186</v>
      </c>
      <c r="AA637" s="4">
        <f>=ROUNDDOWN(14.3076923076923,0)</f>
      </c>
      <c r="AB637" s="5">
        <v>13</v>
      </c>
      <c r="AC637" s="2" t="s">
        <v>115</v>
      </c>
      <c r="AD637" s="4">
        <v>120</v>
      </c>
      <c r="AE637" s="4">
        <v>320</v>
      </c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200</v>
      </c>
      <c r="AM637" s="4"/>
      <c r="AN637" s="4"/>
      <c r="AO637" s="7"/>
      <c r="AP637" s="4"/>
      <c r="AQ637" s="8"/>
      <c r="AR637" s="4"/>
      <c r="AS637" s="8"/>
      <c r="AT637" s="7"/>
      <c r="AU637" s="7"/>
      <c r="AV637" s="4"/>
      <c r="AW637" s="8"/>
      <c r="AX637" s="4"/>
      <c r="AY637" s="8"/>
      <c r="AZ637" s="7"/>
      <c r="BA637" s="7"/>
      <c r="BB637" s="7"/>
      <c r="BC637" s="4" t="s">
        <v>200</v>
      </c>
      <c r="BD637" s="8" t="s">
        <v>200</v>
      </c>
      <c r="BE637" s="4" t="s">
        <v>200</v>
      </c>
      <c r="BF637" s="8" t="s">
        <v>200</v>
      </c>
      <c r="BG637" s="7" t="s">
        <v>200</v>
      </c>
      <c r="BH637" s="7" t="s">
        <v>200</v>
      </c>
      <c r="BI637" s="7"/>
      <c r="BJ637" s="4">
        <v>79</v>
      </c>
      <c r="BK637" s="8">
        <v>1211.36</v>
      </c>
      <c r="BL637" s="2" t="s">
        <v>1132</v>
      </c>
      <c r="BM637" s="7"/>
      <c r="BN637" s="7"/>
      <c r="BO637" s="4"/>
      <c r="BP637" s="8"/>
      <c r="BQ637" s="4"/>
      <c r="BR637" s="8"/>
      <c r="BS637" s="7"/>
      <c r="BT637" s="7"/>
      <c r="BU637" s="2" t="s">
        <v>4051</v>
      </c>
      <c r="BV637" s="2" t="s">
        <v>200</v>
      </c>
      <c r="BW637" s="2" t="s">
        <v>200</v>
      </c>
      <c r="BX637" s="2" t="s">
        <v>264</v>
      </c>
      <c r="BY637" s="2" t="s">
        <v>247</v>
      </c>
      <c r="BZ637" s="2" t="s">
        <v>212</v>
      </c>
      <c r="CA637" s="2" t="s">
        <v>4052</v>
      </c>
      <c r="CB637" s="2" t="s">
        <v>4053</v>
      </c>
      <c r="CC637" s="2" t="s">
        <v>213</v>
      </c>
      <c r="CD637" s="2" t="s">
        <v>200</v>
      </c>
      <c r="CE637" s="4">
        <v>186</v>
      </c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>
        <v>120</v>
      </c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>
        <v>200</v>
      </c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</row>
    <row r="638">
      <c r="A638" s="2" t="s">
        <v>4054</v>
      </c>
      <c r="B638" s="2" t="s">
        <v>705</v>
      </c>
      <c r="C638" s="2" t="s">
        <v>1375</v>
      </c>
      <c r="D638" s="2" t="s">
        <v>707</v>
      </c>
      <c r="E638" s="2" t="s">
        <v>708</v>
      </c>
      <c r="F638" s="2" t="s">
        <v>2504</v>
      </c>
      <c r="G638" s="2" t="s">
        <v>2504</v>
      </c>
      <c r="H638" s="2" t="s">
        <v>2504</v>
      </c>
      <c r="I638" s="2" t="s">
        <v>897</v>
      </c>
      <c r="J638" s="2" t="s">
        <v>711</v>
      </c>
      <c r="K638" s="2" t="s">
        <v>257</v>
      </c>
      <c r="L638" s="3">
        <v>31.88</v>
      </c>
      <c r="M638" s="3">
        <v>33.47</v>
      </c>
      <c r="N638" s="3">
        <v>69.99</v>
      </c>
      <c r="O638" s="2" t="s">
        <v>460</v>
      </c>
      <c r="P638" s="2" t="s">
        <v>285</v>
      </c>
      <c r="Q638" s="2" t="s">
        <v>206</v>
      </c>
      <c r="R638" s="2" t="s">
        <v>200</v>
      </c>
      <c r="S638" s="2" t="s">
        <v>200</v>
      </c>
      <c r="T638" s="2" t="s">
        <v>200</v>
      </c>
      <c r="U638" s="2" t="s">
        <v>270</v>
      </c>
      <c r="V638" s="2" t="s">
        <v>616</v>
      </c>
      <c r="W638" s="2" t="s">
        <v>419</v>
      </c>
      <c r="X638" s="2" t="s">
        <v>1399</v>
      </c>
      <c r="Y638" s="2" t="s">
        <v>899</v>
      </c>
      <c r="Z638" s="4">
        <v>81</v>
      </c>
      <c r="AA638" s="4">
        <f>=ROUNDDOWN(270,0)</f>
      </c>
      <c r="AB638" s="5">
        <v>0.3</v>
      </c>
      <c r="AC638" s="2" t="s">
        <v>200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200</v>
      </c>
      <c r="AM638" s="4"/>
      <c r="AN638" s="4"/>
      <c r="AO638" s="7"/>
      <c r="AP638" s="4"/>
      <c r="AQ638" s="8"/>
      <c r="AR638" s="4"/>
      <c r="AS638" s="8"/>
      <c r="AT638" s="7"/>
      <c r="AU638" s="7"/>
      <c r="AV638" s="4"/>
      <c r="AW638" s="8"/>
      <c r="AX638" s="4"/>
      <c r="AY638" s="8"/>
      <c r="AZ638" s="7"/>
      <c r="BA638" s="7"/>
      <c r="BB638" s="7"/>
      <c r="BC638" s="4"/>
      <c r="BD638" s="8"/>
      <c r="BE638" s="4"/>
      <c r="BF638" s="8"/>
      <c r="BG638" s="7"/>
      <c r="BH638" s="7"/>
      <c r="BI638" s="7"/>
      <c r="BJ638" s="4"/>
      <c r="BK638" s="8"/>
      <c r="BL638" s="2" t="s">
        <v>200</v>
      </c>
      <c r="BM638" s="7"/>
      <c r="BN638" s="7"/>
      <c r="BO638" s="4"/>
      <c r="BP638" s="8"/>
      <c r="BQ638" s="4"/>
      <c r="BR638" s="8"/>
      <c r="BS638" s="7"/>
      <c r="BT638" s="7"/>
      <c r="BU638" s="2" t="s">
        <v>4055</v>
      </c>
      <c r="BV638" s="2" t="s">
        <v>200</v>
      </c>
      <c r="BW638" s="2" t="s">
        <v>200</v>
      </c>
      <c r="BX638" s="2" t="s">
        <v>289</v>
      </c>
      <c r="BY638" s="2" t="s">
        <v>247</v>
      </c>
      <c r="BZ638" s="2" t="s">
        <v>212</v>
      </c>
      <c r="CA638" s="2" t="s">
        <v>4056</v>
      </c>
      <c r="CB638" s="2" t="s">
        <v>4057</v>
      </c>
      <c r="CC638" s="2" t="s">
        <v>213</v>
      </c>
      <c r="CD638" s="2" t="s">
        <v>200</v>
      </c>
      <c r="CE638" s="4"/>
      <c r="CF638" s="4">
        <v>81</v>
      </c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</row>
    <row r="639">
      <c r="A639" s="2" t="s">
        <v>4058</v>
      </c>
      <c r="B639" s="2" t="s">
        <v>903</v>
      </c>
      <c r="C639" s="2" t="s">
        <v>745</v>
      </c>
      <c r="D639" s="2" t="s">
        <v>918</v>
      </c>
      <c r="E639" s="2" t="s">
        <v>919</v>
      </c>
      <c r="F639" s="2" t="s">
        <v>4059</v>
      </c>
      <c r="G639" s="2" t="s">
        <v>4059</v>
      </c>
      <c r="H639" s="2" t="s">
        <v>4059</v>
      </c>
      <c r="I639" s="2" t="s">
        <v>2470</v>
      </c>
      <c r="J639" s="2" t="s">
        <v>612</v>
      </c>
      <c r="K639" s="2" t="s">
        <v>499</v>
      </c>
      <c r="L639" s="3">
        <v>50.4</v>
      </c>
      <c r="M639" s="3">
        <v>52.91</v>
      </c>
      <c r="N639" s="3">
        <v>104.99</v>
      </c>
      <c r="O639" s="2" t="s">
        <v>212</v>
      </c>
      <c r="P639" s="2" t="s">
        <v>1247</v>
      </c>
      <c r="Q639" s="2" t="s">
        <v>206</v>
      </c>
      <c r="R639" s="2" t="s">
        <v>200</v>
      </c>
      <c r="S639" s="2" t="s">
        <v>4060</v>
      </c>
      <c r="T639" s="2" t="s">
        <v>1833</v>
      </c>
      <c r="U639" s="2" t="s">
        <v>454</v>
      </c>
      <c r="V639" s="2" t="s">
        <v>885</v>
      </c>
      <c r="W639" s="2" t="s">
        <v>379</v>
      </c>
      <c r="X639" s="2" t="s">
        <v>241</v>
      </c>
      <c r="Y639" s="2" t="s">
        <v>4061</v>
      </c>
      <c r="Z639" s="4">
        <v>488</v>
      </c>
      <c r="AA639" s="4">
        <f>=ROUNDDOWN(81.3333333333333,0)</f>
      </c>
      <c r="AB639" s="5">
        <v>6</v>
      </c>
      <c r="AC639" s="2" t="s">
        <v>200</v>
      </c>
      <c r="AD639" s="4"/>
      <c r="AE639" s="4"/>
      <c r="AF639" s="6">
        <v>67</v>
      </c>
      <c r="AG639" s="6"/>
      <c r="AH639" s="7">
        <v>1</v>
      </c>
      <c r="AI639" s="4"/>
      <c r="AJ639" s="4">
        <f>=ROUNDDOWN({0},0)</f>
      </c>
      <c r="AK639" s="5"/>
      <c r="AL639" s="2" t="s">
        <v>200</v>
      </c>
      <c r="AM639" s="4"/>
      <c r="AN639" s="4"/>
      <c r="AO639" s="7"/>
      <c r="AP639" s="4"/>
      <c r="AQ639" s="8"/>
      <c r="AR639" s="4"/>
      <c r="AS639" s="8"/>
      <c r="AT639" s="7"/>
      <c r="AU639" s="7"/>
      <c r="AV639" s="4"/>
      <c r="AW639" s="8"/>
      <c r="AX639" s="4"/>
      <c r="AY639" s="8"/>
      <c r="AZ639" s="7"/>
      <c r="BA639" s="7"/>
      <c r="BB639" s="7"/>
      <c r="BC639" s="4"/>
      <c r="BD639" s="8"/>
      <c r="BE639" s="4"/>
      <c r="BF639" s="8"/>
      <c r="BG639" s="7"/>
      <c r="BH639" s="7"/>
      <c r="BI639" s="7"/>
      <c r="BJ639" s="4">
        <v>56</v>
      </c>
      <c r="BK639" s="8">
        <v>3061.47</v>
      </c>
      <c r="BL639" s="2" t="s">
        <v>4062</v>
      </c>
      <c r="BM639" s="7"/>
      <c r="BN639" s="7"/>
      <c r="BO639" s="4"/>
      <c r="BP639" s="8"/>
      <c r="BQ639" s="4"/>
      <c r="BR639" s="8"/>
      <c r="BS639" s="7"/>
      <c r="BT639" s="7"/>
      <c r="BU639" s="2" t="s">
        <v>4063</v>
      </c>
      <c r="BV639" s="2" t="s">
        <v>200</v>
      </c>
      <c r="BW639" s="2" t="s">
        <v>200</v>
      </c>
      <c r="BX639" s="2" t="s">
        <v>264</v>
      </c>
      <c r="BY639" s="2" t="s">
        <v>247</v>
      </c>
      <c r="BZ639" s="2" t="s">
        <v>212</v>
      </c>
      <c r="CA639" s="2" t="s">
        <v>4064</v>
      </c>
      <c r="CB639" s="2" t="s">
        <v>4065</v>
      </c>
      <c r="CC639" s="2" t="s">
        <v>213</v>
      </c>
      <c r="CD639" s="2" t="s">
        <v>200</v>
      </c>
      <c r="CE639" s="4">
        <v>323</v>
      </c>
      <c r="CF639" s="4"/>
      <c r="CG639" s="4"/>
      <c r="CH639" s="4">
        <v>165</v>
      </c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</row>
    <row r="640">
      <c r="A640" s="2" t="s">
        <v>4066</v>
      </c>
      <c r="B640" s="2" t="s">
        <v>705</v>
      </c>
      <c r="C640" s="2" t="s">
        <v>706</v>
      </c>
      <c r="D640" s="2" t="s">
        <v>808</v>
      </c>
      <c r="E640" s="2" t="s">
        <v>809</v>
      </c>
      <c r="F640" s="2" t="s">
        <v>4067</v>
      </c>
      <c r="G640" s="2" t="s">
        <v>4067</v>
      </c>
      <c r="H640" s="2" t="s">
        <v>4067</v>
      </c>
      <c r="I640" s="2" t="s">
        <v>4068</v>
      </c>
      <c r="J640" s="2" t="s">
        <v>711</v>
      </c>
      <c r="K640" s="2" t="s">
        <v>4069</v>
      </c>
      <c r="L640" s="3">
        <v>19.95</v>
      </c>
      <c r="M640" s="3">
        <v>20.95</v>
      </c>
      <c r="N640" s="3">
        <v>42.5</v>
      </c>
      <c r="O640" s="2" t="s">
        <v>460</v>
      </c>
      <c r="P640" s="2" t="s">
        <v>285</v>
      </c>
      <c r="Q640" s="2" t="s">
        <v>206</v>
      </c>
      <c r="R640" s="2" t="s">
        <v>200</v>
      </c>
      <c r="S640" s="2" t="s">
        <v>200</v>
      </c>
      <c r="T640" s="2" t="s">
        <v>200</v>
      </c>
      <c r="U640" s="2" t="s">
        <v>270</v>
      </c>
      <c r="V640" s="2" t="s">
        <v>616</v>
      </c>
      <c r="W640" s="2" t="s">
        <v>1399</v>
      </c>
      <c r="X640" s="2" t="s">
        <v>200</v>
      </c>
      <c r="Y640" s="2" t="s">
        <v>1774</v>
      </c>
      <c r="Z640" s="4">
        <v>155</v>
      </c>
      <c r="AA640" s="4">
        <f>=ROUNDDOWN(1550,0)</f>
      </c>
      <c r="AB640" s="5">
        <v>0.1</v>
      </c>
      <c r="AC640" s="2" t="s">
        <v>200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200</v>
      </c>
      <c r="AM640" s="4"/>
      <c r="AN640" s="4"/>
      <c r="AO640" s="7"/>
      <c r="AP640" s="4"/>
      <c r="AQ640" s="8"/>
      <c r="AR640" s="4"/>
      <c r="AS640" s="8"/>
      <c r="AT640" s="7"/>
      <c r="AU640" s="7"/>
      <c r="AV640" s="4"/>
      <c r="AW640" s="8"/>
      <c r="AX640" s="4"/>
      <c r="AY640" s="8"/>
      <c r="AZ640" s="7"/>
      <c r="BA640" s="7"/>
      <c r="BB640" s="7"/>
      <c r="BC640" s="4"/>
      <c r="BD640" s="8"/>
      <c r="BE640" s="4"/>
      <c r="BF640" s="8"/>
      <c r="BG640" s="7"/>
      <c r="BH640" s="7"/>
      <c r="BI640" s="7"/>
      <c r="BJ640" s="4"/>
      <c r="BK640" s="8"/>
      <c r="BL640" s="2" t="s">
        <v>200</v>
      </c>
      <c r="BM640" s="7"/>
      <c r="BN640" s="7"/>
      <c r="BO640" s="4"/>
      <c r="BP640" s="8"/>
      <c r="BQ640" s="4"/>
      <c r="BR640" s="8"/>
      <c r="BS640" s="7"/>
      <c r="BT640" s="7"/>
      <c r="BU640" s="2" t="s">
        <v>4070</v>
      </c>
      <c r="BV640" s="2" t="s">
        <v>200</v>
      </c>
      <c r="BW640" s="2" t="s">
        <v>200</v>
      </c>
      <c r="BX640" s="2" t="s">
        <v>289</v>
      </c>
      <c r="BY640" s="2" t="s">
        <v>247</v>
      </c>
      <c r="BZ640" s="2" t="s">
        <v>212</v>
      </c>
      <c r="CA640" s="2" t="s">
        <v>1777</v>
      </c>
      <c r="CB640" s="2" t="s">
        <v>3820</v>
      </c>
      <c r="CC640" s="2" t="s">
        <v>213</v>
      </c>
      <c r="CD640" s="2" t="s">
        <v>200</v>
      </c>
      <c r="CE640" s="4"/>
      <c r="CF640" s="4">
        <v>155</v>
      </c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</row>
    <row r="641">
      <c r="A641" s="2" t="s">
        <v>4071</v>
      </c>
      <c r="B641" s="2" t="s">
        <v>744</v>
      </c>
      <c r="C641" s="2" t="s">
        <v>231</v>
      </c>
      <c r="D641" s="2" t="s">
        <v>1462</v>
      </c>
      <c r="E641" s="2" t="s">
        <v>1463</v>
      </c>
      <c r="F641" s="2" t="s">
        <v>4072</v>
      </c>
      <c r="G641" s="2" t="s">
        <v>4073</v>
      </c>
      <c r="H641" s="2" t="s">
        <v>4074</v>
      </c>
      <c r="I641" s="2" t="s">
        <v>4075</v>
      </c>
      <c r="J641" s="2" t="s">
        <v>711</v>
      </c>
      <c r="K641" s="2" t="s">
        <v>857</v>
      </c>
      <c r="L641" s="3">
        <v>232.97</v>
      </c>
      <c r="M641" s="3">
        <v>244.62</v>
      </c>
      <c r="N641" s="3">
        <v>499</v>
      </c>
      <c r="O641" s="2" t="s">
        <v>212</v>
      </c>
      <c r="P641" s="2" t="s">
        <v>285</v>
      </c>
      <c r="Q641" s="2" t="s">
        <v>206</v>
      </c>
      <c r="R641" s="2" t="s">
        <v>200</v>
      </c>
      <c r="S641" s="2" t="s">
        <v>200</v>
      </c>
      <c r="T641" s="2" t="s">
        <v>200</v>
      </c>
      <c r="U641" s="2" t="s">
        <v>677</v>
      </c>
      <c r="V641" s="2" t="s">
        <v>208</v>
      </c>
      <c r="W641" s="2" t="s">
        <v>379</v>
      </c>
      <c r="X641" s="2" t="s">
        <v>200</v>
      </c>
      <c r="Y641" s="2" t="s">
        <v>790</v>
      </c>
      <c r="Z641" s="4">
        <v>54</v>
      </c>
      <c r="AA641" s="4">
        <f>=ROUNDDOWN(13.5,0)</f>
      </c>
      <c r="AB641" s="5">
        <v>4</v>
      </c>
      <c r="AC641" s="2" t="s">
        <v>200</v>
      </c>
      <c r="AD641" s="4"/>
      <c r="AE641" s="4"/>
      <c r="AF641" s="6">
        <v>66</v>
      </c>
      <c r="AG641" s="6"/>
      <c r="AH641" s="7">
        <v>1</v>
      </c>
      <c r="AI641" s="4"/>
      <c r="AJ641" s="4">
        <f>=ROUNDDOWN({0},0)</f>
      </c>
      <c r="AK641" s="5"/>
      <c r="AL641" s="2" t="s">
        <v>200</v>
      </c>
      <c r="AM641" s="4"/>
      <c r="AN641" s="4"/>
      <c r="AO641" s="7"/>
      <c r="AP641" s="4"/>
      <c r="AQ641" s="8"/>
      <c r="AR641" s="4"/>
      <c r="AS641" s="8"/>
      <c r="AT641" s="7"/>
      <c r="AU641" s="7"/>
      <c r="AV641" s="4"/>
      <c r="AW641" s="8"/>
      <c r="AX641" s="4"/>
      <c r="AY641" s="8"/>
      <c r="AZ641" s="7"/>
      <c r="BA641" s="7"/>
      <c r="BB641" s="7"/>
      <c r="BC641" s="4"/>
      <c r="BD641" s="8"/>
      <c r="BE641" s="4"/>
      <c r="BF641" s="8"/>
      <c r="BG641" s="7"/>
      <c r="BH641" s="7"/>
      <c r="BI641" s="7"/>
      <c r="BJ641" s="4">
        <v>23</v>
      </c>
      <c r="BK641" s="8">
        <v>3788.69</v>
      </c>
      <c r="BL641" s="2" t="s">
        <v>4076</v>
      </c>
      <c r="BM641" s="7"/>
      <c r="BN641" s="7"/>
      <c r="BO641" s="4"/>
      <c r="BP641" s="8"/>
      <c r="BQ641" s="4"/>
      <c r="BR641" s="8"/>
      <c r="BS641" s="7"/>
      <c r="BT641" s="7"/>
      <c r="BU641" s="2" t="s">
        <v>4077</v>
      </c>
      <c r="BV641" s="2" t="s">
        <v>200</v>
      </c>
      <c r="BW641" s="2" t="s">
        <v>200</v>
      </c>
      <c r="BX641" s="2" t="s">
        <v>289</v>
      </c>
      <c r="BY641" s="2" t="s">
        <v>247</v>
      </c>
      <c r="BZ641" s="2" t="s">
        <v>212</v>
      </c>
      <c r="CA641" s="2" t="s">
        <v>790</v>
      </c>
      <c r="CB641" s="2" t="s">
        <v>4078</v>
      </c>
      <c r="CC641" s="2" t="s">
        <v>213</v>
      </c>
      <c r="CD641" s="2" t="s">
        <v>200</v>
      </c>
      <c r="CE641" s="4"/>
      <c r="CF641" s="4">
        <v>54</v>
      </c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</row>
    <row r="642">
      <c r="A642" s="2" t="s">
        <v>4079</v>
      </c>
      <c r="B642" s="2" t="s">
        <v>705</v>
      </c>
      <c r="C642" s="2" t="s">
        <v>745</v>
      </c>
      <c r="D642" s="2" t="s">
        <v>707</v>
      </c>
      <c r="E642" s="2" t="s">
        <v>708</v>
      </c>
      <c r="F642" s="2" t="s">
        <v>4080</v>
      </c>
      <c r="G642" s="2" t="s">
        <v>4080</v>
      </c>
      <c r="H642" s="2" t="s">
        <v>4080</v>
      </c>
      <c r="I642" s="2" t="s">
        <v>4081</v>
      </c>
      <c r="J642" s="2" t="s">
        <v>711</v>
      </c>
      <c r="K642" s="2" t="s">
        <v>4082</v>
      </c>
      <c r="L642" s="3">
        <v>44.39</v>
      </c>
      <c r="M642" s="3">
        <v>46.61</v>
      </c>
      <c r="N642" s="3">
        <v>99.99</v>
      </c>
      <c r="O642" s="2" t="s">
        <v>460</v>
      </c>
      <c r="P642" s="2" t="s">
        <v>285</v>
      </c>
      <c r="Q642" s="2" t="s">
        <v>206</v>
      </c>
      <c r="R642" s="2" t="s">
        <v>200</v>
      </c>
      <c r="S642" s="2" t="s">
        <v>200</v>
      </c>
      <c r="T642" s="2" t="s">
        <v>200</v>
      </c>
      <c r="U642" s="2" t="s">
        <v>270</v>
      </c>
      <c r="V642" s="2" t="s">
        <v>616</v>
      </c>
      <c r="W642" s="2" t="s">
        <v>379</v>
      </c>
      <c r="X642" s="2" t="s">
        <v>4083</v>
      </c>
      <c r="Y642" s="2" t="s">
        <v>1028</v>
      </c>
      <c r="Z642" s="4">
        <v>85</v>
      </c>
      <c r="AA642" s="4">
        <f>=ROUNDDOWN({0},0)</f>
      </c>
      <c r="AB642" s="5"/>
      <c r="AC642" s="2" t="s">
        <v>200</v>
      </c>
      <c r="AD642" s="4"/>
      <c r="AE642" s="4"/>
      <c r="AF642" s="6">
        <v>63</v>
      </c>
      <c r="AG642" s="6"/>
      <c r="AH642" s="7">
        <v>1</v>
      </c>
      <c r="AI642" s="4"/>
      <c r="AJ642" s="4">
        <f>=ROUNDDOWN({0},0)</f>
      </c>
      <c r="AK642" s="5"/>
      <c r="AL642" s="2" t="s">
        <v>200</v>
      </c>
      <c r="AM642" s="4"/>
      <c r="AN642" s="4"/>
      <c r="AO642" s="7"/>
      <c r="AP642" s="4"/>
      <c r="AQ642" s="8"/>
      <c r="AR642" s="4"/>
      <c r="AS642" s="8"/>
      <c r="AT642" s="7"/>
      <c r="AU642" s="7"/>
      <c r="AV642" s="4"/>
      <c r="AW642" s="8"/>
      <c r="AX642" s="4"/>
      <c r="AY642" s="8"/>
      <c r="AZ642" s="7"/>
      <c r="BA642" s="7"/>
      <c r="BB642" s="7"/>
      <c r="BC642" s="4"/>
      <c r="BD642" s="8"/>
      <c r="BE642" s="4"/>
      <c r="BF642" s="8"/>
      <c r="BG642" s="7"/>
      <c r="BH642" s="7"/>
      <c r="BI642" s="7"/>
      <c r="BJ642" s="4"/>
      <c r="BK642" s="8"/>
      <c r="BL642" s="2" t="s">
        <v>2168</v>
      </c>
      <c r="BM642" s="7"/>
      <c r="BN642" s="7"/>
      <c r="BO642" s="4"/>
      <c r="BP642" s="8"/>
      <c r="BQ642" s="4"/>
      <c r="BR642" s="8"/>
      <c r="BS642" s="7"/>
      <c r="BT642" s="7"/>
      <c r="BU642" s="2" t="s">
        <v>4084</v>
      </c>
      <c r="BV642" s="2" t="s">
        <v>200</v>
      </c>
      <c r="BW642" s="2" t="s">
        <v>200</v>
      </c>
      <c r="BX642" s="2" t="s">
        <v>289</v>
      </c>
      <c r="BY642" s="2" t="s">
        <v>247</v>
      </c>
      <c r="BZ642" s="2" t="s">
        <v>212</v>
      </c>
      <c r="CA642" s="2" t="s">
        <v>2752</v>
      </c>
      <c r="CB642" s="2" t="s">
        <v>1485</v>
      </c>
      <c r="CC642" s="2" t="s">
        <v>213</v>
      </c>
      <c r="CD642" s="2" t="s">
        <v>200</v>
      </c>
      <c r="CE642" s="4"/>
      <c r="CF642" s="4">
        <v>85</v>
      </c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</row>
    <row r="643">
      <c r="A643" s="2" t="s">
        <v>4085</v>
      </c>
      <c r="B643" s="2" t="s">
        <v>230</v>
      </c>
      <c r="C643" s="2" t="s">
        <v>231</v>
      </c>
      <c r="D643" s="2" t="s">
        <v>232</v>
      </c>
      <c r="E643" s="2" t="s">
        <v>233</v>
      </c>
      <c r="F643" s="2" t="s">
        <v>4086</v>
      </c>
      <c r="G643" s="2" t="s">
        <v>4086</v>
      </c>
      <c r="H643" s="2" t="s">
        <v>4086</v>
      </c>
      <c r="I643" s="2" t="s">
        <v>4087</v>
      </c>
      <c r="J643" s="2" t="s">
        <v>277</v>
      </c>
      <c r="K643" s="2" t="s">
        <v>4088</v>
      </c>
      <c r="L643" s="3">
        <v>13.56</v>
      </c>
      <c r="M643" s="3">
        <v>14.24</v>
      </c>
      <c r="N643" s="3">
        <v>32.99</v>
      </c>
      <c r="O643" s="2" t="s">
        <v>460</v>
      </c>
      <c r="P643" s="2" t="s">
        <v>285</v>
      </c>
      <c r="Q643" s="2" t="s">
        <v>206</v>
      </c>
      <c r="R643" s="2" t="s">
        <v>200</v>
      </c>
      <c r="S643" s="2" t="s">
        <v>4089</v>
      </c>
      <c r="T643" s="2" t="s">
        <v>378</v>
      </c>
      <c r="U643" s="2" t="s">
        <v>240</v>
      </c>
      <c r="V643" s="2" t="s">
        <v>2759</v>
      </c>
      <c r="W643" s="2" t="s">
        <v>241</v>
      </c>
      <c r="X643" s="2" t="s">
        <v>200</v>
      </c>
      <c r="Y643" s="2" t="s">
        <v>4090</v>
      </c>
      <c r="Z643" s="4">
        <v>12</v>
      </c>
      <c r="AA643" s="4">
        <f>=ROUNDDOWN(6,0)</f>
      </c>
      <c r="AB643" s="5">
        <v>2</v>
      </c>
      <c r="AC643" s="2" t="s">
        <v>200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200</v>
      </c>
      <c r="AM643" s="4"/>
      <c r="AN643" s="4"/>
      <c r="AO643" s="7"/>
      <c r="AP643" s="4"/>
      <c r="AQ643" s="8"/>
      <c r="AR643" s="4"/>
      <c r="AS643" s="8"/>
      <c r="AT643" s="7"/>
      <c r="AU643" s="7"/>
      <c r="AV643" s="4"/>
      <c r="AW643" s="8"/>
      <c r="AX643" s="4"/>
      <c r="AY643" s="8"/>
      <c r="AZ643" s="7"/>
      <c r="BA643" s="7"/>
      <c r="BB643" s="7"/>
      <c r="BC643" s="4" t="s">
        <v>200</v>
      </c>
      <c r="BD643" s="8" t="s">
        <v>200</v>
      </c>
      <c r="BE643" s="4" t="s">
        <v>200</v>
      </c>
      <c r="BF643" s="8" t="s">
        <v>200</v>
      </c>
      <c r="BG643" s="7" t="s">
        <v>200</v>
      </c>
      <c r="BH643" s="7" t="s">
        <v>200</v>
      </c>
      <c r="BI643" s="7"/>
      <c r="BJ643" s="4">
        <v>11</v>
      </c>
      <c r="BK643" s="8">
        <v>156.09</v>
      </c>
      <c r="BL643" s="2" t="s">
        <v>4091</v>
      </c>
      <c r="BM643" s="7"/>
      <c r="BN643" s="7"/>
      <c r="BO643" s="4"/>
      <c r="BP643" s="8"/>
      <c r="BQ643" s="4"/>
      <c r="BR643" s="8"/>
      <c r="BS643" s="7"/>
      <c r="BT643" s="7"/>
      <c r="BU643" s="2" t="s">
        <v>4092</v>
      </c>
      <c r="BV643" s="2" t="s">
        <v>200</v>
      </c>
      <c r="BW643" s="2" t="s">
        <v>200</v>
      </c>
      <c r="BX643" s="2" t="s">
        <v>289</v>
      </c>
      <c r="BY643" s="2" t="s">
        <v>247</v>
      </c>
      <c r="BZ643" s="2" t="s">
        <v>212</v>
      </c>
      <c r="CA643" s="2" t="s">
        <v>4093</v>
      </c>
      <c r="CB643" s="2" t="s">
        <v>1381</v>
      </c>
      <c r="CC643" s="2" t="s">
        <v>213</v>
      </c>
      <c r="CD643" s="2" t="s">
        <v>200</v>
      </c>
      <c r="CE643" s="4">
        <v>12</v>
      </c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</row>
    <row r="644">
      <c r="A644" s="2" t="s">
        <v>4094</v>
      </c>
      <c r="B644" s="2" t="s">
        <v>230</v>
      </c>
      <c r="C644" s="2" t="s">
        <v>231</v>
      </c>
      <c r="D644" s="2" t="s">
        <v>232</v>
      </c>
      <c r="E644" s="2" t="s">
        <v>233</v>
      </c>
      <c r="F644" s="2" t="s">
        <v>4086</v>
      </c>
      <c r="G644" s="2" t="s">
        <v>4086</v>
      </c>
      <c r="H644" s="2" t="s">
        <v>4086</v>
      </c>
      <c r="I644" s="2" t="s">
        <v>4087</v>
      </c>
      <c r="J644" s="2" t="s">
        <v>277</v>
      </c>
      <c r="K644" s="2" t="s">
        <v>4095</v>
      </c>
      <c r="L644" s="3">
        <v>13.56</v>
      </c>
      <c r="M644" s="3">
        <v>14.24</v>
      </c>
      <c r="N644" s="3">
        <v>32.99</v>
      </c>
      <c r="O644" s="2" t="s">
        <v>460</v>
      </c>
      <c r="P644" s="2" t="s">
        <v>285</v>
      </c>
      <c r="Q644" s="2" t="s">
        <v>206</v>
      </c>
      <c r="R644" s="2" t="s">
        <v>200</v>
      </c>
      <c r="S644" s="2" t="s">
        <v>4096</v>
      </c>
      <c r="T644" s="2" t="s">
        <v>378</v>
      </c>
      <c r="U644" s="2" t="s">
        <v>240</v>
      </c>
      <c r="V644" s="2" t="s">
        <v>2759</v>
      </c>
      <c r="W644" s="2" t="s">
        <v>241</v>
      </c>
      <c r="X644" s="2" t="s">
        <v>200</v>
      </c>
      <c r="Y644" s="2" t="s">
        <v>4090</v>
      </c>
      <c r="Z644" s="4">
        <v>88</v>
      </c>
      <c r="AA644" s="4">
        <f>=ROUNDDOWN(88,0)</f>
      </c>
      <c r="AB644" s="5">
        <v>1</v>
      </c>
      <c r="AC644" s="2" t="s">
        <v>200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200</v>
      </c>
      <c r="AM644" s="4"/>
      <c r="AN644" s="4"/>
      <c r="AO644" s="7"/>
      <c r="AP644" s="4"/>
      <c r="AQ644" s="8"/>
      <c r="AR644" s="4"/>
      <c r="AS644" s="8"/>
      <c r="AT644" s="7"/>
      <c r="AU644" s="7"/>
      <c r="AV644" s="4"/>
      <c r="AW644" s="8"/>
      <c r="AX644" s="4"/>
      <c r="AY644" s="8"/>
      <c r="AZ644" s="7"/>
      <c r="BA644" s="7"/>
      <c r="BB644" s="7"/>
      <c r="BC644" s="4" t="s">
        <v>200</v>
      </c>
      <c r="BD644" s="8" t="s">
        <v>200</v>
      </c>
      <c r="BE644" s="4" t="s">
        <v>200</v>
      </c>
      <c r="BF644" s="8" t="s">
        <v>200</v>
      </c>
      <c r="BG644" s="7" t="s">
        <v>200</v>
      </c>
      <c r="BH644" s="7" t="s">
        <v>200</v>
      </c>
      <c r="BI644" s="7"/>
      <c r="BJ644" s="4">
        <v>4</v>
      </c>
      <c r="BK644" s="8">
        <v>59.8</v>
      </c>
      <c r="BL644" s="2" t="s">
        <v>4097</v>
      </c>
      <c r="BM644" s="7"/>
      <c r="BN644" s="7"/>
      <c r="BO644" s="4"/>
      <c r="BP644" s="8"/>
      <c r="BQ644" s="4"/>
      <c r="BR644" s="8"/>
      <c r="BS644" s="7"/>
      <c r="BT644" s="7"/>
      <c r="BU644" s="2" t="s">
        <v>4098</v>
      </c>
      <c r="BV644" s="2" t="s">
        <v>200</v>
      </c>
      <c r="BW644" s="2" t="s">
        <v>200</v>
      </c>
      <c r="BX644" s="2" t="s">
        <v>289</v>
      </c>
      <c r="BY644" s="2" t="s">
        <v>247</v>
      </c>
      <c r="BZ644" s="2" t="s">
        <v>212</v>
      </c>
      <c r="CA644" s="2" t="s">
        <v>4093</v>
      </c>
      <c r="CB644" s="2" t="s">
        <v>4099</v>
      </c>
      <c r="CC644" s="2" t="s">
        <v>213</v>
      </c>
      <c r="CD644" s="2" t="s">
        <v>200</v>
      </c>
      <c r="CE644" s="4">
        <v>88</v>
      </c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</row>
    <row r="645">
      <c r="A645" s="2" t="s">
        <v>4100</v>
      </c>
      <c r="B645" s="2" t="s">
        <v>230</v>
      </c>
      <c r="C645" s="2" t="s">
        <v>231</v>
      </c>
      <c r="D645" s="2" t="s">
        <v>232</v>
      </c>
      <c r="E645" s="2" t="s">
        <v>233</v>
      </c>
      <c r="F645" s="2" t="s">
        <v>4086</v>
      </c>
      <c r="G645" s="2" t="s">
        <v>4086</v>
      </c>
      <c r="H645" s="2" t="s">
        <v>4086</v>
      </c>
      <c r="I645" s="2" t="s">
        <v>4087</v>
      </c>
      <c r="J645" s="2" t="s">
        <v>277</v>
      </c>
      <c r="K645" s="2" t="s">
        <v>4101</v>
      </c>
      <c r="L645" s="3">
        <v>13.56</v>
      </c>
      <c r="M645" s="3">
        <v>14.24</v>
      </c>
      <c r="N645" s="3">
        <v>32.99</v>
      </c>
      <c r="O645" s="2" t="s">
        <v>460</v>
      </c>
      <c r="P645" s="2" t="s">
        <v>285</v>
      </c>
      <c r="Q645" s="2" t="s">
        <v>206</v>
      </c>
      <c r="R645" s="2" t="s">
        <v>200</v>
      </c>
      <c r="S645" s="2" t="s">
        <v>4102</v>
      </c>
      <c r="T645" s="2" t="s">
        <v>378</v>
      </c>
      <c r="U645" s="2" t="s">
        <v>240</v>
      </c>
      <c r="V645" s="2" t="s">
        <v>2759</v>
      </c>
      <c r="W645" s="2" t="s">
        <v>241</v>
      </c>
      <c r="X645" s="2" t="s">
        <v>200</v>
      </c>
      <c r="Y645" s="2" t="s">
        <v>4090</v>
      </c>
      <c r="Z645" s="4">
        <v>47</v>
      </c>
      <c r="AA645" s="4">
        <f>=ROUNDDOWN(23.5,0)</f>
      </c>
      <c r="AB645" s="5">
        <v>2</v>
      </c>
      <c r="AC645" s="2" t="s">
        <v>200</v>
      </c>
      <c r="AD645" s="4"/>
      <c r="AE645" s="4"/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200</v>
      </c>
      <c r="AM645" s="4"/>
      <c r="AN645" s="4"/>
      <c r="AO645" s="7"/>
      <c r="AP645" s="4"/>
      <c r="AQ645" s="8"/>
      <c r="AR645" s="4"/>
      <c r="AS645" s="8"/>
      <c r="AT645" s="7"/>
      <c r="AU645" s="7"/>
      <c r="AV645" s="4" t="s">
        <v>200</v>
      </c>
      <c r="AW645" s="8" t="s">
        <v>200</v>
      </c>
      <c r="AX645" s="4" t="s">
        <v>200</v>
      </c>
      <c r="AY645" s="8" t="s">
        <v>200</v>
      </c>
      <c r="AZ645" s="7" t="s">
        <v>200</v>
      </c>
      <c r="BA645" s="7" t="s">
        <v>200</v>
      </c>
      <c r="BB645" s="7"/>
      <c r="BC645" s="4" t="s">
        <v>200</v>
      </c>
      <c r="BD645" s="8" t="s">
        <v>200</v>
      </c>
      <c r="BE645" s="4" t="s">
        <v>200</v>
      </c>
      <c r="BF645" s="8" t="s">
        <v>200</v>
      </c>
      <c r="BG645" s="7" t="s">
        <v>200</v>
      </c>
      <c r="BH645" s="7" t="s">
        <v>200</v>
      </c>
      <c r="BI645" s="7"/>
      <c r="BJ645" s="4">
        <v>7</v>
      </c>
      <c r="BK645" s="8">
        <v>100.61</v>
      </c>
      <c r="BL645" s="2" t="s">
        <v>4103</v>
      </c>
      <c r="BM645" s="7"/>
      <c r="BN645" s="7"/>
      <c r="BO645" s="4"/>
      <c r="BP645" s="8"/>
      <c r="BQ645" s="4"/>
      <c r="BR645" s="8"/>
      <c r="BS645" s="7"/>
      <c r="BT645" s="7"/>
      <c r="BU645" s="2" t="s">
        <v>4104</v>
      </c>
      <c r="BV645" s="2" t="s">
        <v>200</v>
      </c>
      <c r="BW645" s="2" t="s">
        <v>200</v>
      </c>
      <c r="BX645" s="2" t="s">
        <v>289</v>
      </c>
      <c r="BY645" s="2" t="s">
        <v>247</v>
      </c>
      <c r="BZ645" s="2" t="s">
        <v>212</v>
      </c>
      <c r="CA645" s="2" t="s">
        <v>4093</v>
      </c>
      <c r="CB645" s="2" t="s">
        <v>1286</v>
      </c>
      <c r="CC645" s="2" t="s">
        <v>213</v>
      </c>
      <c r="CD645" s="2" t="s">
        <v>200</v>
      </c>
      <c r="CE645" s="4">
        <v>47</v>
      </c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</row>
    <row r="646">
      <c r="A646" s="2" t="s">
        <v>4105</v>
      </c>
      <c r="B646" s="2" t="s">
        <v>230</v>
      </c>
      <c r="C646" s="2" t="s">
        <v>231</v>
      </c>
      <c r="D646" s="2" t="s">
        <v>232</v>
      </c>
      <c r="E646" s="2" t="s">
        <v>233</v>
      </c>
      <c r="F646" s="2" t="s">
        <v>4086</v>
      </c>
      <c r="G646" s="2" t="s">
        <v>4086</v>
      </c>
      <c r="H646" s="2" t="s">
        <v>4086</v>
      </c>
      <c r="I646" s="2" t="s">
        <v>4087</v>
      </c>
      <c r="J646" s="2" t="s">
        <v>302</v>
      </c>
      <c r="K646" s="2" t="s">
        <v>4101</v>
      </c>
      <c r="L646" s="3">
        <v>17.58</v>
      </c>
      <c r="M646" s="3">
        <v>18.46</v>
      </c>
      <c r="N646" s="3">
        <v>39.99</v>
      </c>
      <c r="O646" s="2" t="s">
        <v>460</v>
      </c>
      <c r="P646" s="2" t="s">
        <v>285</v>
      </c>
      <c r="Q646" s="2" t="s">
        <v>206</v>
      </c>
      <c r="R646" s="2" t="s">
        <v>200</v>
      </c>
      <c r="S646" s="2" t="s">
        <v>4102</v>
      </c>
      <c r="T646" s="2" t="s">
        <v>378</v>
      </c>
      <c r="U646" s="2" t="s">
        <v>240</v>
      </c>
      <c r="V646" s="2" t="s">
        <v>2759</v>
      </c>
      <c r="W646" s="2" t="s">
        <v>241</v>
      </c>
      <c r="X646" s="2" t="s">
        <v>200</v>
      </c>
      <c r="Y646" s="2" t="s">
        <v>4090</v>
      </c>
      <c r="Z646" s="4"/>
      <c r="AA646" s="4">
        <f>=ROUNDDOWN({0},0)</f>
      </c>
      <c r="AB646" s="5">
        <v>1</v>
      </c>
      <c r="AC646" s="2" t="s">
        <v>200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200</v>
      </c>
      <c r="AM646" s="4"/>
      <c r="AN646" s="4"/>
      <c r="AO646" s="7"/>
      <c r="AP646" s="4"/>
      <c r="AQ646" s="8"/>
      <c r="AR646" s="4"/>
      <c r="AS646" s="8"/>
      <c r="AT646" s="7"/>
      <c r="AU646" s="7"/>
      <c r="AV646" s="4" t="s">
        <v>200</v>
      </c>
      <c r="AW646" s="8" t="s">
        <v>200</v>
      </c>
      <c r="AX646" s="4" t="s">
        <v>200</v>
      </c>
      <c r="AY646" s="8" t="s">
        <v>200</v>
      </c>
      <c r="AZ646" s="7" t="s">
        <v>200</v>
      </c>
      <c r="BA646" s="7" t="s">
        <v>200</v>
      </c>
      <c r="BB646" s="7"/>
      <c r="BC646" s="4" t="s">
        <v>200</v>
      </c>
      <c r="BD646" s="8" t="s">
        <v>200</v>
      </c>
      <c r="BE646" s="4" t="s">
        <v>200</v>
      </c>
      <c r="BF646" s="8" t="s">
        <v>200</v>
      </c>
      <c r="BG646" s="7" t="s">
        <v>200</v>
      </c>
      <c r="BH646" s="7" t="s">
        <v>200</v>
      </c>
      <c r="BI646" s="7"/>
      <c r="BJ646" s="4">
        <v>32</v>
      </c>
      <c r="BK646" s="8">
        <v>614.74</v>
      </c>
      <c r="BL646" s="2" t="s">
        <v>3358</v>
      </c>
      <c r="BM646" s="7"/>
      <c r="BN646" s="7"/>
      <c r="BO646" s="4"/>
      <c r="BP646" s="8"/>
      <c r="BQ646" s="4"/>
      <c r="BR646" s="8"/>
      <c r="BS646" s="7"/>
      <c r="BT646" s="7"/>
      <c r="BU646" s="2" t="s">
        <v>4106</v>
      </c>
      <c r="BV646" s="2" t="s">
        <v>200</v>
      </c>
      <c r="BW646" s="2" t="s">
        <v>200</v>
      </c>
      <c r="BX646" s="2" t="s">
        <v>289</v>
      </c>
      <c r="BY646" s="2" t="s">
        <v>247</v>
      </c>
      <c r="BZ646" s="2" t="s">
        <v>212</v>
      </c>
      <c r="CA646" s="2" t="s">
        <v>4093</v>
      </c>
      <c r="CB646" s="2" t="s">
        <v>4107</v>
      </c>
      <c r="CC646" s="2" t="s">
        <v>213</v>
      </c>
      <c r="CD646" s="2" t="s">
        <v>200</v>
      </c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</row>
    <row r="647">
      <c r="A647" s="2" t="s">
        <v>4108</v>
      </c>
      <c r="B647" s="2" t="s">
        <v>827</v>
      </c>
      <c r="C647" s="2" t="s">
        <v>231</v>
      </c>
      <c r="D647" s="2" t="s">
        <v>828</v>
      </c>
      <c r="E647" s="2" t="s">
        <v>1011</v>
      </c>
      <c r="F647" s="2" t="s">
        <v>4109</v>
      </c>
      <c r="G647" s="2" t="s">
        <v>4110</v>
      </c>
      <c r="H647" s="2" t="s">
        <v>4111</v>
      </c>
      <c r="I647" s="2" t="s">
        <v>4112</v>
      </c>
      <c r="J647" s="2" t="s">
        <v>1016</v>
      </c>
      <c r="K647" s="2" t="s">
        <v>237</v>
      </c>
      <c r="L647" s="3">
        <v>16</v>
      </c>
      <c r="M647" s="3">
        <v>16.8</v>
      </c>
      <c r="N647" s="3">
        <v>39.99</v>
      </c>
      <c r="O647" s="2" t="s">
        <v>212</v>
      </c>
      <c r="P647" s="2" t="s">
        <v>258</v>
      </c>
      <c r="Q647" s="2" t="s">
        <v>206</v>
      </c>
      <c r="R647" s="2" t="s">
        <v>200</v>
      </c>
      <c r="S647" s="2" t="s">
        <v>4113</v>
      </c>
      <c r="T647" s="2" t="s">
        <v>200</v>
      </c>
      <c r="U647" s="2" t="s">
        <v>270</v>
      </c>
      <c r="V647" s="2" t="s">
        <v>208</v>
      </c>
      <c r="W647" s="2" t="s">
        <v>419</v>
      </c>
      <c r="X647" s="2" t="s">
        <v>2936</v>
      </c>
      <c r="Y647" s="2" t="s">
        <v>4114</v>
      </c>
      <c r="Z647" s="4">
        <v>333</v>
      </c>
      <c r="AA647" s="4">
        <f>=ROUNDDOWN(30.2727272727273,0)</f>
      </c>
      <c r="AB647" s="5">
        <v>11</v>
      </c>
      <c r="AC647" s="2" t="s">
        <v>1435</v>
      </c>
      <c r="AD647" s="4">
        <v>120</v>
      </c>
      <c r="AE647" s="4">
        <v>120</v>
      </c>
      <c r="AF647" s="6">
        <v>64</v>
      </c>
      <c r="AG647" s="6"/>
      <c r="AH647" s="7">
        <v>1</v>
      </c>
      <c r="AI647" s="4"/>
      <c r="AJ647" s="4">
        <f>=ROUNDDOWN({0},0)</f>
      </c>
      <c r="AK647" s="5"/>
      <c r="AL647" s="2" t="s">
        <v>200</v>
      </c>
      <c r="AM647" s="4"/>
      <c r="AN647" s="4"/>
      <c r="AO647" s="7"/>
      <c r="AP647" s="4"/>
      <c r="AQ647" s="8"/>
      <c r="AR647" s="4"/>
      <c r="AS647" s="8"/>
      <c r="AT647" s="7"/>
      <c r="AU647" s="7"/>
      <c r="AV647" s="4" t="s">
        <v>200</v>
      </c>
      <c r="AW647" s="8" t="s">
        <v>200</v>
      </c>
      <c r="AX647" s="4" t="s">
        <v>200</v>
      </c>
      <c r="AY647" s="8" t="s">
        <v>200</v>
      </c>
      <c r="AZ647" s="7" t="s">
        <v>200</v>
      </c>
      <c r="BA647" s="7" t="s">
        <v>200</v>
      </c>
      <c r="BB647" s="7"/>
      <c r="BC647" s="4" t="s">
        <v>200</v>
      </c>
      <c r="BD647" s="8" t="s">
        <v>200</v>
      </c>
      <c r="BE647" s="4" t="s">
        <v>200</v>
      </c>
      <c r="BF647" s="8" t="s">
        <v>200</v>
      </c>
      <c r="BG647" s="7" t="s">
        <v>200</v>
      </c>
      <c r="BH647" s="7" t="s">
        <v>200</v>
      </c>
      <c r="BI647" s="7"/>
      <c r="BJ647" s="4">
        <v>11</v>
      </c>
      <c r="BK647" s="8">
        <v>157.63</v>
      </c>
      <c r="BL647" s="2" t="s">
        <v>2723</v>
      </c>
      <c r="BM647" s="7"/>
      <c r="BN647" s="7"/>
      <c r="BO647" s="4"/>
      <c r="BP647" s="8"/>
      <c r="BQ647" s="4"/>
      <c r="BR647" s="8"/>
      <c r="BS647" s="7"/>
      <c r="BT647" s="7"/>
      <c r="BU647" s="2" t="s">
        <v>4115</v>
      </c>
      <c r="BV647" s="2" t="s">
        <v>200</v>
      </c>
      <c r="BW647" s="2" t="s">
        <v>200</v>
      </c>
      <c r="BX647" s="2" t="s">
        <v>620</v>
      </c>
      <c r="BY647" s="2" t="s">
        <v>247</v>
      </c>
      <c r="BZ647" s="2" t="s">
        <v>212</v>
      </c>
      <c r="CA647" s="2" t="s">
        <v>4116</v>
      </c>
      <c r="CB647" s="2" t="s">
        <v>4117</v>
      </c>
      <c r="CC647" s="2" t="s">
        <v>213</v>
      </c>
      <c r="CD647" s="2" t="s">
        <v>200</v>
      </c>
      <c r="CE647" s="4">
        <v>333</v>
      </c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>
        <v>120</v>
      </c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</row>
    <row r="648">
      <c r="A648" s="2" t="s">
        <v>4118</v>
      </c>
      <c r="B648" s="2" t="s">
        <v>827</v>
      </c>
      <c r="C648" s="2" t="s">
        <v>231</v>
      </c>
      <c r="D648" s="2" t="s">
        <v>828</v>
      </c>
      <c r="E648" s="2" t="s">
        <v>1011</v>
      </c>
      <c r="F648" s="2" t="s">
        <v>4109</v>
      </c>
      <c r="G648" s="2" t="s">
        <v>4110</v>
      </c>
      <c r="H648" s="2" t="s">
        <v>4111</v>
      </c>
      <c r="I648" s="2" t="s">
        <v>4112</v>
      </c>
      <c r="J648" s="2" t="s">
        <v>1242</v>
      </c>
      <c r="K648" s="2" t="s">
        <v>237</v>
      </c>
      <c r="L648" s="3">
        <v>17.1</v>
      </c>
      <c r="M648" s="3">
        <v>17.96</v>
      </c>
      <c r="N648" s="3">
        <v>44.99</v>
      </c>
      <c r="O648" s="2" t="s">
        <v>212</v>
      </c>
      <c r="P648" s="2" t="s">
        <v>258</v>
      </c>
      <c r="Q648" s="2" t="s">
        <v>206</v>
      </c>
      <c r="R648" s="2" t="s">
        <v>200</v>
      </c>
      <c r="S648" s="2" t="s">
        <v>4113</v>
      </c>
      <c r="T648" s="2" t="s">
        <v>200</v>
      </c>
      <c r="U648" s="2" t="s">
        <v>270</v>
      </c>
      <c r="V648" s="2" t="s">
        <v>208</v>
      </c>
      <c r="W648" s="2" t="s">
        <v>419</v>
      </c>
      <c r="X648" s="2" t="s">
        <v>2936</v>
      </c>
      <c r="Y648" s="2" t="s">
        <v>4114</v>
      </c>
      <c r="Z648" s="4">
        <v>147</v>
      </c>
      <c r="AA648" s="4">
        <f>=ROUNDDOWN(21,0)</f>
      </c>
      <c r="AB648" s="5">
        <v>7</v>
      </c>
      <c r="AC648" s="2" t="s">
        <v>115</v>
      </c>
      <c r="AD648" s="4">
        <v>100</v>
      </c>
      <c r="AE648" s="4">
        <v>292</v>
      </c>
      <c r="AF648" s="6">
        <v>64</v>
      </c>
      <c r="AG648" s="6"/>
      <c r="AH648" s="7">
        <v>1</v>
      </c>
      <c r="AI648" s="4"/>
      <c r="AJ648" s="4">
        <f>=ROUNDDOWN({0},0)</f>
      </c>
      <c r="AK648" s="5"/>
      <c r="AL648" s="2" t="s">
        <v>200</v>
      </c>
      <c r="AM648" s="4"/>
      <c r="AN648" s="4"/>
      <c r="AO648" s="7"/>
      <c r="AP648" s="4"/>
      <c r="AQ648" s="8"/>
      <c r="AR648" s="4"/>
      <c r="AS648" s="8"/>
      <c r="AT648" s="7"/>
      <c r="AU648" s="7"/>
      <c r="AV648" s="4" t="s">
        <v>200</v>
      </c>
      <c r="AW648" s="8" t="s">
        <v>200</v>
      </c>
      <c r="AX648" s="4" t="s">
        <v>200</v>
      </c>
      <c r="AY648" s="8" t="s">
        <v>200</v>
      </c>
      <c r="AZ648" s="7" t="s">
        <v>200</v>
      </c>
      <c r="BA648" s="7" t="s">
        <v>200</v>
      </c>
      <c r="BB648" s="7"/>
      <c r="BC648" s="4" t="s">
        <v>200</v>
      </c>
      <c r="BD648" s="8" t="s">
        <v>200</v>
      </c>
      <c r="BE648" s="4" t="s">
        <v>200</v>
      </c>
      <c r="BF648" s="8" t="s">
        <v>200</v>
      </c>
      <c r="BG648" s="7" t="s">
        <v>200</v>
      </c>
      <c r="BH648" s="7" t="s">
        <v>200</v>
      </c>
      <c r="BI648" s="7"/>
      <c r="BJ648" s="4">
        <v>11</v>
      </c>
      <c r="BK648" s="8">
        <v>285.23</v>
      </c>
      <c r="BL648" s="2" t="s">
        <v>4119</v>
      </c>
      <c r="BM648" s="7"/>
      <c r="BN648" s="7"/>
      <c r="BO648" s="4"/>
      <c r="BP648" s="8"/>
      <c r="BQ648" s="4"/>
      <c r="BR648" s="8"/>
      <c r="BS648" s="7"/>
      <c r="BT648" s="7"/>
      <c r="BU648" s="2" t="s">
        <v>4120</v>
      </c>
      <c r="BV648" s="2" t="s">
        <v>200</v>
      </c>
      <c r="BW648" s="2" t="s">
        <v>200</v>
      </c>
      <c r="BX648" s="2" t="s">
        <v>620</v>
      </c>
      <c r="BY648" s="2" t="s">
        <v>247</v>
      </c>
      <c r="BZ648" s="2" t="s">
        <v>212</v>
      </c>
      <c r="CA648" s="2" t="s">
        <v>4116</v>
      </c>
      <c r="CB648" s="2" t="s">
        <v>840</v>
      </c>
      <c r="CC648" s="2" t="s">
        <v>213</v>
      </c>
      <c r="CD648" s="2" t="s">
        <v>200</v>
      </c>
      <c r="CE648" s="4">
        <v>147</v>
      </c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>
        <v>100</v>
      </c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>
        <v>192</v>
      </c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</row>
    <row r="649">
      <c r="A649" s="2" t="s">
        <v>4121</v>
      </c>
      <c r="B649" s="2" t="s">
        <v>827</v>
      </c>
      <c r="C649" s="2" t="s">
        <v>231</v>
      </c>
      <c r="D649" s="2" t="s">
        <v>828</v>
      </c>
      <c r="E649" s="2" t="s">
        <v>1011</v>
      </c>
      <c r="F649" s="2" t="s">
        <v>4109</v>
      </c>
      <c r="G649" s="2" t="s">
        <v>4110</v>
      </c>
      <c r="H649" s="2" t="s">
        <v>4111</v>
      </c>
      <c r="I649" s="2" t="s">
        <v>4112</v>
      </c>
      <c r="J649" s="2" t="s">
        <v>4122</v>
      </c>
      <c r="K649" s="2" t="s">
        <v>237</v>
      </c>
      <c r="L649" s="3">
        <v>23.1</v>
      </c>
      <c r="M649" s="3">
        <v>24.26</v>
      </c>
      <c r="N649" s="3">
        <v>54.99</v>
      </c>
      <c r="O649" s="2" t="s">
        <v>212</v>
      </c>
      <c r="P649" s="2" t="s">
        <v>258</v>
      </c>
      <c r="Q649" s="2" t="s">
        <v>206</v>
      </c>
      <c r="R649" s="2" t="s">
        <v>200</v>
      </c>
      <c r="S649" s="2" t="s">
        <v>4113</v>
      </c>
      <c r="T649" s="2" t="s">
        <v>200</v>
      </c>
      <c r="U649" s="2" t="s">
        <v>270</v>
      </c>
      <c r="V649" s="2" t="s">
        <v>208</v>
      </c>
      <c r="W649" s="2" t="s">
        <v>419</v>
      </c>
      <c r="X649" s="2" t="s">
        <v>2936</v>
      </c>
      <c r="Y649" s="2" t="s">
        <v>4114</v>
      </c>
      <c r="Z649" s="4">
        <v>83</v>
      </c>
      <c r="AA649" s="4">
        <f>=ROUNDDOWN(27.6666666666667,0)</f>
      </c>
      <c r="AB649" s="5">
        <v>3</v>
      </c>
      <c r="AC649" s="2" t="s">
        <v>1435</v>
      </c>
      <c r="AD649" s="4">
        <v>68</v>
      </c>
      <c r="AE649" s="4">
        <v>68</v>
      </c>
      <c r="AF649" s="6">
        <v>64</v>
      </c>
      <c r="AG649" s="6"/>
      <c r="AH649" s="7">
        <v>1</v>
      </c>
      <c r="AI649" s="4"/>
      <c r="AJ649" s="4">
        <f>=ROUNDDOWN({0},0)</f>
      </c>
      <c r="AK649" s="5"/>
      <c r="AL649" s="2" t="s">
        <v>200</v>
      </c>
      <c r="AM649" s="4"/>
      <c r="AN649" s="4"/>
      <c r="AO649" s="7"/>
      <c r="AP649" s="4"/>
      <c r="AQ649" s="8"/>
      <c r="AR649" s="4"/>
      <c r="AS649" s="8"/>
      <c r="AT649" s="7"/>
      <c r="AU649" s="7"/>
      <c r="AV649" s="4" t="s">
        <v>200</v>
      </c>
      <c r="AW649" s="8" t="s">
        <v>200</v>
      </c>
      <c r="AX649" s="4" t="s">
        <v>200</v>
      </c>
      <c r="AY649" s="8" t="s">
        <v>200</v>
      </c>
      <c r="AZ649" s="7" t="s">
        <v>200</v>
      </c>
      <c r="BA649" s="7" t="s">
        <v>200</v>
      </c>
      <c r="BB649" s="7"/>
      <c r="BC649" s="4" t="s">
        <v>200</v>
      </c>
      <c r="BD649" s="8" t="s">
        <v>200</v>
      </c>
      <c r="BE649" s="4" t="s">
        <v>200</v>
      </c>
      <c r="BF649" s="8" t="s">
        <v>200</v>
      </c>
      <c r="BG649" s="7" t="s">
        <v>200</v>
      </c>
      <c r="BH649" s="7" t="s">
        <v>200</v>
      </c>
      <c r="BI649" s="7"/>
      <c r="BJ649" s="4">
        <v>4</v>
      </c>
      <c r="BK649" s="8">
        <v>101.88</v>
      </c>
      <c r="BL649" s="2" t="s">
        <v>1618</v>
      </c>
      <c r="BM649" s="7"/>
      <c r="BN649" s="7"/>
      <c r="BO649" s="4"/>
      <c r="BP649" s="8"/>
      <c r="BQ649" s="4"/>
      <c r="BR649" s="8"/>
      <c r="BS649" s="7"/>
      <c r="BT649" s="7"/>
      <c r="BU649" s="2" t="s">
        <v>4123</v>
      </c>
      <c r="BV649" s="2" t="s">
        <v>200</v>
      </c>
      <c r="BW649" s="2" t="s">
        <v>200</v>
      </c>
      <c r="BX649" s="2" t="s">
        <v>620</v>
      </c>
      <c r="BY649" s="2" t="s">
        <v>247</v>
      </c>
      <c r="BZ649" s="2" t="s">
        <v>212</v>
      </c>
      <c r="CA649" s="2" t="s">
        <v>4116</v>
      </c>
      <c r="CB649" s="2" t="s">
        <v>4124</v>
      </c>
      <c r="CC649" s="2" t="s">
        <v>213</v>
      </c>
      <c r="CD649" s="2" t="s">
        <v>200</v>
      </c>
      <c r="CE649" s="4">
        <v>83</v>
      </c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>
        <v>68</v>
      </c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</row>
    <row r="650">
      <c r="A650" s="2" t="s">
        <v>4125</v>
      </c>
      <c r="B650" s="2" t="s">
        <v>827</v>
      </c>
      <c r="C650" s="2" t="s">
        <v>231</v>
      </c>
      <c r="D650" s="2" t="s">
        <v>828</v>
      </c>
      <c r="E650" s="2" t="s">
        <v>1011</v>
      </c>
      <c r="F650" s="2" t="s">
        <v>4109</v>
      </c>
      <c r="G650" s="2" t="s">
        <v>4110</v>
      </c>
      <c r="H650" s="2" t="s">
        <v>4111</v>
      </c>
      <c r="I650" s="2" t="s">
        <v>4126</v>
      </c>
      <c r="J650" s="2" t="s">
        <v>4127</v>
      </c>
      <c r="K650" s="2" t="s">
        <v>237</v>
      </c>
      <c r="L650" s="3">
        <v>20.25</v>
      </c>
      <c r="M650" s="3">
        <v>21.26</v>
      </c>
      <c r="N650" s="3">
        <v>44.99</v>
      </c>
      <c r="O650" s="2" t="s">
        <v>212</v>
      </c>
      <c r="P650" s="2" t="s">
        <v>258</v>
      </c>
      <c r="Q650" s="2" t="s">
        <v>206</v>
      </c>
      <c r="R650" s="2" t="s">
        <v>200</v>
      </c>
      <c r="S650" s="2" t="s">
        <v>4113</v>
      </c>
      <c r="T650" s="2" t="s">
        <v>200</v>
      </c>
      <c r="U650" s="2" t="s">
        <v>270</v>
      </c>
      <c r="V650" s="2" t="s">
        <v>208</v>
      </c>
      <c r="W650" s="2" t="s">
        <v>419</v>
      </c>
      <c r="X650" s="2" t="s">
        <v>1020</v>
      </c>
      <c r="Y650" s="2" t="s">
        <v>4114</v>
      </c>
      <c r="Z650" s="4">
        <v>158</v>
      </c>
      <c r="AA650" s="4">
        <f>=ROUNDDOWN(26.3333333333333,0)</f>
      </c>
      <c r="AB650" s="5">
        <v>6</v>
      </c>
      <c r="AC650" s="2" t="s">
        <v>1435</v>
      </c>
      <c r="AD650" s="4">
        <v>48</v>
      </c>
      <c r="AE650" s="4">
        <v>48</v>
      </c>
      <c r="AF650" s="6">
        <v>64</v>
      </c>
      <c r="AG650" s="6"/>
      <c r="AH650" s="7">
        <v>1</v>
      </c>
      <c r="AI650" s="4"/>
      <c r="AJ650" s="4">
        <f>=ROUNDDOWN({0},0)</f>
      </c>
      <c r="AK650" s="5"/>
      <c r="AL650" s="2" t="s">
        <v>200</v>
      </c>
      <c r="AM650" s="4"/>
      <c r="AN650" s="4"/>
      <c r="AO650" s="7"/>
      <c r="AP650" s="4"/>
      <c r="AQ650" s="8"/>
      <c r="AR650" s="4"/>
      <c r="AS650" s="8"/>
      <c r="AT650" s="7"/>
      <c r="AU650" s="7"/>
      <c r="AV650" s="4" t="s">
        <v>200</v>
      </c>
      <c r="AW650" s="8" t="s">
        <v>200</v>
      </c>
      <c r="AX650" s="4" t="s">
        <v>200</v>
      </c>
      <c r="AY650" s="8" t="s">
        <v>200</v>
      </c>
      <c r="AZ650" s="7" t="s">
        <v>200</v>
      </c>
      <c r="BA650" s="7" t="s">
        <v>200</v>
      </c>
      <c r="BB650" s="7"/>
      <c r="BC650" s="4" t="s">
        <v>200</v>
      </c>
      <c r="BD650" s="8" t="s">
        <v>200</v>
      </c>
      <c r="BE650" s="4" t="s">
        <v>200</v>
      </c>
      <c r="BF650" s="8" t="s">
        <v>200</v>
      </c>
      <c r="BG650" s="7" t="s">
        <v>200</v>
      </c>
      <c r="BH650" s="7" t="s">
        <v>200</v>
      </c>
      <c r="BI650" s="7"/>
      <c r="BJ650" s="4">
        <v>21</v>
      </c>
      <c r="BK650" s="8">
        <v>464.99</v>
      </c>
      <c r="BL650" s="2" t="s">
        <v>2524</v>
      </c>
      <c r="BM650" s="7"/>
      <c r="BN650" s="7"/>
      <c r="BO650" s="4"/>
      <c r="BP650" s="8"/>
      <c r="BQ650" s="4"/>
      <c r="BR650" s="8"/>
      <c r="BS650" s="7"/>
      <c r="BT650" s="7"/>
      <c r="BU650" s="2" t="s">
        <v>4128</v>
      </c>
      <c r="BV650" s="2" t="s">
        <v>200</v>
      </c>
      <c r="BW650" s="2" t="s">
        <v>200</v>
      </c>
      <c r="BX650" s="2" t="s">
        <v>620</v>
      </c>
      <c r="BY650" s="2" t="s">
        <v>247</v>
      </c>
      <c r="BZ650" s="2" t="s">
        <v>212</v>
      </c>
      <c r="CA650" s="2" t="s">
        <v>4116</v>
      </c>
      <c r="CB650" s="2" t="s">
        <v>200</v>
      </c>
      <c r="CC650" s="2" t="s">
        <v>213</v>
      </c>
      <c r="CD650" s="2" t="s">
        <v>200</v>
      </c>
      <c r="CE650" s="4">
        <v>158</v>
      </c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>
        <v>48</v>
      </c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</row>
    <row r="651">
      <c r="A651" s="2" t="s">
        <v>4129</v>
      </c>
      <c r="B651" s="2" t="s">
        <v>827</v>
      </c>
      <c r="C651" s="2" t="s">
        <v>231</v>
      </c>
      <c r="D651" s="2" t="s">
        <v>828</v>
      </c>
      <c r="E651" s="2" t="s">
        <v>1011</v>
      </c>
      <c r="F651" s="2" t="s">
        <v>4109</v>
      </c>
      <c r="G651" s="2" t="s">
        <v>4110</v>
      </c>
      <c r="H651" s="2" t="s">
        <v>4111</v>
      </c>
      <c r="I651" s="2" t="s">
        <v>4112</v>
      </c>
      <c r="J651" s="2" t="s">
        <v>4122</v>
      </c>
      <c r="K651" s="2" t="s">
        <v>499</v>
      </c>
      <c r="L651" s="3">
        <v>23.1</v>
      </c>
      <c r="M651" s="3">
        <v>24.26</v>
      </c>
      <c r="N651" s="3">
        <v>54.99</v>
      </c>
      <c r="O651" s="2" t="s">
        <v>212</v>
      </c>
      <c r="P651" s="2" t="s">
        <v>258</v>
      </c>
      <c r="Q651" s="2" t="s">
        <v>206</v>
      </c>
      <c r="R651" s="2" t="s">
        <v>200</v>
      </c>
      <c r="S651" s="2" t="s">
        <v>4130</v>
      </c>
      <c r="T651" s="2" t="s">
        <v>200</v>
      </c>
      <c r="U651" s="2" t="s">
        <v>270</v>
      </c>
      <c r="V651" s="2" t="s">
        <v>208</v>
      </c>
      <c r="W651" s="2" t="s">
        <v>419</v>
      </c>
      <c r="X651" s="2" t="s">
        <v>2936</v>
      </c>
      <c r="Y651" s="2" t="s">
        <v>4131</v>
      </c>
      <c r="Z651" s="4">
        <v>104</v>
      </c>
      <c r="AA651" s="4">
        <f>=ROUNDDOWN(34.6666666666667,0)</f>
      </c>
      <c r="AB651" s="5">
        <v>3</v>
      </c>
      <c r="AC651" s="2" t="s">
        <v>200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200</v>
      </c>
      <c r="AM651" s="4"/>
      <c r="AN651" s="4"/>
      <c r="AO651" s="7"/>
      <c r="AP651" s="4"/>
      <c r="AQ651" s="8"/>
      <c r="AR651" s="4"/>
      <c r="AS651" s="8"/>
      <c r="AT651" s="7"/>
      <c r="AU651" s="7"/>
      <c r="AV651" s="4" t="s">
        <v>200</v>
      </c>
      <c r="AW651" s="8" t="s">
        <v>200</v>
      </c>
      <c r="AX651" s="4" t="s">
        <v>200</v>
      </c>
      <c r="AY651" s="8" t="s">
        <v>200</v>
      </c>
      <c r="AZ651" s="7" t="s">
        <v>200</v>
      </c>
      <c r="BA651" s="7" t="s">
        <v>200</v>
      </c>
      <c r="BB651" s="7"/>
      <c r="BC651" s="4" t="s">
        <v>200</v>
      </c>
      <c r="BD651" s="8" t="s">
        <v>200</v>
      </c>
      <c r="BE651" s="4" t="s">
        <v>200</v>
      </c>
      <c r="BF651" s="8" t="s">
        <v>200</v>
      </c>
      <c r="BG651" s="7" t="s">
        <v>200</v>
      </c>
      <c r="BH651" s="7" t="s">
        <v>200</v>
      </c>
      <c r="BI651" s="7"/>
      <c r="BJ651" s="4">
        <v>4</v>
      </c>
      <c r="BK651" s="8">
        <v>100.08</v>
      </c>
      <c r="BL651" s="2" t="s">
        <v>3796</v>
      </c>
      <c r="BM651" s="7"/>
      <c r="BN651" s="7"/>
      <c r="BO651" s="4"/>
      <c r="BP651" s="8"/>
      <c r="BQ651" s="4"/>
      <c r="BR651" s="8"/>
      <c r="BS651" s="7"/>
      <c r="BT651" s="7"/>
      <c r="BU651" s="2" t="s">
        <v>4132</v>
      </c>
      <c r="BV651" s="2" t="s">
        <v>200</v>
      </c>
      <c r="BW651" s="2" t="s">
        <v>200</v>
      </c>
      <c r="BX651" s="2" t="s">
        <v>620</v>
      </c>
      <c r="BY651" s="2" t="s">
        <v>247</v>
      </c>
      <c r="BZ651" s="2" t="s">
        <v>212</v>
      </c>
      <c r="CA651" s="2" t="s">
        <v>4133</v>
      </c>
      <c r="CB651" s="2" t="s">
        <v>1951</v>
      </c>
      <c r="CC651" s="2" t="s">
        <v>213</v>
      </c>
      <c r="CD651" s="2" t="s">
        <v>200</v>
      </c>
      <c r="CE651" s="4">
        <v>104</v>
      </c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</row>
    <row r="652">
      <c r="A652" s="2" t="s">
        <v>4134</v>
      </c>
      <c r="B652" s="2" t="s">
        <v>827</v>
      </c>
      <c r="C652" s="2" t="s">
        <v>231</v>
      </c>
      <c r="D652" s="2" t="s">
        <v>1084</v>
      </c>
      <c r="E652" s="2" t="s">
        <v>1085</v>
      </c>
      <c r="F652" s="2" t="s">
        <v>4109</v>
      </c>
      <c r="G652" s="2" t="s">
        <v>4110</v>
      </c>
      <c r="H652" s="2" t="s">
        <v>4111</v>
      </c>
      <c r="I652" s="2" t="s">
        <v>4135</v>
      </c>
      <c r="J652" s="2" t="s">
        <v>4136</v>
      </c>
      <c r="K652" s="2" t="s">
        <v>499</v>
      </c>
      <c r="L652" s="3">
        <v>12.6</v>
      </c>
      <c r="M652" s="3">
        <v>13.23</v>
      </c>
      <c r="N652" s="3">
        <v>29.99</v>
      </c>
      <c r="O652" s="2" t="s">
        <v>212</v>
      </c>
      <c r="P652" s="2" t="s">
        <v>258</v>
      </c>
      <c r="Q652" s="2" t="s">
        <v>206</v>
      </c>
      <c r="R652" s="2" t="s">
        <v>200</v>
      </c>
      <c r="S652" s="2" t="s">
        <v>4130</v>
      </c>
      <c r="T652" s="2" t="s">
        <v>200</v>
      </c>
      <c r="U652" s="2" t="s">
        <v>270</v>
      </c>
      <c r="V652" s="2" t="s">
        <v>208</v>
      </c>
      <c r="W652" s="2" t="s">
        <v>419</v>
      </c>
      <c r="X652" s="2" t="s">
        <v>200</v>
      </c>
      <c r="Y652" s="2" t="s">
        <v>4131</v>
      </c>
      <c r="Z652" s="4">
        <v>211</v>
      </c>
      <c r="AA652" s="4">
        <f>=ROUNDDOWN(30.1428571428571,0)</f>
      </c>
      <c r="AB652" s="5">
        <v>7</v>
      </c>
      <c r="AC652" s="2" t="s">
        <v>1435</v>
      </c>
      <c r="AD652" s="4">
        <v>108</v>
      </c>
      <c r="AE652" s="4">
        <v>108</v>
      </c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200</v>
      </c>
      <c r="AM652" s="4"/>
      <c r="AN652" s="4"/>
      <c r="AO652" s="7"/>
      <c r="AP652" s="4"/>
      <c r="AQ652" s="8"/>
      <c r="AR652" s="4"/>
      <c r="AS652" s="8"/>
      <c r="AT652" s="7"/>
      <c r="AU652" s="7"/>
      <c r="AV652" s="4" t="s">
        <v>200</v>
      </c>
      <c r="AW652" s="8" t="s">
        <v>200</v>
      </c>
      <c r="AX652" s="4" t="s">
        <v>200</v>
      </c>
      <c r="AY652" s="8" t="s">
        <v>200</v>
      </c>
      <c r="AZ652" s="7" t="s">
        <v>200</v>
      </c>
      <c r="BA652" s="7" t="s">
        <v>200</v>
      </c>
      <c r="BB652" s="7"/>
      <c r="BC652" s="4" t="s">
        <v>200</v>
      </c>
      <c r="BD652" s="8" t="s">
        <v>200</v>
      </c>
      <c r="BE652" s="4" t="s">
        <v>200</v>
      </c>
      <c r="BF652" s="8" t="s">
        <v>200</v>
      </c>
      <c r="BG652" s="7" t="s">
        <v>200</v>
      </c>
      <c r="BH652" s="7" t="s">
        <v>200</v>
      </c>
      <c r="BI652" s="7"/>
      <c r="BJ652" s="4">
        <v>6</v>
      </c>
      <c r="BK652" s="8">
        <v>82.91</v>
      </c>
      <c r="BL652" s="2" t="s">
        <v>3996</v>
      </c>
      <c r="BM652" s="7"/>
      <c r="BN652" s="7"/>
      <c r="BO652" s="4"/>
      <c r="BP652" s="8"/>
      <c r="BQ652" s="4"/>
      <c r="BR652" s="8"/>
      <c r="BS652" s="7"/>
      <c r="BT652" s="7"/>
      <c r="BU652" s="2" t="s">
        <v>4137</v>
      </c>
      <c r="BV652" s="2" t="s">
        <v>200</v>
      </c>
      <c r="BW652" s="2" t="s">
        <v>200</v>
      </c>
      <c r="BX652" s="2" t="s">
        <v>264</v>
      </c>
      <c r="BY652" s="2" t="s">
        <v>247</v>
      </c>
      <c r="BZ652" s="2" t="s">
        <v>212</v>
      </c>
      <c r="CA652" s="2" t="s">
        <v>1888</v>
      </c>
      <c r="CB652" s="2" t="s">
        <v>4138</v>
      </c>
      <c r="CC652" s="2" t="s">
        <v>213</v>
      </c>
      <c r="CD652" s="2" t="s">
        <v>200</v>
      </c>
      <c r="CE652" s="4">
        <v>211</v>
      </c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>
        <v>108</v>
      </c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</row>
    <row r="653">
      <c r="A653" s="2" t="s">
        <v>4139</v>
      </c>
      <c r="B653" s="2" t="s">
        <v>827</v>
      </c>
      <c r="C653" s="2" t="s">
        <v>231</v>
      </c>
      <c r="D653" s="2" t="s">
        <v>828</v>
      </c>
      <c r="E653" s="2" t="s">
        <v>1011</v>
      </c>
      <c r="F653" s="2" t="s">
        <v>4109</v>
      </c>
      <c r="G653" s="2" t="s">
        <v>4110</v>
      </c>
      <c r="H653" s="2" t="s">
        <v>4111</v>
      </c>
      <c r="I653" s="2" t="s">
        <v>4112</v>
      </c>
      <c r="J653" s="2" t="s">
        <v>1016</v>
      </c>
      <c r="K653" s="2" t="s">
        <v>4041</v>
      </c>
      <c r="L653" s="3">
        <v>16</v>
      </c>
      <c r="M653" s="3">
        <v>16.8</v>
      </c>
      <c r="N653" s="3">
        <v>39.99</v>
      </c>
      <c r="O653" s="2" t="s">
        <v>212</v>
      </c>
      <c r="P653" s="2" t="s">
        <v>258</v>
      </c>
      <c r="Q653" s="2" t="s">
        <v>206</v>
      </c>
      <c r="R653" s="2" t="s">
        <v>200</v>
      </c>
      <c r="S653" s="2" t="s">
        <v>4042</v>
      </c>
      <c r="T653" s="2" t="s">
        <v>200</v>
      </c>
      <c r="U653" s="2" t="s">
        <v>270</v>
      </c>
      <c r="V653" s="2" t="s">
        <v>208</v>
      </c>
      <c r="W653" s="2" t="s">
        <v>419</v>
      </c>
      <c r="X653" s="2" t="s">
        <v>2936</v>
      </c>
      <c r="Y653" s="2" t="s">
        <v>261</v>
      </c>
      <c r="Z653" s="4">
        <v>410</v>
      </c>
      <c r="AA653" s="4">
        <f>=ROUNDDOWN(21.5789473684211,0)</f>
      </c>
      <c r="AB653" s="5">
        <v>19</v>
      </c>
      <c r="AC653" s="2" t="s">
        <v>1548</v>
      </c>
      <c r="AD653" s="4">
        <v>152</v>
      </c>
      <c r="AE653" s="4">
        <v>152</v>
      </c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200</v>
      </c>
      <c r="AM653" s="4"/>
      <c r="AN653" s="4"/>
      <c r="AO653" s="7"/>
      <c r="AP653" s="4"/>
      <c r="AQ653" s="8"/>
      <c r="AR653" s="4"/>
      <c r="AS653" s="8"/>
      <c r="AT653" s="7"/>
      <c r="AU653" s="7"/>
      <c r="AV653" s="4" t="s">
        <v>200</v>
      </c>
      <c r="AW653" s="8" t="s">
        <v>200</v>
      </c>
      <c r="AX653" s="4" t="s">
        <v>200</v>
      </c>
      <c r="AY653" s="8" t="s">
        <v>200</v>
      </c>
      <c r="AZ653" s="7" t="s">
        <v>200</v>
      </c>
      <c r="BA653" s="7" t="s">
        <v>200</v>
      </c>
      <c r="BB653" s="7"/>
      <c r="BC653" s="4" t="s">
        <v>200</v>
      </c>
      <c r="BD653" s="8" t="s">
        <v>200</v>
      </c>
      <c r="BE653" s="4" t="s">
        <v>200</v>
      </c>
      <c r="BF653" s="8" t="s">
        <v>200</v>
      </c>
      <c r="BG653" s="7" t="s">
        <v>200</v>
      </c>
      <c r="BH653" s="7" t="s">
        <v>200</v>
      </c>
      <c r="BI653" s="7"/>
      <c r="BJ653" s="4">
        <v>70</v>
      </c>
      <c r="BK653" s="8">
        <v>1013.98</v>
      </c>
      <c r="BL653" s="2" t="s">
        <v>4140</v>
      </c>
      <c r="BM653" s="7"/>
      <c r="BN653" s="7"/>
      <c r="BO653" s="4"/>
      <c r="BP653" s="8"/>
      <c r="BQ653" s="4"/>
      <c r="BR653" s="8"/>
      <c r="BS653" s="7"/>
      <c r="BT653" s="7"/>
      <c r="BU653" s="2" t="s">
        <v>4141</v>
      </c>
      <c r="BV653" s="2" t="s">
        <v>200</v>
      </c>
      <c r="BW653" s="2" t="s">
        <v>200</v>
      </c>
      <c r="BX653" s="2" t="s">
        <v>620</v>
      </c>
      <c r="BY653" s="2" t="s">
        <v>247</v>
      </c>
      <c r="BZ653" s="2" t="s">
        <v>212</v>
      </c>
      <c r="CA653" s="2" t="s">
        <v>265</v>
      </c>
      <c r="CB653" s="2" t="s">
        <v>1235</v>
      </c>
      <c r="CC653" s="2" t="s">
        <v>213</v>
      </c>
      <c r="CD653" s="2" t="s">
        <v>200</v>
      </c>
      <c r="CE653" s="4">
        <v>410</v>
      </c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>
        <v>152</v>
      </c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</row>
    <row r="654">
      <c r="A654" s="2" t="s">
        <v>4142</v>
      </c>
      <c r="B654" s="2" t="s">
        <v>827</v>
      </c>
      <c r="C654" s="2" t="s">
        <v>231</v>
      </c>
      <c r="D654" s="2" t="s">
        <v>828</v>
      </c>
      <c r="E654" s="2" t="s">
        <v>1011</v>
      </c>
      <c r="F654" s="2" t="s">
        <v>4109</v>
      </c>
      <c r="G654" s="2" t="s">
        <v>4110</v>
      </c>
      <c r="H654" s="2" t="s">
        <v>4111</v>
      </c>
      <c r="I654" s="2" t="s">
        <v>4112</v>
      </c>
      <c r="J654" s="2" t="s">
        <v>1242</v>
      </c>
      <c r="K654" s="2" t="s">
        <v>4041</v>
      </c>
      <c r="L654" s="3">
        <v>17.1</v>
      </c>
      <c r="M654" s="3">
        <v>17.96</v>
      </c>
      <c r="N654" s="3">
        <v>44.99</v>
      </c>
      <c r="O654" s="2" t="s">
        <v>212</v>
      </c>
      <c r="P654" s="2" t="s">
        <v>258</v>
      </c>
      <c r="Q654" s="2" t="s">
        <v>206</v>
      </c>
      <c r="R654" s="2" t="s">
        <v>200</v>
      </c>
      <c r="S654" s="2" t="s">
        <v>4042</v>
      </c>
      <c r="T654" s="2" t="s">
        <v>200</v>
      </c>
      <c r="U654" s="2" t="s">
        <v>270</v>
      </c>
      <c r="V654" s="2" t="s">
        <v>208</v>
      </c>
      <c r="W654" s="2" t="s">
        <v>419</v>
      </c>
      <c r="X654" s="2" t="s">
        <v>2936</v>
      </c>
      <c r="Y654" s="2" t="s">
        <v>261</v>
      </c>
      <c r="Z654" s="4">
        <v>299</v>
      </c>
      <c r="AA654" s="4">
        <f>=ROUNDDOWN(16.6111111111111,0)</f>
      </c>
      <c r="AB654" s="5">
        <v>18</v>
      </c>
      <c r="AC654" s="2" t="s">
        <v>1548</v>
      </c>
      <c r="AD654" s="4">
        <v>332</v>
      </c>
      <c r="AE654" s="4">
        <v>332</v>
      </c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200</v>
      </c>
      <c r="AM654" s="4"/>
      <c r="AN654" s="4"/>
      <c r="AO654" s="7"/>
      <c r="AP654" s="4"/>
      <c r="AQ654" s="8"/>
      <c r="AR654" s="4"/>
      <c r="AS654" s="8"/>
      <c r="AT654" s="7"/>
      <c r="AU654" s="7"/>
      <c r="AV654" s="4" t="s">
        <v>200</v>
      </c>
      <c r="AW654" s="8" t="s">
        <v>200</v>
      </c>
      <c r="AX654" s="4" t="s">
        <v>200</v>
      </c>
      <c r="AY654" s="8" t="s">
        <v>200</v>
      </c>
      <c r="AZ654" s="7" t="s">
        <v>200</v>
      </c>
      <c r="BA654" s="7" t="s">
        <v>200</v>
      </c>
      <c r="BB654" s="7"/>
      <c r="BC654" s="4" t="s">
        <v>200</v>
      </c>
      <c r="BD654" s="8" t="s">
        <v>200</v>
      </c>
      <c r="BE654" s="4" t="s">
        <v>200</v>
      </c>
      <c r="BF654" s="8" t="s">
        <v>200</v>
      </c>
      <c r="BG654" s="7" t="s">
        <v>200</v>
      </c>
      <c r="BH654" s="7" t="s">
        <v>200</v>
      </c>
      <c r="BI654" s="7"/>
      <c r="BJ654" s="4">
        <v>83</v>
      </c>
      <c r="BK654" s="8">
        <v>1489.15</v>
      </c>
      <c r="BL654" s="2" t="s">
        <v>4143</v>
      </c>
      <c r="BM654" s="7"/>
      <c r="BN654" s="7"/>
      <c r="BO654" s="4"/>
      <c r="BP654" s="8"/>
      <c r="BQ654" s="4"/>
      <c r="BR654" s="8"/>
      <c r="BS654" s="7"/>
      <c r="BT654" s="7"/>
      <c r="BU654" s="2" t="s">
        <v>4144</v>
      </c>
      <c r="BV654" s="2" t="s">
        <v>200</v>
      </c>
      <c r="BW654" s="2" t="s">
        <v>200</v>
      </c>
      <c r="BX654" s="2" t="s">
        <v>620</v>
      </c>
      <c r="BY654" s="2" t="s">
        <v>247</v>
      </c>
      <c r="BZ654" s="2" t="s">
        <v>212</v>
      </c>
      <c r="CA654" s="2" t="s">
        <v>265</v>
      </c>
      <c r="CB654" s="2" t="s">
        <v>1108</v>
      </c>
      <c r="CC654" s="2" t="s">
        <v>213</v>
      </c>
      <c r="CD654" s="2" t="s">
        <v>200</v>
      </c>
      <c r="CE654" s="4">
        <v>299</v>
      </c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>
        <v>332</v>
      </c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</row>
    <row r="655">
      <c r="A655" s="2" t="s">
        <v>4145</v>
      </c>
      <c r="B655" s="2" t="s">
        <v>827</v>
      </c>
      <c r="C655" s="2" t="s">
        <v>231</v>
      </c>
      <c r="D655" s="2" t="s">
        <v>828</v>
      </c>
      <c r="E655" s="2" t="s">
        <v>1011</v>
      </c>
      <c r="F655" s="2" t="s">
        <v>4109</v>
      </c>
      <c r="G655" s="2" t="s">
        <v>4110</v>
      </c>
      <c r="H655" s="2" t="s">
        <v>4111</v>
      </c>
      <c r="I655" s="2" t="s">
        <v>4112</v>
      </c>
      <c r="J655" s="2" t="s">
        <v>1057</v>
      </c>
      <c r="K655" s="2" t="s">
        <v>4041</v>
      </c>
      <c r="L655" s="3">
        <v>21</v>
      </c>
      <c r="M655" s="3">
        <v>22.05</v>
      </c>
      <c r="N655" s="3">
        <v>49.99</v>
      </c>
      <c r="O655" s="2" t="s">
        <v>212</v>
      </c>
      <c r="P655" s="2" t="s">
        <v>258</v>
      </c>
      <c r="Q655" s="2" t="s">
        <v>206</v>
      </c>
      <c r="R655" s="2" t="s">
        <v>200</v>
      </c>
      <c r="S655" s="2" t="s">
        <v>4042</v>
      </c>
      <c r="T655" s="2" t="s">
        <v>200</v>
      </c>
      <c r="U655" s="2" t="s">
        <v>270</v>
      </c>
      <c r="V655" s="2" t="s">
        <v>208</v>
      </c>
      <c r="W655" s="2" t="s">
        <v>419</v>
      </c>
      <c r="X655" s="2" t="s">
        <v>2936</v>
      </c>
      <c r="Y655" s="2" t="s">
        <v>261</v>
      </c>
      <c r="Z655" s="4">
        <v>128</v>
      </c>
      <c r="AA655" s="4">
        <f>=ROUNDDOWN(16,0)</f>
      </c>
      <c r="AB655" s="5">
        <v>8</v>
      </c>
      <c r="AC655" s="2" t="s">
        <v>1548</v>
      </c>
      <c r="AD655" s="4">
        <v>124</v>
      </c>
      <c r="AE655" s="4">
        <v>124</v>
      </c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200</v>
      </c>
      <c r="AM655" s="4"/>
      <c r="AN655" s="4"/>
      <c r="AO655" s="7"/>
      <c r="AP655" s="4"/>
      <c r="AQ655" s="8"/>
      <c r="AR655" s="4"/>
      <c r="AS655" s="8"/>
      <c r="AT655" s="7"/>
      <c r="AU655" s="7"/>
      <c r="AV655" s="4" t="s">
        <v>200</v>
      </c>
      <c r="AW655" s="8" t="s">
        <v>200</v>
      </c>
      <c r="AX655" s="4" t="s">
        <v>200</v>
      </c>
      <c r="AY655" s="8" t="s">
        <v>200</v>
      </c>
      <c r="AZ655" s="7" t="s">
        <v>200</v>
      </c>
      <c r="BA655" s="7" t="s">
        <v>200</v>
      </c>
      <c r="BB655" s="7"/>
      <c r="BC655" s="4" t="s">
        <v>200</v>
      </c>
      <c r="BD655" s="8" t="s">
        <v>200</v>
      </c>
      <c r="BE655" s="4" t="s">
        <v>200</v>
      </c>
      <c r="BF655" s="8" t="s">
        <v>200</v>
      </c>
      <c r="BG655" s="7" t="s">
        <v>200</v>
      </c>
      <c r="BH655" s="7" t="s">
        <v>200</v>
      </c>
      <c r="BI655" s="7"/>
      <c r="BJ655" s="4">
        <v>57</v>
      </c>
      <c r="BK655" s="8">
        <v>1191.7</v>
      </c>
      <c r="BL655" s="2" t="s">
        <v>4146</v>
      </c>
      <c r="BM655" s="7"/>
      <c r="BN655" s="7"/>
      <c r="BO655" s="4"/>
      <c r="BP655" s="8"/>
      <c r="BQ655" s="4"/>
      <c r="BR655" s="8"/>
      <c r="BS655" s="7"/>
      <c r="BT655" s="7"/>
      <c r="BU655" s="2" t="s">
        <v>4147</v>
      </c>
      <c r="BV655" s="2" t="s">
        <v>200</v>
      </c>
      <c r="BW655" s="2" t="s">
        <v>200</v>
      </c>
      <c r="BX655" s="2" t="s">
        <v>620</v>
      </c>
      <c r="BY655" s="2" t="s">
        <v>247</v>
      </c>
      <c r="BZ655" s="2" t="s">
        <v>212</v>
      </c>
      <c r="CA655" s="2" t="s">
        <v>265</v>
      </c>
      <c r="CB655" s="2" t="s">
        <v>4148</v>
      </c>
      <c r="CC655" s="2" t="s">
        <v>213</v>
      </c>
      <c r="CD655" s="2" t="s">
        <v>200</v>
      </c>
      <c r="CE655" s="4">
        <v>128</v>
      </c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>
        <v>124</v>
      </c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</row>
    <row r="656">
      <c r="A656" s="2" t="s">
        <v>4149</v>
      </c>
      <c r="B656" s="2" t="s">
        <v>827</v>
      </c>
      <c r="C656" s="2" t="s">
        <v>231</v>
      </c>
      <c r="D656" s="2" t="s">
        <v>828</v>
      </c>
      <c r="E656" s="2" t="s">
        <v>1011</v>
      </c>
      <c r="F656" s="2" t="s">
        <v>4109</v>
      </c>
      <c r="G656" s="2" t="s">
        <v>4110</v>
      </c>
      <c r="H656" s="2" t="s">
        <v>4111</v>
      </c>
      <c r="I656" s="2" t="s">
        <v>4112</v>
      </c>
      <c r="J656" s="2" t="s">
        <v>1016</v>
      </c>
      <c r="K656" s="2" t="s">
        <v>1017</v>
      </c>
      <c r="L656" s="3">
        <v>16</v>
      </c>
      <c r="M656" s="3">
        <v>16.8</v>
      </c>
      <c r="N656" s="3">
        <v>39.99</v>
      </c>
      <c r="O656" s="2" t="s">
        <v>212</v>
      </c>
      <c r="P656" s="2" t="s">
        <v>1075</v>
      </c>
      <c r="Q656" s="2" t="s">
        <v>206</v>
      </c>
      <c r="R656" s="2" t="s">
        <v>200</v>
      </c>
      <c r="S656" s="2" t="s">
        <v>4150</v>
      </c>
      <c r="T656" s="2" t="s">
        <v>200</v>
      </c>
      <c r="U656" s="2" t="s">
        <v>270</v>
      </c>
      <c r="V656" s="2" t="s">
        <v>208</v>
      </c>
      <c r="W656" s="2" t="s">
        <v>419</v>
      </c>
      <c r="X656" s="2" t="s">
        <v>2936</v>
      </c>
      <c r="Y656" s="2" t="s">
        <v>261</v>
      </c>
      <c r="Z656" s="4">
        <v>1924</v>
      </c>
      <c r="AA656" s="4">
        <f>=ROUNDDOWN(34.9818181818182,0)</f>
      </c>
      <c r="AB656" s="5">
        <v>55</v>
      </c>
      <c r="AC656" s="2" t="s">
        <v>200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200</v>
      </c>
      <c r="AM656" s="4"/>
      <c r="AN656" s="4"/>
      <c r="AO656" s="7"/>
      <c r="AP656" s="4"/>
      <c r="AQ656" s="8"/>
      <c r="AR656" s="4"/>
      <c r="AS656" s="8"/>
      <c r="AT656" s="7"/>
      <c r="AU656" s="7"/>
      <c r="AV656" s="4" t="s">
        <v>200</v>
      </c>
      <c r="AW656" s="8" t="s">
        <v>200</v>
      </c>
      <c r="AX656" s="4" t="s">
        <v>200</v>
      </c>
      <c r="AY656" s="8" t="s">
        <v>200</v>
      </c>
      <c r="AZ656" s="7" t="s">
        <v>200</v>
      </c>
      <c r="BA656" s="7" t="s">
        <v>200</v>
      </c>
      <c r="BB656" s="7"/>
      <c r="BC656" s="4" t="s">
        <v>200</v>
      </c>
      <c r="BD656" s="8" t="s">
        <v>200</v>
      </c>
      <c r="BE656" s="4" t="s">
        <v>200</v>
      </c>
      <c r="BF656" s="8" t="s">
        <v>200</v>
      </c>
      <c r="BG656" s="7" t="s">
        <v>200</v>
      </c>
      <c r="BH656" s="7" t="s">
        <v>200</v>
      </c>
      <c r="BI656" s="7"/>
      <c r="BJ656" s="4">
        <v>239</v>
      </c>
      <c r="BK656" s="8">
        <v>3993.39</v>
      </c>
      <c r="BL656" s="2" t="s">
        <v>4151</v>
      </c>
      <c r="BM656" s="7"/>
      <c r="BN656" s="7"/>
      <c r="BO656" s="4"/>
      <c r="BP656" s="8"/>
      <c r="BQ656" s="4"/>
      <c r="BR656" s="8"/>
      <c r="BS656" s="7"/>
      <c r="BT656" s="7"/>
      <c r="BU656" s="2" t="s">
        <v>4152</v>
      </c>
      <c r="BV656" s="2" t="s">
        <v>200</v>
      </c>
      <c r="BW656" s="2" t="s">
        <v>200</v>
      </c>
      <c r="BX656" s="2" t="s">
        <v>620</v>
      </c>
      <c r="BY656" s="2" t="s">
        <v>247</v>
      </c>
      <c r="BZ656" s="2" t="s">
        <v>212</v>
      </c>
      <c r="CA656" s="2" t="s">
        <v>265</v>
      </c>
      <c r="CB656" s="2" t="s">
        <v>1108</v>
      </c>
      <c r="CC656" s="2" t="s">
        <v>213</v>
      </c>
      <c r="CD656" s="2" t="s">
        <v>200</v>
      </c>
      <c r="CE656" s="4">
        <v>1924</v>
      </c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</row>
    <row r="657">
      <c r="A657" s="2" t="s">
        <v>4153</v>
      </c>
      <c r="B657" s="2" t="s">
        <v>827</v>
      </c>
      <c r="C657" s="2" t="s">
        <v>231</v>
      </c>
      <c r="D657" s="2" t="s">
        <v>828</v>
      </c>
      <c r="E657" s="2" t="s">
        <v>1011</v>
      </c>
      <c r="F657" s="2" t="s">
        <v>4109</v>
      </c>
      <c r="G657" s="2" t="s">
        <v>4110</v>
      </c>
      <c r="H657" s="2" t="s">
        <v>4111</v>
      </c>
      <c r="I657" s="2" t="s">
        <v>4112</v>
      </c>
      <c r="J657" s="2" t="s">
        <v>4122</v>
      </c>
      <c r="K657" s="2" t="s">
        <v>1017</v>
      </c>
      <c r="L657" s="3">
        <v>23.1</v>
      </c>
      <c r="M657" s="3">
        <v>24.26</v>
      </c>
      <c r="N657" s="3">
        <v>54.99</v>
      </c>
      <c r="O657" s="2" t="s">
        <v>212</v>
      </c>
      <c r="P657" s="2" t="s">
        <v>258</v>
      </c>
      <c r="Q657" s="2" t="s">
        <v>206</v>
      </c>
      <c r="R657" s="2" t="s">
        <v>200</v>
      </c>
      <c r="S657" s="2" t="s">
        <v>4150</v>
      </c>
      <c r="T657" s="2" t="s">
        <v>200</v>
      </c>
      <c r="U657" s="2" t="s">
        <v>270</v>
      </c>
      <c r="V657" s="2" t="s">
        <v>208</v>
      </c>
      <c r="W657" s="2" t="s">
        <v>419</v>
      </c>
      <c r="X657" s="2" t="s">
        <v>2936</v>
      </c>
      <c r="Y657" s="2" t="s">
        <v>261</v>
      </c>
      <c r="Z657" s="4">
        <v>119</v>
      </c>
      <c r="AA657" s="4">
        <f>=ROUNDDOWN(14.875,0)</f>
      </c>
      <c r="AB657" s="5">
        <v>8</v>
      </c>
      <c r="AC657" s="2" t="s">
        <v>1088</v>
      </c>
      <c r="AD657" s="4">
        <v>40</v>
      </c>
      <c r="AE657" s="4">
        <v>40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200</v>
      </c>
      <c r="AM657" s="4"/>
      <c r="AN657" s="4"/>
      <c r="AO657" s="7"/>
      <c r="AP657" s="4"/>
      <c r="AQ657" s="8"/>
      <c r="AR657" s="4"/>
      <c r="AS657" s="8"/>
      <c r="AT657" s="7"/>
      <c r="AU657" s="7"/>
      <c r="AV657" s="4" t="s">
        <v>200</v>
      </c>
      <c r="AW657" s="8" t="s">
        <v>200</v>
      </c>
      <c r="AX657" s="4" t="s">
        <v>200</v>
      </c>
      <c r="AY657" s="8" t="s">
        <v>200</v>
      </c>
      <c r="AZ657" s="7" t="s">
        <v>200</v>
      </c>
      <c r="BA657" s="7" t="s">
        <v>200</v>
      </c>
      <c r="BB657" s="7"/>
      <c r="BC657" s="4" t="s">
        <v>200</v>
      </c>
      <c r="BD657" s="8" t="s">
        <v>200</v>
      </c>
      <c r="BE657" s="4" t="s">
        <v>200</v>
      </c>
      <c r="BF657" s="8" t="s">
        <v>200</v>
      </c>
      <c r="BG657" s="7" t="s">
        <v>200</v>
      </c>
      <c r="BH657" s="7" t="s">
        <v>200</v>
      </c>
      <c r="BI657" s="7"/>
      <c r="BJ657" s="4">
        <v>67</v>
      </c>
      <c r="BK657" s="8">
        <v>1596</v>
      </c>
      <c r="BL657" s="2" t="s">
        <v>4154</v>
      </c>
      <c r="BM657" s="7"/>
      <c r="BN657" s="7"/>
      <c r="BO657" s="4"/>
      <c r="BP657" s="8"/>
      <c r="BQ657" s="4"/>
      <c r="BR657" s="8"/>
      <c r="BS657" s="7"/>
      <c r="BT657" s="7"/>
      <c r="BU657" s="2" t="s">
        <v>4155</v>
      </c>
      <c r="BV657" s="2" t="s">
        <v>200</v>
      </c>
      <c r="BW657" s="2" t="s">
        <v>200</v>
      </c>
      <c r="BX657" s="2" t="s">
        <v>620</v>
      </c>
      <c r="BY657" s="2" t="s">
        <v>247</v>
      </c>
      <c r="BZ657" s="2" t="s">
        <v>212</v>
      </c>
      <c r="CA657" s="2" t="s">
        <v>1597</v>
      </c>
      <c r="CB657" s="2" t="s">
        <v>2214</v>
      </c>
      <c r="CC657" s="2" t="s">
        <v>213</v>
      </c>
      <c r="CD657" s="2" t="s">
        <v>200</v>
      </c>
      <c r="CE657" s="4">
        <v>119</v>
      </c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>
        <v>40</v>
      </c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</row>
    <row r="658">
      <c r="A658" s="2" t="s">
        <v>4156</v>
      </c>
      <c r="B658" s="2" t="s">
        <v>827</v>
      </c>
      <c r="C658" s="2" t="s">
        <v>231</v>
      </c>
      <c r="D658" s="2" t="s">
        <v>1084</v>
      </c>
      <c r="E658" s="2" t="s">
        <v>1085</v>
      </c>
      <c r="F658" s="2" t="s">
        <v>4109</v>
      </c>
      <c r="G658" s="2" t="s">
        <v>4110</v>
      </c>
      <c r="H658" s="2" t="s">
        <v>4111</v>
      </c>
      <c r="I658" s="2" t="s">
        <v>4135</v>
      </c>
      <c r="J658" s="2" t="s">
        <v>4136</v>
      </c>
      <c r="K658" s="2" t="s">
        <v>1017</v>
      </c>
      <c r="L658" s="3">
        <v>12.6</v>
      </c>
      <c r="M658" s="3">
        <v>13.23</v>
      </c>
      <c r="N658" s="3">
        <v>29.99</v>
      </c>
      <c r="O658" s="2" t="s">
        <v>212</v>
      </c>
      <c r="P658" s="2" t="s">
        <v>258</v>
      </c>
      <c r="Q658" s="2" t="s">
        <v>206</v>
      </c>
      <c r="R658" s="2" t="s">
        <v>200</v>
      </c>
      <c r="S658" s="2" t="s">
        <v>4150</v>
      </c>
      <c r="T658" s="2" t="s">
        <v>200</v>
      </c>
      <c r="U658" s="2" t="s">
        <v>200</v>
      </c>
      <c r="V658" s="2" t="s">
        <v>208</v>
      </c>
      <c r="W658" s="2" t="s">
        <v>419</v>
      </c>
      <c r="X658" s="2" t="s">
        <v>200</v>
      </c>
      <c r="Y658" s="2" t="s">
        <v>4157</v>
      </c>
      <c r="Z658" s="4">
        <v>441</v>
      </c>
      <c r="AA658" s="4">
        <f>=ROUNDDOWN(31.5,0)</f>
      </c>
      <c r="AB658" s="5">
        <v>14</v>
      </c>
      <c r="AC658" s="2" t="s">
        <v>200</v>
      </c>
      <c r="AD658" s="4"/>
      <c r="AE658" s="4"/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200</v>
      </c>
      <c r="AM658" s="4"/>
      <c r="AN658" s="4"/>
      <c r="AO658" s="7"/>
      <c r="AP658" s="4"/>
      <c r="AQ658" s="8"/>
      <c r="AR658" s="4"/>
      <c r="AS658" s="8"/>
      <c r="AT658" s="7"/>
      <c r="AU658" s="7"/>
      <c r="AV658" s="4" t="s">
        <v>200</v>
      </c>
      <c r="AW658" s="8" t="s">
        <v>200</v>
      </c>
      <c r="AX658" s="4" t="s">
        <v>200</v>
      </c>
      <c r="AY658" s="8" t="s">
        <v>200</v>
      </c>
      <c r="AZ658" s="7" t="s">
        <v>200</v>
      </c>
      <c r="BA658" s="7" t="s">
        <v>200</v>
      </c>
      <c r="BB658" s="7"/>
      <c r="BC658" s="4" t="s">
        <v>200</v>
      </c>
      <c r="BD658" s="8" t="s">
        <v>200</v>
      </c>
      <c r="BE658" s="4" t="s">
        <v>200</v>
      </c>
      <c r="BF658" s="8" t="s">
        <v>200</v>
      </c>
      <c r="BG658" s="7" t="s">
        <v>200</v>
      </c>
      <c r="BH658" s="7" t="s">
        <v>200</v>
      </c>
      <c r="BI658" s="7"/>
      <c r="BJ658" s="4">
        <v>72</v>
      </c>
      <c r="BK658" s="8">
        <v>1298.25</v>
      </c>
      <c r="BL658" s="2" t="s">
        <v>4158</v>
      </c>
      <c r="BM658" s="7"/>
      <c r="BN658" s="7"/>
      <c r="BO658" s="4"/>
      <c r="BP658" s="8"/>
      <c r="BQ658" s="4"/>
      <c r="BR658" s="8"/>
      <c r="BS658" s="7"/>
      <c r="BT658" s="7"/>
      <c r="BU658" s="2" t="s">
        <v>4159</v>
      </c>
      <c r="BV658" s="2" t="s">
        <v>200</v>
      </c>
      <c r="BW658" s="2" t="s">
        <v>200</v>
      </c>
      <c r="BX658" s="2" t="s">
        <v>264</v>
      </c>
      <c r="BY658" s="2" t="s">
        <v>247</v>
      </c>
      <c r="BZ658" s="2" t="s">
        <v>212</v>
      </c>
      <c r="CA658" s="2" t="s">
        <v>1237</v>
      </c>
      <c r="CB658" s="2" t="s">
        <v>4160</v>
      </c>
      <c r="CC658" s="2" t="s">
        <v>213</v>
      </c>
      <c r="CD658" s="2" t="s">
        <v>200</v>
      </c>
      <c r="CE658" s="4">
        <v>441</v>
      </c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</row>
    <row r="659">
      <c r="A659" s="2" t="s">
        <v>4161</v>
      </c>
      <c r="B659" s="2" t="s">
        <v>827</v>
      </c>
      <c r="C659" s="2" t="s">
        <v>231</v>
      </c>
      <c r="D659" s="2" t="s">
        <v>828</v>
      </c>
      <c r="E659" s="2" t="s">
        <v>1011</v>
      </c>
      <c r="F659" s="2" t="s">
        <v>4109</v>
      </c>
      <c r="G659" s="2" t="s">
        <v>4110</v>
      </c>
      <c r="H659" s="2" t="s">
        <v>4111</v>
      </c>
      <c r="I659" s="2" t="s">
        <v>4112</v>
      </c>
      <c r="J659" s="2" t="s">
        <v>1242</v>
      </c>
      <c r="K659" s="2" t="s">
        <v>1214</v>
      </c>
      <c r="L659" s="3">
        <v>17.1</v>
      </c>
      <c r="M659" s="3">
        <v>17.96</v>
      </c>
      <c r="N659" s="3">
        <v>44.99</v>
      </c>
      <c r="O659" s="2" t="s">
        <v>212</v>
      </c>
      <c r="P659" s="2" t="s">
        <v>258</v>
      </c>
      <c r="Q659" s="2" t="s">
        <v>206</v>
      </c>
      <c r="R659" s="2" t="s">
        <v>200</v>
      </c>
      <c r="S659" s="2" t="s">
        <v>4162</v>
      </c>
      <c r="T659" s="2" t="s">
        <v>200</v>
      </c>
      <c r="U659" s="2" t="s">
        <v>270</v>
      </c>
      <c r="V659" s="2" t="s">
        <v>208</v>
      </c>
      <c r="W659" s="2" t="s">
        <v>419</v>
      </c>
      <c r="X659" s="2" t="s">
        <v>2936</v>
      </c>
      <c r="Y659" s="2" t="s">
        <v>4163</v>
      </c>
      <c r="Z659" s="4">
        <v>540</v>
      </c>
      <c r="AA659" s="4">
        <f>=ROUNDDOWN(41.5384615384615,0)</f>
      </c>
      <c r="AB659" s="5">
        <v>13</v>
      </c>
      <c r="AC659" s="2" t="s">
        <v>200</v>
      </c>
      <c r="AD659" s="4"/>
      <c r="AE659" s="4"/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200</v>
      </c>
      <c r="AM659" s="4"/>
      <c r="AN659" s="4"/>
      <c r="AO659" s="7"/>
      <c r="AP659" s="4"/>
      <c r="AQ659" s="8"/>
      <c r="AR659" s="4"/>
      <c r="AS659" s="8"/>
      <c r="AT659" s="7"/>
      <c r="AU659" s="7"/>
      <c r="AV659" s="4" t="s">
        <v>200</v>
      </c>
      <c r="AW659" s="8" t="s">
        <v>200</v>
      </c>
      <c r="AX659" s="4" t="s">
        <v>200</v>
      </c>
      <c r="AY659" s="8" t="s">
        <v>200</v>
      </c>
      <c r="AZ659" s="7" t="s">
        <v>200</v>
      </c>
      <c r="BA659" s="7" t="s">
        <v>200</v>
      </c>
      <c r="BB659" s="7"/>
      <c r="BC659" s="4" t="s">
        <v>200</v>
      </c>
      <c r="BD659" s="8" t="s">
        <v>200</v>
      </c>
      <c r="BE659" s="4" t="s">
        <v>200</v>
      </c>
      <c r="BF659" s="8" t="s">
        <v>200</v>
      </c>
      <c r="BG659" s="7" t="s">
        <v>200</v>
      </c>
      <c r="BH659" s="7" t="s">
        <v>200</v>
      </c>
      <c r="BI659" s="7"/>
      <c r="BJ659" s="4">
        <v>32</v>
      </c>
      <c r="BK659" s="8">
        <v>561.51</v>
      </c>
      <c r="BL659" s="2" t="s">
        <v>4164</v>
      </c>
      <c r="BM659" s="7"/>
      <c r="BN659" s="7"/>
      <c r="BO659" s="4"/>
      <c r="BP659" s="8"/>
      <c r="BQ659" s="4"/>
      <c r="BR659" s="8"/>
      <c r="BS659" s="7"/>
      <c r="BT659" s="7"/>
      <c r="BU659" s="2" t="s">
        <v>4165</v>
      </c>
      <c r="BV659" s="2" t="s">
        <v>200</v>
      </c>
      <c r="BW659" s="2" t="s">
        <v>200</v>
      </c>
      <c r="BX659" s="2" t="s">
        <v>620</v>
      </c>
      <c r="BY659" s="2" t="s">
        <v>247</v>
      </c>
      <c r="BZ659" s="2" t="s">
        <v>212</v>
      </c>
      <c r="CA659" s="2" t="s">
        <v>4166</v>
      </c>
      <c r="CB659" s="2" t="s">
        <v>3541</v>
      </c>
      <c r="CC659" s="2" t="s">
        <v>213</v>
      </c>
      <c r="CD659" s="2" t="s">
        <v>200</v>
      </c>
      <c r="CE659" s="4">
        <v>540</v>
      </c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</row>
    <row r="660">
      <c r="A660" s="2" t="s">
        <v>4167</v>
      </c>
      <c r="B660" s="2" t="s">
        <v>827</v>
      </c>
      <c r="C660" s="2" t="s">
        <v>231</v>
      </c>
      <c r="D660" s="2" t="s">
        <v>828</v>
      </c>
      <c r="E660" s="2" t="s">
        <v>1011</v>
      </c>
      <c r="F660" s="2" t="s">
        <v>4109</v>
      </c>
      <c r="G660" s="2" t="s">
        <v>4110</v>
      </c>
      <c r="H660" s="2" t="s">
        <v>4111</v>
      </c>
      <c r="I660" s="2" t="s">
        <v>4112</v>
      </c>
      <c r="J660" s="2" t="s">
        <v>4122</v>
      </c>
      <c r="K660" s="2" t="s">
        <v>1214</v>
      </c>
      <c r="L660" s="3">
        <v>23.1</v>
      </c>
      <c r="M660" s="3">
        <v>24.26</v>
      </c>
      <c r="N660" s="3">
        <v>54.99</v>
      </c>
      <c r="O660" s="2" t="s">
        <v>212</v>
      </c>
      <c r="P660" s="2" t="s">
        <v>258</v>
      </c>
      <c r="Q660" s="2" t="s">
        <v>206</v>
      </c>
      <c r="R660" s="2" t="s">
        <v>200</v>
      </c>
      <c r="S660" s="2" t="s">
        <v>4162</v>
      </c>
      <c r="T660" s="2" t="s">
        <v>200</v>
      </c>
      <c r="U660" s="2" t="s">
        <v>270</v>
      </c>
      <c r="V660" s="2" t="s">
        <v>208</v>
      </c>
      <c r="W660" s="2" t="s">
        <v>419</v>
      </c>
      <c r="X660" s="2" t="s">
        <v>2936</v>
      </c>
      <c r="Y660" s="2" t="s">
        <v>4163</v>
      </c>
      <c r="Z660" s="4">
        <v>71</v>
      </c>
      <c r="AA660" s="4">
        <f>=ROUNDDOWN(35.5,0)</f>
      </c>
      <c r="AB660" s="5">
        <v>2</v>
      </c>
      <c r="AC660" s="2" t="s">
        <v>200</v>
      </c>
      <c r="AD660" s="4"/>
      <c r="AE660" s="4"/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200</v>
      </c>
      <c r="AM660" s="4"/>
      <c r="AN660" s="4"/>
      <c r="AO660" s="7"/>
      <c r="AP660" s="4"/>
      <c r="AQ660" s="8"/>
      <c r="AR660" s="4"/>
      <c r="AS660" s="8"/>
      <c r="AT660" s="7"/>
      <c r="AU660" s="7"/>
      <c r="AV660" s="4" t="s">
        <v>200</v>
      </c>
      <c r="AW660" s="8" t="s">
        <v>200</v>
      </c>
      <c r="AX660" s="4" t="s">
        <v>200</v>
      </c>
      <c r="AY660" s="8" t="s">
        <v>200</v>
      </c>
      <c r="AZ660" s="7" t="s">
        <v>200</v>
      </c>
      <c r="BA660" s="7" t="s">
        <v>200</v>
      </c>
      <c r="BB660" s="7"/>
      <c r="BC660" s="4" t="s">
        <v>200</v>
      </c>
      <c r="BD660" s="8" t="s">
        <v>200</v>
      </c>
      <c r="BE660" s="4" t="s">
        <v>200</v>
      </c>
      <c r="BF660" s="8" t="s">
        <v>200</v>
      </c>
      <c r="BG660" s="7" t="s">
        <v>200</v>
      </c>
      <c r="BH660" s="7" t="s">
        <v>200</v>
      </c>
      <c r="BI660" s="7"/>
      <c r="BJ660" s="4">
        <v>8</v>
      </c>
      <c r="BK660" s="8">
        <v>200.16</v>
      </c>
      <c r="BL660" s="2" t="s">
        <v>3996</v>
      </c>
      <c r="BM660" s="7"/>
      <c r="BN660" s="7"/>
      <c r="BO660" s="4"/>
      <c r="BP660" s="8"/>
      <c r="BQ660" s="4"/>
      <c r="BR660" s="8"/>
      <c r="BS660" s="7"/>
      <c r="BT660" s="7"/>
      <c r="BU660" s="2" t="s">
        <v>4168</v>
      </c>
      <c r="BV660" s="2" t="s">
        <v>200</v>
      </c>
      <c r="BW660" s="2" t="s">
        <v>200</v>
      </c>
      <c r="BX660" s="2" t="s">
        <v>620</v>
      </c>
      <c r="BY660" s="2" t="s">
        <v>247</v>
      </c>
      <c r="BZ660" s="2" t="s">
        <v>212</v>
      </c>
      <c r="CA660" s="2" t="s">
        <v>4166</v>
      </c>
      <c r="CB660" s="2" t="s">
        <v>3074</v>
      </c>
      <c r="CC660" s="2" t="s">
        <v>213</v>
      </c>
      <c r="CD660" s="2" t="s">
        <v>200</v>
      </c>
      <c r="CE660" s="4">
        <v>71</v>
      </c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</row>
    <row r="661">
      <c r="A661" s="2" t="s">
        <v>4169</v>
      </c>
      <c r="B661" s="2" t="s">
        <v>827</v>
      </c>
      <c r="C661" s="2" t="s">
        <v>231</v>
      </c>
      <c r="D661" s="2" t="s">
        <v>1084</v>
      </c>
      <c r="E661" s="2" t="s">
        <v>1085</v>
      </c>
      <c r="F661" s="2" t="s">
        <v>4109</v>
      </c>
      <c r="G661" s="2" t="s">
        <v>4110</v>
      </c>
      <c r="H661" s="2" t="s">
        <v>4111</v>
      </c>
      <c r="I661" s="2" t="s">
        <v>4135</v>
      </c>
      <c r="J661" s="2" t="s">
        <v>4136</v>
      </c>
      <c r="K661" s="2" t="s">
        <v>1214</v>
      </c>
      <c r="L661" s="3">
        <v>12.6</v>
      </c>
      <c r="M661" s="3">
        <v>13.23</v>
      </c>
      <c r="N661" s="3">
        <v>29.99</v>
      </c>
      <c r="O661" s="2" t="s">
        <v>212</v>
      </c>
      <c r="P661" s="2" t="s">
        <v>258</v>
      </c>
      <c r="Q661" s="2" t="s">
        <v>206</v>
      </c>
      <c r="R661" s="2" t="s">
        <v>200</v>
      </c>
      <c r="S661" s="2" t="s">
        <v>4162</v>
      </c>
      <c r="T661" s="2" t="s">
        <v>200</v>
      </c>
      <c r="U661" s="2" t="s">
        <v>270</v>
      </c>
      <c r="V661" s="2" t="s">
        <v>208</v>
      </c>
      <c r="W661" s="2" t="s">
        <v>419</v>
      </c>
      <c r="X661" s="2" t="s">
        <v>200</v>
      </c>
      <c r="Y661" s="2" t="s">
        <v>4163</v>
      </c>
      <c r="Z661" s="4">
        <v>333</v>
      </c>
      <c r="AA661" s="4">
        <f>=ROUNDDOWN(41.625,0)</f>
      </c>
      <c r="AB661" s="5">
        <v>8</v>
      </c>
      <c r="AC661" s="2" t="s">
        <v>200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200</v>
      </c>
      <c r="AM661" s="4"/>
      <c r="AN661" s="4"/>
      <c r="AO661" s="7"/>
      <c r="AP661" s="4"/>
      <c r="AQ661" s="8"/>
      <c r="AR661" s="4"/>
      <c r="AS661" s="8"/>
      <c r="AT661" s="7"/>
      <c r="AU661" s="7"/>
      <c r="AV661" s="4" t="s">
        <v>200</v>
      </c>
      <c r="AW661" s="8" t="s">
        <v>200</v>
      </c>
      <c r="AX661" s="4" t="s">
        <v>200</v>
      </c>
      <c r="AY661" s="8" t="s">
        <v>200</v>
      </c>
      <c r="AZ661" s="7" t="s">
        <v>200</v>
      </c>
      <c r="BA661" s="7" t="s">
        <v>200</v>
      </c>
      <c r="BB661" s="7"/>
      <c r="BC661" s="4" t="s">
        <v>200</v>
      </c>
      <c r="BD661" s="8" t="s">
        <v>200</v>
      </c>
      <c r="BE661" s="4" t="s">
        <v>200</v>
      </c>
      <c r="BF661" s="8" t="s">
        <v>200</v>
      </c>
      <c r="BG661" s="7" t="s">
        <v>200</v>
      </c>
      <c r="BH661" s="7" t="s">
        <v>200</v>
      </c>
      <c r="BI661" s="7"/>
      <c r="BJ661" s="4">
        <v>46</v>
      </c>
      <c r="BK661" s="8">
        <v>632.45</v>
      </c>
      <c r="BL661" s="2" t="s">
        <v>4170</v>
      </c>
      <c r="BM661" s="7"/>
      <c r="BN661" s="7"/>
      <c r="BO661" s="4"/>
      <c r="BP661" s="8"/>
      <c r="BQ661" s="4"/>
      <c r="BR661" s="8"/>
      <c r="BS661" s="7"/>
      <c r="BT661" s="7"/>
      <c r="BU661" s="2" t="s">
        <v>4171</v>
      </c>
      <c r="BV661" s="2" t="s">
        <v>200</v>
      </c>
      <c r="BW661" s="2" t="s">
        <v>200</v>
      </c>
      <c r="BX661" s="2" t="s">
        <v>264</v>
      </c>
      <c r="BY661" s="2" t="s">
        <v>247</v>
      </c>
      <c r="BZ661" s="2" t="s">
        <v>212</v>
      </c>
      <c r="CA661" s="2" t="s">
        <v>2468</v>
      </c>
      <c r="CB661" s="2" t="s">
        <v>4172</v>
      </c>
      <c r="CC661" s="2" t="s">
        <v>213</v>
      </c>
      <c r="CD661" s="2" t="s">
        <v>200</v>
      </c>
      <c r="CE661" s="4">
        <v>333</v>
      </c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</row>
    <row r="662">
      <c r="A662" s="2" t="s">
        <v>4173</v>
      </c>
      <c r="B662" s="2" t="s">
        <v>827</v>
      </c>
      <c r="C662" s="2" t="s">
        <v>231</v>
      </c>
      <c r="D662" s="2" t="s">
        <v>828</v>
      </c>
      <c r="E662" s="2" t="s">
        <v>1011</v>
      </c>
      <c r="F662" s="2" t="s">
        <v>4109</v>
      </c>
      <c r="G662" s="2" t="s">
        <v>4110</v>
      </c>
      <c r="H662" s="2" t="s">
        <v>4111</v>
      </c>
      <c r="I662" s="2" t="s">
        <v>4112</v>
      </c>
      <c r="J662" s="2" t="s">
        <v>1016</v>
      </c>
      <c r="K662" s="2" t="s">
        <v>4174</v>
      </c>
      <c r="L662" s="3">
        <v>16</v>
      </c>
      <c r="M662" s="3">
        <v>16.8</v>
      </c>
      <c r="N662" s="3">
        <v>39.99</v>
      </c>
      <c r="O662" s="2" t="s">
        <v>212</v>
      </c>
      <c r="P662" s="2" t="s">
        <v>258</v>
      </c>
      <c r="Q662" s="2" t="s">
        <v>206</v>
      </c>
      <c r="R662" s="2" t="s">
        <v>200</v>
      </c>
      <c r="S662" s="2" t="s">
        <v>4175</v>
      </c>
      <c r="T662" s="2" t="s">
        <v>200</v>
      </c>
      <c r="U662" s="2" t="s">
        <v>270</v>
      </c>
      <c r="V662" s="2" t="s">
        <v>208</v>
      </c>
      <c r="W662" s="2" t="s">
        <v>419</v>
      </c>
      <c r="X662" s="2" t="s">
        <v>2936</v>
      </c>
      <c r="Y662" s="2" t="s">
        <v>261</v>
      </c>
      <c r="Z662" s="4">
        <v>612</v>
      </c>
      <c r="AA662" s="4">
        <f>=ROUNDDOWN(34,0)</f>
      </c>
      <c r="AB662" s="5">
        <v>18</v>
      </c>
      <c r="AC662" s="2" t="s">
        <v>200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200</v>
      </c>
      <c r="AM662" s="4"/>
      <c r="AN662" s="4"/>
      <c r="AO662" s="7"/>
      <c r="AP662" s="4"/>
      <c r="AQ662" s="8"/>
      <c r="AR662" s="4"/>
      <c r="AS662" s="8"/>
      <c r="AT662" s="7"/>
      <c r="AU662" s="7"/>
      <c r="AV662" s="4" t="s">
        <v>200</v>
      </c>
      <c r="AW662" s="8" t="s">
        <v>200</v>
      </c>
      <c r="AX662" s="4" t="s">
        <v>200</v>
      </c>
      <c r="AY662" s="8" t="s">
        <v>200</v>
      </c>
      <c r="AZ662" s="7" t="s">
        <v>200</v>
      </c>
      <c r="BA662" s="7" t="s">
        <v>200</v>
      </c>
      <c r="BB662" s="7"/>
      <c r="BC662" s="4" t="s">
        <v>200</v>
      </c>
      <c r="BD662" s="8" t="s">
        <v>200</v>
      </c>
      <c r="BE662" s="4" t="s">
        <v>200</v>
      </c>
      <c r="BF662" s="8" t="s">
        <v>200</v>
      </c>
      <c r="BG662" s="7" t="s">
        <v>200</v>
      </c>
      <c r="BH662" s="7" t="s">
        <v>200</v>
      </c>
      <c r="BI662" s="7"/>
      <c r="BJ662" s="4">
        <v>62</v>
      </c>
      <c r="BK662" s="8">
        <v>889.52</v>
      </c>
      <c r="BL662" s="2" t="s">
        <v>4176</v>
      </c>
      <c r="BM662" s="7"/>
      <c r="BN662" s="7"/>
      <c r="BO662" s="4"/>
      <c r="BP662" s="8"/>
      <c r="BQ662" s="4"/>
      <c r="BR662" s="8"/>
      <c r="BS662" s="7"/>
      <c r="BT662" s="7"/>
      <c r="BU662" s="2" t="s">
        <v>4177</v>
      </c>
      <c r="BV662" s="2" t="s">
        <v>200</v>
      </c>
      <c r="BW662" s="2" t="s">
        <v>200</v>
      </c>
      <c r="BX662" s="2" t="s">
        <v>620</v>
      </c>
      <c r="BY662" s="2" t="s">
        <v>247</v>
      </c>
      <c r="BZ662" s="2" t="s">
        <v>212</v>
      </c>
      <c r="CA662" s="2" t="s">
        <v>265</v>
      </c>
      <c r="CB662" s="2" t="s">
        <v>1235</v>
      </c>
      <c r="CC662" s="2" t="s">
        <v>213</v>
      </c>
      <c r="CD662" s="2" t="s">
        <v>200</v>
      </c>
      <c r="CE662" s="4">
        <v>612</v>
      </c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</row>
    <row r="663">
      <c r="A663" s="2" t="s">
        <v>4178</v>
      </c>
      <c r="B663" s="2" t="s">
        <v>827</v>
      </c>
      <c r="C663" s="2" t="s">
        <v>231</v>
      </c>
      <c r="D663" s="2" t="s">
        <v>828</v>
      </c>
      <c r="E663" s="2" t="s">
        <v>1011</v>
      </c>
      <c r="F663" s="2" t="s">
        <v>4109</v>
      </c>
      <c r="G663" s="2" t="s">
        <v>4110</v>
      </c>
      <c r="H663" s="2" t="s">
        <v>4111</v>
      </c>
      <c r="I663" s="2" t="s">
        <v>4112</v>
      </c>
      <c r="J663" s="2" t="s">
        <v>1242</v>
      </c>
      <c r="K663" s="2" t="s">
        <v>4174</v>
      </c>
      <c r="L663" s="3">
        <v>17.1</v>
      </c>
      <c r="M663" s="3">
        <v>17.96</v>
      </c>
      <c r="N663" s="3">
        <v>44.99</v>
      </c>
      <c r="O663" s="2" t="s">
        <v>212</v>
      </c>
      <c r="P663" s="2" t="s">
        <v>258</v>
      </c>
      <c r="Q663" s="2" t="s">
        <v>206</v>
      </c>
      <c r="R663" s="2" t="s">
        <v>200</v>
      </c>
      <c r="S663" s="2" t="s">
        <v>4175</v>
      </c>
      <c r="T663" s="2" t="s">
        <v>200</v>
      </c>
      <c r="U663" s="2" t="s">
        <v>270</v>
      </c>
      <c r="V663" s="2" t="s">
        <v>208</v>
      </c>
      <c r="W663" s="2" t="s">
        <v>419</v>
      </c>
      <c r="X663" s="2" t="s">
        <v>2936</v>
      </c>
      <c r="Y663" s="2" t="s">
        <v>261</v>
      </c>
      <c r="Z663" s="4">
        <v>477</v>
      </c>
      <c r="AA663" s="4">
        <f>=ROUNDDOWN(36.6923076923077,0)</f>
      </c>
      <c r="AB663" s="5">
        <v>13</v>
      </c>
      <c r="AC663" s="2" t="s">
        <v>116</v>
      </c>
      <c r="AD663" s="4">
        <v>52</v>
      </c>
      <c r="AE663" s="4">
        <v>52</v>
      </c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200</v>
      </c>
      <c r="AM663" s="4"/>
      <c r="AN663" s="4"/>
      <c r="AO663" s="7"/>
      <c r="AP663" s="4"/>
      <c r="AQ663" s="8"/>
      <c r="AR663" s="4"/>
      <c r="AS663" s="8"/>
      <c r="AT663" s="7"/>
      <c r="AU663" s="7"/>
      <c r="AV663" s="4" t="s">
        <v>200</v>
      </c>
      <c r="AW663" s="8" t="s">
        <v>200</v>
      </c>
      <c r="AX663" s="4" t="s">
        <v>200</v>
      </c>
      <c r="AY663" s="8" t="s">
        <v>200</v>
      </c>
      <c r="AZ663" s="7" t="s">
        <v>200</v>
      </c>
      <c r="BA663" s="7" t="s">
        <v>200</v>
      </c>
      <c r="BB663" s="7"/>
      <c r="BC663" s="4" t="s">
        <v>200</v>
      </c>
      <c r="BD663" s="8" t="s">
        <v>200</v>
      </c>
      <c r="BE663" s="4" t="s">
        <v>200</v>
      </c>
      <c r="BF663" s="8" t="s">
        <v>200</v>
      </c>
      <c r="BG663" s="7" t="s">
        <v>200</v>
      </c>
      <c r="BH663" s="7" t="s">
        <v>200</v>
      </c>
      <c r="BI663" s="7"/>
      <c r="BJ663" s="4">
        <v>35</v>
      </c>
      <c r="BK663" s="8">
        <v>504.88</v>
      </c>
      <c r="BL663" s="2" t="s">
        <v>4179</v>
      </c>
      <c r="BM663" s="7"/>
      <c r="BN663" s="7"/>
      <c r="BO663" s="4"/>
      <c r="BP663" s="8"/>
      <c r="BQ663" s="4"/>
      <c r="BR663" s="8"/>
      <c r="BS663" s="7"/>
      <c r="BT663" s="7"/>
      <c r="BU663" s="2" t="s">
        <v>4180</v>
      </c>
      <c r="BV663" s="2" t="s">
        <v>200</v>
      </c>
      <c r="BW663" s="2" t="s">
        <v>200</v>
      </c>
      <c r="BX663" s="2" t="s">
        <v>620</v>
      </c>
      <c r="BY663" s="2" t="s">
        <v>247</v>
      </c>
      <c r="BZ663" s="2" t="s">
        <v>212</v>
      </c>
      <c r="CA663" s="2" t="s">
        <v>265</v>
      </c>
      <c r="CB663" s="2" t="s">
        <v>4181</v>
      </c>
      <c r="CC663" s="2" t="s">
        <v>213</v>
      </c>
      <c r="CD663" s="2" t="s">
        <v>200</v>
      </c>
      <c r="CE663" s="4">
        <v>477</v>
      </c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>
        <v>52</v>
      </c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</row>
    <row r="664">
      <c r="A664" s="2" t="s">
        <v>4182</v>
      </c>
      <c r="B664" s="2" t="s">
        <v>827</v>
      </c>
      <c r="C664" s="2" t="s">
        <v>231</v>
      </c>
      <c r="D664" s="2" t="s">
        <v>828</v>
      </c>
      <c r="E664" s="2" t="s">
        <v>1011</v>
      </c>
      <c r="F664" s="2" t="s">
        <v>4109</v>
      </c>
      <c r="G664" s="2" t="s">
        <v>4110</v>
      </c>
      <c r="H664" s="2" t="s">
        <v>4111</v>
      </c>
      <c r="I664" s="2" t="s">
        <v>4112</v>
      </c>
      <c r="J664" s="2" t="s">
        <v>1057</v>
      </c>
      <c r="K664" s="2" t="s">
        <v>4174</v>
      </c>
      <c r="L664" s="3">
        <v>21</v>
      </c>
      <c r="M664" s="3">
        <v>22.05</v>
      </c>
      <c r="N664" s="3">
        <v>49.99</v>
      </c>
      <c r="O664" s="2" t="s">
        <v>212</v>
      </c>
      <c r="P664" s="2" t="s">
        <v>258</v>
      </c>
      <c r="Q664" s="2" t="s">
        <v>206</v>
      </c>
      <c r="R664" s="2" t="s">
        <v>200</v>
      </c>
      <c r="S664" s="2" t="s">
        <v>4175</v>
      </c>
      <c r="T664" s="2" t="s">
        <v>200</v>
      </c>
      <c r="U664" s="2" t="s">
        <v>270</v>
      </c>
      <c r="V664" s="2" t="s">
        <v>208</v>
      </c>
      <c r="W664" s="2" t="s">
        <v>419</v>
      </c>
      <c r="X664" s="2" t="s">
        <v>2936</v>
      </c>
      <c r="Y664" s="2" t="s">
        <v>3999</v>
      </c>
      <c r="Z664" s="4">
        <v>173</v>
      </c>
      <c r="AA664" s="4">
        <f>=ROUNDDOWN(21.625,0)</f>
      </c>
      <c r="AB664" s="5">
        <v>8</v>
      </c>
      <c r="AC664" s="2" t="s">
        <v>116</v>
      </c>
      <c r="AD664" s="4">
        <v>124</v>
      </c>
      <c r="AE664" s="4">
        <v>156</v>
      </c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200</v>
      </c>
      <c r="AM664" s="4"/>
      <c r="AN664" s="4"/>
      <c r="AO664" s="7"/>
      <c r="AP664" s="4"/>
      <c r="AQ664" s="8"/>
      <c r="AR664" s="4"/>
      <c r="AS664" s="8"/>
      <c r="AT664" s="7"/>
      <c r="AU664" s="7"/>
      <c r="AV664" s="4" t="s">
        <v>200</v>
      </c>
      <c r="AW664" s="8" t="s">
        <v>200</v>
      </c>
      <c r="AX664" s="4" t="s">
        <v>200</v>
      </c>
      <c r="AY664" s="8" t="s">
        <v>200</v>
      </c>
      <c r="AZ664" s="7" t="s">
        <v>200</v>
      </c>
      <c r="BA664" s="7" t="s">
        <v>200</v>
      </c>
      <c r="BB664" s="7"/>
      <c r="BC664" s="4" t="s">
        <v>200</v>
      </c>
      <c r="BD664" s="8" t="s">
        <v>200</v>
      </c>
      <c r="BE664" s="4" t="s">
        <v>200</v>
      </c>
      <c r="BF664" s="8" t="s">
        <v>200</v>
      </c>
      <c r="BG664" s="7" t="s">
        <v>200</v>
      </c>
      <c r="BH664" s="7" t="s">
        <v>200</v>
      </c>
      <c r="BI664" s="7"/>
      <c r="BJ664" s="4">
        <v>18</v>
      </c>
      <c r="BK664" s="8">
        <v>342.1</v>
      </c>
      <c r="BL664" s="2" t="s">
        <v>4183</v>
      </c>
      <c r="BM664" s="7"/>
      <c r="BN664" s="7"/>
      <c r="BO664" s="4"/>
      <c r="BP664" s="8"/>
      <c r="BQ664" s="4"/>
      <c r="BR664" s="8"/>
      <c r="BS664" s="7"/>
      <c r="BT664" s="7"/>
      <c r="BU664" s="2" t="s">
        <v>4184</v>
      </c>
      <c r="BV664" s="2" t="s">
        <v>200</v>
      </c>
      <c r="BW664" s="2" t="s">
        <v>200</v>
      </c>
      <c r="BX664" s="2" t="s">
        <v>620</v>
      </c>
      <c r="BY664" s="2" t="s">
        <v>247</v>
      </c>
      <c r="BZ664" s="2" t="s">
        <v>212</v>
      </c>
      <c r="CA664" s="2" t="s">
        <v>265</v>
      </c>
      <c r="CB664" s="2" t="s">
        <v>1072</v>
      </c>
      <c r="CC664" s="2" t="s">
        <v>213</v>
      </c>
      <c r="CD664" s="2" t="s">
        <v>200</v>
      </c>
      <c r="CE664" s="4">
        <v>173</v>
      </c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>
        <v>124</v>
      </c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>
        <v>32</v>
      </c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</row>
    <row r="665">
      <c r="A665" s="2" t="s">
        <v>4185</v>
      </c>
      <c r="B665" s="2" t="s">
        <v>827</v>
      </c>
      <c r="C665" s="2" t="s">
        <v>231</v>
      </c>
      <c r="D665" s="2" t="s">
        <v>828</v>
      </c>
      <c r="E665" s="2" t="s">
        <v>1011</v>
      </c>
      <c r="F665" s="2" t="s">
        <v>4109</v>
      </c>
      <c r="G665" s="2" t="s">
        <v>4110</v>
      </c>
      <c r="H665" s="2" t="s">
        <v>4111</v>
      </c>
      <c r="I665" s="2" t="s">
        <v>4112</v>
      </c>
      <c r="J665" s="2" t="s">
        <v>4122</v>
      </c>
      <c r="K665" s="2" t="s">
        <v>4174</v>
      </c>
      <c r="L665" s="3">
        <v>23.1</v>
      </c>
      <c r="M665" s="3">
        <v>24.26</v>
      </c>
      <c r="N665" s="3">
        <v>54.99</v>
      </c>
      <c r="O665" s="2" t="s">
        <v>212</v>
      </c>
      <c r="P665" s="2" t="s">
        <v>258</v>
      </c>
      <c r="Q665" s="2" t="s">
        <v>206</v>
      </c>
      <c r="R665" s="2" t="s">
        <v>200</v>
      </c>
      <c r="S665" s="2" t="s">
        <v>4175</v>
      </c>
      <c r="T665" s="2" t="s">
        <v>200</v>
      </c>
      <c r="U665" s="2" t="s">
        <v>270</v>
      </c>
      <c r="V665" s="2" t="s">
        <v>208</v>
      </c>
      <c r="W665" s="2" t="s">
        <v>419</v>
      </c>
      <c r="X665" s="2" t="s">
        <v>2936</v>
      </c>
      <c r="Y665" s="2" t="s">
        <v>261</v>
      </c>
      <c r="Z665" s="4">
        <v>127</v>
      </c>
      <c r="AA665" s="4">
        <f>=ROUNDDOWN(42.3333333333333,0)</f>
      </c>
      <c r="AB665" s="5">
        <v>3</v>
      </c>
      <c r="AC665" s="2" t="s">
        <v>200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200</v>
      </c>
      <c r="AM665" s="4"/>
      <c r="AN665" s="4"/>
      <c r="AO665" s="7"/>
      <c r="AP665" s="4"/>
      <c r="AQ665" s="8"/>
      <c r="AR665" s="4"/>
      <c r="AS665" s="8"/>
      <c r="AT665" s="7"/>
      <c r="AU665" s="7"/>
      <c r="AV665" s="4" t="s">
        <v>200</v>
      </c>
      <c r="AW665" s="8" t="s">
        <v>200</v>
      </c>
      <c r="AX665" s="4" t="s">
        <v>200</v>
      </c>
      <c r="AY665" s="8" t="s">
        <v>200</v>
      </c>
      <c r="AZ665" s="7" t="s">
        <v>200</v>
      </c>
      <c r="BA665" s="7" t="s">
        <v>200</v>
      </c>
      <c r="BB665" s="7"/>
      <c r="BC665" s="4" t="s">
        <v>200</v>
      </c>
      <c r="BD665" s="8" t="s">
        <v>200</v>
      </c>
      <c r="BE665" s="4" t="s">
        <v>200</v>
      </c>
      <c r="BF665" s="8" t="s">
        <v>200</v>
      </c>
      <c r="BG665" s="7" t="s">
        <v>200</v>
      </c>
      <c r="BH665" s="7" t="s">
        <v>200</v>
      </c>
      <c r="BI665" s="7"/>
      <c r="BJ665" s="4">
        <v>4</v>
      </c>
      <c r="BK665" s="8">
        <v>74.22</v>
      </c>
      <c r="BL665" s="2" t="s">
        <v>4186</v>
      </c>
      <c r="BM665" s="7"/>
      <c r="BN665" s="7"/>
      <c r="BO665" s="4"/>
      <c r="BP665" s="8"/>
      <c r="BQ665" s="4"/>
      <c r="BR665" s="8"/>
      <c r="BS665" s="7"/>
      <c r="BT665" s="7"/>
      <c r="BU665" s="2" t="s">
        <v>4187</v>
      </c>
      <c r="BV665" s="2" t="s">
        <v>200</v>
      </c>
      <c r="BW665" s="2" t="s">
        <v>200</v>
      </c>
      <c r="BX665" s="2" t="s">
        <v>620</v>
      </c>
      <c r="BY665" s="2" t="s">
        <v>247</v>
      </c>
      <c r="BZ665" s="2" t="s">
        <v>212</v>
      </c>
      <c r="CA665" s="2" t="s">
        <v>1597</v>
      </c>
      <c r="CB665" s="2" t="s">
        <v>4188</v>
      </c>
      <c r="CC665" s="2" t="s">
        <v>213</v>
      </c>
      <c r="CD665" s="2" t="s">
        <v>200</v>
      </c>
      <c r="CE665" s="4">
        <v>127</v>
      </c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</row>
    <row r="666">
      <c r="A666" s="2" t="s">
        <v>4189</v>
      </c>
      <c r="B666" s="2" t="s">
        <v>827</v>
      </c>
      <c r="C666" s="2" t="s">
        <v>231</v>
      </c>
      <c r="D666" s="2" t="s">
        <v>1084</v>
      </c>
      <c r="E666" s="2" t="s">
        <v>1085</v>
      </c>
      <c r="F666" s="2" t="s">
        <v>4109</v>
      </c>
      <c r="G666" s="2" t="s">
        <v>4110</v>
      </c>
      <c r="H666" s="2" t="s">
        <v>4111</v>
      </c>
      <c r="I666" s="2" t="s">
        <v>4135</v>
      </c>
      <c r="J666" s="2" t="s">
        <v>4136</v>
      </c>
      <c r="K666" s="2" t="s">
        <v>4174</v>
      </c>
      <c r="L666" s="3">
        <v>12.6</v>
      </c>
      <c r="M666" s="3">
        <v>13.23</v>
      </c>
      <c r="N666" s="3">
        <v>29.99</v>
      </c>
      <c r="O666" s="2" t="s">
        <v>212</v>
      </c>
      <c r="P666" s="2" t="s">
        <v>258</v>
      </c>
      <c r="Q666" s="2" t="s">
        <v>206</v>
      </c>
      <c r="R666" s="2" t="s">
        <v>200</v>
      </c>
      <c r="S666" s="2" t="s">
        <v>4175</v>
      </c>
      <c r="T666" s="2" t="s">
        <v>200</v>
      </c>
      <c r="U666" s="2" t="s">
        <v>200</v>
      </c>
      <c r="V666" s="2" t="s">
        <v>208</v>
      </c>
      <c r="W666" s="2" t="s">
        <v>419</v>
      </c>
      <c r="X666" s="2" t="s">
        <v>200</v>
      </c>
      <c r="Y666" s="2" t="s">
        <v>4157</v>
      </c>
      <c r="Z666" s="4">
        <v>207</v>
      </c>
      <c r="AA666" s="4">
        <f>=ROUNDDOWN(20.7,0)</f>
      </c>
      <c r="AB666" s="5">
        <v>10</v>
      </c>
      <c r="AC666" s="2" t="s">
        <v>553</v>
      </c>
      <c r="AD666" s="4">
        <v>128</v>
      </c>
      <c r="AE666" s="4">
        <v>128</v>
      </c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200</v>
      </c>
      <c r="AM666" s="4"/>
      <c r="AN666" s="4"/>
      <c r="AO666" s="7"/>
      <c r="AP666" s="4"/>
      <c r="AQ666" s="8"/>
      <c r="AR666" s="4"/>
      <c r="AS666" s="8"/>
      <c r="AT666" s="7"/>
      <c r="AU666" s="7"/>
      <c r="AV666" s="4" t="s">
        <v>200</v>
      </c>
      <c r="AW666" s="8" t="s">
        <v>200</v>
      </c>
      <c r="AX666" s="4" t="s">
        <v>200</v>
      </c>
      <c r="AY666" s="8" t="s">
        <v>200</v>
      </c>
      <c r="AZ666" s="7" t="s">
        <v>200</v>
      </c>
      <c r="BA666" s="7" t="s">
        <v>200</v>
      </c>
      <c r="BB666" s="7"/>
      <c r="BC666" s="4" t="s">
        <v>200</v>
      </c>
      <c r="BD666" s="8" t="s">
        <v>200</v>
      </c>
      <c r="BE666" s="4" t="s">
        <v>200</v>
      </c>
      <c r="BF666" s="8" t="s">
        <v>200</v>
      </c>
      <c r="BG666" s="7" t="s">
        <v>200</v>
      </c>
      <c r="BH666" s="7" t="s">
        <v>200</v>
      </c>
      <c r="BI666" s="7"/>
      <c r="BJ666" s="4">
        <v>14</v>
      </c>
      <c r="BK666" s="8">
        <v>194.46</v>
      </c>
      <c r="BL666" s="2" t="s">
        <v>2723</v>
      </c>
      <c r="BM666" s="7"/>
      <c r="BN666" s="7"/>
      <c r="BO666" s="4"/>
      <c r="BP666" s="8"/>
      <c r="BQ666" s="4"/>
      <c r="BR666" s="8"/>
      <c r="BS666" s="7"/>
      <c r="BT666" s="7"/>
      <c r="BU666" s="2" t="s">
        <v>4190</v>
      </c>
      <c r="BV666" s="2" t="s">
        <v>200</v>
      </c>
      <c r="BW666" s="2" t="s">
        <v>200</v>
      </c>
      <c r="BX666" s="2" t="s">
        <v>264</v>
      </c>
      <c r="BY666" s="2" t="s">
        <v>247</v>
      </c>
      <c r="BZ666" s="2" t="s">
        <v>212</v>
      </c>
      <c r="CA666" s="2" t="s">
        <v>1237</v>
      </c>
      <c r="CB666" s="2" t="s">
        <v>4191</v>
      </c>
      <c r="CC666" s="2" t="s">
        <v>213</v>
      </c>
      <c r="CD666" s="2" t="s">
        <v>200</v>
      </c>
      <c r="CE666" s="4">
        <v>207</v>
      </c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>
        <v>128</v>
      </c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</row>
    <row r="667">
      <c r="A667" s="2" t="s">
        <v>4192</v>
      </c>
      <c r="B667" s="2" t="s">
        <v>827</v>
      </c>
      <c r="C667" s="2" t="s">
        <v>231</v>
      </c>
      <c r="D667" s="2" t="s">
        <v>828</v>
      </c>
      <c r="E667" s="2" t="s">
        <v>1011</v>
      </c>
      <c r="F667" s="2" t="s">
        <v>4109</v>
      </c>
      <c r="G667" s="2" t="s">
        <v>4110</v>
      </c>
      <c r="H667" s="2" t="s">
        <v>4111</v>
      </c>
      <c r="I667" s="2" t="s">
        <v>4112</v>
      </c>
      <c r="J667" s="2" t="s">
        <v>1016</v>
      </c>
      <c r="K667" s="2" t="s">
        <v>416</v>
      </c>
      <c r="L667" s="3">
        <v>16</v>
      </c>
      <c r="M667" s="3">
        <v>16.8</v>
      </c>
      <c r="N667" s="3">
        <v>39.99</v>
      </c>
      <c r="O667" s="2" t="s">
        <v>212</v>
      </c>
      <c r="P667" s="2" t="s">
        <v>205</v>
      </c>
      <c r="Q667" s="2" t="s">
        <v>206</v>
      </c>
      <c r="R667" s="2" t="s">
        <v>200</v>
      </c>
      <c r="S667" s="2" t="s">
        <v>4193</v>
      </c>
      <c r="T667" s="2" t="s">
        <v>200</v>
      </c>
      <c r="U667" s="2" t="s">
        <v>270</v>
      </c>
      <c r="V667" s="2" t="s">
        <v>208</v>
      </c>
      <c r="W667" s="2" t="s">
        <v>419</v>
      </c>
      <c r="X667" s="2" t="s">
        <v>2936</v>
      </c>
      <c r="Y667" s="2" t="s">
        <v>4114</v>
      </c>
      <c r="Z667" s="4">
        <v>423</v>
      </c>
      <c r="AA667" s="4">
        <f>=ROUNDDOWN(23.5,0)</f>
      </c>
      <c r="AB667" s="5">
        <v>18</v>
      </c>
      <c r="AC667" s="2" t="s">
        <v>1088</v>
      </c>
      <c r="AD667" s="4">
        <v>160</v>
      </c>
      <c r="AE667" s="4">
        <v>160</v>
      </c>
      <c r="AF667" s="6">
        <v>64</v>
      </c>
      <c r="AG667" s="6"/>
      <c r="AH667" s="7">
        <v>1</v>
      </c>
      <c r="AI667" s="4"/>
      <c r="AJ667" s="4">
        <f>=ROUNDDOWN({0},0)</f>
      </c>
      <c r="AK667" s="5"/>
      <c r="AL667" s="2" t="s">
        <v>200</v>
      </c>
      <c r="AM667" s="4"/>
      <c r="AN667" s="4"/>
      <c r="AO667" s="7"/>
      <c r="AP667" s="4"/>
      <c r="AQ667" s="8"/>
      <c r="AR667" s="4"/>
      <c r="AS667" s="8"/>
      <c r="AT667" s="7"/>
      <c r="AU667" s="7"/>
      <c r="AV667" s="4" t="s">
        <v>200</v>
      </c>
      <c r="AW667" s="8" t="s">
        <v>200</v>
      </c>
      <c r="AX667" s="4" t="s">
        <v>200</v>
      </c>
      <c r="AY667" s="8" t="s">
        <v>200</v>
      </c>
      <c r="AZ667" s="7" t="s">
        <v>200</v>
      </c>
      <c r="BA667" s="7" t="s">
        <v>200</v>
      </c>
      <c r="BB667" s="7"/>
      <c r="BC667" s="4" t="s">
        <v>200</v>
      </c>
      <c r="BD667" s="8" t="s">
        <v>200</v>
      </c>
      <c r="BE667" s="4" t="s">
        <v>200</v>
      </c>
      <c r="BF667" s="8" t="s">
        <v>200</v>
      </c>
      <c r="BG667" s="7" t="s">
        <v>200</v>
      </c>
      <c r="BH667" s="7" t="s">
        <v>200</v>
      </c>
      <c r="BI667" s="7"/>
      <c r="BJ667" s="4">
        <v>60</v>
      </c>
      <c r="BK667" s="8">
        <v>998.88</v>
      </c>
      <c r="BL667" s="2" t="s">
        <v>4194</v>
      </c>
      <c r="BM667" s="7"/>
      <c r="BN667" s="7"/>
      <c r="BO667" s="4"/>
      <c r="BP667" s="8"/>
      <c r="BQ667" s="4"/>
      <c r="BR667" s="8"/>
      <c r="BS667" s="7"/>
      <c r="BT667" s="7"/>
      <c r="BU667" s="2" t="s">
        <v>4195</v>
      </c>
      <c r="BV667" s="2" t="s">
        <v>200</v>
      </c>
      <c r="BW667" s="2" t="s">
        <v>200</v>
      </c>
      <c r="BX667" s="2" t="s">
        <v>620</v>
      </c>
      <c r="BY667" s="2" t="s">
        <v>247</v>
      </c>
      <c r="BZ667" s="2" t="s">
        <v>212</v>
      </c>
      <c r="CA667" s="2" t="s">
        <v>4116</v>
      </c>
      <c r="CB667" s="2" t="s">
        <v>4196</v>
      </c>
      <c r="CC667" s="2" t="s">
        <v>213</v>
      </c>
      <c r="CD667" s="2" t="s">
        <v>200</v>
      </c>
      <c r="CE667" s="4">
        <v>423</v>
      </c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>
        <v>160</v>
      </c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</row>
    <row r="668">
      <c r="A668" s="2" t="s">
        <v>4197</v>
      </c>
      <c r="B668" s="2" t="s">
        <v>827</v>
      </c>
      <c r="C668" s="2" t="s">
        <v>231</v>
      </c>
      <c r="D668" s="2" t="s">
        <v>828</v>
      </c>
      <c r="E668" s="2" t="s">
        <v>1011</v>
      </c>
      <c r="F668" s="2" t="s">
        <v>4109</v>
      </c>
      <c r="G668" s="2" t="s">
        <v>4110</v>
      </c>
      <c r="H668" s="2" t="s">
        <v>4111</v>
      </c>
      <c r="I668" s="2" t="s">
        <v>4112</v>
      </c>
      <c r="J668" s="2" t="s">
        <v>1242</v>
      </c>
      <c r="K668" s="2" t="s">
        <v>416</v>
      </c>
      <c r="L668" s="3">
        <v>17.1</v>
      </c>
      <c r="M668" s="3">
        <v>17.96</v>
      </c>
      <c r="N668" s="3">
        <v>44.99</v>
      </c>
      <c r="O668" s="2" t="s">
        <v>212</v>
      </c>
      <c r="P668" s="2" t="s">
        <v>205</v>
      </c>
      <c r="Q668" s="2" t="s">
        <v>206</v>
      </c>
      <c r="R668" s="2" t="s">
        <v>200</v>
      </c>
      <c r="S668" s="2" t="s">
        <v>4193</v>
      </c>
      <c r="T668" s="2" t="s">
        <v>200</v>
      </c>
      <c r="U668" s="2" t="s">
        <v>270</v>
      </c>
      <c r="V668" s="2" t="s">
        <v>208</v>
      </c>
      <c r="W668" s="2" t="s">
        <v>419</v>
      </c>
      <c r="X668" s="2" t="s">
        <v>2936</v>
      </c>
      <c r="Y668" s="2" t="s">
        <v>4114</v>
      </c>
      <c r="Z668" s="4">
        <v>135</v>
      </c>
      <c r="AA668" s="4">
        <f>=ROUNDDOWN(9,0)</f>
      </c>
      <c r="AB668" s="5">
        <v>15</v>
      </c>
      <c r="AC668" s="2" t="s">
        <v>1088</v>
      </c>
      <c r="AD668" s="4">
        <v>260</v>
      </c>
      <c r="AE668" s="4">
        <v>260</v>
      </c>
      <c r="AF668" s="6">
        <v>64</v>
      </c>
      <c r="AG668" s="6"/>
      <c r="AH668" s="7">
        <v>1</v>
      </c>
      <c r="AI668" s="4"/>
      <c r="AJ668" s="4">
        <f>=ROUNDDOWN({0},0)</f>
      </c>
      <c r="AK668" s="5"/>
      <c r="AL668" s="2" t="s">
        <v>200</v>
      </c>
      <c r="AM668" s="4"/>
      <c r="AN668" s="4"/>
      <c r="AO668" s="7"/>
      <c r="AP668" s="4"/>
      <c r="AQ668" s="8"/>
      <c r="AR668" s="4"/>
      <c r="AS668" s="8"/>
      <c r="AT668" s="7"/>
      <c r="AU668" s="7"/>
      <c r="AV668" s="4" t="s">
        <v>200</v>
      </c>
      <c r="AW668" s="8" t="s">
        <v>200</v>
      </c>
      <c r="AX668" s="4" t="s">
        <v>200</v>
      </c>
      <c r="AY668" s="8" t="s">
        <v>200</v>
      </c>
      <c r="AZ668" s="7" t="s">
        <v>200</v>
      </c>
      <c r="BA668" s="7" t="s">
        <v>200</v>
      </c>
      <c r="BB668" s="7"/>
      <c r="BC668" s="4" t="s">
        <v>200</v>
      </c>
      <c r="BD668" s="8" t="s">
        <v>200</v>
      </c>
      <c r="BE668" s="4" t="s">
        <v>200</v>
      </c>
      <c r="BF668" s="8" t="s">
        <v>200</v>
      </c>
      <c r="BG668" s="7" t="s">
        <v>200</v>
      </c>
      <c r="BH668" s="7" t="s">
        <v>200</v>
      </c>
      <c r="BI668" s="7"/>
      <c r="BJ668" s="4">
        <v>23</v>
      </c>
      <c r="BK668" s="8">
        <v>674.25</v>
      </c>
      <c r="BL668" s="2" t="s">
        <v>4198</v>
      </c>
      <c r="BM668" s="7"/>
      <c r="BN668" s="7"/>
      <c r="BO668" s="4"/>
      <c r="BP668" s="8"/>
      <c r="BQ668" s="4"/>
      <c r="BR668" s="8"/>
      <c r="BS668" s="7"/>
      <c r="BT668" s="7"/>
      <c r="BU668" s="2" t="s">
        <v>4199</v>
      </c>
      <c r="BV668" s="2" t="s">
        <v>200</v>
      </c>
      <c r="BW668" s="2" t="s">
        <v>200</v>
      </c>
      <c r="BX668" s="2" t="s">
        <v>620</v>
      </c>
      <c r="BY668" s="2" t="s">
        <v>247</v>
      </c>
      <c r="BZ668" s="2" t="s">
        <v>212</v>
      </c>
      <c r="CA668" s="2" t="s">
        <v>4116</v>
      </c>
      <c r="CB668" s="2" t="s">
        <v>200</v>
      </c>
      <c r="CC668" s="2" t="s">
        <v>213</v>
      </c>
      <c r="CD668" s="2" t="s">
        <v>200</v>
      </c>
      <c r="CE668" s="4">
        <v>135</v>
      </c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>
        <v>260</v>
      </c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</row>
    <row r="669">
      <c r="A669" s="2" t="s">
        <v>4200</v>
      </c>
      <c r="B669" s="2" t="s">
        <v>827</v>
      </c>
      <c r="C669" s="2" t="s">
        <v>231</v>
      </c>
      <c r="D669" s="2" t="s">
        <v>828</v>
      </c>
      <c r="E669" s="2" t="s">
        <v>1011</v>
      </c>
      <c r="F669" s="2" t="s">
        <v>4109</v>
      </c>
      <c r="G669" s="2" t="s">
        <v>4110</v>
      </c>
      <c r="H669" s="2" t="s">
        <v>4111</v>
      </c>
      <c r="I669" s="2" t="s">
        <v>4112</v>
      </c>
      <c r="J669" s="2" t="s">
        <v>1242</v>
      </c>
      <c r="K669" s="2" t="s">
        <v>223</v>
      </c>
      <c r="L669" s="3">
        <v>17.1</v>
      </c>
      <c r="M669" s="3">
        <v>17.96</v>
      </c>
      <c r="N669" s="3">
        <v>44.99</v>
      </c>
      <c r="O669" s="2" t="s">
        <v>212</v>
      </c>
      <c r="P669" s="2" t="s">
        <v>258</v>
      </c>
      <c r="Q669" s="2" t="s">
        <v>206</v>
      </c>
      <c r="R669" s="2" t="s">
        <v>200</v>
      </c>
      <c r="S669" s="2" t="s">
        <v>4049</v>
      </c>
      <c r="T669" s="2" t="s">
        <v>200</v>
      </c>
      <c r="U669" s="2" t="s">
        <v>270</v>
      </c>
      <c r="V669" s="2" t="s">
        <v>208</v>
      </c>
      <c r="W669" s="2" t="s">
        <v>419</v>
      </c>
      <c r="X669" s="2" t="s">
        <v>2936</v>
      </c>
      <c r="Y669" s="2" t="s">
        <v>4131</v>
      </c>
      <c r="Z669" s="4">
        <v>283</v>
      </c>
      <c r="AA669" s="4">
        <f>=ROUNDDOWN(18.8666666666667,0)</f>
      </c>
      <c r="AB669" s="5">
        <v>15</v>
      </c>
      <c r="AC669" s="2" t="s">
        <v>369</v>
      </c>
      <c r="AD669" s="4">
        <v>212</v>
      </c>
      <c r="AE669" s="4">
        <v>212</v>
      </c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200</v>
      </c>
      <c r="AM669" s="4"/>
      <c r="AN669" s="4"/>
      <c r="AO669" s="7"/>
      <c r="AP669" s="4"/>
      <c r="AQ669" s="8"/>
      <c r="AR669" s="4"/>
      <c r="AS669" s="8"/>
      <c r="AT669" s="7"/>
      <c r="AU669" s="7"/>
      <c r="AV669" s="4" t="s">
        <v>200</v>
      </c>
      <c r="AW669" s="8" t="s">
        <v>200</v>
      </c>
      <c r="AX669" s="4" t="s">
        <v>200</v>
      </c>
      <c r="AY669" s="8" t="s">
        <v>200</v>
      </c>
      <c r="AZ669" s="7" t="s">
        <v>200</v>
      </c>
      <c r="BA669" s="7" t="s">
        <v>200</v>
      </c>
      <c r="BB669" s="7"/>
      <c r="BC669" s="4" t="s">
        <v>200</v>
      </c>
      <c r="BD669" s="8" t="s">
        <v>200</v>
      </c>
      <c r="BE669" s="4" t="s">
        <v>200</v>
      </c>
      <c r="BF669" s="8" t="s">
        <v>200</v>
      </c>
      <c r="BG669" s="7" t="s">
        <v>200</v>
      </c>
      <c r="BH669" s="7" t="s">
        <v>200</v>
      </c>
      <c r="BI669" s="7"/>
      <c r="BJ669" s="4">
        <v>66</v>
      </c>
      <c r="BK669" s="8">
        <v>1139.02</v>
      </c>
      <c r="BL669" s="2" t="s">
        <v>4201</v>
      </c>
      <c r="BM669" s="7"/>
      <c r="BN669" s="7"/>
      <c r="BO669" s="4"/>
      <c r="BP669" s="8"/>
      <c r="BQ669" s="4"/>
      <c r="BR669" s="8"/>
      <c r="BS669" s="7"/>
      <c r="BT669" s="7"/>
      <c r="BU669" s="2" t="s">
        <v>4202</v>
      </c>
      <c r="BV669" s="2" t="s">
        <v>200</v>
      </c>
      <c r="BW669" s="2" t="s">
        <v>200</v>
      </c>
      <c r="BX669" s="2" t="s">
        <v>620</v>
      </c>
      <c r="BY669" s="2" t="s">
        <v>247</v>
      </c>
      <c r="BZ669" s="2" t="s">
        <v>212</v>
      </c>
      <c r="CA669" s="2" t="s">
        <v>4203</v>
      </c>
      <c r="CB669" s="2" t="s">
        <v>1520</v>
      </c>
      <c r="CC669" s="2" t="s">
        <v>213</v>
      </c>
      <c r="CD669" s="2" t="s">
        <v>200</v>
      </c>
      <c r="CE669" s="4">
        <v>283</v>
      </c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>
        <v>212</v>
      </c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</row>
    <row r="670">
      <c r="A670" s="2" t="s">
        <v>4204</v>
      </c>
      <c r="B670" s="2" t="s">
        <v>827</v>
      </c>
      <c r="C670" s="2" t="s">
        <v>231</v>
      </c>
      <c r="D670" s="2" t="s">
        <v>828</v>
      </c>
      <c r="E670" s="2" t="s">
        <v>1011</v>
      </c>
      <c r="F670" s="2" t="s">
        <v>4109</v>
      </c>
      <c r="G670" s="2" t="s">
        <v>4110</v>
      </c>
      <c r="H670" s="2" t="s">
        <v>4111</v>
      </c>
      <c r="I670" s="2" t="s">
        <v>4112</v>
      </c>
      <c r="J670" s="2" t="s">
        <v>4122</v>
      </c>
      <c r="K670" s="2" t="s">
        <v>223</v>
      </c>
      <c r="L670" s="3">
        <v>23.1</v>
      </c>
      <c r="M670" s="3">
        <v>24.26</v>
      </c>
      <c r="N670" s="3">
        <v>54.99</v>
      </c>
      <c r="O670" s="2" t="s">
        <v>212</v>
      </c>
      <c r="P670" s="2" t="s">
        <v>258</v>
      </c>
      <c r="Q670" s="2" t="s">
        <v>206</v>
      </c>
      <c r="R670" s="2" t="s">
        <v>200</v>
      </c>
      <c r="S670" s="2" t="s">
        <v>4049</v>
      </c>
      <c r="T670" s="2" t="s">
        <v>200</v>
      </c>
      <c r="U670" s="2" t="s">
        <v>270</v>
      </c>
      <c r="V670" s="2" t="s">
        <v>208</v>
      </c>
      <c r="W670" s="2" t="s">
        <v>419</v>
      </c>
      <c r="X670" s="2" t="s">
        <v>2936</v>
      </c>
      <c r="Y670" s="2" t="s">
        <v>4131</v>
      </c>
      <c r="Z670" s="4">
        <v>101</v>
      </c>
      <c r="AA670" s="4">
        <f>=ROUNDDOWN(33.6666666666667,0)</f>
      </c>
      <c r="AB670" s="5">
        <v>3</v>
      </c>
      <c r="AC670" s="2" t="s">
        <v>369</v>
      </c>
      <c r="AD670" s="4">
        <v>52</v>
      </c>
      <c r="AE670" s="4">
        <v>52</v>
      </c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200</v>
      </c>
      <c r="AM670" s="4"/>
      <c r="AN670" s="4"/>
      <c r="AO670" s="7"/>
      <c r="AP670" s="4"/>
      <c r="AQ670" s="8"/>
      <c r="AR670" s="4"/>
      <c r="AS670" s="8"/>
      <c r="AT670" s="7"/>
      <c r="AU670" s="7"/>
      <c r="AV670" s="4" t="s">
        <v>200</v>
      </c>
      <c r="AW670" s="8" t="s">
        <v>200</v>
      </c>
      <c r="AX670" s="4" t="s">
        <v>200</v>
      </c>
      <c r="AY670" s="8" t="s">
        <v>200</v>
      </c>
      <c r="AZ670" s="7" t="s">
        <v>200</v>
      </c>
      <c r="BA670" s="7" t="s">
        <v>200</v>
      </c>
      <c r="BB670" s="7"/>
      <c r="BC670" s="4" t="s">
        <v>200</v>
      </c>
      <c r="BD670" s="8" t="s">
        <v>200</v>
      </c>
      <c r="BE670" s="4" t="s">
        <v>200</v>
      </c>
      <c r="BF670" s="8" t="s">
        <v>200</v>
      </c>
      <c r="BG670" s="7" t="s">
        <v>200</v>
      </c>
      <c r="BH670" s="7" t="s">
        <v>200</v>
      </c>
      <c r="BI670" s="7"/>
      <c r="BJ670" s="4">
        <v>10</v>
      </c>
      <c r="BK670" s="8">
        <v>233.98</v>
      </c>
      <c r="BL670" s="2" t="s">
        <v>4205</v>
      </c>
      <c r="BM670" s="7"/>
      <c r="BN670" s="7"/>
      <c r="BO670" s="4"/>
      <c r="BP670" s="8"/>
      <c r="BQ670" s="4"/>
      <c r="BR670" s="8"/>
      <c r="BS670" s="7"/>
      <c r="BT670" s="7"/>
      <c r="BU670" s="2" t="s">
        <v>4206</v>
      </c>
      <c r="BV670" s="2" t="s">
        <v>200</v>
      </c>
      <c r="BW670" s="2" t="s">
        <v>200</v>
      </c>
      <c r="BX670" s="2" t="s">
        <v>620</v>
      </c>
      <c r="BY670" s="2" t="s">
        <v>247</v>
      </c>
      <c r="BZ670" s="2" t="s">
        <v>212</v>
      </c>
      <c r="CA670" s="2" t="s">
        <v>4207</v>
      </c>
      <c r="CB670" s="2" t="s">
        <v>1203</v>
      </c>
      <c r="CC670" s="2" t="s">
        <v>213</v>
      </c>
      <c r="CD670" s="2" t="s">
        <v>200</v>
      </c>
      <c r="CE670" s="4">
        <v>101</v>
      </c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>
        <v>52</v>
      </c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</row>
    <row r="671">
      <c r="A671" s="2" t="s">
        <v>4208</v>
      </c>
      <c r="B671" s="2" t="s">
        <v>827</v>
      </c>
      <c r="C671" s="2" t="s">
        <v>231</v>
      </c>
      <c r="D671" s="2" t="s">
        <v>1084</v>
      </c>
      <c r="E671" s="2" t="s">
        <v>1085</v>
      </c>
      <c r="F671" s="2" t="s">
        <v>4109</v>
      </c>
      <c r="G671" s="2" t="s">
        <v>4110</v>
      </c>
      <c r="H671" s="2" t="s">
        <v>4111</v>
      </c>
      <c r="I671" s="2" t="s">
        <v>4135</v>
      </c>
      <c r="J671" s="2" t="s">
        <v>4136</v>
      </c>
      <c r="K671" s="2" t="s">
        <v>223</v>
      </c>
      <c r="L671" s="3">
        <v>12.6</v>
      </c>
      <c r="M671" s="3">
        <v>13.23</v>
      </c>
      <c r="N671" s="3">
        <v>29.99</v>
      </c>
      <c r="O671" s="2" t="s">
        <v>212</v>
      </c>
      <c r="P671" s="2" t="s">
        <v>258</v>
      </c>
      <c r="Q671" s="2" t="s">
        <v>206</v>
      </c>
      <c r="R671" s="2" t="s">
        <v>200</v>
      </c>
      <c r="S671" s="2" t="s">
        <v>4049</v>
      </c>
      <c r="T671" s="2" t="s">
        <v>200</v>
      </c>
      <c r="U671" s="2" t="s">
        <v>270</v>
      </c>
      <c r="V671" s="2" t="s">
        <v>208</v>
      </c>
      <c r="W671" s="2" t="s">
        <v>419</v>
      </c>
      <c r="X671" s="2" t="s">
        <v>200</v>
      </c>
      <c r="Y671" s="2" t="s">
        <v>4131</v>
      </c>
      <c r="Z671" s="4">
        <v>181</v>
      </c>
      <c r="AA671" s="4">
        <f>=ROUNDDOWN(16.4545454545455,0)</f>
      </c>
      <c r="AB671" s="5">
        <v>11</v>
      </c>
      <c r="AC671" s="2" t="s">
        <v>115</v>
      </c>
      <c r="AD671" s="4">
        <v>104</v>
      </c>
      <c r="AE671" s="4">
        <v>256</v>
      </c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200</v>
      </c>
      <c r="AM671" s="4"/>
      <c r="AN671" s="4"/>
      <c r="AO671" s="7"/>
      <c r="AP671" s="4"/>
      <c r="AQ671" s="8"/>
      <c r="AR671" s="4"/>
      <c r="AS671" s="8"/>
      <c r="AT671" s="7"/>
      <c r="AU671" s="7"/>
      <c r="AV671" s="4" t="s">
        <v>200</v>
      </c>
      <c r="AW671" s="8" t="s">
        <v>200</v>
      </c>
      <c r="AX671" s="4" t="s">
        <v>200</v>
      </c>
      <c r="AY671" s="8" t="s">
        <v>200</v>
      </c>
      <c r="AZ671" s="7" t="s">
        <v>200</v>
      </c>
      <c r="BA671" s="7" t="s">
        <v>200</v>
      </c>
      <c r="BB671" s="7"/>
      <c r="BC671" s="4" t="s">
        <v>200</v>
      </c>
      <c r="BD671" s="8" t="s">
        <v>200</v>
      </c>
      <c r="BE671" s="4" t="s">
        <v>200</v>
      </c>
      <c r="BF671" s="8" t="s">
        <v>200</v>
      </c>
      <c r="BG671" s="7" t="s">
        <v>200</v>
      </c>
      <c r="BH671" s="7" t="s">
        <v>200</v>
      </c>
      <c r="BI671" s="7"/>
      <c r="BJ671" s="4">
        <v>34</v>
      </c>
      <c r="BK671" s="8">
        <v>471.4</v>
      </c>
      <c r="BL671" s="2" t="s">
        <v>4209</v>
      </c>
      <c r="BM671" s="7"/>
      <c r="BN671" s="7"/>
      <c r="BO671" s="4"/>
      <c r="BP671" s="8"/>
      <c r="BQ671" s="4"/>
      <c r="BR671" s="8"/>
      <c r="BS671" s="7"/>
      <c r="BT671" s="7"/>
      <c r="BU671" s="2" t="s">
        <v>4210</v>
      </c>
      <c r="BV671" s="2" t="s">
        <v>200</v>
      </c>
      <c r="BW671" s="2" t="s">
        <v>200</v>
      </c>
      <c r="BX671" s="2" t="s">
        <v>264</v>
      </c>
      <c r="BY671" s="2" t="s">
        <v>247</v>
      </c>
      <c r="BZ671" s="2" t="s">
        <v>212</v>
      </c>
      <c r="CA671" s="2" t="s">
        <v>1888</v>
      </c>
      <c r="CB671" s="2" t="s">
        <v>1951</v>
      </c>
      <c r="CC671" s="2" t="s">
        <v>213</v>
      </c>
      <c r="CD671" s="2" t="s">
        <v>200</v>
      </c>
      <c r="CE671" s="4">
        <v>181</v>
      </c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>
        <v>104</v>
      </c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>
        <v>152</v>
      </c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</row>
    <row r="672">
      <c r="A672" s="2" t="s">
        <v>4211</v>
      </c>
      <c r="B672" s="2" t="s">
        <v>827</v>
      </c>
      <c r="C672" s="2" t="s">
        <v>231</v>
      </c>
      <c r="D672" s="2" t="s">
        <v>828</v>
      </c>
      <c r="E672" s="2" t="s">
        <v>1011</v>
      </c>
      <c r="F672" s="2" t="s">
        <v>4109</v>
      </c>
      <c r="G672" s="2" t="s">
        <v>4110</v>
      </c>
      <c r="H672" s="2" t="s">
        <v>4111</v>
      </c>
      <c r="I672" s="2" t="s">
        <v>4112</v>
      </c>
      <c r="J672" s="2" t="s">
        <v>1016</v>
      </c>
      <c r="K672" s="2" t="s">
        <v>4212</v>
      </c>
      <c r="L672" s="3">
        <v>16</v>
      </c>
      <c r="M672" s="3">
        <v>16.8</v>
      </c>
      <c r="N672" s="3">
        <v>39.99</v>
      </c>
      <c r="O672" s="2" t="s">
        <v>212</v>
      </c>
      <c r="P672" s="2" t="s">
        <v>258</v>
      </c>
      <c r="Q672" s="2" t="s">
        <v>206</v>
      </c>
      <c r="R672" s="2" t="s">
        <v>200</v>
      </c>
      <c r="S672" s="2" t="s">
        <v>4213</v>
      </c>
      <c r="T672" s="2" t="s">
        <v>200</v>
      </c>
      <c r="U672" s="2" t="s">
        <v>270</v>
      </c>
      <c r="V672" s="2" t="s">
        <v>208</v>
      </c>
      <c r="W672" s="2" t="s">
        <v>419</v>
      </c>
      <c r="X672" s="2" t="s">
        <v>2936</v>
      </c>
      <c r="Y672" s="2" t="s">
        <v>261</v>
      </c>
      <c r="Z672" s="4">
        <v>624</v>
      </c>
      <c r="AA672" s="4">
        <f>=ROUNDDOWN(39,0)</f>
      </c>
      <c r="AB672" s="5">
        <v>16</v>
      </c>
      <c r="AC672" s="2" t="s">
        <v>200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200</v>
      </c>
      <c r="AM672" s="4"/>
      <c r="AN672" s="4"/>
      <c r="AO672" s="7"/>
      <c r="AP672" s="4"/>
      <c r="AQ672" s="8"/>
      <c r="AR672" s="4"/>
      <c r="AS672" s="8"/>
      <c r="AT672" s="7"/>
      <c r="AU672" s="7"/>
      <c r="AV672" s="4" t="s">
        <v>200</v>
      </c>
      <c r="AW672" s="8" t="s">
        <v>200</v>
      </c>
      <c r="AX672" s="4" t="s">
        <v>200</v>
      </c>
      <c r="AY672" s="8" t="s">
        <v>200</v>
      </c>
      <c r="AZ672" s="7" t="s">
        <v>200</v>
      </c>
      <c r="BA672" s="7" t="s">
        <v>200</v>
      </c>
      <c r="BB672" s="7"/>
      <c r="BC672" s="4" t="s">
        <v>200</v>
      </c>
      <c r="BD672" s="8" t="s">
        <v>200</v>
      </c>
      <c r="BE672" s="4" t="s">
        <v>200</v>
      </c>
      <c r="BF672" s="8" t="s">
        <v>200</v>
      </c>
      <c r="BG672" s="7" t="s">
        <v>200</v>
      </c>
      <c r="BH672" s="7" t="s">
        <v>200</v>
      </c>
      <c r="BI672" s="7"/>
      <c r="BJ672" s="4">
        <v>87</v>
      </c>
      <c r="BK672" s="8">
        <v>1310.43</v>
      </c>
      <c r="BL672" s="2" t="s">
        <v>4214</v>
      </c>
      <c r="BM672" s="7"/>
      <c r="BN672" s="7"/>
      <c r="BO672" s="4"/>
      <c r="BP672" s="8"/>
      <c r="BQ672" s="4"/>
      <c r="BR672" s="8"/>
      <c r="BS672" s="7"/>
      <c r="BT672" s="7"/>
      <c r="BU672" s="2" t="s">
        <v>4215</v>
      </c>
      <c r="BV672" s="2" t="s">
        <v>200</v>
      </c>
      <c r="BW672" s="2" t="s">
        <v>200</v>
      </c>
      <c r="BX672" s="2" t="s">
        <v>620</v>
      </c>
      <c r="BY672" s="2" t="s">
        <v>247</v>
      </c>
      <c r="BZ672" s="2" t="s">
        <v>212</v>
      </c>
      <c r="CA672" s="2" t="s">
        <v>265</v>
      </c>
      <c r="CB672" s="2" t="s">
        <v>4216</v>
      </c>
      <c r="CC672" s="2" t="s">
        <v>213</v>
      </c>
      <c r="CD672" s="2" t="s">
        <v>200</v>
      </c>
      <c r="CE672" s="4">
        <v>624</v>
      </c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</row>
    <row r="673">
      <c r="A673" s="2" t="s">
        <v>4217</v>
      </c>
      <c r="B673" s="2" t="s">
        <v>827</v>
      </c>
      <c r="C673" s="2" t="s">
        <v>231</v>
      </c>
      <c r="D673" s="2" t="s">
        <v>828</v>
      </c>
      <c r="E673" s="2" t="s">
        <v>1011</v>
      </c>
      <c r="F673" s="2" t="s">
        <v>4109</v>
      </c>
      <c r="G673" s="2" t="s">
        <v>4110</v>
      </c>
      <c r="H673" s="2" t="s">
        <v>4111</v>
      </c>
      <c r="I673" s="2" t="s">
        <v>4112</v>
      </c>
      <c r="J673" s="2" t="s">
        <v>1242</v>
      </c>
      <c r="K673" s="2" t="s">
        <v>4212</v>
      </c>
      <c r="L673" s="3">
        <v>17.1</v>
      </c>
      <c r="M673" s="3">
        <v>17.96</v>
      </c>
      <c r="N673" s="3">
        <v>44.99</v>
      </c>
      <c r="O673" s="2" t="s">
        <v>212</v>
      </c>
      <c r="P673" s="2" t="s">
        <v>258</v>
      </c>
      <c r="Q673" s="2" t="s">
        <v>206</v>
      </c>
      <c r="R673" s="2" t="s">
        <v>200</v>
      </c>
      <c r="S673" s="2" t="s">
        <v>4213</v>
      </c>
      <c r="T673" s="2" t="s">
        <v>200</v>
      </c>
      <c r="U673" s="2" t="s">
        <v>270</v>
      </c>
      <c r="V673" s="2" t="s">
        <v>208</v>
      </c>
      <c r="W673" s="2" t="s">
        <v>419</v>
      </c>
      <c r="X673" s="2" t="s">
        <v>2936</v>
      </c>
      <c r="Y673" s="2" t="s">
        <v>261</v>
      </c>
      <c r="Z673" s="4">
        <v>536</v>
      </c>
      <c r="AA673" s="4">
        <f>=ROUNDDOWN(33.5,0)</f>
      </c>
      <c r="AB673" s="5">
        <v>16</v>
      </c>
      <c r="AC673" s="2" t="s">
        <v>200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200</v>
      </c>
      <c r="AM673" s="4"/>
      <c r="AN673" s="4"/>
      <c r="AO673" s="7"/>
      <c r="AP673" s="4"/>
      <c r="AQ673" s="8"/>
      <c r="AR673" s="4"/>
      <c r="AS673" s="8"/>
      <c r="AT673" s="7"/>
      <c r="AU673" s="7"/>
      <c r="AV673" s="4" t="s">
        <v>200</v>
      </c>
      <c r="AW673" s="8" t="s">
        <v>200</v>
      </c>
      <c r="AX673" s="4" t="s">
        <v>200</v>
      </c>
      <c r="AY673" s="8" t="s">
        <v>200</v>
      </c>
      <c r="AZ673" s="7" t="s">
        <v>200</v>
      </c>
      <c r="BA673" s="7" t="s">
        <v>200</v>
      </c>
      <c r="BB673" s="7"/>
      <c r="BC673" s="4" t="s">
        <v>200</v>
      </c>
      <c r="BD673" s="8" t="s">
        <v>200</v>
      </c>
      <c r="BE673" s="4" t="s">
        <v>200</v>
      </c>
      <c r="BF673" s="8" t="s">
        <v>200</v>
      </c>
      <c r="BG673" s="7" t="s">
        <v>200</v>
      </c>
      <c r="BH673" s="7" t="s">
        <v>200</v>
      </c>
      <c r="BI673" s="7"/>
      <c r="BJ673" s="4">
        <v>92</v>
      </c>
      <c r="BK673" s="8">
        <v>1494.02</v>
      </c>
      <c r="BL673" s="2" t="s">
        <v>4218</v>
      </c>
      <c r="BM673" s="7"/>
      <c r="BN673" s="7"/>
      <c r="BO673" s="4"/>
      <c r="BP673" s="8"/>
      <c r="BQ673" s="4"/>
      <c r="BR673" s="8"/>
      <c r="BS673" s="7"/>
      <c r="BT673" s="7"/>
      <c r="BU673" s="2" t="s">
        <v>4219</v>
      </c>
      <c r="BV673" s="2" t="s">
        <v>200</v>
      </c>
      <c r="BW673" s="2" t="s">
        <v>200</v>
      </c>
      <c r="BX673" s="2" t="s">
        <v>620</v>
      </c>
      <c r="BY673" s="2" t="s">
        <v>247</v>
      </c>
      <c r="BZ673" s="2" t="s">
        <v>212</v>
      </c>
      <c r="CA673" s="2" t="s">
        <v>265</v>
      </c>
      <c r="CB673" s="2" t="s">
        <v>4181</v>
      </c>
      <c r="CC673" s="2" t="s">
        <v>213</v>
      </c>
      <c r="CD673" s="2" t="s">
        <v>200</v>
      </c>
      <c r="CE673" s="4">
        <v>536</v>
      </c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</row>
    <row r="674">
      <c r="A674" s="2" t="s">
        <v>4220</v>
      </c>
      <c r="B674" s="2" t="s">
        <v>827</v>
      </c>
      <c r="C674" s="2" t="s">
        <v>231</v>
      </c>
      <c r="D674" s="2" t="s">
        <v>828</v>
      </c>
      <c r="E674" s="2" t="s">
        <v>1011</v>
      </c>
      <c r="F674" s="2" t="s">
        <v>4109</v>
      </c>
      <c r="G674" s="2" t="s">
        <v>4110</v>
      </c>
      <c r="H674" s="2" t="s">
        <v>4111</v>
      </c>
      <c r="I674" s="2" t="s">
        <v>4112</v>
      </c>
      <c r="J674" s="2" t="s">
        <v>1057</v>
      </c>
      <c r="K674" s="2" t="s">
        <v>4212</v>
      </c>
      <c r="L674" s="3">
        <v>21</v>
      </c>
      <c r="M674" s="3">
        <v>22.05</v>
      </c>
      <c r="N674" s="3">
        <v>49.99</v>
      </c>
      <c r="O674" s="2" t="s">
        <v>212</v>
      </c>
      <c r="P674" s="2" t="s">
        <v>258</v>
      </c>
      <c r="Q674" s="2" t="s">
        <v>206</v>
      </c>
      <c r="R674" s="2" t="s">
        <v>200</v>
      </c>
      <c r="S674" s="2" t="s">
        <v>4213</v>
      </c>
      <c r="T674" s="2" t="s">
        <v>200</v>
      </c>
      <c r="U674" s="2" t="s">
        <v>270</v>
      </c>
      <c r="V674" s="2" t="s">
        <v>208</v>
      </c>
      <c r="W674" s="2" t="s">
        <v>419</v>
      </c>
      <c r="X674" s="2" t="s">
        <v>2936</v>
      </c>
      <c r="Y674" s="2" t="s">
        <v>261</v>
      </c>
      <c r="Z674" s="4">
        <v>417</v>
      </c>
      <c r="AA674" s="4">
        <f>=ROUNDDOWN(34.75,0)</f>
      </c>
      <c r="AB674" s="5">
        <v>12</v>
      </c>
      <c r="AC674" s="2" t="s">
        <v>200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200</v>
      </c>
      <c r="AM674" s="4"/>
      <c r="AN674" s="4"/>
      <c r="AO674" s="7"/>
      <c r="AP674" s="4"/>
      <c r="AQ674" s="8"/>
      <c r="AR674" s="4"/>
      <c r="AS674" s="8"/>
      <c r="AT674" s="7"/>
      <c r="AU674" s="7"/>
      <c r="AV674" s="4" t="s">
        <v>200</v>
      </c>
      <c r="AW674" s="8" t="s">
        <v>200</v>
      </c>
      <c r="AX674" s="4" t="s">
        <v>200</v>
      </c>
      <c r="AY674" s="8" t="s">
        <v>200</v>
      </c>
      <c r="AZ674" s="7" t="s">
        <v>200</v>
      </c>
      <c r="BA674" s="7" t="s">
        <v>200</v>
      </c>
      <c r="BB674" s="7"/>
      <c r="BC674" s="4" t="s">
        <v>200</v>
      </c>
      <c r="BD674" s="8" t="s">
        <v>200</v>
      </c>
      <c r="BE674" s="4" t="s">
        <v>200</v>
      </c>
      <c r="BF674" s="8" t="s">
        <v>200</v>
      </c>
      <c r="BG674" s="7" t="s">
        <v>200</v>
      </c>
      <c r="BH674" s="7" t="s">
        <v>200</v>
      </c>
      <c r="BI674" s="7"/>
      <c r="BJ674" s="4">
        <v>12</v>
      </c>
      <c r="BK674" s="8">
        <v>314.92</v>
      </c>
      <c r="BL674" s="2" t="s">
        <v>4221</v>
      </c>
      <c r="BM674" s="7"/>
      <c r="BN674" s="7"/>
      <c r="BO674" s="4"/>
      <c r="BP674" s="8"/>
      <c r="BQ674" s="4"/>
      <c r="BR674" s="8"/>
      <c r="BS674" s="7"/>
      <c r="BT674" s="7"/>
      <c r="BU674" s="2" t="s">
        <v>4222</v>
      </c>
      <c r="BV674" s="2" t="s">
        <v>200</v>
      </c>
      <c r="BW674" s="2" t="s">
        <v>200</v>
      </c>
      <c r="BX674" s="2" t="s">
        <v>620</v>
      </c>
      <c r="BY674" s="2" t="s">
        <v>247</v>
      </c>
      <c r="BZ674" s="2" t="s">
        <v>212</v>
      </c>
      <c r="CA674" s="2" t="s">
        <v>265</v>
      </c>
      <c r="CB674" s="2" t="s">
        <v>4223</v>
      </c>
      <c r="CC674" s="2" t="s">
        <v>213</v>
      </c>
      <c r="CD674" s="2" t="s">
        <v>200</v>
      </c>
      <c r="CE674" s="4">
        <v>417</v>
      </c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</row>
    <row r="675">
      <c r="A675" s="2" t="s">
        <v>4224</v>
      </c>
      <c r="B675" s="2" t="s">
        <v>827</v>
      </c>
      <c r="C675" s="2" t="s">
        <v>231</v>
      </c>
      <c r="D675" s="2" t="s">
        <v>828</v>
      </c>
      <c r="E675" s="2" t="s">
        <v>1011</v>
      </c>
      <c r="F675" s="2" t="s">
        <v>4109</v>
      </c>
      <c r="G675" s="2" t="s">
        <v>4110</v>
      </c>
      <c r="H675" s="2" t="s">
        <v>4111</v>
      </c>
      <c r="I675" s="2" t="s">
        <v>4112</v>
      </c>
      <c r="J675" s="2" t="s">
        <v>4122</v>
      </c>
      <c r="K675" s="2" t="s">
        <v>4212</v>
      </c>
      <c r="L675" s="3">
        <v>23.1</v>
      </c>
      <c r="M675" s="3">
        <v>24.26</v>
      </c>
      <c r="N675" s="3">
        <v>54.99</v>
      </c>
      <c r="O675" s="2" t="s">
        <v>212</v>
      </c>
      <c r="P675" s="2" t="s">
        <v>258</v>
      </c>
      <c r="Q675" s="2" t="s">
        <v>206</v>
      </c>
      <c r="R675" s="2" t="s">
        <v>200</v>
      </c>
      <c r="S675" s="2" t="s">
        <v>4213</v>
      </c>
      <c r="T675" s="2" t="s">
        <v>200</v>
      </c>
      <c r="U675" s="2" t="s">
        <v>270</v>
      </c>
      <c r="V675" s="2" t="s">
        <v>208</v>
      </c>
      <c r="W675" s="2" t="s">
        <v>419</v>
      </c>
      <c r="X675" s="2" t="s">
        <v>2936</v>
      </c>
      <c r="Y675" s="2" t="s">
        <v>261</v>
      </c>
      <c r="Z675" s="4">
        <v>139</v>
      </c>
      <c r="AA675" s="4">
        <f>=ROUNDDOWN(34.75,0)</f>
      </c>
      <c r="AB675" s="5">
        <v>4</v>
      </c>
      <c r="AC675" s="2" t="s">
        <v>200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200</v>
      </c>
      <c r="AM675" s="4"/>
      <c r="AN675" s="4"/>
      <c r="AO675" s="7"/>
      <c r="AP675" s="4"/>
      <c r="AQ675" s="8"/>
      <c r="AR675" s="4"/>
      <c r="AS675" s="8"/>
      <c r="AT675" s="7"/>
      <c r="AU675" s="7"/>
      <c r="AV675" s="4" t="s">
        <v>200</v>
      </c>
      <c r="AW675" s="8" t="s">
        <v>200</v>
      </c>
      <c r="AX675" s="4" t="s">
        <v>200</v>
      </c>
      <c r="AY675" s="8" t="s">
        <v>200</v>
      </c>
      <c r="AZ675" s="7" t="s">
        <v>200</v>
      </c>
      <c r="BA675" s="7" t="s">
        <v>200</v>
      </c>
      <c r="BB675" s="7"/>
      <c r="BC675" s="4" t="s">
        <v>200</v>
      </c>
      <c r="BD675" s="8" t="s">
        <v>200</v>
      </c>
      <c r="BE675" s="4" t="s">
        <v>200</v>
      </c>
      <c r="BF675" s="8" t="s">
        <v>200</v>
      </c>
      <c r="BG675" s="7" t="s">
        <v>200</v>
      </c>
      <c r="BH675" s="7" t="s">
        <v>200</v>
      </c>
      <c r="BI675" s="7"/>
      <c r="BJ675" s="4">
        <v>2</v>
      </c>
      <c r="BK675" s="8">
        <v>48.32</v>
      </c>
      <c r="BL675" s="2" t="s">
        <v>2723</v>
      </c>
      <c r="BM675" s="7"/>
      <c r="BN675" s="7"/>
      <c r="BO675" s="4"/>
      <c r="BP675" s="8"/>
      <c r="BQ675" s="4"/>
      <c r="BR675" s="8"/>
      <c r="BS675" s="7"/>
      <c r="BT675" s="7"/>
      <c r="BU675" s="2" t="s">
        <v>4225</v>
      </c>
      <c r="BV675" s="2" t="s">
        <v>200</v>
      </c>
      <c r="BW675" s="2" t="s">
        <v>200</v>
      </c>
      <c r="BX675" s="2" t="s">
        <v>620</v>
      </c>
      <c r="BY675" s="2" t="s">
        <v>247</v>
      </c>
      <c r="BZ675" s="2" t="s">
        <v>212</v>
      </c>
      <c r="CA675" s="2" t="s">
        <v>1597</v>
      </c>
      <c r="CB675" s="2" t="s">
        <v>2252</v>
      </c>
      <c r="CC675" s="2" t="s">
        <v>213</v>
      </c>
      <c r="CD675" s="2" t="s">
        <v>200</v>
      </c>
      <c r="CE675" s="4">
        <v>139</v>
      </c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</row>
    <row r="676">
      <c r="A676" s="2" t="s">
        <v>4226</v>
      </c>
      <c r="B676" s="2" t="s">
        <v>827</v>
      </c>
      <c r="C676" s="2" t="s">
        <v>231</v>
      </c>
      <c r="D676" s="2" t="s">
        <v>828</v>
      </c>
      <c r="E676" s="2" t="s">
        <v>1011</v>
      </c>
      <c r="F676" s="2" t="s">
        <v>4109</v>
      </c>
      <c r="G676" s="2" t="s">
        <v>4110</v>
      </c>
      <c r="H676" s="2" t="s">
        <v>4111</v>
      </c>
      <c r="I676" s="2" t="s">
        <v>4126</v>
      </c>
      <c r="J676" s="2" t="s">
        <v>4127</v>
      </c>
      <c r="K676" s="2" t="s">
        <v>4212</v>
      </c>
      <c r="L676" s="3">
        <v>20.25</v>
      </c>
      <c r="M676" s="3">
        <v>21.26</v>
      </c>
      <c r="N676" s="3">
        <v>44.99</v>
      </c>
      <c r="O676" s="2" t="s">
        <v>212</v>
      </c>
      <c r="P676" s="2" t="s">
        <v>258</v>
      </c>
      <c r="Q676" s="2" t="s">
        <v>206</v>
      </c>
      <c r="R676" s="2" t="s">
        <v>200</v>
      </c>
      <c r="S676" s="2" t="s">
        <v>4227</v>
      </c>
      <c r="T676" s="2" t="s">
        <v>200</v>
      </c>
      <c r="U676" s="2" t="s">
        <v>270</v>
      </c>
      <c r="V676" s="2" t="s">
        <v>208</v>
      </c>
      <c r="W676" s="2" t="s">
        <v>419</v>
      </c>
      <c r="X676" s="2" t="s">
        <v>1020</v>
      </c>
      <c r="Y676" s="2" t="s">
        <v>4228</v>
      </c>
      <c r="Z676" s="4">
        <v>380</v>
      </c>
      <c r="AA676" s="4">
        <f>=ROUNDDOWN(76,0)</f>
      </c>
      <c r="AB676" s="5">
        <v>5</v>
      </c>
      <c r="AC676" s="2" t="s">
        <v>200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200</v>
      </c>
      <c r="AM676" s="4"/>
      <c r="AN676" s="4"/>
      <c r="AO676" s="7"/>
      <c r="AP676" s="4"/>
      <c r="AQ676" s="8"/>
      <c r="AR676" s="4"/>
      <c r="AS676" s="8"/>
      <c r="AT676" s="7"/>
      <c r="AU676" s="7"/>
      <c r="AV676" s="4" t="s">
        <v>200</v>
      </c>
      <c r="AW676" s="8" t="s">
        <v>200</v>
      </c>
      <c r="AX676" s="4" t="s">
        <v>200</v>
      </c>
      <c r="AY676" s="8" t="s">
        <v>200</v>
      </c>
      <c r="AZ676" s="7" t="s">
        <v>200</v>
      </c>
      <c r="BA676" s="7" t="s">
        <v>200</v>
      </c>
      <c r="BB676" s="7"/>
      <c r="BC676" s="4" t="s">
        <v>200</v>
      </c>
      <c r="BD676" s="8" t="s">
        <v>200</v>
      </c>
      <c r="BE676" s="4" t="s">
        <v>200</v>
      </c>
      <c r="BF676" s="8" t="s">
        <v>200</v>
      </c>
      <c r="BG676" s="7" t="s">
        <v>200</v>
      </c>
      <c r="BH676" s="7" t="s">
        <v>200</v>
      </c>
      <c r="BI676" s="7"/>
      <c r="BJ676" s="4">
        <v>17</v>
      </c>
      <c r="BK676" s="8">
        <v>363.52</v>
      </c>
      <c r="BL676" s="2" t="s">
        <v>1238</v>
      </c>
      <c r="BM676" s="7"/>
      <c r="BN676" s="7"/>
      <c r="BO676" s="4"/>
      <c r="BP676" s="8"/>
      <c r="BQ676" s="4"/>
      <c r="BR676" s="8"/>
      <c r="BS676" s="7"/>
      <c r="BT676" s="7"/>
      <c r="BU676" s="2" t="s">
        <v>4229</v>
      </c>
      <c r="BV676" s="2" t="s">
        <v>200</v>
      </c>
      <c r="BW676" s="2" t="s">
        <v>200</v>
      </c>
      <c r="BX676" s="2" t="s">
        <v>620</v>
      </c>
      <c r="BY676" s="2" t="s">
        <v>247</v>
      </c>
      <c r="BZ676" s="2" t="s">
        <v>212</v>
      </c>
      <c r="CA676" s="2" t="s">
        <v>4230</v>
      </c>
      <c r="CB676" s="2" t="s">
        <v>4231</v>
      </c>
      <c r="CC676" s="2" t="s">
        <v>213</v>
      </c>
      <c r="CD676" s="2" t="s">
        <v>200</v>
      </c>
      <c r="CE676" s="4">
        <v>380</v>
      </c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</row>
    <row r="677">
      <c r="A677" s="2" t="s">
        <v>4232</v>
      </c>
      <c r="B677" s="2" t="s">
        <v>827</v>
      </c>
      <c r="C677" s="2" t="s">
        <v>231</v>
      </c>
      <c r="D677" s="2" t="s">
        <v>828</v>
      </c>
      <c r="E677" s="2" t="s">
        <v>1011</v>
      </c>
      <c r="F677" s="2" t="s">
        <v>4109</v>
      </c>
      <c r="G677" s="2" t="s">
        <v>4110</v>
      </c>
      <c r="H677" s="2" t="s">
        <v>4111</v>
      </c>
      <c r="I677" s="2" t="s">
        <v>4112</v>
      </c>
      <c r="J677" s="2" t="s">
        <v>1016</v>
      </c>
      <c r="K677" s="2" t="s">
        <v>544</v>
      </c>
      <c r="L677" s="3">
        <v>16</v>
      </c>
      <c r="M677" s="3">
        <v>16.8</v>
      </c>
      <c r="N677" s="3">
        <v>39.99</v>
      </c>
      <c r="O677" s="2" t="s">
        <v>212</v>
      </c>
      <c r="P677" s="2" t="s">
        <v>285</v>
      </c>
      <c r="Q677" s="2" t="s">
        <v>206</v>
      </c>
      <c r="R677" s="2" t="s">
        <v>200</v>
      </c>
      <c r="S677" s="2" t="s">
        <v>4233</v>
      </c>
      <c r="T677" s="2" t="s">
        <v>200</v>
      </c>
      <c r="U677" s="2" t="s">
        <v>270</v>
      </c>
      <c r="V677" s="2" t="s">
        <v>208</v>
      </c>
      <c r="W677" s="2" t="s">
        <v>419</v>
      </c>
      <c r="X677" s="2" t="s">
        <v>2936</v>
      </c>
      <c r="Y677" s="2" t="s">
        <v>261</v>
      </c>
      <c r="Z677" s="4">
        <v>43</v>
      </c>
      <c r="AA677" s="4">
        <f>=ROUNDDOWN(2.2279792746114,0)</f>
      </c>
      <c r="AB677" s="5">
        <v>19.3</v>
      </c>
      <c r="AC677" s="2" t="s">
        <v>200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200</v>
      </c>
      <c r="AM677" s="4"/>
      <c r="AN677" s="4"/>
      <c r="AO677" s="7"/>
      <c r="AP677" s="4"/>
      <c r="AQ677" s="8"/>
      <c r="AR677" s="4"/>
      <c r="AS677" s="8"/>
      <c r="AT677" s="7"/>
      <c r="AU677" s="7"/>
      <c r="AV677" s="4" t="s">
        <v>200</v>
      </c>
      <c r="AW677" s="8" t="s">
        <v>200</v>
      </c>
      <c r="AX677" s="4" t="s">
        <v>200</v>
      </c>
      <c r="AY677" s="8" t="s">
        <v>200</v>
      </c>
      <c r="AZ677" s="7" t="s">
        <v>200</v>
      </c>
      <c r="BA677" s="7" t="s">
        <v>200</v>
      </c>
      <c r="BB677" s="7"/>
      <c r="BC677" s="4" t="s">
        <v>200</v>
      </c>
      <c r="BD677" s="8" t="s">
        <v>200</v>
      </c>
      <c r="BE677" s="4" t="s">
        <v>200</v>
      </c>
      <c r="BF677" s="8" t="s">
        <v>200</v>
      </c>
      <c r="BG677" s="7" t="s">
        <v>200</v>
      </c>
      <c r="BH677" s="7" t="s">
        <v>200</v>
      </c>
      <c r="BI677" s="7"/>
      <c r="BJ677" s="4">
        <v>59</v>
      </c>
      <c r="BK677" s="8">
        <v>829.72</v>
      </c>
      <c r="BL677" s="2" t="s">
        <v>4234</v>
      </c>
      <c r="BM677" s="7"/>
      <c r="BN677" s="7"/>
      <c r="BO677" s="4"/>
      <c r="BP677" s="8"/>
      <c r="BQ677" s="4"/>
      <c r="BR677" s="8"/>
      <c r="BS677" s="7"/>
      <c r="BT677" s="7"/>
      <c r="BU677" s="2" t="s">
        <v>4235</v>
      </c>
      <c r="BV677" s="2" t="s">
        <v>200</v>
      </c>
      <c r="BW677" s="2" t="s">
        <v>200</v>
      </c>
      <c r="BX677" s="2" t="s">
        <v>289</v>
      </c>
      <c r="BY677" s="2" t="s">
        <v>247</v>
      </c>
      <c r="BZ677" s="2" t="s">
        <v>212</v>
      </c>
      <c r="CA677" s="2" t="s">
        <v>1597</v>
      </c>
      <c r="CB677" s="2" t="s">
        <v>4236</v>
      </c>
      <c r="CC677" s="2" t="s">
        <v>213</v>
      </c>
      <c r="CD677" s="2" t="s">
        <v>200</v>
      </c>
      <c r="CE677" s="4">
        <v>43</v>
      </c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</row>
    <row r="678">
      <c r="A678" s="2" t="s">
        <v>4237</v>
      </c>
      <c r="B678" s="2" t="s">
        <v>827</v>
      </c>
      <c r="C678" s="2" t="s">
        <v>231</v>
      </c>
      <c r="D678" s="2" t="s">
        <v>828</v>
      </c>
      <c r="E678" s="2" t="s">
        <v>1011</v>
      </c>
      <c r="F678" s="2" t="s">
        <v>4109</v>
      </c>
      <c r="G678" s="2" t="s">
        <v>4110</v>
      </c>
      <c r="H678" s="2" t="s">
        <v>4111</v>
      </c>
      <c r="I678" s="2" t="s">
        <v>4112</v>
      </c>
      <c r="J678" s="2" t="s">
        <v>1057</v>
      </c>
      <c r="K678" s="2" t="s">
        <v>544</v>
      </c>
      <c r="L678" s="3">
        <v>21</v>
      </c>
      <c r="M678" s="3">
        <v>22.05</v>
      </c>
      <c r="N678" s="3">
        <v>49.99</v>
      </c>
      <c r="O678" s="2" t="s">
        <v>460</v>
      </c>
      <c r="P678" s="2" t="s">
        <v>285</v>
      </c>
      <c r="Q678" s="2" t="s">
        <v>206</v>
      </c>
      <c r="R678" s="2" t="s">
        <v>200</v>
      </c>
      <c r="S678" s="2" t="s">
        <v>4233</v>
      </c>
      <c r="T678" s="2" t="s">
        <v>200</v>
      </c>
      <c r="U678" s="2" t="s">
        <v>270</v>
      </c>
      <c r="V678" s="2" t="s">
        <v>208</v>
      </c>
      <c r="W678" s="2" t="s">
        <v>419</v>
      </c>
      <c r="X678" s="2" t="s">
        <v>2936</v>
      </c>
      <c r="Y678" s="2" t="s">
        <v>261</v>
      </c>
      <c r="Z678" s="4">
        <v>72</v>
      </c>
      <c r="AA678" s="4">
        <f>=ROUNDDOWN(12.6315789473684,0)</f>
      </c>
      <c r="AB678" s="5">
        <v>5.7</v>
      </c>
      <c r="AC678" s="2" t="s">
        <v>200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200</v>
      </c>
      <c r="AM678" s="4"/>
      <c r="AN678" s="4"/>
      <c r="AO678" s="7"/>
      <c r="AP678" s="4"/>
      <c r="AQ678" s="8"/>
      <c r="AR678" s="4"/>
      <c r="AS678" s="8"/>
      <c r="AT678" s="7"/>
      <c r="AU678" s="7"/>
      <c r="AV678" s="4" t="s">
        <v>200</v>
      </c>
      <c r="AW678" s="8" t="s">
        <v>200</v>
      </c>
      <c r="AX678" s="4" t="s">
        <v>200</v>
      </c>
      <c r="AY678" s="8" t="s">
        <v>200</v>
      </c>
      <c r="AZ678" s="7" t="s">
        <v>200</v>
      </c>
      <c r="BA678" s="7" t="s">
        <v>200</v>
      </c>
      <c r="BB678" s="7"/>
      <c r="BC678" s="4" t="s">
        <v>200</v>
      </c>
      <c r="BD678" s="8" t="s">
        <v>200</v>
      </c>
      <c r="BE678" s="4" t="s">
        <v>200</v>
      </c>
      <c r="BF678" s="8" t="s">
        <v>200</v>
      </c>
      <c r="BG678" s="7" t="s">
        <v>200</v>
      </c>
      <c r="BH678" s="7" t="s">
        <v>200</v>
      </c>
      <c r="BI678" s="7"/>
      <c r="BJ678" s="4">
        <v>31</v>
      </c>
      <c r="BK678" s="8">
        <v>539.6</v>
      </c>
      <c r="BL678" s="2" t="s">
        <v>886</v>
      </c>
      <c r="BM678" s="7"/>
      <c r="BN678" s="7"/>
      <c r="BO678" s="4"/>
      <c r="BP678" s="8"/>
      <c r="BQ678" s="4"/>
      <c r="BR678" s="8"/>
      <c r="BS678" s="7"/>
      <c r="BT678" s="7"/>
      <c r="BU678" s="2" t="s">
        <v>4238</v>
      </c>
      <c r="BV678" s="2" t="s">
        <v>200</v>
      </c>
      <c r="BW678" s="2" t="s">
        <v>200</v>
      </c>
      <c r="BX678" s="2" t="s">
        <v>289</v>
      </c>
      <c r="BY678" s="2" t="s">
        <v>247</v>
      </c>
      <c r="BZ678" s="2" t="s">
        <v>212</v>
      </c>
      <c r="CA678" s="2" t="s">
        <v>1597</v>
      </c>
      <c r="CB678" s="2" t="s">
        <v>4239</v>
      </c>
      <c r="CC678" s="2" t="s">
        <v>213</v>
      </c>
      <c r="CD678" s="2" t="s">
        <v>200</v>
      </c>
      <c r="CE678" s="4">
        <v>72</v>
      </c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</row>
    <row r="679">
      <c r="A679" s="2" t="s">
        <v>4240</v>
      </c>
      <c r="B679" s="2" t="s">
        <v>827</v>
      </c>
      <c r="C679" s="2" t="s">
        <v>231</v>
      </c>
      <c r="D679" s="2" t="s">
        <v>828</v>
      </c>
      <c r="E679" s="2" t="s">
        <v>1011</v>
      </c>
      <c r="F679" s="2" t="s">
        <v>4109</v>
      </c>
      <c r="G679" s="2" t="s">
        <v>4110</v>
      </c>
      <c r="H679" s="2" t="s">
        <v>4111</v>
      </c>
      <c r="I679" s="2" t="s">
        <v>4112</v>
      </c>
      <c r="J679" s="2" t="s">
        <v>4122</v>
      </c>
      <c r="K679" s="2" t="s">
        <v>544</v>
      </c>
      <c r="L679" s="3">
        <v>23.1</v>
      </c>
      <c r="M679" s="3">
        <v>24.26</v>
      </c>
      <c r="N679" s="3">
        <v>54.99</v>
      </c>
      <c r="O679" s="2" t="s">
        <v>417</v>
      </c>
      <c r="P679" s="2" t="s">
        <v>285</v>
      </c>
      <c r="Q679" s="2" t="s">
        <v>206</v>
      </c>
      <c r="R679" s="2" t="s">
        <v>200</v>
      </c>
      <c r="S679" s="2" t="s">
        <v>4233</v>
      </c>
      <c r="T679" s="2" t="s">
        <v>200</v>
      </c>
      <c r="U679" s="2" t="s">
        <v>270</v>
      </c>
      <c r="V679" s="2" t="s">
        <v>208</v>
      </c>
      <c r="W679" s="2" t="s">
        <v>419</v>
      </c>
      <c r="X679" s="2" t="s">
        <v>2936</v>
      </c>
      <c r="Y679" s="2" t="s">
        <v>261</v>
      </c>
      <c r="Z679" s="4">
        <v>34</v>
      </c>
      <c r="AA679" s="4">
        <f>=ROUNDDOWN(30.9090909090909,0)</f>
      </c>
      <c r="AB679" s="5">
        <v>1.1</v>
      </c>
      <c r="AC679" s="2" t="s">
        <v>200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200</v>
      </c>
      <c r="AM679" s="4"/>
      <c r="AN679" s="4"/>
      <c r="AO679" s="7"/>
      <c r="AP679" s="4"/>
      <c r="AQ679" s="8"/>
      <c r="AR679" s="4"/>
      <c r="AS679" s="8"/>
      <c r="AT679" s="7"/>
      <c r="AU679" s="7"/>
      <c r="AV679" s="4" t="s">
        <v>200</v>
      </c>
      <c r="AW679" s="8" t="s">
        <v>200</v>
      </c>
      <c r="AX679" s="4" t="s">
        <v>200</v>
      </c>
      <c r="AY679" s="8" t="s">
        <v>200</v>
      </c>
      <c r="AZ679" s="7" t="s">
        <v>200</v>
      </c>
      <c r="BA679" s="7" t="s">
        <v>200</v>
      </c>
      <c r="BB679" s="7"/>
      <c r="BC679" s="4" t="s">
        <v>200</v>
      </c>
      <c r="BD679" s="8" t="s">
        <v>200</v>
      </c>
      <c r="BE679" s="4" t="s">
        <v>200</v>
      </c>
      <c r="BF679" s="8" t="s">
        <v>200</v>
      </c>
      <c r="BG679" s="7" t="s">
        <v>200</v>
      </c>
      <c r="BH679" s="7" t="s">
        <v>200</v>
      </c>
      <c r="BI679" s="7"/>
      <c r="BJ679" s="4">
        <v>2</v>
      </c>
      <c r="BK679" s="8">
        <v>24.16</v>
      </c>
      <c r="BL679" s="2" t="s">
        <v>303</v>
      </c>
      <c r="BM679" s="7"/>
      <c r="BN679" s="7"/>
      <c r="BO679" s="4"/>
      <c r="BP679" s="8"/>
      <c r="BQ679" s="4"/>
      <c r="BR679" s="8"/>
      <c r="BS679" s="7"/>
      <c r="BT679" s="7"/>
      <c r="BU679" s="2" t="s">
        <v>4241</v>
      </c>
      <c r="BV679" s="2" t="s">
        <v>200</v>
      </c>
      <c r="BW679" s="2" t="s">
        <v>200</v>
      </c>
      <c r="BX679" s="2" t="s">
        <v>289</v>
      </c>
      <c r="BY679" s="2" t="s">
        <v>247</v>
      </c>
      <c r="BZ679" s="2" t="s">
        <v>212</v>
      </c>
      <c r="CA679" s="2" t="s">
        <v>1597</v>
      </c>
      <c r="CB679" s="2" t="s">
        <v>4242</v>
      </c>
      <c r="CC679" s="2" t="s">
        <v>213</v>
      </c>
      <c r="CD679" s="2" t="s">
        <v>200</v>
      </c>
      <c r="CE679" s="4">
        <v>34</v>
      </c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</row>
    <row r="680">
      <c r="A680" s="2" t="s">
        <v>4243</v>
      </c>
      <c r="B680" s="2" t="s">
        <v>827</v>
      </c>
      <c r="C680" s="2" t="s">
        <v>231</v>
      </c>
      <c r="D680" s="2" t="s">
        <v>1084</v>
      </c>
      <c r="E680" s="2" t="s">
        <v>1085</v>
      </c>
      <c r="F680" s="2" t="s">
        <v>4109</v>
      </c>
      <c r="G680" s="2" t="s">
        <v>4110</v>
      </c>
      <c r="H680" s="2" t="s">
        <v>4111</v>
      </c>
      <c r="I680" s="2" t="s">
        <v>4135</v>
      </c>
      <c r="J680" s="2" t="s">
        <v>4136</v>
      </c>
      <c r="K680" s="2" t="s">
        <v>544</v>
      </c>
      <c r="L680" s="3">
        <v>12.6</v>
      </c>
      <c r="M680" s="3">
        <v>13.23</v>
      </c>
      <c r="N680" s="3">
        <v>29.99</v>
      </c>
      <c r="O680" s="2" t="s">
        <v>212</v>
      </c>
      <c r="P680" s="2" t="s">
        <v>285</v>
      </c>
      <c r="Q680" s="2" t="s">
        <v>206</v>
      </c>
      <c r="R680" s="2" t="s">
        <v>200</v>
      </c>
      <c r="S680" s="2" t="s">
        <v>4233</v>
      </c>
      <c r="T680" s="2" t="s">
        <v>200</v>
      </c>
      <c r="U680" s="2" t="s">
        <v>200</v>
      </c>
      <c r="V680" s="2" t="s">
        <v>208</v>
      </c>
      <c r="W680" s="2" t="s">
        <v>419</v>
      </c>
      <c r="X680" s="2" t="s">
        <v>200</v>
      </c>
      <c r="Y680" s="2" t="s">
        <v>4157</v>
      </c>
      <c r="Z680" s="4"/>
      <c r="AA680" s="4">
        <f>=ROUNDDOWN({0},0)</f>
      </c>
      <c r="AB680" s="5">
        <v>4.2</v>
      </c>
      <c r="AC680" s="2" t="s">
        <v>200</v>
      </c>
      <c r="AD680" s="4"/>
      <c r="AE680" s="4"/>
      <c r="AF680" s="6">
        <v>65</v>
      </c>
      <c r="AG680" s="6"/>
      <c r="AH680" s="7">
        <v>0.7</v>
      </c>
      <c r="AI680" s="4"/>
      <c r="AJ680" s="4">
        <f>=ROUNDDOWN({0},0)</f>
      </c>
      <c r="AK680" s="5"/>
      <c r="AL680" s="2" t="s">
        <v>200</v>
      </c>
      <c r="AM680" s="4"/>
      <c r="AN680" s="4"/>
      <c r="AO680" s="7"/>
      <c r="AP680" s="4"/>
      <c r="AQ680" s="8"/>
      <c r="AR680" s="4"/>
      <c r="AS680" s="8"/>
      <c r="AT680" s="7"/>
      <c r="AU680" s="7"/>
      <c r="AV680" s="4" t="s">
        <v>200</v>
      </c>
      <c r="AW680" s="8" t="s">
        <v>200</v>
      </c>
      <c r="AX680" s="4" t="s">
        <v>200</v>
      </c>
      <c r="AY680" s="8" t="s">
        <v>200</v>
      </c>
      <c r="AZ680" s="7" t="s">
        <v>200</v>
      </c>
      <c r="BA680" s="7" t="s">
        <v>200</v>
      </c>
      <c r="BB680" s="7"/>
      <c r="BC680" s="4" t="s">
        <v>200</v>
      </c>
      <c r="BD680" s="8" t="s">
        <v>200</v>
      </c>
      <c r="BE680" s="4" t="s">
        <v>200</v>
      </c>
      <c r="BF680" s="8" t="s">
        <v>200</v>
      </c>
      <c r="BG680" s="7" t="s">
        <v>200</v>
      </c>
      <c r="BH680" s="7" t="s">
        <v>200</v>
      </c>
      <c r="BI680" s="7"/>
      <c r="BJ680" s="4">
        <v>6</v>
      </c>
      <c r="BK680" s="8">
        <v>115.74</v>
      </c>
      <c r="BL680" s="2" t="s">
        <v>4244</v>
      </c>
      <c r="BM680" s="7"/>
      <c r="BN680" s="7"/>
      <c r="BO680" s="4"/>
      <c r="BP680" s="8"/>
      <c r="BQ680" s="4"/>
      <c r="BR680" s="8"/>
      <c r="BS680" s="7"/>
      <c r="BT680" s="7"/>
      <c r="BU680" s="2" t="s">
        <v>4245</v>
      </c>
      <c r="BV680" s="2" t="s">
        <v>200</v>
      </c>
      <c r="BW680" s="2" t="s">
        <v>200</v>
      </c>
      <c r="BX680" s="2" t="s">
        <v>289</v>
      </c>
      <c r="BY680" s="2" t="s">
        <v>247</v>
      </c>
      <c r="BZ680" s="2" t="s">
        <v>212</v>
      </c>
      <c r="CA680" s="2" t="s">
        <v>1237</v>
      </c>
      <c r="CB680" s="2" t="s">
        <v>1225</v>
      </c>
      <c r="CC680" s="2" t="s">
        <v>213</v>
      </c>
      <c r="CD680" s="2" t="s">
        <v>200</v>
      </c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</row>
    <row r="681">
      <c r="A681" s="2" t="s">
        <v>4246</v>
      </c>
      <c r="B681" s="2" t="s">
        <v>903</v>
      </c>
      <c r="C681" s="2" t="s">
        <v>231</v>
      </c>
      <c r="D681" s="2" t="s">
        <v>608</v>
      </c>
      <c r="E681" s="2" t="s">
        <v>904</v>
      </c>
      <c r="F681" s="2" t="s">
        <v>4109</v>
      </c>
      <c r="G681" s="2" t="s">
        <v>4247</v>
      </c>
      <c r="H681" s="2" t="s">
        <v>4248</v>
      </c>
      <c r="I681" s="2" t="s">
        <v>4249</v>
      </c>
      <c r="J681" s="2" t="s">
        <v>236</v>
      </c>
      <c r="K681" s="2" t="s">
        <v>1380</v>
      </c>
      <c r="L681" s="3">
        <v>79.9</v>
      </c>
      <c r="M681" s="3">
        <v>83.89</v>
      </c>
      <c r="N681" s="3">
        <v>169.99</v>
      </c>
      <c r="O681" s="2" t="s">
        <v>212</v>
      </c>
      <c r="P681" s="2" t="s">
        <v>205</v>
      </c>
      <c r="Q681" s="2" t="s">
        <v>206</v>
      </c>
      <c r="R681" s="2" t="s">
        <v>200</v>
      </c>
      <c r="S681" s="2" t="s">
        <v>4250</v>
      </c>
      <c r="T681" s="2" t="s">
        <v>1833</v>
      </c>
      <c r="U681" s="2" t="s">
        <v>1930</v>
      </c>
      <c r="V681" s="2" t="s">
        <v>1019</v>
      </c>
      <c r="W681" s="2" t="s">
        <v>736</v>
      </c>
      <c r="X681" s="2" t="s">
        <v>1825</v>
      </c>
      <c r="Y681" s="2" t="s">
        <v>4251</v>
      </c>
      <c r="Z681" s="4">
        <v>107</v>
      </c>
      <c r="AA681" s="4">
        <f>=ROUNDDOWN(21.4,0)</f>
      </c>
      <c r="AB681" s="5">
        <v>5</v>
      </c>
      <c r="AC681" s="2" t="s">
        <v>691</v>
      </c>
      <c r="AD681" s="4">
        <v>60</v>
      </c>
      <c r="AE681" s="4">
        <v>60</v>
      </c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200</v>
      </c>
      <c r="AM681" s="4"/>
      <c r="AN681" s="4"/>
      <c r="AO681" s="7"/>
      <c r="AP681" s="4"/>
      <c r="AQ681" s="8"/>
      <c r="AR681" s="4"/>
      <c r="AS681" s="8"/>
      <c r="AT681" s="7"/>
      <c r="AU681" s="7"/>
      <c r="AV681" s="4" t="s">
        <v>200</v>
      </c>
      <c r="AW681" s="8" t="s">
        <v>200</v>
      </c>
      <c r="AX681" s="4" t="s">
        <v>200</v>
      </c>
      <c r="AY681" s="8" t="s">
        <v>200</v>
      </c>
      <c r="AZ681" s="7" t="s">
        <v>200</v>
      </c>
      <c r="BA681" s="7" t="s">
        <v>200</v>
      </c>
      <c r="BB681" s="7"/>
      <c r="BC681" s="4" t="s">
        <v>200</v>
      </c>
      <c r="BD681" s="8" t="s">
        <v>200</v>
      </c>
      <c r="BE681" s="4" t="s">
        <v>200</v>
      </c>
      <c r="BF681" s="8" t="s">
        <v>200</v>
      </c>
      <c r="BG681" s="7" t="s">
        <v>200</v>
      </c>
      <c r="BH681" s="7" t="s">
        <v>200</v>
      </c>
      <c r="BI681" s="7"/>
      <c r="BJ681" s="4">
        <v>35</v>
      </c>
      <c r="BK681" s="8">
        <v>2885.37</v>
      </c>
      <c r="BL681" s="2" t="s">
        <v>298</v>
      </c>
      <c r="BM681" s="7"/>
      <c r="BN681" s="7"/>
      <c r="BO681" s="4"/>
      <c r="BP681" s="8"/>
      <c r="BQ681" s="4"/>
      <c r="BR681" s="8"/>
      <c r="BS681" s="7"/>
      <c r="BT681" s="7"/>
      <c r="BU681" s="2" t="s">
        <v>4252</v>
      </c>
      <c r="BV681" s="2" t="s">
        <v>200</v>
      </c>
      <c r="BW681" s="2" t="s">
        <v>200</v>
      </c>
      <c r="BX681" s="2" t="s">
        <v>620</v>
      </c>
      <c r="BY681" s="2" t="s">
        <v>247</v>
      </c>
      <c r="BZ681" s="2" t="s">
        <v>212</v>
      </c>
      <c r="CA681" s="2" t="s">
        <v>4253</v>
      </c>
      <c r="CB681" s="2" t="s">
        <v>3218</v>
      </c>
      <c r="CC681" s="2" t="s">
        <v>213</v>
      </c>
      <c r="CD681" s="2" t="s">
        <v>200</v>
      </c>
      <c r="CE681" s="4">
        <v>107</v>
      </c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>
        <v>60</v>
      </c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</row>
    <row r="682">
      <c r="A682" s="2" t="s">
        <v>4254</v>
      </c>
      <c r="B682" s="2" t="s">
        <v>827</v>
      </c>
      <c r="C682" s="2" t="s">
        <v>231</v>
      </c>
      <c r="D682" s="2" t="s">
        <v>828</v>
      </c>
      <c r="E682" s="2" t="s">
        <v>1011</v>
      </c>
      <c r="F682" s="2" t="s">
        <v>4109</v>
      </c>
      <c r="G682" s="2" t="s">
        <v>4110</v>
      </c>
      <c r="H682" s="2" t="s">
        <v>4111</v>
      </c>
      <c r="I682" s="2" t="s">
        <v>4112</v>
      </c>
      <c r="J682" s="2" t="s">
        <v>1016</v>
      </c>
      <c r="K682" s="2" t="s">
        <v>1380</v>
      </c>
      <c r="L682" s="3">
        <v>16</v>
      </c>
      <c r="M682" s="3">
        <v>16.8</v>
      </c>
      <c r="N682" s="3">
        <v>39.99</v>
      </c>
      <c r="O682" s="2" t="s">
        <v>212</v>
      </c>
      <c r="P682" s="2" t="s">
        <v>258</v>
      </c>
      <c r="Q682" s="2" t="s">
        <v>206</v>
      </c>
      <c r="R682" s="2" t="s">
        <v>200</v>
      </c>
      <c r="S682" s="2" t="s">
        <v>4255</v>
      </c>
      <c r="T682" s="2" t="s">
        <v>200</v>
      </c>
      <c r="U682" s="2" t="s">
        <v>270</v>
      </c>
      <c r="V682" s="2" t="s">
        <v>208</v>
      </c>
      <c r="W682" s="2" t="s">
        <v>419</v>
      </c>
      <c r="X682" s="2" t="s">
        <v>2936</v>
      </c>
      <c r="Y682" s="2" t="s">
        <v>4131</v>
      </c>
      <c r="Z682" s="4">
        <v>819</v>
      </c>
      <c r="AA682" s="4">
        <f>=ROUNDDOWN(51.1875,0)</f>
      </c>
      <c r="AB682" s="5">
        <v>16</v>
      </c>
      <c r="AC682" s="2" t="s">
        <v>553</v>
      </c>
      <c r="AD682" s="4">
        <v>100</v>
      </c>
      <c r="AE682" s="4">
        <v>100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200</v>
      </c>
      <c r="AM682" s="4"/>
      <c r="AN682" s="4"/>
      <c r="AO682" s="7"/>
      <c r="AP682" s="4"/>
      <c r="AQ682" s="8"/>
      <c r="AR682" s="4"/>
      <c r="AS682" s="8"/>
      <c r="AT682" s="7"/>
      <c r="AU682" s="7"/>
      <c r="AV682" s="4" t="s">
        <v>200</v>
      </c>
      <c r="AW682" s="8" t="s">
        <v>200</v>
      </c>
      <c r="AX682" s="4" t="s">
        <v>200</v>
      </c>
      <c r="AY682" s="8" t="s">
        <v>200</v>
      </c>
      <c r="AZ682" s="7" t="s">
        <v>200</v>
      </c>
      <c r="BA682" s="7" t="s">
        <v>200</v>
      </c>
      <c r="BB682" s="7"/>
      <c r="BC682" s="4" t="s">
        <v>200</v>
      </c>
      <c r="BD682" s="8" t="s">
        <v>200</v>
      </c>
      <c r="BE682" s="4" t="s">
        <v>200</v>
      </c>
      <c r="BF682" s="8" t="s">
        <v>200</v>
      </c>
      <c r="BG682" s="7" t="s">
        <v>200</v>
      </c>
      <c r="BH682" s="7" t="s">
        <v>200</v>
      </c>
      <c r="BI682" s="7"/>
      <c r="BJ682" s="4">
        <v>39</v>
      </c>
      <c r="BK682" s="8">
        <v>643.46</v>
      </c>
      <c r="BL682" s="2" t="s">
        <v>4256</v>
      </c>
      <c r="BM682" s="7"/>
      <c r="BN682" s="7"/>
      <c r="BO682" s="4"/>
      <c r="BP682" s="8"/>
      <c r="BQ682" s="4"/>
      <c r="BR682" s="8"/>
      <c r="BS682" s="7"/>
      <c r="BT682" s="7"/>
      <c r="BU682" s="2" t="s">
        <v>4257</v>
      </c>
      <c r="BV682" s="2" t="s">
        <v>200</v>
      </c>
      <c r="BW682" s="2" t="s">
        <v>200</v>
      </c>
      <c r="BX682" s="2" t="s">
        <v>620</v>
      </c>
      <c r="BY682" s="2" t="s">
        <v>247</v>
      </c>
      <c r="BZ682" s="2" t="s">
        <v>212</v>
      </c>
      <c r="CA682" s="2" t="s">
        <v>4203</v>
      </c>
      <c r="CB682" s="2" t="s">
        <v>4258</v>
      </c>
      <c r="CC682" s="2" t="s">
        <v>213</v>
      </c>
      <c r="CD682" s="2" t="s">
        <v>200</v>
      </c>
      <c r="CE682" s="4">
        <v>819</v>
      </c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>
        <v>100</v>
      </c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</row>
    <row r="683">
      <c r="A683" s="2" t="s">
        <v>4259</v>
      </c>
      <c r="B683" s="2" t="s">
        <v>827</v>
      </c>
      <c r="C683" s="2" t="s">
        <v>231</v>
      </c>
      <c r="D683" s="2" t="s">
        <v>828</v>
      </c>
      <c r="E683" s="2" t="s">
        <v>1011</v>
      </c>
      <c r="F683" s="2" t="s">
        <v>4109</v>
      </c>
      <c r="G683" s="2" t="s">
        <v>4110</v>
      </c>
      <c r="H683" s="2" t="s">
        <v>4111</v>
      </c>
      <c r="I683" s="2" t="s">
        <v>4112</v>
      </c>
      <c r="J683" s="2" t="s">
        <v>1057</v>
      </c>
      <c r="K683" s="2" t="s">
        <v>1380</v>
      </c>
      <c r="L683" s="3">
        <v>21</v>
      </c>
      <c r="M683" s="3">
        <v>22.05</v>
      </c>
      <c r="N683" s="3">
        <v>49.99</v>
      </c>
      <c r="O683" s="2" t="s">
        <v>212</v>
      </c>
      <c r="P683" s="2" t="s">
        <v>258</v>
      </c>
      <c r="Q683" s="2" t="s">
        <v>206</v>
      </c>
      <c r="R683" s="2" t="s">
        <v>200</v>
      </c>
      <c r="S683" s="2" t="s">
        <v>4255</v>
      </c>
      <c r="T683" s="2" t="s">
        <v>200</v>
      </c>
      <c r="U683" s="2" t="s">
        <v>270</v>
      </c>
      <c r="V683" s="2" t="s">
        <v>208</v>
      </c>
      <c r="W683" s="2" t="s">
        <v>419</v>
      </c>
      <c r="X683" s="2" t="s">
        <v>2936</v>
      </c>
      <c r="Y683" s="2" t="s">
        <v>4131</v>
      </c>
      <c r="Z683" s="4">
        <v>230</v>
      </c>
      <c r="AA683" s="4">
        <f>=ROUNDDOWN(46,0)</f>
      </c>
      <c r="AB683" s="5">
        <v>5</v>
      </c>
      <c r="AC683" s="2" t="s">
        <v>553</v>
      </c>
      <c r="AD683" s="4">
        <v>80</v>
      </c>
      <c r="AE683" s="4">
        <v>80</v>
      </c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200</v>
      </c>
      <c r="AM683" s="4"/>
      <c r="AN683" s="4"/>
      <c r="AO683" s="7"/>
      <c r="AP683" s="4"/>
      <c r="AQ683" s="8"/>
      <c r="AR683" s="4"/>
      <c r="AS683" s="8"/>
      <c r="AT683" s="7"/>
      <c r="AU683" s="7"/>
      <c r="AV683" s="4" t="s">
        <v>200</v>
      </c>
      <c r="AW683" s="8" t="s">
        <v>200</v>
      </c>
      <c r="AX683" s="4" t="s">
        <v>200</v>
      </c>
      <c r="AY683" s="8" t="s">
        <v>200</v>
      </c>
      <c r="AZ683" s="7" t="s">
        <v>200</v>
      </c>
      <c r="BA683" s="7" t="s">
        <v>200</v>
      </c>
      <c r="BB683" s="7"/>
      <c r="BC683" s="4" t="s">
        <v>200</v>
      </c>
      <c r="BD683" s="8" t="s">
        <v>200</v>
      </c>
      <c r="BE683" s="4" t="s">
        <v>200</v>
      </c>
      <c r="BF683" s="8" t="s">
        <v>200</v>
      </c>
      <c r="BG683" s="7" t="s">
        <v>200</v>
      </c>
      <c r="BH683" s="7" t="s">
        <v>200</v>
      </c>
      <c r="BI683" s="7"/>
      <c r="BJ683" s="4">
        <v>18</v>
      </c>
      <c r="BK683" s="8">
        <v>391.88</v>
      </c>
      <c r="BL683" s="2" t="s">
        <v>3796</v>
      </c>
      <c r="BM683" s="7"/>
      <c r="BN683" s="7"/>
      <c r="BO683" s="4"/>
      <c r="BP683" s="8"/>
      <c r="BQ683" s="4"/>
      <c r="BR683" s="8"/>
      <c r="BS683" s="7"/>
      <c r="BT683" s="7"/>
      <c r="BU683" s="2" t="s">
        <v>4260</v>
      </c>
      <c r="BV683" s="2" t="s">
        <v>200</v>
      </c>
      <c r="BW683" s="2" t="s">
        <v>200</v>
      </c>
      <c r="BX683" s="2" t="s">
        <v>620</v>
      </c>
      <c r="BY683" s="2" t="s">
        <v>247</v>
      </c>
      <c r="BZ683" s="2" t="s">
        <v>212</v>
      </c>
      <c r="CA683" s="2" t="s">
        <v>4203</v>
      </c>
      <c r="CB683" s="2" t="s">
        <v>2322</v>
      </c>
      <c r="CC683" s="2" t="s">
        <v>213</v>
      </c>
      <c r="CD683" s="2" t="s">
        <v>200</v>
      </c>
      <c r="CE683" s="4">
        <v>230</v>
      </c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>
        <v>80</v>
      </c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</row>
    <row r="684">
      <c r="A684" s="2" t="s">
        <v>4261</v>
      </c>
      <c r="B684" s="2" t="s">
        <v>827</v>
      </c>
      <c r="C684" s="2" t="s">
        <v>231</v>
      </c>
      <c r="D684" s="2" t="s">
        <v>828</v>
      </c>
      <c r="E684" s="2" t="s">
        <v>1011</v>
      </c>
      <c r="F684" s="2" t="s">
        <v>4109</v>
      </c>
      <c r="G684" s="2" t="s">
        <v>4110</v>
      </c>
      <c r="H684" s="2" t="s">
        <v>4111</v>
      </c>
      <c r="I684" s="2" t="s">
        <v>4112</v>
      </c>
      <c r="J684" s="2" t="s">
        <v>4122</v>
      </c>
      <c r="K684" s="2" t="s">
        <v>1380</v>
      </c>
      <c r="L684" s="3">
        <v>23.1</v>
      </c>
      <c r="M684" s="3">
        <v>24.26</v>
      </c>
      <c r="N684" s="3">
        <v>54.99</v>
      </c>
      <c r="O684" s="2" t="s">
        <v>212</v>
      </c>
      <c r="P684" s="2" t="s">
        <v>258</v>
      </c>
      <c r="Q684" s="2" t="s">
        <v>206</v>
      </c>
      <c r="R684" s="2" t="s">
        <v>200</v>
      </c>
      <c r="S684" s="2" t="s">
        <v>4255</v>
      </c>
      <c r="T684" s="2" t="s">
        <v>200</v>
      </c>
      <c r="U684" s="2" t="s">
        <v>270</v>
      </c>
      <c r="V684" s="2" t="s">
        <v>208</v>
      </c>
      <c r="W684" s="2" t="s">
        <v>419</v>
      </c>
      <c r="X684" s="2" t="s">
        <v>2936</v>
      </c>
      <c r="Y684" s="2" t="s">
        <v>4131</v>
      </c>
      <c r="Z684" s="4">
        <v>184</v>
      </c>
      <c r="AA684" s="4">
        <f>=ROUNDDOWN(92,0)</f>
      </c>
      <c r="AB684" s="5">
        <v>2</v>
      </c>
      <c r="AC684" s="2" t="s">
        <v>200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200</v>
      </c>
      <c r="AM684" s="4"/>
      <c r="AN684" s="4"/>
      <c r="AO684" s="7"/>
      <c r="AP684" s="4"/>
      <c r="AQ684" s="8"/>
      <c r="AR684" s="4"/>
      <c r="AS684" s="8"/>
      <c r="AT684" s="7"/>
      <c r="AU684" s="7"/>
      <c r="AV684" s="4" t="s">
        <v>200</v>
      </c>
      <c r="AW684" s="8" t="s">
        <v>200</v>
      </c>
      <c r="AX684" s="4" t="s">
        <v>200</v>
      </c>
      <c r="AY684" s="8" t="s">
        <v>200</v>
      </c>
      <c r="AZ684" s="7" t="s">
        <v>200</v>
      </c>
      <c r="BA684" s="7" t="s">
        <v>200</v>
      </c>
      <c r="BB684" s="7"/>
      <c r="BC684" s="4" t="s">
        <v>200</v>
      </c>
      <c r="BD684" s="8" t="s">
        <v>200</v>
      </c>
      <c r="BE684" s="4" t="s">
        <v>200</v>
      </c>
      <c r="BF684" s="8" t="s">
        <v>200</v>
      </c>
      <c r="BG684" s="7" t="s">
        <v>200</v>
      </c>
      <c r="BH684" s="7" t="s">
        <v>200</v>
      </c>
      <c r="BI684" s="7"/>
      <c r="BJ684" s="4"/>
      <c r="BK684" s="8"/>
      <c r="BL684" s="2" t="s">
        <v>2716</v>
      </c>
      <c r="BM684" s="7"/>
      <c r="BN684" s="7"/>
      <c r="BO684" s="4"/>
      <c r="BP684" s="8"/>
      <c r="BQ684" s="4"/>
      <c r="BR684" s="8"/>
      <c r="BS684" s="7"/>
      <c r="BT684" s="7"/>
      <c r="BU684" s="2" t="s">
        <v>4262</v>
      </c>
      <c r="BV684" s="2" t="s">
        <v>200</v>
      </c>
      <c r="BW684" s="2" t="s">
        <v>200</v>
      </c>
      <c r="BX684" s="2" t="s">
        <v>620</v>
      </c>
      <c r="BY684" s="2" t="s">
        <v>247</v>
      </c>
      <c r="BZ684" s="2" t="s">
        <v>212</v>
      </c>
      <c r="CA684" s="2" t="s">
        <v>4203</v>
      </c>
      <c r="CB684" s="2" t="s">
        <v>3781</v>
      </c>
      <c r="CC684" s="2" t="s">
        <v>213</v>
      </c>
      <c r="CD684" s="2" t="s">
        <v>200</v>
      </c>
      <c r="CE684" s="4">
        <v>184</v>
      </c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</row>
    <row r="685">
      <c r="A685" s="2" t="s">
        <v>4263</v>
      </c>
      <c r="B685" s="2" t="s">
        <v>827</v>
      </c>
      <c r="C685" s="2" t="s">
        <v>231</v>
      </c>
      <c r="D685" s="2" t="s">
        <v>1084</v>
      </c>
      <c r="E685" s="2" t="s">
        <v>1085</v>
      </c>
      <c r="F685" s="2" t="s">
        <v>4109</v>
      </c>
      <c r="G685" s="2" t="s">
        <v>4110</v>
      </c>
      <c r="H685" s="2" t="s">
        <v>4111</v>
      </c>
      <c r="I685" s="2" t="s">
        <v>4135</v>
      </c>
      <c r="J685" s="2" t="s">
        <v>4136</v>
      </c>
      <c r="K685" s="2" t="s">
        <v>1380</v>
      </c>
      <c r="L685" s="3">
        <v>12.6</v>
      </c>
      <c r="M685" s="3">
        <v>13.23</v>
      </c>
      <c r="N685" s="3">
        <v>29.99</v>
      </c>
      <c r="O685" s="2" t="s">
        <v>212</v>
      </c>
      <c r="P685" s="2" t="s">
        <v>258</v>
      </c>
      <c r="Q685" s="2" t="s">
        <v>206</v>
      </c>
      <c r="R685" s="2" t="s">
        <v>200</v>
      </c>
      <c r="S685" s="2" t="s">
        <v>4255</v>
      </c>
      <c r="T685" s="2" t="s">
        <v>200</v>
      </c>
      <c r="U685" s="2" t="s">
        <v>270</v>
      </c>
      <c r="V685" s="2" t="s">
        <v>208</v>
      </c>
      <c r="W685" s="2" t="s">
        <v>419</v>
      </c>
      <c r="X685" s="2" t="s">
        <v>200</v>
      </c>
      <c r="Y685" s="2" t="s">
        <v>4131</v>
      </c>
      <c r="Z685" s="4">
        <v>261</v>
      </c>
      <c r="AA685" s="4">
        <f>=ROUNDDOWN(43.5,0)</f>
      </c>
      <c r="AB685" s="5">
        <v>6</v>
      </c>
      <c r="AC685" s="2" t="s">
        <v>553</v>
      </c>
      <c r="AD685" s="4">
        <v>108</v>
      </c>
      <c r="AE685" s="4">
        <v>108</v>
      </c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200</v>
      </c>
      <c r="AM685" s="4"/>
      <c r="AN685" s="4"/>
      <c r="AO685" s="7"/>
      <c r="AP685" s="4"/>
      <c r="AQ685" s="8"/>
      <c r="AR685" s="4"/>
      <c r="AS685" s="8"/>
      <c r="AT685" s="7"/>
      <c r="AU685" s="7"/>
      <c r="AV685" s="4" t="s">
        <v>200</v>
      </c>
      <c r="AW685" s="8" t="s">
        <v>200</v>
      </c>
      <c r="AX685" s="4" t="s">
        <v>200</v>
      </c>
      <c r="AY685" s="8" t="s">
        <v>200</v>
      </c>
      <c r="AZ685" s="7" t="s">
        <v>200</v>
      </c>
      <c r="BA685" s="7" t="s">
        <v>200</v>
      </c>
      <c r="BB685" s="7"/>
      <c r="BC685" s="4" t="s">
        <v>200</v>
      </c>
      <c r="BD685" s="8" t="s">
        <v>200</v>
      </c>
      <c r="BE685" s="4" t="s">
        <v>200</v>
      </c>
      <c r="BF685" s="8" t="s">
        <v>200</v>
      </c>
      <c r="BG685" s="7" t="s">
        <v>200</v>
      </c>
      <c r="BH685" s="7" t="s">
        <v>200</v>
      </c>
      <c r="BI685" s="7"/>
      <c r="BJ685" s="4">
        <v>39</v>
      </c>
      <c r="BK685" s="8">
        <v>538.05</v>
      </c>
      <c r="BL685" s="2" t="s">
        <v>1118</v>
      </c>
      <c r="BM685" s="7"/>
      <c r="BN685" s="7"/>
      <c r="BO685" s="4"/>
      <c r="BP685" s="8"/>
      <c r="BQ685" s="4"/>
      <c r="BR685" s="8"/>
      <c r="BS685" s="7"/>
      <c r="BT685" s="7"/>
      <c r="BU685" s="2" t="s">
        <v>4264</v>
      </c>
      <c r="BV685" s="2" t="s">
        <v>200</v>
      </c>
      <c r="BW685" s="2" t="s">
        <v>200</v>
      </c>
      <c r="BX685" s="2" t="s">
        <v>264</v>
      </c>
      <c r="BY685" s="2" t="s">
        <v>247</v>
      </c>
      <c r="BZ685" s="2" t="s">
        <v>212</v>
      </c>
      <c r="CA685" s="2" t="s">
        <v>1888</v>
      </c>
      <c r="CB685" s="2" t="s">
        <v>4265</v>
      </c>
      <c r="CC685" s="2" t="s">
        <v>213</v>
      </c>
      <c r="CD685" s="2" t="s">
        <v>200</v>
      </c>
      <c r="CE685" s="4">
        <v>261</v>
      </c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>
        <v>108</v>
      </c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</row>
    <row r="686">
      <c r="A686" s="2" t="s">
        <v>4266</v>
      </c>
      <c r="B686" s="2" t="s">
        <v>827</v>
      </c>
      <c r="C686" s="2" t="s">
        <v>231</v>
      </c>
      <c r="D686" s="2" t="s">
        <v>1084</v>
      </c>
      <c r="E686" s="2" t="s">
        <v>1085</v>
      </c>
      <c r="F686" s="2" t="s">
        <v>4109</v>
      </c>
      <c r="G686" s="2" t="s">
        <v>4110</v>
      </c>
      <c r="H686" s="2" t="s">
        <v>4111</v>
      </c>
      <c r="I686" s="2" t="s">
        <v>4135</v>
      </c>
      <c r="J686" s="2" t="s">
        <v>4136</v>
      </c>
      <c r="K686" s="2" t="s">
        <v>801</v>
      </c>
      <c r="L686" s="3">
        <v>12.6</v>
      </c>
      <c r="M686" s="3">
        <v>13.23</v>
      </c>
      <c r="N686" s="3">
        <v>29.99</v>
      </c>
      <c r="O686" s="2" t="s">
        <v>212</v>
      </c>
      <c r="P686" s="2" t="s">
        <v>285</v>
      </c>
      <c r="Q686" s="2" t="s">
        <v>206</v>
      </c>
      <c r="R686" s="2" t="s">
        <v>200</v>
      </c>
      <c r="S686" s="2" t="s">
        <v>4267</v>
      </c>
      <c r="T686" s="2" t="s">
        <v>200</v>
      </c>
      <c r="U686" s="2" t="s">
        <v>200</v>
      </c>
      <c r="V686" s="2" t="s">
        <v>208</v>
      </c>
      <c r="W686" s="2" t="s">
        <v>419</v>
      </c>
      <c r="X686" s="2" t="s">
        <v>200</v>
      </c>
      <c r="Y686" s="2" t="s">
        <v>4157</v>
      </c>
      <c r="Z686" s="4">
        <v>12</v>
      </c>
      <c r="AA686" s="4">
        <f>=ROUNDDOWN(1.03448275862069,0)</f>
      </c>
      <c r="AB686" s="5">
        <v>11.6</v>
      </c>
      <c r="AC686" s="2" t="s">
        <v>200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200</v>
      </c>
      <c r="AM686" s="4"/>
      <c r="AN686" s="4"/>
      <c r="AO686" s="7"/>
      <c r="AP686" s="4"/>
      <c r="AQ686" s="8"/>
      <c r="AR686" s="4"/>
      <c r="AS686" s="8"/>
      <c r="AT686" s="7"/>
      <c r="AU686" s="7"/>
      <c r="AV686" s="4"/>
      <c r="AW686" s="8"/>
      <c r="AX686" s="4"/>
      <c r="AY686" s="8"/>
      <c r="AZ686" s="7"/>
      <c r="BA686" s="7"/>
      <c r="BB686" s="7"/>
      <c r="BC686" s="4" t="s">
        <v>200</v>
      </c>
      <c r="BD686" s="8" t="s">
        <v>200</v>
      </c>
      <c r="BE686" s="4" t="s">
        <v>200</v>
      </c>
      <c r="BF686" s="8" t="s">
        <v>200</v>
      </c>
      <c r="BG686" s="7" t="s">
        <v>200</v>
      </c>
      <c r="BH686" s="7" t="s">
        <v>200</v>
      </c>
      <c r="BI686" s="7"/>
      <c r="BJ686" s="4">
        <v>12</v>
      </c>
      <c r="BK686" s="8">
        <v>152.88</v>
      </c>
      <c r="BL686" s="2" t="s">
        <v>4268</v>
      </c>
      <c r="BM686" s="7"/>
      <c r="BN686" s="7"/>
      <c r="BO686" s="4"/>
      <c r="BP686" s="8"/>
      <c r="BQ686" s="4"/>
      <c r="BR686" s="8"/>
      <c r="BS686" s="7"/>
      <c r="BT686" s="7"/>
      <c r="BU686" s="2" t="s">
        <v>4269</v>
      </c>
      <c r="BV686" s="2" t="s">
        <v>200</v>
      </c>
      <c r="BW686" s="2" t="s">
        <v>200</v>
      </c>
      <c r="BX686" s="2" t="s">
        <v>289</v>
      </c>
      <c r="BY686" s="2" t="s">
        <v>247</v>
      </c>
      <c r="BZ686" s="2" t="s">
        <v>212</v>
      </c>
      <c r="CA686" s="2" t="s">
        <v>1237</v>
      </c>
      <c r="CB686" s="2" t="s">
        <v>4160</v>
      </c>
      <c r="CC686" s="2" t="s">
        <v>213</v>
      </c>
      <c r="CD686" s="2" t="s">
        <v>200</v>
      </c>
      <c r="CE686" s="4">
        <v>12</v>
      </c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</row>
    <row r="687">
      <c r="A687" s="2" t="s">
        <v>4270</v>
      </c>
      <c r="B687" s="2" t="s">
        <v>195</v>
      </c>
      <c r="C687" s="2" t="s">
        <v>1894</v>
      </c>
      <c r="D687" s="2" t="s">
        <v>608</v>
      </c>
      <c r="E687" s="2" t="s">
        <v>609</v>
      </c>
      <c r="F687" s="2" t="s">
        <v>4271</v>
      </c>
      <c r="G687" s="2" t="s">
        <v>4271</v>
      </c>
      <c r="H687" s="2" t="s">
        <v>4271</v>
      </c>
      <c r="I687" s="2" t="s">
        <v>4272</v>
      </c>
      <c r="J687" s="2" t="s">
        <v>612</v>
      </c>
      <c r="K687" s="2" t="s">
        <v>1174</v>
      </c>
      <c r="L687" s="3">
        <v>28.57</v>
      </c>
      <c r="M687" s="3">
        <v>30</v>
      </c>
      <c r="N687" s="3">
        <v>59.99</v>
      </c>
      <c r="O687" s="2" t="s">
        <v>417</v>
      </c>
      <c r="P687" s="2" t="s">
        <v>285</v>
      </c>
      <c r="Q687" s="2" t="s">
        <v>206</v>
      </c>
      <c r="R687" s="2" t="s">
        <v>200</v>
      </c>
      <c r="S687" s="2" t="s">
        <v>200</v>
      </c>
      <c r="T687" s="2" t="s">
        <v>4273</v>
      </c>
      <c r="U687" s="2" t="s">
        <v>240</v>
      </c>
      <c r="V687" s="2" t="s">
        <v>2826</v>
      </c>
      <c r="W687" s="2" t="s">
        <v>4274</v>
      </c>
      <c r="X687" s="2" t="s">
        <v>1900</v>
      </c>
      <c r="Y687" s="2" t="s">
        <v>761</v>
      </c>
      <c r="Z687" s="4">
        <v>149</v>
      </c>
      <c r="AA687" s="4">
        <f>=ROUNDDOWN(18.625,0)</f>
      </c>
      <c r="AB687" s="5">
        <v>8</v>
      </c>
      <c r="AC687" s="2" t="s">
        <v>200</v>
      </c>
      <c r="AD687" s="4"/>
      <c r="AE687" s="4"/>
      <c r="AF687" s="6">
        <v>64</v>
      </c>
      <c r="AG687" s="6"/>
      <c r="AH687" s="7">
        <v>1</v>
      </c>
      <c r="AI687" s="4"/>
      <c r="AJ687" s="4">
        <f>=ROUNDDOWN({0},0)</f>
      </c>
      <c r="AK687" s="5"/>
      <c r="AL687" s="2" t="s">
        <v>200</v>
      </c>
      <c r="AM687" s="4"/>
      <c r="AN687" s="4"/>
      <c r="AO687" s="7"/>
      <c r="AP687" s="4"/>
      <c r="AQ687" s="8"/>
      <c r="AR687" s="4"/>
      <c r="AS687" s="8"/>
      <c r="AT687" s="7"/>
      <c r="AU687" s="7"/>
      <c r="AV687" s="4" t="s">
        <v>200</v>
      </c>
      <c r="AW687" s="8" t="s">
        <v>200</v>
      </c>
      <c r="AX687" s="4" t="s">
        <v>200</v>
      </c>
      <c r="AY687" s="8" t="s">
        <v>200</v>
      </c>
      <c r="AZ687" s="7" t="s">
        <v>200</v>
      </c>
      <c r="BA687" s="7" t="s">
        <v>200</v>
      </c>
      <c r="BB687" s="7"/>
      <c r="BC687" s="4" t="s">
        <v>200</v>
      </c>
      <c r="BD687" s="8" t="s">
        <v>200</v>
      </c>
      <c r="BE687" s="4" t="s">
        <v>200</v>
      </c>
      <c r="BF687" s="8" t="s">
        <v>200</v>
      </c>
      <c r="BG687" s="7" t="s">
        <v>200</v>
      </c>
      <c r="BH687" s="7" t="s">
        <v>200</v>
      </c>
      <c r="BI687" s="7"/>
      <c r="BJ687" s="4">
        <v>23</v>
      </c>
      <c r="BK687" s="8">
        <v>615.66</v>
      </c>
      <c r="BL687" s="2" t="s">
        <v>4275</v>
      </c>
      <c r="BM687" s="7"/>
      <c r="BN687" s="7"/>
      <c r="BO687" s="4"/>
      <c r="BP687" s="8"/>
      <c r="BQ687" s="4"/>
      <c r="BR687" s="8"/>
      <c r="BS687" s="7"/>
      <c r="BT687" s="7"/>
      <c r="BU687" s="2" t="s">
        <v>4276</v>
      </c>
      <c r="BV687" s="2" t="s">
        <v>200</v>
      </c>
      <c r="BW687" s="2" t="s">
        <v>200</v>
      </c>
      <c r="BX687" s="2" t="s">
        <v>289</v>
      </c>
      <c r="BY687" s="2" t="s">
        <v>247</v>
      </c>
      <c r="BZ687" s="2" t="s">
        <v>212</v>
      </c>
      <c r="CA687" s="2" t="s">
        <v>4277</v>
      </c>
      <c r="CB687" s="2" t="s">
        <v>2132</v>
      </c>
      <c r="CC687" s="2" t="s">
        <v>213</v>
      </c>
      <c r="CD687" s="2" t="s">
        <v>200</v>
      </c>
      <c r="CE687" s="4">
        <v>149</v>
      </c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</row>
    <row r="688">
      <c r="A688" s="2" t="s">
        <v>4278</v>
      </c>
      <c r="B688" s="2" t="s">
        <v>195</v>
      </c>
      <c r="C688" s="2" t="s">
        <v>1894</v>
      </c>
      <c r="D688" s="2" t="s">
        <v>608</v>
      </c>
      <c r="E688" s="2" t="s">
        <v>609</v>
      </c>
      <c r="F688" s="2" t="s">
        <v>4271</v>
      </c>
      <c r="G688" s="2" t="s">
        <v>4271</v>
      </c>
      <c r="H688" s="2" t="s">
        <v>4271</v>
      </c>
      <c r="I688" s="2" t="s">
        <v>4272</v>
      </c>
      <c r="J688" s="2" t="s">
        <v>302</v>
      </c>
      <c r="K688" s="2" t="s">
        <v>1174</v>
      </c>
      <c r="L688" s="3">
        <v>33.33</v>
      </c>
      <c r="M688" s="3">
        <v>35</v>
      </c>
      <c r="N688" s="3">
        <v>69.99</v>
      </c>
      <c r="O688" s="2" t="s">
        <v>460</v>
      </c>
      <c r="P688" s="2" t="s">
        <v>285</v>
      </c>
      <c r="Q688" s="2" t="s">
        <v>206</v>
      </c>
      <c r="R688" s="2" t="s">
        <v>200</v>
      </c>
      <c r="S688" s="2" t="s">
        <v>200</v>
      </c>
      <c r="T688" s="2" t="s">
        <v>4273</v>
      </c>
      <c r="U688" s="2" t="s">
        <v>240</v>
      </c>
      <c r="V688" s="2" t="s">
        <v>2826</v>
      </c>
      <c r="W688" s="2" t="s">
        <v>4274</v>
      </c>
      <c r="X688" s="2" t="s">
        <v>1900</v>
      </c>
      <c r="Y688" s="2" t="s">
        <v>761</v>
      </c>
      <c r="Z688" s="4">
        <v>680</v>
      </c>
      <c r="AA688" s="4">
        <f>=ROUNDDOWN(136,0)</f>
      </c>
      <c r="AB688" s="5">
        <v>5</v>
      </c>
      <c r="AC688" s="2" t="s">
        <v>200</v>
      </c>
      <c r="AD688" s="4"/>
      <c r="AE688" s="4"/>
      <c r="AF688" s="6">
        <v>64</v>
      </c>
      <c r="AG688" s="6"/>
      <c r="AH688" s="7">
        <v>1</v>
      </c>
      <c r="AI688" s="4"/>
      <c r="AJ688" s="4">
        <f>=ROUNDDOWN({0},0)</f>
      </c>
      <c r="AK688" s="5"/>
      <c r="AL688" s="2" t="s">
        <v>200</v>
      </c>
      <c r="AM688" s="4"/>
      <c r="AN688" s="4"/>
      <c r="AO688" s="7"/>
      <c r="AP688" s="4"/>
      <c r="AQ688" s="8"/>
      <c r="AR688" s="4"/>
      <c r="AS688" s="8"/>
      <c r="AT688" s="7"/>
      <c r="AU688" s="7"/>
      <c r="AV688" s="4" t="s">
        <v>200</v>
      </c>
      <c r="AW688" s="8" t="s">
        <v>200</v>
      </c>
      <c r="AX688" s="4" t="s">
        <v>200</v>
      </c>
      <c r="AY688" s="8" t="s">
        <v>200</v>
      </c>
      <c r="AZ688" s="7" t="s">
        <v>200</v>
      </c>
      <c r="BA688" s="7" t="s">
        <v>200</v>
      </c>
      <c r="BB688" s="7"/>
      <c r="BC688" s="4" t="s">
        <v>200</v>
      </c>
      <c r="BD688" s="8" t="s">
        <v>200</v>
      </c>
      <c r="BE688" s="4" t="s">
        <v>200</v>
      </c>
      <c r="BF688" s="8" t="s">
        <v>200</v>
      </c>
      <c r="BG688" s="7" t="s">
        <v>200</v>
      </c>
      <c r="BH688" s="7" t="s">
        <v>200</v>
      </c>
      <c r="BI688" s="7"/>
      <c r="BJ688" s="4">
        <v>15</v>
      </c>
      <c r="BK688" s="8">
        <v>412.9</v>
      </c>
      <c r="BL688" s="2" t="s">
        <v>4275</v>
      </c>
      <c r="BM688" s="7"/>
      <c r="BN688" s="7"/>
      <c r="BO688" s="4"/>
      <c r="BP688" s="8"/>
      <c r="BQ688" s="4"/>
      <c r="BR688" s="8"/>
      <c r="BS688" s="7"/>
      <c r="BT688" s="7"/>
      <c r="BU688" s="2" t="s">
        <v>4279</v>
      </c>
      <c r="BV688" s="2" t="s">
        <v>200</v>
      </c>
      <c r="BW688" s="2" t="s">
        <v>200</v>
      </c>
      <c r="BX688" s="2" t="s">
        <v>289</v>
      </c>
      <c r="BY688" s="2" t="s">
        <v>247</v>
      </c>
      <c r="BZ688" s="2" t="s">
        <v>212</v>
      </c>
      <c r="CA688" s="2" t="s">
        <v>4277</v>
      </c>
      <c r="CB688" s="2" t="s">
        <v>1871</v>
      </c>
      <c r="CC688" s="2" t="s">
        <v>213</v>
      </c>
      <c r="CD688" s="2" t="s">
        <v>200</v>
      </c>
      <c r="CE688" s="4">
        <v>680</v>
      </c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</row>
    <row r="689">
      <c r="A689" s="2" t="s">
        <v>4280</v>
      </c>
      <c r="B689" s="2" t="s">
        <v>195</v>
      </c>
      <c r="C689" s="2" t="s">
        <v>1894</v>
      </c>
      <c r="D689" s="2" t="s">
        <v>608</v>
      </c>
      <c r="E689" s="2" t="s">
        <v>609</v>
      </c>
      <c r="F689" s="2" t="s">
        <v>4271</v>
      </c>
      <c r="G689" s="2" t="s">
        <v>4271</v>
      </c>
      <c r="H689" s="2" t="s">
        <v>4271</v>
      </c>
      <c r="I689" s="2" t="s">
        <v>4272</v>
      </c>
      <c r="J689" s="2" t="s">
        <v>612</v>
      </c>
      <c r="K689" s="2" t="s">
        <v>1153</v>
      </c>
      <c r="L689" s="3">
        <v>28.57</v>
      </c>
      <c r="M689" s="3">
        <v>30</v>
      </c>
      <c r="N689" s="3">
        <v>59.99</v>
      </c>
      <c r="O689" s="2" t="s">
        <v>460</v>
      </c>
      <c r="P689" s="2" t="s">
        <v>285</v>
      </c>
      <c r="Q689" s="2" t="s">
        <v>206</v>
      </c>
      <c r="R689" s="2" t="s">
        <v>200</v>
      </c>
      <c r="S689" s="2" t="s">
        <v>200</v>
      </c>
      <c r="T689" s="2" t="s">
        <v>4273</v>
      </c>
      <c r="U689" s="2" t="s">
        <v>240</v>
      </c>
      <c r="V689" s="2" t="s">
        <v>2826</v>
      </c>
      <c r="W689" s="2" t="s">
        <v>4274</v>
      </c>
      <c r="X689" s="2" t="s">
        <v>1900</v>
      </c>
      <c r="Y689" s="2" t="s">
        <v>761</v>
      </c>
      <c r="Z689" s="4">
        <v>163</v>
      </c>
      <c r="AA689" s="4">
        <f>=ROUNDDOWN(23.2857142857143,0)</f>
      </c>
      <c r="AB689" s="5">
        <v>7</v>
      </c>
      <c r="AC689" s="2" t="s">
        <v>200</v>
      </c>
      <c r="AD689" s="4"/>
      <c r="AE689" s="4"/>
      <c r="AF689" s="6">
        <v>64</v>
      </c>
      <c r="AG689" s="6"/>
      <c r="AH689" s="7">
        <v>1</v>
      </c>
      <c r="AI689" s="4"/>
      <c r="AJ689" s="4">
        <f>=ROUNDDOWN({0},0)</f>
      </c>
      <c r="AK689" s="5"/>
      <c r="AL689" s="2" t="s">
        <v>200</v>
      </c>
      <c r="AM689" s="4"/>
      <c r="AN689" s="4"/>
      <c r="AO689" s="7"/>
      <c r="AP689" s="4"/>
      <c r="AQ689" s="8"/>
      <c r="AR689" s="4"/>
      <c r="AS689" s="8"/>
      <c r="AT689" s="7"/>
      <c r="AU689" s="7"/>
      <c r="AV689" s="4"/>
      <c r="AW689" s="8"/>
      <c r="AX689" s="4"/>
      <c r="AY689" s="8"/>
      <c r="AZ689" s="7"/>
      <c r="BA689" s="7"/>
      <c r="BB689" s="7"/>
      <c r="BC689" s="4" t="s">
        <v>200</v>
      </c>
      <c r="BD689" s="8" t="s">
        <v>200</v>
      </c>
      <c r="BE689" s="4" t="s">
        <v>200</v>
      </c>
      <c r="BF689" s="8" t="s">
        <v>200</v>
      </c>
      <c r="BG689" s="7" t="s">
        <v>200</v>
      </c>
      <c r="BH689" s="7" t="s">
        <v>200</v>
      </c>
      <c r="BI689" s="7"/>
      <c r="BJ689" s="4">
        <v>25</v>
      </c>
      <c r="BK689" s="8">
        <v>595.44</v>
      </c>
      <c r="BL689" s="2" t="s">
        <v>4281</v>
      </c>
      <c r="BM689" s="7"/>
      <c r="BN689" s="7"/>
      <c r="BO689" s="4"/>
      <c r="BP689" s="8"/>
      <c r="BQ689" s="4"/>
      <c r="BR689" s="8"/>
      <c r="BS689" s="7"/>
      <c r="BT689" s="7"/>
      <c r="BU689" s="2" t="s">
        <v>4282</v>
      </c>
      <c r="BV689" s="2" t="s">
        <v>200</v>
      </c>
      <c r="BW689" s="2" t="s">
        <v>200</v>
      </c>
      <c r="BX689" s="2" t="s">
        <v>289</v>
      </c>
      <c r="BY689" s="2" t="s">
        <v>247</v>
      </c>
      <c r="BZ689" s="2" t="s">
        <v>212</v>
      </c>
      <c r="CA689" s="2" t="s">
        <v>4277</v>
      </c>
      <c r="CB689" s="2" t="s">
        <v>4283</v>
      </c>
      <c r="CC689" s="2" t="s">
        <v>213</v>
      </c>
      <c r="CD689" s="2" t="s">
        <v>200</v>
      </c>
      <c r="CE689" s="4">
        <v>163</v>
      </c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</row>
    <row r="690">
      <c r="A690" s="2" t="s">
        <v>4284</v>
      </c>
      <c r="B690" s="2" t="s">
        <v>719</v>
      </c>
      <c r="C690" s="2" t="s">
        <v>231</v>
      </c>
      <c r="D690" s="2" t="s">
        <v>720</v>
      </c>
      <c r="E690" s="2" t="s">
        <v>721</v>
      </c>
      <c r="F690" s="2" t="s">
        <v>4285</v>
      </c>
      <c r="G690" s="2" t="s">
        <v>4285</v>
      </c>
      <c r="H690" s="2" t="s">
        <v>4285</v>
      </c>
      <c r="I690" s="2" t="s">
        <v>4286</v>
      </c>
      <c r="J690" s="2" t="s">
        <v>711</v>
      </c>
      <c r="K690" s="2" t="s">
        <v>4287</v>
      </c>
      <c r="L690" s="3">
        <v>62.86</v>
      </c>
      <c r="M690" s="3">
        <v>66</v>
      </c>
      <c r="N690" s="3">
        <v>139.99</v>
      </c>
      <c r="O690" s="2" t="s">
        <v>417</v>
      </c>
      <c r="P690" s="2" t="s">
        <v>285</v>
      </c>
      <c r="Q690" s="2" t="s">
        <v>206</v>
      </c>
      <c r="R690" s="2" t="s">
        <v>200</v>
      </c>
      <c r="S690" s="2" t="s">
        <v>200</v>
      </c>
      <c r="T690" s="2" t="s">
        <v>200</v>
      </c>
      <c r="U690" s="2" t="s">
        <v>270</v>
      </c>
      <c r="V690" s="2" t="s">
        <v>735</v>
      </c>
      <c r="W690" s="2" t="s">
        <v>419</v>
      </c>
      <c r="X690" s="2" t="s">
        <v>1271</v>
      </c>
      <c r="Y690" s="2" t="s">
        <v>4288</v>
      </c>
      <c r="Z690" s="4"/>
      <c r="AA690" s="4">
        <f>=ROUNDDOWN({0},0)</f>
      </c>
      <c r="AB690" s="5">
        <v>0.8</v>
      </c>
      <c r="AC690" s="2" t="s">
        <v>200</v>
      </c>
      <c r="AD690" s="4"/>
      <c r="AE690" s="4"/>
      <c r="AF690" s="6">
        <v>63</v>
      </c>
      <c r="AG690" s="6"/>
      <c r="AH690" s="7">
        <v>0.8667</v>
      </c>
      <c r="AI690" s="4"/>
      <c r="AJ690" s="4">
        <f>=ROUNDDOWN({0},0)</f>
      </c>
      <c r="AK690" s="5"/>
      <c r="AL690" s="2" t="s">
        <v>200</v>
      </c>
      <c r="AM690" s="4"/>
      <c r="AN690" s="4"/>
      <c r="AO690" s="7"/>
      <c r="AP690" s="4"/>
      <c r="AQ690" s="8"/>
      <c r="AR690" s="4"/>
      <c r="AS690" s="8"/>
      <c r="AT690" s="7"/>
      <c r="AU690" s="7"/>
      <c r="AV690" s="4"/>
      <c r="AW690" s="8"/>
      <c r="AX690" s="4"/>
      <c r="AY690" s="8"/>
      <c r="AZ690" s="7"/>
      <c r="BA690" s="7"/>
      <c r="BB690" s="7"/>
      <c r="BC690" s="4"/>
      <c r="BD690" s="8"/>
      <c r="BE690" s="4"/>
      <c r="BF690" s="8"/>
      <c r="BG690" s="7"/>
      <c r="BH690" s="7"/>
      <c r="BI690" s="7"/>
      <c r="BJ690" s="4">
        <v>1</v>
      </c>
      <c r="BK690" s="8">
        <v>66</v>
      </c>
      <c r="BL690" s="2" t="s">
        <v>2704</v>
      </c>
      <c r="BM690" s="7"/>
      <c r="BN690" s="7"/>
      <c r="BO690" s="4"/>
      <c r="BP690" s="8"/>
      <c r="BQ690" s="4"/>
      <c r="BR690" s="8"/>
      <c r="BS690" s="7"/>
      <c r="BT690" s="7"/>
      <c r="BU690" s="2" t="s">
        <v>4289</v>
      </c>
      <c r="BV690" s="2" t="s">
        <v>200</v>
      </c>
      <c r="BW690" s="2" t="s">
        <v>200</v>
      </c>
      <c r="BX690" s="2" t="s">
        <v>289</v>
      </c>
      <c r="BY690" s="2" t="s">
        <v>247</v>
      </c>
      <c r="BZ690" s="2" t="s">
        <v>212</v>
      </c>
      <c r="CA690" s="2" t="s">
        <v>4290</v>
      </c>
      <c r="CB690" s="2" t="s">
        <v>806</v>
      </c>
      <c r="CC690" s="2" t="s">
        <v>213</v>
      </c>
      <c r="CD690" s="2" t="s">
        <v>200</v>
      </c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</row>
    <row r="691">
      <c r="A691" s="2" t="s">
        <v>4291</v>
      </c>
      <c r="B691" s="2" t="s">
        <v>250</v>
      </c>
      <c r="C691" s="2" t="s">
        <v>251</v>
      </c>
      <c r="D691" s="2" t="s">
        <v>252</v>
      </c>
      <c r="E691" s="2" t="s">
        <v>374</v>
      </c>
      <c r="F691" s="2" t="s">
        <v>4292</v>
      </c>
      <c r="G691" s="2" t="s">
        <v>4292</v>
      </c>
      <c r="H691" s="2" t="s">
        <v>4292</v>
      </c>
      <c r="I691" s="2" t="s">
        <v>4293</v>
      </c>
      <c r="J691" s="2" t="s">
        <v>256</v>
      </c>
      <c r="K691" s="2" t="s">
        <v>257</v>
      </c>
      <c r="L691" s="3">
        <v>18.28</v>
      </c>
      <c r="M691" s="3">
        <v>19.19</v>
      </c>
      <c r="N691" s="3">
        <v>39.99</v>
      </c>
      <c r="O691" s="2" t="s">
        <v>460</v>
      </c>
      <c r="P691" s="2" t="s">
        <v>285</v>
      </c>
      <c r="Q691" s="2" t="s">
        <v>206</v>
      </c>
      <c r="R691" s="2" t="s">
        <v>200</v>
      </c>
      <c r="S691" s="2" t="s">
        <v>4294</v>
      </c>
      <c r="T691" s="2" t="s">
        <v>200</v>
      </c>
      <c r="U691" s="2" t="s">
        <v>270</v>
      </c>
      <c r="V691" s="2" t="s">
        <v>208</v>
      </c>
      <c r="W691" s="2" t="s">
        <v>379</v>
      </c>
      <c r="X691" s="2" t="s">
        <v>241</v>
      </c>
      <c r="Y691" s="2" t="s">
        <v>4295</v>
      </c>
      <c r="Z691" s="4">
        <v>56</v>
      </c>
      <c r="AA691" s="4">
        <f>=ROUNDDOWN(14,0)</f>
      </c>
      <c r="AB691" s="5">
        <v>4</v>
      </c>
      <c r="AC691" s="2" t="s">
        <v>200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200</v>
      </c>
      <c r="AM691" s="4"/>
      <c r="AN691" s="4"/>
      <c r="AO691" s="7"/>
      <c r="AP691" s="4"/>
      <c r="AQ691" s="8"/>
      <c r="AR691" s="4"/>
      <c r="AS691" s="8"/>
      <c r="AT691" s="7"/>
      <c r="AU691" s="7"/>
      <c r="AV691" s="4" t="s">
        <v>200</v>
      </c>
      <c r="AW691" s="8" t="s">
        <v>200</v>
      </c>
      <c r="AX691" s="4" t="s">
        <v>200</v>
      </c>
      <c r="AY691" s="8" t="s">
        <v>200</v>
      </c>
      <c r="AZ691" s="7" t="s">
        <v>200</v>
      </c>
      <c r="BA691" s="7" t="s">
        <v>200</v>
      </c>
      <c r="BB691" s="7"/>
      <c r="BC691" s="4" t="s">
        <v>200</v>
      </c>
      <c r="BD691" s="8" t="s">
        <v>200</v>
      </c>
      <c r="BE691" s="4" t="s">
        <v>200</v>
      </c>
      <c r="BF691" s="8" t="s">
        <v>200</v>
      </c>
      <c r="BG691" s="7" t="s">
        <v>200</v>
      </c>
      <c r="BH691" s="7" t="s">
        <v>200</v>
      </c>
      <c r="BI691" s="7"/>
      <c r="BJ691" s="4">
        <v>21</v>
      </c>
      <c r="BK691" s="8">
        <v>355.1</v>
      </c>
      <c r="BL691" s="2" t="s">
        <v>4296</v>
      </c>
      <c r="BM691" s="7"/>
      <c r="BN691" s="7"/>
      <c r="BO691" s="4"/>
      <c r="BP691" s="8"/>
      <c r="BQ691" s="4"/>
      <c r="BR691" s="8"/>
      <c r="BS691" s="7"/>
      <c r="BT691" s="7"/>
      <c r="BU691" s="2" t="s">
        <v>4297</v>
      </c>
      <c r="BV691" s="2" t="s">
        <v>200</v>
      </c>
      <c r="BW691" s="2" t="s">
        <v>200</v>
      </c>
      <c r="BX691" s="2" t="s">
        <v>289</v>
      </c>
      <c r="BY691" s="2" t="s">
        <v>247</v>
      </c>
      <c r="BZ691" s="2" t="s">
        <v>212</v>
      </c>
      <c r="CA691" s="2" t="s">
        <v>4298</v>
      </c>
      <c r="CB691" s="2" t="s">
        <v>2904</v>
      </c>
      <c r="CC691" s="2" t="s">
        <v>213</v>
      </c>
      <c r="CD691" s="2" t="s">
        <v>200</v>
      </c>
      <c r="CE691" s="4">
        <v>56</v>
      </c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</row>
    <row r="692">
      <c r="A692" s="2" t="s">
        <v>4299</v>
      </c>
      <c r="B692" s="2" t="s">
        <v>250</v>
      </c>
      <c r="C692" s="2" t="s">
        <v>251</v>
      </c>
      <c r="D692" s="2" t="s">
        <v>608</v>
      </c>
      <c r="E692" s="2" t="s">
        <v>3015</v>
      </c>
      <c r="F692" s="2" t="s">
        <v>4292</v>
      </c>
      <c r="G692" s="2" t="s">
        <v>4292</v>
      </c>
      <c r="H692" s="2" t="s">
        <v>4292</v>
      </c>
      <c r="I692" s="2" t="s">
        <v>4300</v>
      </c>
      <c r="J692" s="2" t="s">
        <v>612</v>
      </c>
      <c r="K692" s="2" t="s">
        <v>257</v>
      </c>
      <c r="L692" s="3">
        <v>33.33</v>
      </c>
      <c r="M692" s="3">
        <v>35</v>
      </c>
      <c r="N692" s="3">
        <v>69.99</v>
      </c>
      <c r="O692" s="2" t="s">
        <v>212</v>
      </c>
      <c r="P692" s="2" t="s">
        <v>285</v>
      </c>
      <c r="Q692" s="2" t="s">
        <v>206</v>
      </c>
      <c r="R692" s="2" t="s">
        <v>200</v>
      </c>
      <c r="S692" s="2" t="s">
        <v>4301</v>
      </c>
      <c r="T692" s="2" t="s">
        <v>200</v>
      </c>
      <c r="U692" s="2" t="s">
        <v>270</v>
      </c>
      <c r="V692" s="2" t="s">
        <v>208</v>
      </c>
      <c r="W692" s="2" t="s">
        <v>379</v>
      </c>
      <c r="X692" s="2" t="s">
        <v>200</v>
      </c>
      <c r="Y692" s="2" t="s">
        <v>4295</v>
      </c>
      <c r="Z692" s="4">
        <v>98</v>
      </c>
      <c r="AA692" s="4">
        <f>=ROUNDDOWN(19.6,0)</f>
      </c>
      <c r="AB692" s="5">
        <v>5</v>
      </c>
      <c r="AC692" s="2" t="s">
        <v>200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200</v>
      </c>
      <c r="AM692" s="4"/>
      <c r="AN692" s="4"/>
      <c r="AO692" s="7"/>
      <c r="AP692" s="4"/>
      <c r="AQ692" s="8"/>
      <c r="AR692" s="4"/>
      <c r="AS692" s="8"/>
      <c r="AT692" s="7"/>
      <c r="AU692" s="7"/>
      <c r="AV692" s="4" t="s">
        <v>200</v>
      </c>
      <c r="AW692" s="8" t="s">
        <v>200</v>
      </c>
      <c r="AX692" s="4" t="s">
        <v>200</v>
      </c>
      <c r="AY692" s="8" t="s">
        <v>200</v>
      </c>
      <c r="AZ692" s="7" t="s">
        <v>200</v>
      </c>
      <c r="BA692" s="7" t="s">
        <v>200</v>
      </c>
      <c r="BB692" s="7"/>
      <c r="BC692" s="4" t="s">
        <v>200</v>
      </c>
      <c r="BD692" s="8" t="s">
        <v>200</v>
      </c>
      <c r="BE692" s="4" t="s">
        <v>200</v>
      </c>
      <c r="BF692" s="8" t="s">
        <v>200</v>
      </c>
      <c r="BG692" s="7" t="s">
        <v>200</v>
      </c>
      <c r="BH692" s="7" t="s">
        <v>200</v>
      </c>
      <c r="BI692" s="7"/>
      <c r="BJ692" s="4">
        <v>27</v>
      </c>
      <c r="BK692" s="8">
        <v>941.85</v>
      </c>
      <c r="BL692" s="2" t="s">
        <v>4302</v>
      </c>
      <c r="BM692" s="7"/>
      <c r="BN692" s="7"/>
      <c r="BO692" s="4"/>
      <c r="BP692" s="8"/>
      <c r="BQ692" s="4"/>
      <c r="BR692" s="8"/>
      <c r="BS692" s="7"/>
      <c r="BT692" s="7"/>
      <c r="BU692" s="2" t="s">
        <v>4303</v>
      </c>
      <c r="BV692" s="2" t="s">
        <v>200</v>
      </c>
      <c r="BW692" s="2" t="s">
        <v>200</v>
      </c>
      <c r="BX692" s="2" t="s">
        <v>289</v>
      </c>
      <c r="BY692" s="2" t="s">
        <v>247</v>
      </c>
      <c r="BZ692" s="2" t="s">
        <v>212</v>
      </c>
      <c r="CA692" s="2" t="s">
        <v>4298</v>
      </c>
      <c r="CB692" s="2" t="s">
        <v>4304</v>
      </c>
      <c r="CC692" s="2" t="s">
        <v>213</v>
      </c>
      <c r="CD692" s="2" t="s">
        <v>200</v>
      </c>
      <c r="CE692" s="4">
        <v>98</v>
      </c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</row>
    <row r="693">
      <c r="A693" s="2" t="s">
        <v>4305</v>
      </c>
      <c r="B693" s="2" t="s">
        <v>250</v>
      </c>
      <c r="C693" s="2" t="s">
        <v>251</v>
      </c>
      <c r="D693" s="2" t="s">
        <v>608</v>
      </c>
      <c r="E693" s="2" t="s">
        <v>3015</v>
      </c>
      <c r="F693" s="2" t="s">
        <v>4292</v>
      </c>
      <c r="G693" s="2" t="s">
        <v>4292</v>
      </c>
      <c r="H693" s="2" t="s">
        <v>4292</v>
      </c>
      <c r="I693" s="2" t="s">
        <v>4300</v>
      </c>
      <c r="J693" s="2" t="s">
        <v>924</v>
      </c>
      <c r="K693" s="2" t="s">
        <v>257</v>
      </c>
      <c r="L693" s="3">
        <v>38.09</v>
      </c>
      <c r="M693" s="3">
        <v>39.99</v>
      </c>
      <c r="N693" s="3">
        <v>79.99</v>
      </c>
      <c r="O693" s="2" t="s">
        <v>212</v>
      </c>
      <c r="P693" s="2" t="s">
        <v>285</v>
      </c>
      <c r="Q693" s="2" t="s">
        <v>206</v>
      </c>
      <c r="R693" s="2" t="s">
        <v>200</v>
      </c>
      <c r="S693" s="2" t="s">
        <v>4301</v>
      </c>
      <c r="T693" s="2" t="s">
        <v>200</v>
      </c>
      <c r="U693" s="2" t="s">
        <v>270</v>
      </c>
      <c r="V693" s="2" t="s">
        <v>208</v>
      </c>
      <c r="W693" s="2" t="s">
        <v>379</v>
      </c>
      <c r="X693" s="2" t="s">
        <v>200</v>
      </c>
      <c r="Y693" s="2" t="s">
        <v>4295</v>
      </c>
      <c r="Z693" s="4">
        <v>109</v>
      </c>
      <c r="AA693" s="4">
        <f>=ROUNDDOWN(12.1111111111111,0)</f>
      </c>
      <c r="AB693" s="5">
        <v>9</v>
      </c>
      <c r="AC693" s="2" t="s">
        <v>200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200</v>
      </c>
      <c r="AM693" s="4"/>
      <c r="AN693" s="4"/>
      <c r="AO693" s="7"/>
      <c r="AP693" s="4"/>
      <c r="AQ693" s="8"/>
      <c r="AR693" s="4"/>
      <c r="AS693" s="8"/>
      <c r="AT693" s="7"/>
      <c r="AU693" s="7"/>
      <c r="AV693" s="4" t="s">
        <v>200</v>
      </c>
      <c r="AW693" s="8" t="s">
        <v>200</v>
      </c>
      <c r="AX693" s="4" t="s">
        <v>200</v>
      </c>
      <c r="AY693" s="8" t="s">
        <v>200</v>
      </c>
      <c r="AZ693" s="7" t="s">
        <v>200</v>
      </c>
      <c r="BA693" s="7" t="s">
        <v>200</v>
      </c>
      <c r="BB693" s="7"/>
      <c r="BC693" s="4" t="s">
        <v>200</v>
      </c>
      <c r="BD693" s="8" t="s">
        <v>200</v>
      </c>
      <c r="BE693" s="4" t="s">
        <v>200</v>
      </c>
      <c r="BF693" s="8" t="s">
        <v>200</v>
      </c>
      <c r="BG693" s="7" t="s">
        <v>200</v>
      </c>
      <c r="BH693" s="7" t="s">
        <v>200</v>
      </c>
      <c r="BI693" s="7"/>
      <c r="BJ693" s="4">
        <v>42</v>
      </c>
      <c r="BK693" s="8">
        <v>1716.23</v>
      </c>
      <c r="BL693" s="2" t="s">
        <v>4306</v>
      </c>
      <c r="BM693" s="7"/>
      <c r="BN693" s="7"/>
      <c r="BO693" s="4"/>
      <c r="BP693" s="8"/>
      <c r="BQ693" s="4"/>
      <c r="BR693" s="8"/>
      <c r="BS693" s="7"/>
      <c r="BT693" s="7"/>
      <c r="BU693" s="2" t="s">
        <v>4307</v>
      </c>
      <c r="BV693" s="2" t="s">
        <v>200</v>
      </c>
      <c r="BW693" s="2" t="s">
        <v>200</v>
      </c>
      <c r="BX693" s="2" t="s">
        <v>289</v>
      </c>
      <c r="BY693" s="2" t="s">
        <v>247</v>
      </c>
      <c r="BZ693" s="2" t="s">
        <v>212</v>
      </c>
      <c r="CA693" s="2" t="s">
        <v>4298</v>
      </c>
      <c r="CB693" s="2" t="s">
        <v>4308</v>
      </c>
      <c r="CC693" s="2" t="s">
        <v>213</v>
      </c>
      <c r="CD693" s="2" t="s">
        <v>200</v>
      </c>
      <c r="CE693" s="4">
        <v>109</v>
      </c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</row>
    <row r="694">
      <c r="A694" s="2" t="s">
        <v>4309</v>
      </c>
      <c r="B694" s="2" t="s">
        <v>827</v>
      </c>
      <c r="C694" s="2" t="s">
        <v>231</v>
      </c>
      <c r="D694" s="2" t="s">
        <v>828</v>
      </c>
      <c r="E694" s="2" t="s">
        <v>1011</v>
      </c>
      <c r="F694" s="2" t="s">
        <v>4310</v>
      </c>
      <c r="G694" s="2" t="s">
        <v>4311</v>
      </c>
      <c r="H694" s="2" t="s">
        <v>4312</v>
      </c>
      <c r="I694" s="2" t="s">
        <v>4313</v>
      </c>
      <c r="J694" s="2" t="s">
        <v>4001</v>
      </c>
      <c r="K694" s="2" t="s">
        <v>1135</v>
      </c>
      <c r="L694" s="3">
        <v>13.5</v>
      </c>
      <c r="M694" s="3">
        <v>14.18</v>
      </c>
      <c r="N694" s="3">
        <v>29.99</v>
      </c>
      <c r="O694" s="2" t="s">
        <v>212</v>
      </c>
      <c r="P694" s="2" t="s">
        <v>258</v>
      </c>
      <c r="Q694" s="2" t="s">
        <v>206</v>
      </c>
      <c r="R694" s="2" t="s">
        <v>200</v>
      </c>
      <c r="S694" s="2" t="s">
        <v>4314</v>
      </c>
      <c r="T694" s="2" t="s">
        <v>200</v>
      </c>
      <c r="U694" s="2" t="s">
        <v>270</v>
      </c>
      <c r="V694" s="2" t="s">
        <v>208</v>
      </c>
      <c r="W694" s="2" t="s">
        <v>379</v>
      </c>
      <c r="X694" s="2" t="s">
        <v>1078</v>
      </c>
      <c r="Y694" s="2" t="s">
        <v>4315</v>
      </c>
      <c r="Z694" s="4">
        <v>235</v>
      </c>
      <c r="AA694" s="4">
        <f>=ROUNDDOWN(58.75,0)</f>
      </c>
      <c r="AB694" s="5">
        <v>4</v>
      </c>
      <c r="AC694" s="2" t="s">
        <v>200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200</v>
      </c>
      <c r="AM694" s="4"/>
      <c r="AN694" s="4"/>
      <c r="AO694" s="7"/>
      <c r="AP694" s="4"/>
      <c r="AQ694" s="8"/>
      <c r="AR694" s="4"/>
      <c r="AS694" s="8"/>
      <c r="AT694" s="7"/>
      <c r="AU694" s="7"/>
      <c r="AV694" s="4"/>
      <c r="AW694" s="8"/>
      <c r="AX694" s="4"/>
      <c r="AY694" s="8"/>
      <c r="AZ694" s="7"/>
      <c r="BA694" s="7"/>
      <c r="BB694" s="7"/>
      <c r="BC694" s="4"/>
      <c r="BD694" s="8"/>
      <c r="BE694" s="4"/>
      <c r="BF694" s="8"/>
      <c r="BG694" s="7"/>
      <c r="BH694" s="7"/>
      <c r="BI694" s="7"/>
      <c r="BJ694" s="4">
        <v>32</v>
      </c>
      <c r="BK694" s="8">
        <v>450.36</v>
      </c>
      <c r="BL694" s="2" t="s">
        <v>2967</v>
      </c>
      <c r="BM694" s="7"/>
      <c r="BN694" s="7"/>
      <c r="BO694" s="4"/>
      <c r="BP694" s="8"/>
      <c r="BQ694" s="4"/>
      <c r="BR694" s="8"/>
      <c r="BS694" s="7"/>
      <c r="BT694" s="7"/>
      <c r="BU694" s="2" t="s">
        <v>4316</v>
      </c>
      <c r="BV694" s="2" t="s">
        <v>200</v>
      </c>
      <c r="BW694" s="2" t="s">
        <v>200</v>
      </c>
      <c r="BX694" s="2" t="s">
        <v>264</v>
      </c>
      <c r="BY694" s="2" t="s">
        <v>247</v>
      </c>
      <c r="BZ694" s="2" t="s">
        <v>212</v>
      </c>
      <c r="CA694" s="2" t="s">
        <v>4317</v>
      </c>
      <c r="CB694" s="2" t="s">
        <v>793</v>
      </c>
      <c r="CC694" s="2" t="s">
        <v>213</v>
      </c>
      <c r="CD694" s="2" t="s">
        <v>200</v>
      </c>
      <c r="CE694" s="4">
        <v>235</v>
      </c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</row>
    <row r="695">
      <c r="A695" s="2" t="s">
        <v>4318</v>
      </c>
      <c r="B695" s="2" t="s">
        <v>744</v>
      </c>
      <c r="C695" s="2" t="s">
        <v>231</v>
      </c>
      <c r="D695" s="2" t="s">
        <v>1275</v>
      </c>
      <c r="E695" s="2" t="s">
        <v>2091</v>
      </c>
      <c r="F695" s="2" t="s">
        <v>4319</v>
      </c>
      <c r="G695" s="2" t="s">
        <v>4320</v>
      </c>
      <c r="H695" s="2" t="s">
        <v>4321</v>
      </c>
      <c r="I695" s="2" t="s">
        <v>2093</v>
      </c>
      <c r="J695" s="2" t="s">
        <v>711</v>
      </c>
      <c r="K695" s="2" t="s">
        <v>1626</v>
      </c>
      <c r="L695" s="3">
        <v>156.75</v>
      </c>
      <c r="M695" s="3">
        <v>164.59</v>
      </c>
      <c r="N695" s="3">
        <v>329</v>
      </c>
      <c r="O695" s="2" t="s">
        <v>212</v>
      </c>
      <c r="P695" s="2" t="s">
        <v>285</v>
      </c>
      <c r="Q695" s="2" t="s">
        <v>206</v>
      </c>
      <c r="R695" s="2" t="s">
        <v>200</v>
      </c>
      <c r="S695" s="2" t="s">
        <v>200</v>
      </c>
      <c r="T695" s="2" t="s">
        <v>200</v>
      </c>
      <c r="U695" s="2" t="s">
        <v>270</v>
      </c>
      <c r="V695" s="2" t="s">
        <v>940</v>
      </c>
      <c r="W695" s="2" t="s">
        <v>379</v>
      </c>
      <c r="X695" s="2" t="s">
        <v>200</v>
      </c>
      <c r="Y695" s="2" t="s">
        <v>1360</v>
      </c>
      <c r="Z695" s="4">
        <v>16</v>
      </c>
      <c r="AA695" s="4">
        <f>=ROUNDDOWN(5.33333333333333,0)</f>
      </c>
      <c r="AB695" s="5">
        <v>3</v>
      </c>
      <c r="AC695" s="2" t="s">
        <v>200</v>
      </c>
      <c r="AD695" s="4"/>
      <c r="AE695" s="4"/>
      <c r="AF695" s="6">
        <v>74</v>
      </c>
      <c r="AG695" s="6"/>
      <c r="AH695" s="7">
        <v>1</v>
      </c>
      <c r="AI695" s="4"/>
      <c r="AJ695" s="4">
        <f>=ROUNDDOWN({0},0)</f>
      </c>
      <c r="AK695" s="5"/>
      <c r="AL695" s="2" t="s">
        <v>200</v>
      </c>
      <c r="AM695" s="4"/>
      <c r="AN695" s="4"/>
      <c r="AO695" s="7"/>
      <c r="AP695" s="4"/>
      <c r="AQ695" s="8"/>
      <c r="AR695" s="4"/>
      <c r="AS695" s="8"/>
      <c r="AT695" s="7"/>
      <c r="AU695" s="7"/>
      <c r="AV695" s="4"/>
      <c r="AW695" s="8"/>
      <c r="AX695" s="4"/>
      <c r="AY695" s="8"/>
      <c r="AZ695" s="7"/>
      <c r="BA695" s="7"/>
      <c r="BB695" s="7"/>
      <c r="BC695" s="4"/>
      <c r="BD695" s="8"/>
      <c r="BE695" s="4"/>
      <c r="BF695" s="8"/>
      <c r="BG695" s="7"/>
      <c r="BH695" s="7"/>
      <c r="BI695" s="7"/>
      <c r="BJ695" s="4">
        <v>26</v>
      </c>
      <c r="BK695" s="8">
        <v>2449.12</v>
      </c>
      <c r="BL695" s="2" t="s">
        <v>4322</v>
      </c>
      <c r="BM695" s="7"/>
      <c r="BN695" s="7"/>
      <c r="BO695" s="4"/>
      <c r="BP695" s="8"/>
      <c r="BQ695" s="4"/>
      <c r="BR695" s="8"/>
      <c r="BS695" s="7"/>
      <c r="BT695" s="7"/>
      <c r="BU695" s="2" t="s">
        <v>4323</v>
      </c>
      <c r="BV695" s="2" t="s">
        <v>200</v>
      </c>
      <c r="BW695" s="2" t="s">
        <v>200</v>
      </c>
      <c r="BX695" s="2" t="s">
        <v>289</v>
      </c>
      <c r="BY695" s="2" t="s">
        <v>247</v>
      </c>
      <c r="BZ695" s="2" t="s">
        <v>212</v>
      </c>
      <c r="CA695" s="2" t="s">
        <v>4324</v>
      </c>
      <c r="CB695" s="2" t="s">
        <v>3662</v>
      </c>
      <c r="CC695" s="2" t="s">
        <v>213</v>
      </c>
      <c r="CD695" s="2" t="s">
        <v>200</v>
      </c>
      <c r="CE695" s="4"/>
      <c r="CF695" s="4">
        <v>16</v>
      </c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</row>
    <row r="696">
      <c r="A696" s="2" t="s">
        <v>4325</v>
      </c>
      <c r="B696" s="2" t="s">
        <v>744</v>
      </c>
      <c r="C696" s="2" t="s">
        <v>231</v>
      </c>
      <c r="D696" s="2" t="s">
        <v>1275</v>
      </c>
      <c r="E696" s="2" t="s">
        <v>1276</v>
      </c>
      <c r="F696" s="2" t="s">
        <v>4326</v>
      </c>
      <c r="G696" s="2" t="s">
        <v>4327</v>
      </c>
      <c r="H696" s="2" t="s">
        <v>4328</v>
      </c>
      <c r="I696" s="2" t="s">
        <v>2093</v>
      </c>
      <c r="J696" s="2" t="s">
        <v>711</v>
      </c>
      <c r="K696" s="2" t="s">
        <v>857</v>
      </c>
      <c r="L696" s="3">
        <v>230</v>
      </c>
      <c r="M696" s="3">
        <v>241.5</v>
      </c>
      <c r="N696" s="3">
        <v>479</v>
      </c>
      <c r="O696" s="2" t="s">
        <v>460</v>
      </c>
      <c r="P696" s="2" t="s">
        <v>285</v>
      </c>
      <c r="Q696" s="2" t="s">
        <v>206</v>
      </c>
      <c r="R696" s="2" t="s">
        <v>200</v>
      </c>
      <c r="S696" s="2" t="s">
        <v>200</v>
      </c>
      <c r="T696" s="2" t="s">
        <v>200</v>
      </c>
      <c r="U696" s="2" t="s">
        <v>270</v>
      </c>
      <c r="V696" s="2" t="s">
        <v>208</v>
      </c>
      <c r="W696" s="2" t="s">
        <v>419</v>
      </c>
      <c r="X696" s="2" t="s">
        <v>200</v>
      </c>
      <c r="Y696" s="2" t="s">
        <v>4329</v>
      </c>
      <c r="Z696" s="4">
        <v>60</v>
      </c>
      <c r="AA696" s="4">
        <f>=ROUNDDOWN(600,0)</f>
      </c>
      <c r="AB696" s="5">
        <v>0.1</v>
      </c>
      <c r="AC696" s="2" t="s">
        <v>200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200</v>
      </c>
      <c r="AM696" s="4"/>
      <c r="AN696" s="4"/>
      <c r="AO696" s="7"/>
      <c r="AP696" s="4"/>
      <c r="AQ696" s="8"/>
      <c r="AR696" s="4"/>
      <c r="AS696" s="8"/>
      <c r="AT696" s="7"/>
      <c r="AU696" s="7"/>
      <c r="AV696" s="4"/>
      <c r="AW696" s="8"/>
      <c r="AX696" s="4"/>
      <c r="AY696" s="8"/>
      <c r="AZ696" s="7"/>
      <c r="BA696" s="7"/>
      <c r="BB696" s="7"/>
      <c r="BC696" s="4"/>
      <c r="BD696" s="8"/>
      <c r="BE696" s="4"/>
      <c r="BF696" s="8"/>
      <c r="BG696" s="7"/>
      <c r="BH696" s="7"/>
      <c r="BI696" s="7"/>
      <c r="BJ696" s="4">
        <v>7</v>
      </c>
      <c r="BK696" s="8">
        <v>335.79</v>
      </c>
      <c r="BL696" s="2" t="s">
        <v>303</v>
      </c>
      <c r="BM696" s="7"/>
      <c r="BN696" s="7"/>
      <c r="BO696" s="4"/>
      <c r="BP696" s="8"/>
      <c r="BQ696" s="4"/>
      <c r="BR696" s="8"/>
      <c r="BS696" s="7"/>
      <c r="BT696" s="7"/>
      <c r="BU696" s="2" t="s">
        <v>4330</v>
      </c>
      <c r="BV696" s="2" t="s">
        <v>200</v>
      </c>
      <c r="BW696" s="2" t="s">
        <v>200</v>
      </c>
      <c r="BX696" s="2" t="s">
        <v>289</v>
      </c>
      <c r="BY696" s="2" t="s">
        <v>247</v>
      </c>
      <c r="BZ696" s="2" t="s">
        <v>212</v>
      </c>
      <c r="CA696" s="2" t="s">
        <v>4324</v>
      </c>
      <c r="CB696" s="2" t="s">
        <v>4331</v>
      </c>
      <c r="CC696" s="2" t="s">
        <v>213</v>
      </c>
      <c r="CD696" s="2" t="s">
        <v>200</v>
      </c>
      <c r="CE696" s="4"/>
      <c r="CF696" s="4">
        <v>60</v>
      </c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</row>
    <row r="697">
      <c r="A697" s="2" t="s">
        <v>4332</v>
      </c>
      <c r="B697" s="2" t="s">
        <v>903</v>
      </c>
      <c r="C697" s="2" t="s">
        <v>607</v>
      </c>
      <c r="D697" s="2" t="s">
        <v>608</v>
      </c>
      <c r="E697" s="2" t="s">
        <v>609</v>
      </c>
      <c r="F697" s="2" t="s">
        <v>4333</v>
      </c>
      <c r="G697" s="2" t="s">
        <v>4333</v>
      </c>
      <c r="H697" s="2" t="s">
        <v>4333</v>
      </c>
      <c r="I697" s="2" t="s">
        <v>4334</v>
      </c>
      <c r="J697" s="2" t="s">
        <v>297</v>
      </c>
      <c r="K697" s="2" t="s">
        <v>416</v>
      </c>
      <c r="L697" s="3">
        <v>165</v>
      </c>
      <c r="M697" s="3">
        <v>173.24</v>
      </c>
      <c r="N697" s="3">
        <v>329.99</v>
      </c>
      <c r="O697" s="2" t="s">
        <v>212</v>
      </c>
      <c r="P697" s="2" t="s">
        <v>205</v>
      </c>
      <c r="Q697" s="2" t="s">
        <v>206</v>
      </c>
      <c r="R697" s="2" t="s">
        <v>200</v>
      </c>
      <c r="S697" s="2" t="s">
        <v>200</v>
      </c>
      <c r="T697" s="2" t="s">
        <v>1833</v>
      </c>
      <c r="U697" s="2" t="s">
        <v>689</v>
      </c>
      <c r="V697" s="2" t="s">
        <v>339</v>
      </c>
      <c r="W697" s="2" t="s">
        <v>926</v>
      </c>
      <c r="X697" s="2" t="s">
        <v>200</v>
      </c>
      <c r="Y697" s="2" t="s">
        <v>200</v>
      </c>
      <c r="Z697" s="4"/>
      <c r="AA697" s="4">
        <f>=ROUNDDOWN({0},0)</f>
      </c>
      <c r="AB697" s="5"/>
      <c r="AC697" s="2" t="s">
        <v>691</v>
      </c>
      <c r="AD697" s="4">
        <v>120</v>
      </c>
      <c r="AE697" s="4">
        <v>240</v>
      </c>
      <c r="AF697" s="6">
        <v>67</v>
      </c>
      <c r="AG697" s="6"/>
      <c r="AH697" s="7"/>
      <c r="AI697" s="4"/>
      <c r="AJ697" s="4">
        <f>=ROUNDDOWN({0},0)</f>
      </c>
      <c r="AK697" s="5"/>
      <c r="AL697" s="2" t="s">
        <v>200</v>
      </c>
      <c r="AM697" s="4"/>
      <c r="AN697" s="4"/>
      <c r="AO697" s="7"/>
      <c r="AP697" s="4"/>
      <c r="AQ697" s="8"/>
      <c r="AR697" s="4"/>
      <c r="AS697" s="8"/>
      <c r="AT697" s="7"/>
      <c r="AU697" s="7"/>
      <c r="AV697" s="4" t="s">
        <v>200</v>
      </c>
      <c r="AW697" s="8" t="s">
        <v>200</v>
      </c>
      <c r="AX697" s="4" t="s">
        <v>200</v>
      </c>
      <c r="AY697" s="8" t="s">
        <v>200</v>
      </c>
      <c r="AZ697" s="7" t="s">
        <v>200</v>
      </c>
      <c r="BA697" s="7" t="s">
        <v>200</v>
      </c>
      <c r="BB697" s="7"/>
      <c r="BC697" s="4" t="s">
        <v>200</v>
      </c>
      <c r="BD697" s="8" t="s">
        <v>200</v>
      </c>
      <c r="BE697" s="4" t="s">
        <v>200</v>
      </c>
      <c r="BF697" s="8" t="s">
        <v>200</v>
      </c>
      <c r="BG697" s="7" t="s">
        <v>200</v>
      </c>
      <c r="BH697" s="7" t="s">
        <v>200</v>
      </c>
      <c r="BI697" s="7"/>
      <c r="BJ697" s="4"/>
      <c r="BK697" s="8"/>
      <c r="BL697" s="2" t="s">
        <v>200</v>
      </c>
      <c r="BM697" s="7"/>
      <c r="BN697" s="7"/>
      <c r="BO697" s="4"/>
      <c r="BP697" s="8"/>
      <c r="BQ697" s="4"/>
      <c r="BR697" s="8"/>
      <c r="BS697" s="7"/>
      <c r="BT697" s="7"/>
      <c r="BU697" s="2" t="s">
        <v>210</v>
      </c>
      <c r="BV697" s="2" t="s">
        <v>200</v>
      </c>
      <c r="BW697" s="2" t="s">
        <v>200</v>
      </c>
      <c r="BX697" s="2" t="s">
        <v>210</v>
      </c>
      <c r="BY697" s="2" t="s">
        <v>211</v>
      </c>
      <c r="BZ697" s="2" t="s">
        <v>212</v>
      </c>
      <c r="CA697" s="2" t="s">
        <v>200</v>
      </c>
      <c r="CB697" s="2" t="s">
        <v>200</v>
      </c>
      <c r="CC697" s="2" t="s">
        <v>213</v>
      </c>
      <c r="CD697" s="2" t="s">
        <v>200</v>
      </c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>
        <v>120</v>
      </c>
      <c r="FG697" s="4"/>
      <c r="FH697" s="4"/>
      <c r="FI697" s="4"/>
      <c r="FJ697" s="4"/>
      <c r="FK697" s="4"/>
      <c r="FL697" s="4"/>
      <c r="FM697" s="4">
        <v>120</v>
      </c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</row>
    <row r="698">
      <c r="A698" s="2" t="s">
        <v>4335</v>
      </c>
      <c r="B698" s="2" t="s">
        <v>903</v>
      </c>
      <c r="C698" s="2" t="s">
        <v>607</v>
      </c>
      <c r="D698" s="2" t="s">
        <v>608</v>
      </c>
      <c r="E698" s="2" t="s">
        <v>609</v>
      </c>
      <c r="F698" s="2" t="s">
        <v>4333</v>
      </c>
      <c r="G698" s="2" t="s">
        <v>4333</v>
      </c>
      <c r="H698" s="2" t="s">
        <v>4333</v>
      </c>
      <c r="I698" s="2" t="s">
        <v>4334</v>
      </c>
      <c r="J698" s="2" t="s">
        <v>302</v>
      </c>
      <c r="K698" s="2" t="s">
        <v>416</v>
      </c>
      <c r="L698" s="3">
        <v>190</v>
      </c>
      <c r="M698" s="3">
        <v>199.49</v>
      </c>
      <c r="N698" s="3">
        <v>379.99</v>
      </c>
      <c r="O698" s="2" t="s">
        <v>212</v>
      </c>
      <c r="P698" s="2" t="s">
        <v>205</v>
      </c>
      <c r="Q698" s="2" t="s">
        <v>206</v>
      </c>
      <c r="R698" s="2" t="s">
        <v>200</v>
      </c>
      <c r="S698" s="2" t="s">
        <v>200</v>
      </c>
      <c r="T698" s="2" t="s">
        <v>1833</v>
      </c>
      <c r="U698" s="2" t="s">
        <v>909</v>
      </c>
      <c r="V698" s="2" t="s">
        <v>339</v>
      </c>
      <c r="W698" s="2" t="s">
        <v>926</v>
      </c>
      <c r="X698" s="2" t="s">
        <v>200</v>
      </c>
      <c r="Y698" s="2" t="s">
        <v>200</v>
      </c>
      <c r="Z698" s="4"/>
      <c r="AA698" s="4">
        <f>=ROUNDDOWN({0},0)</f>
      </c>
      <c r="AB698" s="5"/>
      <c r="AC698" s="2" t="s">
        <v>691</v>
      </c>
      <c r="AD698" s="4">
        <v>180</v>
      </c>
      <c r="AE698" s="4">
        <v>360</v>
      </c>
      <c r="AF698" s="6">
        <v>67</v>
      </c>
      <c r="AG698" s="6"/>
      <c r="AH698" s="7"/>
      <c r="AI698" s="4"/>
      <c r="AJ698" s="4">
        <f>=ROUNDDOWN({0},0)</f>
      </c>
      <c r="AK698" s="5"/>
      <c r="AL698" s="2" t="s">
        <v>200</v>
      </c>
      <c r="AM698" s="4"/>
      <c r="AN698" s="4"/>
      <c r="AO698" s="7"/>
      <c r="AP698" s="4"/>
      <c r="AQ698" s="8"/>
      <c r="AR698" s="4"/>
      <c r="AS698" s="8"/>
      <c r="AT698" s="7"/>
      <c r="AU698" s="7"/>
      <c r="AV698" s="4" t="s">
        <v>200</v>
      </c>
      <c r="AW698" s="8" t="s">
        <v>200</v>
      </c>
      <c r="AX698" s="4" t="s">
        <v>200</v>
      </c>
      <c r="AY698" s="8" t="s">
        <v>200</v>
      </c>
      <c r="AZ698" s="7" t="s">
        <v>200</v>
      </c>
      <c r="BA698" s="7" t="s">
        <v>200</v>
      </c>
      <c r="BB698" s="7"/>
      <c r="BC698" s="4" t="s">
        <v>200</v>
      </c>
      <c r="BD698" s="8" t="s">
        <v>200</v>
      </c>
      <c r="BE698" s="4" t="s">
        <v>200</v>
      </c>
      <c r="BF698" s="8" t="s">
        <v>200</v>
      </c>
      <c r="BG698" s="7" t="s">
        <v>200</v>
      </c>
      <c r="BH698" s="7" t="s">
        <v>200</v>
      </c>
      <c r="BI698" s="7"/>
      <c r="BJ698" s="4"/>
      <c r="BK698" s="8"/>
      <c r="BL698" s="2" t="s">
        <v>200</v>
      </c>
      <c r="BM698" s="7"/>
      <c r="BN698" s="7"/>
      <c r="BO698" s="4"/>
      <c r="BP698" s="8"/>
      <c r="BQ698" s="4"/>
      <c r="BR698" s="8"/>
      <c r="BS698" s="7"/>
      <c r="BT698" s="7"/>
      <c r="BU698" s="2" t="s">
        <v>210</v>
      </c>
      <c r="BV698" s="2" t="s">
        <v>200</v>
      </c>
      <c r="BW698" s="2" t="s">
        <v>200</v>
      </c>
      <c r="BX698" s="2" t="s">
        <v>210</v>
      </c>
      <c r="BY698" s="2" t="s">
        <v>211</v>
      </c>
      <c r="BZ698" s="2" t="s">
        <v>212</v>
      </c>
      <c r="CA698" s="2" t="s">
        <v>200</v>
      </c>
      <c r="CB698" s="2" t="s">
        <v>200</v>
      </c>
      <c r="CC698" s="2" t="s">
        <v>213</v>
      </c>
      <c r="CD698" s="2" t="s">
        <v>200</v>
      </c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>
        <v>180</v>
      </c>
      <c r="FG698" s="4"/>
      <c r="FH698" s="4"/>
      <c r="FI698" s="4"/>
      <c r="FJ698" s="4"/>
      <c r="FK698" s="4"/>
      <c r="FL698" s="4"/>
      <c r="FM698" s="4">
        <v>180</v>
      </c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</row>
    <row r="699">
      <c r="A699" s="2" t="s">
        <v>4336</v>
      </c>
      <c r="B699" s="2" t="s">
        <v>719</v>
      </c>
      <c r="C699" s="2" t="s">
        <v>730</v>
      </c>
      <c r="D699" s="2" t="s">
        <v>720</v>
      </c>
      <c r="E699" s="2" t="s">
        <v>721</v>
      </c>
      <c r="F699" s="2" t="s">
        <v>4337</v>
      </c>
      <c r="G699" s="2" t="s">
        <v>4337</v>
      </c>
      <c r="H699" s="2" t="s">
        <v>4337</v>
      </c>
      <c r="I699" s="2" t="s">
        <v>4338</v>
      </c>
      <c r="J699" s="2" t="s">
        <v>711</v>
      </c>
      <c r="K699" s="2" t="s">
        <v>733</v>
      </c>
      <c r="L699" s="3">
        <v>17.03</v>
      </c>
      <c r="M699" s="3">
        <v>17.88</v>
      </c>
      <c r="N699" s="3">
        <v>39.09</v>
      </c>
      <c r="O699" s="2" t="s">
        <v>212</v>
      </c>
      <c r="P699" s="2" t="s">
        <v>258</v>
      </c>
      <c r="Q699" s="2" t="s">
        <v>206</v>
      </c>
      <c r="R699" s="2" t="s">
        <v>200</v>
      </c>
      <c r="S699" s="2" t="s">
        <v>4339</v>
      </c>
      <c r="T699" s="2" t="s">
        <v>200</v>
      </c>
      <c r="U699" s="2" t="s">
        <v>270</v>
      </c>
      <c r="V699" s="2" t="s">
        <v>735</v>
      </c>
      <c r="W699" s="2" t="s">
        <v>736</v>
      </c>
      <c r="X699" s="2" t="s">
        <v>737</v>
      </c>
      <c r="Y699" s="2" t="s">
        <v>738</v>
      </c>
      <c r="Z699" s="4">
        <v>163</v>
      </c>
      <c r="AA699" s="4">
        <f>=ROUNDDOWN(20.375,0)</f>
      </c>
      <c r="AB699" s="5">
        <v>8</v>
      </c>
      <c r="AC699" s="2" t="s">
        <v>200</v>
      </c>
      <c r="AD699" s="4"/>
      <c r="AE699" s="4"/>
      <c r="AF699" s="6">
        <v>61</v>
      </c>
      <c r="AG699" s="6">
        <v>44</v>
      </c>
      <c r="AH699" s="7">
        <v>1</v>
      </c>
      <c r="AI699" s="4"/>
      <c r="AJ699" s="4">
        <f>=ROUNDDOWN({0},0)</f>
      </c>
      <c r="AK699" s="5"/>
      <c r="AL699" s="2" t="s">
        <v>200</v>
      </c>
      <c r="AM699" s="4"/>
      <c r="AN699" s="4"/>
      <c r="AO699" s="7"/>
      <c r="AP699" s="4"/>
      <c r="AQ699" s="8"/>
      <c r="AR699" s="4"/>
      <c r="AS699" s="8"/>
      <c r="AT699" s="7"/>
      <c r="AU699" s="7"/>
      <c r="AV699" s="4"/>
      <c r="AW699" s="8"/>
      <c r="AX699" s="4"/>
      <c r="AY699" s="8"/>
      <c r="AZ699" s="7"/>
      <c r="BA699" s="7"/>
      <c r="BB699" s="7"/>
      <c r="BC699" s="4"/>
      <c r="BD699" s="8"/>
      <c r="BE699" s="4"/>
      <c r="BF699" s="8"/>
      <c r="BG699" s="7"/>
      <c r="BH699" s="7"/>
      <c r="BI699" s="7"/>
      <c r="BJ699" s="4">
        <v>29</v>
      </c>
      <c r="BK699" s="8">
        <v>601.29</v>
      </c>
      <c r="BL699" s="2" t="s">
        <v>4340</v>
      </c>
      <c r="BM699" s="7"/>
      <c r="BN699" s="7"/>
      <c r="BO699" s="4"/>
      <c r="BP699" s="8"/>
      <c r="BQ699" s="4"/>
      <c r="BR699" s="8"/>
      <c r="BS699" s="7"/>
      <c r="BT699" s="7"/>
      <c r="BU699" s="2" t="s">
        <v>4341</v>
      </c>
      <c r="BV699" s="2" t="s">
        <v>200</v>
      </c>
      <c r="BW699" s="2" t="s">
        <v>200</v>
      </c>
      <c r="BX699" s="2" t="s">
        <v>264</v>
      </c>
      <c r="BY699" s="2" t="s">
        <v>247</v>
      </c>
      <c r="BZ699" s="2" t="s">
        <v>212</v>
      </c>
      <c r="CA699" s="2" t="s">
        <v>741</v>
      </c>
      <c r="CB699" s="2" t="s">
        <v>3118</v>
      </c>
      <c r="CC699" s="2" t="s">
        <v>213</v>
      </c>
      <c r="CD699" s="2" t="s">
        <v>200</v>
      </c>
      <c r="CE699" s="4"/>
      <c r="CF699" s="4">
        <v>64</v>
      </c>
      <c r="CG699" s="4"/>
      <c r="CH699" s="4">
        <v>99</v>
      </c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</row>
    <row r="700">
      <c r="A700" s="2" t="s">
        <v>4342</v>
      </c>
      <c r="B700" s="2" t="s">
        <v>719</v>
      </c>
      <c r="C700" s="2" t="s">
        <v>231</v>
      </c>
      <c r="D700" s="2" t="s">
        <v>1554</v>
      </c>
      <c r="E700" s="2" t="s">
        <v>721</v>
      </c>
      <c r="F700" s="2" t="s">
        <v>4343</v>
      </c>
      <c r="G700" s="2" t="s">
        <v>200</v>
      </c>
      <c r="H700" s="2" t="s">
        <v>200</v>
      </c>
      <c r="I700" s="2" t="s">
        <v>4344</v>
      </c>
      <c r="J700" s="2" t="s">
        <v>711</v>
      </c>
      <c r="K700" s="2" t="s">
        <v>387</v>
      </c>
      <c r="L700" s="3">
        <v>48.43</v>
      </c>
      <c r="M700" s="3">
        <v>50.85</v>
      </c>
      <c r="N700" s="3">
        <v>98.59</v>
      </c>
      <c r="O700" s="2" t="s">
        <v>212</v>
      </c>
      <c r="P700" s="2" t="s">
        <v>750</v>
      </c>
      <c r="Q700" s="2" t="s">
        <v>206</v>
      </c>
      <c r="R700" s="2" t="s">
        <v>200</v>
      </c>
      <c r="S700" s="2" t="s">
        <v>4345</v>
      </c>
      <c r="T700" s="2" t="s">
        <v>200</v>
      </c>
      <c r="U700" s="2" t="s">
        <v>677</v>
      </c>
      <c r="V700" s="2" t="s">
        <v>724</v>
      </c>
      <c r="W700" s="2" t="s">
        <v>379</v>
      </c>
      <c r="X700" s="2" t="s">
        <v>200</v>
      </c>
      <c r="Y700" s="2" t="s">
        <v>4346</v>
      </c>
      <c r="Z700" s="4">
        <v>127</v>
      </c>
      <c r="AA700" s="4">
        <f>=ROUNDDOWN(42.3333333333333,0)</f>
      </c>
      <c r="AB700" s="5">
        <v>3</v>
      </c>
      <c r="AC700" s="2" t="s">
        <v>200</v>
      </c>
      <c r="AD700" s="4"/>
      <c r="AE700" s="4"/>
      <c r="AF700" s="6">
        <v>61</v>
      </c>
      <c r="AG700" s="6"/>
      <c r="AH700" s="7">
        <v>1</v>
      </c>
      <c r="AI700" s="4"/>
      <c r="AJ700" s="4">
        <f>=ROUNDDOWN({0},0)</f>
      </c>
      <c r="AK700" s="5"/>
      <c r="AL700" s="2" t="s">
        <v>200</v>
      </c>
      <c r="AM700" s="4"/>
      <c r="AN700" s="4"/>
      <c r="AO700" s="7"/>
      <c r="AP700" s="4"/>
      <c r="AQ700" s="8"/>
      <c r="AR700" s="4"/>
      <c r="AS700" s="8"/>
      <c r="AT700" s="7"/>
      <c r="AU700" s="7"/>
      <c r="AV700" s="4"/>
      <c r="AW700" s="8"/>
      <c r="AX700" s="4"/>
      <c r="AY700" s="8"/>
      <c r="AZ700" s="7"/>
      <c r="BA700" s="7"/>
      <c r="BB700" s="7"/>
      <c r="BC700" s="4"/>
      <c r="BD700" s="8"/>
      <c r="BE700" s="4"/>
      <c r="BF700" s="8"/>
      <c r="BG700" s="7"/>
      <c r="BH700" s="7"/>
      <c r="BI700" s="7"/>
      <c r="BJ700" s="4">
        <v>7</v>
      </c>
      <c r="BK700" s="8">
        <v>401.62</v>
      </c>
      <c r="BL700" s="2" t="s">
        <v>4347</v>
      </c>
      <c r="BM700" s="7"/>
      <c r="BN700" s="7"/>
      <c r="BO700" s="4"/>
      <c r="BP700" s="8"/>
      <c r="BQ700" s="4"/>
      <c r="BR700" s="8"/>
      <c r="BS700" s="7"/>
      <c r="BT700" s="7"/>
      <c r="BU700" s="2" t="s">
        <v>4348</v>
      </c>
      <c r="BV700" s="2" t="s">
        <v>200</v>
      </c>
      <c r="BW700" s="2" t="s">
        <v>200</v>
      </c>
      <c r="BX700" s="2" t="s">
        <v>264</v>
      </c>
      <c r="BY700" s="2" t="s">
        <v>247</v>
      </c>
      <c r="BZ700" s="2" t="s">
        <v>212</v>
      </c>
      <c r="CA700" s="2" t="s">
        <v>4349</v>
      </c>
      <c r="CB700" s="2" t="s">
        <v>4350</v>
      </c>
      <c r="CC700" s="2" t="s">
        <v>213</v>
      </c>
      <c r="CD700" s="2" t="s">
        <v>200</v>
      </c>
      <c r="CE700" s="4"/>
      <c r="CF700" s="4">
        <v>127</v>
      </c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</row>
    <row r="701">
      <c r="A701" s="2" t="s">
        <v>4351</v>
      </c>
      <c r="B701" s="2" t="s">
        <v>705</v>
      </c>
      <c r="C701" s="2" t="s">
        <v>745</v>
      </c>
      <c r="D701" s="2" t="s">
        <v>817</v>
      </c>
      <c r="E701" s="2" t="s">
        <v>818</v>
      </c>
      <c r="F701" s="2" t="s">
        <v>4352</v>
      </c>
      <c r="G701" s="2" t="s">
        <v>4352</v>
      </c>
      <c r="H701" s="2" t="s">
        <v>4352</v>
      </c>
      <c r="I701" s="2" t="s">
        <v>4353</v>
      </c>
      <c r="J701" s="2" t="s">
        <v>711</v>
      </c>
      <c r="K701" s="2" t="s">
        <v>257</v>
      </c>
      <c r="L701" s="3">
        <v>44</v>
      </c>
      <c r="M701" s="3">
        <v>46.2</v>
      </c>
      <c r="N701" s="3">
        <v>89.99</v>
      </c>
      <c r="O701" s="2" t="s">
        <v>212</v>
      </c>
      <c r="P701" s="2" t="s">
        <v>205</v>
      </c>
      <c r="Q701" s="2" t="s">
        <v>206</v>
      </c>
      <c r="R701" s="2" t="s">
        <v>200</v>
      </c>
      <c r="S701" s="2" t="s">
        <v>200</v>
      </c>
      <c r="T701" s="2" t="s">
        <v>200</v>
      </c>
      <c r="U701" s="2" t="s">
        <v>270</v>
      </c>
      <c r="V701" s="2" t="s">
        <v>616</v>
      </c>
      <c r="W701" s="2" t="s">
        <v>1291</v>
      </c>
      <c r="X701" s="2" t="s">
        <v>379</v>
      </c>
      <c r="Y701" s="2" t="s">
        <v>4253</v>
      </c>
      <c r="Z701" s="4">
        <v>91</v>
      </c>
      <c r="AA701" s="4">
        <f>=ROUNDDOWN(30.3333333333333,0)</f>
      </c>
      <c r="AB701" s="5">
        <v>3</v>
      </c>
      <c r="AC701" s="2" t="s">
        <v>200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200</v>
      </c>
      <c r="AM701" s="4"/>
      <c r="AN701" s="4"/>
      <c r="AO701" s="7"/>
      <c r="AP701" s="4"/>
      <c r="AQ701" s="8"/>
      <c r="AR701" s="4"/>
      <c r="AS701" s="8"/>
      <c r="AT701" s="7"/>
      <c r="AU701" s="7"/>
      <c r="AV701" s="4"/>
      <c r="AW701" s="8"/>
      <c r="AX701" s="4"/>
      <c r="AY701" s="8"/>
      <c r="AZ701" s="7"/>
      <c r="BA701" s="7"/>
      <c r="BB701" s="7"/>
      <c r="BC701" s="4"/>
      <c r="BD701" s="8"/>
      <c r="BE701" s="4"/>
      <c r="BF701" s="8"/>
      <c r="BG701" s="7"/>
      <c r="BH701" s="7"/>
      <c r="BI701" s="7"/>
      <c r="BJ701" s="4"/>
      <c r="BK701" s="8"/>
      <c r="BL701" s="2" t="s">
        <v>200</v>
      </c>
      <c r="BM701" s="7"/>
      <c r="BN701" s="7"/>
      <c r="BO701" s="4"/>
      <c r="BP701" s="8"/>
      <c r="BQ701" s="4"/>
      <c r="BR701" s="8"/>
      <c r="BS701" s="7"/>
      <c r="BT701" s="7"/>
      <c r="BU701" s="2" t="s">
        <v>4354</v>
      </c>
      <c r="BV701" s="2" t="s">
        <v>200</v>
      </c>
      <c r="BW701" s="2" t="s">
        <v>200</v>
      </c>
      <c r="BX701" s="2" t="s">
        <v>264</v>
      </c>
      <c r="BY701" s="2" t="s">
        <v>247</v>
      </c>
      <c r="BZ701" s="2" t="s">
        <v>212</v>
      </c>
      <c r="CA701" s="2" t="s">
        <v>1294</v>
      </c>
      <c r="CB701" s="2" t="s">
        <v>200</v>
      </c>
      <c r="CC701" s="2" t="s">
        <v>213</v>
      </c>
      <c r="CD701" s="2" t="s">
        <v>200</v>
      </c>
      <c r="CE701" s="4"/>
      <c r="CF701" s="4">
        <v>91</v>
      </c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</row>
    <row r="702">
      <c r="A702" s="2" t="s">
        <v>4355</v>
      </c>
      <c r="B702" s="2" t="s">
        <v>744</v>
      </c>
      <c r="C702" s="2" t="s">
        <v>730</v>
      </c>
      <c r="D702" s="2" t="s">
        <v>1413</v>
      </c>
      <c r="E702" s="2" t="s">
        <v>4356</v>
      </c>
      <c r="F702" s="2" t="s">
        <v>4357</v>
      </c>
      <c r="G702" s="2" t="s">
        <v>4357</v>
      </c>
      <c r="H702" s="2" t="s">
        <v>4357</v>
      </c>
      <c r="I702" s="2" t="s">
        <v>4356</v>
      </c>
      <c r="J702" s="2" t="s">
        <v>711</v>
      </c>
      <c r="K702" s="2" t="s">
        <v>436</v>
      </c>
      <c r="L702" s="3">
        <v>110</v>
      </c>
      <c r="M702" s="3">
        <v>115.5</v>
      </c>
      <c r="N702" s="3">
        <v>229</v>
      </c>
      <c r="O702" s="2" t="s">
        <v>460</v>
      </c>
      <c r="P702" s="2" t="s">
        <v>285</v>
      </c>
      <c r="Q702" s="2" t="s">
        <v>206</v>
      </c>
      <c r="R702" s="2" t="s">
        <v>200</v>
      </c>
      <c r="S702" s="2" t="s">
        <v>200</v>
      </c>
      <c r="T702" s="2" t="s">
        <v>200</v>
      </c>
      <c r="U702" s="2" t="s">
        <v>270</v>
      </c>
      <c r="V702" s="2" t="s">
        <v>616</v>
      </c>
      <c r="W702" s="2" t="s">
        <v>379</v>
      </c>
      <c r="X702" s="2" t="s">
        <v>2053</v>
      </c>
      <c r="Y702" s="2" t="s">
        <v>4358</v>
      </c>
      <c r="Z702" s="4">
        <v>154</v>
      </c>
      <c r="AA702" s="4">
        <f>=ROUNDDOWN(770,0)</f>
      </c>
      <c r="AB702" s="5">
        <v>0.2</v>
      </c>
      <c r="AC702" s="2" t="s">
        <v>200</v>
      </c>
      <c r="AD702" s="4"/>
      <c r="AE702" s="4"/>
      <c r="AF702" s="6">
        <v>66</v>
      </c>
      <c r="AG702" s="6"/>
      <c r="AH702" s="7">
        <v>1</v>
      </c>
      <c r="AI702" s="4"/>
      <c r="AJ702" s="4">
        <f>=ROUNDDOWN({0},0)</f>
      </c>
      <c r="AK702" s="5"/>
      <c r="AL702" s="2" t="s">
        <v>200</v>
      </c>
      <c r="AM702" s="4"/>
      <c r="AN702" s="4"/>
      <c r="AO702" s="7"/>
      <c r="AP702" s="4"/>
      <c r="AQ702" s="8"/>
      <c r="AR702" s="4"/>
      <c r="AS702" s="8"/>
      <c r="AT702" s="7"/>
      <c r="AU702" s="7"/>
      <c r="AV702" s="4"/>
      <c r="AW702" s="8"/>
      <c r="AX702" s="4"/>
      <c r="AY702" s="8"/>
      <c r="AZ702" s="7"/>
      <c r="BA702" s="7"/>
      <c r="BB702" s="7"/>
      <c r="BC702" s="4"/>
      <c r="BD702" s="8"/>
      <c r="BE702" s="4"/>
      <c r="BF702" s="8"/>
      <c r="BG702" s="7"/>
      <c r="BH702" s="7"/>
      <c r="BI702" s="7"/>
      <c r="BJ702" s="4">
        <v>1</v>
      </c>
      <c r="BK702" s="8">
        <v>57.75</v>
      </c>
      <c r="BL702" s="2" t="s">
        <v>813</v>
      </c>
      <c r="BM702" s="7"/>
      <c r="BN702" s="7"/>
      <c r="BO702" s="4"/>
      <c r="BP702" s="8"/>
      <c r="BQ702" s="4"/>
      <c r="BR702" s="8"/>
      <c r="BS702" s="7"/>
      <c r="BT702" s="7"/>
      <c r="BU702" s="2" t="s">
        <v>4359</v>
      </c>
      <c r="BV702" s="2" t="s">
        <v>200</v>
      </c>
      <c r="BW702" s="2" t="s">
        <v>200</v>
      </c>
      <c r="BX702" s="2" t="s">
        <v>289</v>
      </c>
      <c r="BY702" s="2" t="s">
        <v>247</v>
      </c>
      <c r="BZ702" s="2" t="s">
        <v>212</v>
      </c>
      <c r="CA702" s="2" t="s">
        <v>4360</v>
      </c>
      <c r="CB702" s="2" t="s">
        <v>4361</v>
      </c>
      <c r="CC702" s="2" t="s">
        <v>213</v>
      </c>
      <c r="CD702" s="2" t="s">
        <v>200</v>
      </c>
      <c r="CE702" s="4"/>
      <c r="CF702" s="4">
        <v>154</v>
      </c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</row>
    <row r="703">
      <c r="A703" s="2" t="s">
        <v>4362</v>
      </c>
      <c r="B703" s="2" t="s">
        <v>903</v>
      </c>
      <c r="C703" s="2" t="s">
        <v>231</v>
      </c>
      <c r="D703" s="2" t="s">
        <v>608</v>
      </c>
      <c r="E703" s="2" t="s">
        <v>1324</v>
      </c>
      <c r="F703" s="2" t="s">
        <v>4363</v>
      </c>
      <c r="G703" s="2" t="s">
        <v>4364</v>
      </c>
      <c r="H703" s="2" t="s">
        <v>4365</v>
      </c>
      <c r="I703" s="2" t="s">
        <v>4366</v>
      </c>
      <c r="J703" s="2" t="s">
        <v>612</v>
      </c>
      <c r="K703" s="2" t="s">
        <v>221</v>
      </c>
      <c r="L703" s="3">
        <v>45.71</v>
      </c>
      <c r="M703" s="3">
        <v>48</v>
      </c>
      <c r="N703" s="3">
        <v>99.99</v>
      </c>
      <c r="O703" s="2" t="s">
        <v>212</v>
      </c>
      <c r="P703" s="2" t="s">
        <v>205</v>
      </c>
      <c r="Q703" s="2" t="s">
        <v>206</v>
      </c>
      <c r="R703" s="2" t="s">
        <v>200</v>
      </c>
      <c r="S703" s="2" t="s">
        <v>4367</v>
      </c>
      <c r="T703" s="2" t="s">
        <v>378</v>
      </c>
      <c r="U703" s="2" t="s">
        <v>454</v>
      </c>
      <c r="V703" s="2" t="s">
        <v>1198</v>
      </c>
      <c r="W703" s="2" t="s">
        <v>2691</v>
      </c>
      <c r="X703" s="2" t="s">
        <v>1271</v>
      </c>
      <c r="Y703" s="2" t="s">
        <v>4368</v>
      </c>
      <c r="Z703" s="4">
        <v>215</v>
      </c>
      <c r="AA703" s="4">
        <f>=ROUNDDOWN(53.75,0)</f>
      </c>
      <c r="AB703" s="5">
        <v>4</v>
      </c>
      <c r="AC703" s="2" t="s">
        <v>200</v>
      </c>
      <c r="AD703" s="4"/>
      <c r="AE703" s="4"/>
      <c r="AF703" s="6">
        <v>69</v>
      </c>
      <c r="AG703" s="6"/>
      <c r="AH703" s="7">
        <v>1</v>
      </c>
      <c r="AI703" s="4"/>
      <c r="AJ703" s="4">
        <f>=ROUNDDOWN({0},0)</f>
      </c>
      <c r="AK703" s="5"/>
      <c r="AL703" s="2" t="s">
        <v>200</v>
      </c>
      <c r="AM703" s="4"/>
      <c r="AN703" s="4"/>
      <c r="AO703" s="7"/>
      <c r="AP703" s="4"/>
      <c r="AQ703" s="8"/>
      <c r="AR703" s="4"/>
      <c r="AS703" s="8"/>
      <c r="AT703" s="7"/>
      <c r="AU703" s="7"/>
      <c r="AV703" s="4" t="s">
        <v>200</v>
      </c>
      <c r="AW703" s="8" t="s">
        <v>200</v>
      </c>
      <c r="AX703" s="4" t="s">
        <v>200</v>
      </c>
      <c r="AY703" s="8" t="s">
        <v>200</v>
      </c>
      <c r="AZ703" s="7" t="s">
        <v>200</v>
      </c>
      <c r="BA703" s="7" t="s">
        <v>200</v>
      </c>
      <c r="BB703" s="7"/>
      <c r="BC703" s="4" t="s">
        <v>200</v>
      </c>
      <c r="BD703" s="8" t="s">
        <v>200</v>
      </c>
      <c r="BE703" s="4" t="s">
        <v>200</v>
      </c>
      <c r="BF703" s="8" t="s">
        <v>200</v>
      </c>
      <c r="BG703" s="7" t="s">
        <v>200</v>
      </c>
      <c r="BH703" s="7" t="s">
        <v>200</v>
      </c>
      <c r="BI703" s="7"/>
      <c r="BJ703" s="4">
        <v>11</v>
      </c>
      <c r="BK703" s="8">
        <v>576.81</v>
      </c>
      <c r="BL703" s="2" t="s">
        <v>4369</v>
      </c>
      <c r="BM703" s="7"/>
      <c r="BN703" s="7"/>
      <c r="BO703" s="4"/>
      <c r="BP703" s="8"/>
      <c r="BQ703" s="4"/>
      <c r="BR703" s="8"/>
      <c r="BS703" s="7"/>
      <c r="BT703" s="7"/>
      <c r="BU703" s="2" t="s">
        <v>4370</v>
      </c>
      <c r="BV703" s="2" t="s">
        <v>200</v>
      </c>
      <c r="BW703" s="2" t="s">
        <v>200</v>
      </c>
      <c r="BX703" s="2" t="s">
        <v>264</v>
      </c>
      <c r="BY703" s="2" t="s">
        <v>247</v>
      </c>
      <c r="BZ703" s="2" t="s">
        <v>212</v>
      </c>
      <c r="CA703" s="2" t="s">
        <v>2516</v>
      </c>
      <c r="CB703" s="2" t="s">
        <v>1677</v>
      </c>
      <c r="CC703" s="2" t="s">
        <v>213</v>
      </c>
      <c r="CD703" s="2" t="s">
        <v>200</v>
      </c>
      <c r="CE703" s="4">
        <v>215</v>
      </c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</row>
    <row r="704">
      <c r="A704" s="2" t="s">
        <v>4371</v>
      </c>
      <c r="B704" s="2" t="s">
        <v>903</v>
      </c>
      <c r="C704" s="2" t="s">
        <v>231</v>
      </c>
      <c r="D704" s="2" t="s">
        <v>608</v>
      </c>
      <c r="E704" s="2" t="s">
        <v>1324</v>
      </c>
      <c r="F704" s="2" t="s">
        <v>4363</v>
      </c>
      <c r="G704" s="2" t="s">
        <v>4364</v>
      </c>
      <c r="H704" s="2" t="s">
        <v>4365</v>
      </c>
      <c r="I704" s="2" t="s">
        <v>4366</v>
      </c>
      <c r="J704" s="2" t="s">
        <v>924</v>
      </c>
      <c r="K704" s="2" t="s">
        <v>221</v>
      </c>
      <c r="L704" s="3">
        <v>50.28</v>
      </c>
      <c r="M704" s="3">
        <v>52.79</v>
      </c>
      <c r="N704" s="3">
        <v>109.99</v>
      </c>
      <c r="O704" s="2" t="s">
        <v>212</v>
      </c>
      <c r="P704" s="2" t="s">
        <v>205</v>
      </c>
      <c r="Q704" s="2" t="s">
        <v>206</v>
      </c>
      <c r="R704" s="2" t="s">
        <v>200</v>
      </c>
      <c r="S704" s="2" t="s">
        <v>4367</v>
      </c>
      <c r="T704" s="2" t="s">
        <v>378</v>
      </c>
      <c r="U704" s="2" t="s">
        <v>454</v>
      </c>
      <c r="V704" s="2" t="s">
        <v>1198</v>
      </c>
      <c r="W704" s="2" t="s">
        <v>2691</v>
      </c>
      <c r="X704" s="2" t="s">
        <v>1271</v>
      </c>
      <c r="Y704" s="2" t="s">
        <v>4368</v>
      </c>
      <c r="Z704" s="4">
        <v>94</v>
      </c>
      <c r="AA704" s="4">
        <f>=ROUNDDOWN(31.3333333333333,0)</f>
      </c>
      <c r="AB704" s="5">
        <v>3</v>
      </c>
      <c r="AC704" s="2" t="s">
        <v>200</v>
      </c>
      <c r="AD704" s="4"/>
      <c r="AE704" s="4"/>
      <c r="AF704" s="6">
        <v>69</v>
      </c>
      <c r="AG704" s="6"/>
      <c r="AH704" s="7">
        <v>1</v>
      </c>
      <c r="AI704" s="4"/>
      <c r="AJ704" s="4">
        <f>=ROUNDDOWN({0},0)</f>
      </c>
      <c r="AK704" s="5"/>
      <c r="AL704" s="2" t="s">
        <v>200</v>
      </c>
      <c r="AM704" s="4"/>
      <c r="AN704" s="4"/>
      <c r="AO704" s="7"/>
      <c r="AP704" s="4"/>
      <c r="AQ704" s="8"/>
      <c r="AR704" s="4"/>
      <c r="AS704" s="8"/>
      <c r="AT704" s="7"/>
      <c r="AU704" s="7"/>
      <c r="AV704" s="4" t="s">
        <v>200</v>
      </c>
      <c r="AW704" s="8" t="s">
        <v>200</v>
      </c>
      <c r="AX704" s="4" t="s">
        <v>200</v>
      </c>
      <c r="AY704" s="8" t="s">
        <v>200</v>
      </c>
      <c r="AZ704" s="7" t="s">
        <v>200</v>
      </c>
      <c r="BA704" s="7" t="s">
        <v>200</v>
      </c>
      <c r="BB704" s="7"/>
      <c r="BC704" s="4" t="s">
        <v>200</v>
      </c>
      <c r="BD704" s="8" t="s">
        <v>200</v>
      </c>
      <c r="BE704" s="4" t="s">
        <v>200</v>
      </c>
      <c r="BF704" s="8" t="s">
        <v>200</v>
      </c>
      <c r="BG704" s="7" t="s">
        <v>200</v>
      </c>
      <c r="BH704" s="7" t="s">
        <v>200</v>
      </c>
      <c r="BI704" s="7"/>
      <c r="BJ704" s="4">
        <v>24</v>
      </c>
      <c r="BK704" s="8">
        <v>1386.08</v>
      </c>
      <c r="BL704" s="2" t="s">
        <v>961</v>
      </c>
      <c r="BM704" s="7"/>
      <c r="BN704" s="7"/>
      <c r="BO704" s="4"/>
      <c r="BP704" s="8"/>
      <c r="BQ704" s="4"/>
      <c r="BR704" s="8"/>
      <c r="BS704" s="7"/>
      <c r="BT704" s="7"/>
      <c r="BU704" s="2" t="s">
        <v>4372</v>
      </c>
      <c r="BV704" s="2" t="s">
        <v>200</v>
      </c>
      <c r="BW704" s="2" t="s">
        <v>200</v>
      </c>
      <c r="BX704" s="2" t="s">
        <v>264</v>
      </c>
      <c r="BY704" s="2" t="s">
        <v>247</v>
      </c>
      <c r="BZ704" s="2" t="s">
        <v>212</v>
      </c>
      <c r="CA704" s="2" t="s">
        <v>2516</v>
      </c>
      <c r="CB704" s="2" t="s">
        <v>4019</v>
      </c>
      <c r="CC704" s="2" t="s">
        <v>213</v>
      </c>
      <c r="CD704" s="2" t="s">
        <v>200</v>
      </c>
      <c r="CE704" s="4">
        <v>94</v>
      </c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</row>
    <row r="705">
      <c r="A705" s="2" t="s">
        <v>4373</v>
      </c>
      <c r="B705" s="2" t="s">
        <v>903</v>
      </c>
      <c r="C705" s="2" t="s">
        <v>307</v>
      </c>
      <c r="D705" s="2" t="s">
        <v>608</v>
      </c>
      <c r="E705" s="2" t="s">
        <v>904</v>
      </c>
      <c r="F705" s="2" t="s">
        <v>4374</v>
      </c>
      <c r="G705" s="2" t="s">
        <v>4375</v>
      </c>
      <c r="H705" s="2" t="s">
        <v>4376</v>
      </c>
      <c r="I705" s="2" t="s">
        <v>4377</v>
      </c>
      <c r="J705" s="2" t="s">
        <v>256</v>
      </c>
      <c r="K705" s="2" t="s">
        <v>3363</v>
      </c>
      <c r="L705" s="3">
        <v>39.99</v>
      </c>
      <c r="M705" s="3">
        <v>41.99</v>
      </c>
      <c r="N705" s="3">
        <v>79.99</v>
      </c>
      <c r="O705" s="2" t="s">
        <v>460</v>
      </c>
      <c r="P705" s="2" t="s">
        <v>285</v>
      </c>
      <c r="Q705" s="2" t="s">
        <v>206</v>
      </c>
      <c r="R705" s="2" t="s">
        <v>200</v>
      </c>
      <c r="S705" s="2" t="s">
        <v>4378</v>
      </c>
      <c r="T705" s="2" t="s">
        <v>378</v>
      </c>
      <c r="U705" s="2" t="s">
        <v>662</v>
      </c>
      <c r="V705" s="2" t="s">
        <v>1198</v>
      </c>
      <c r="W705" s="2" t="s">
        <v>1900</v>
      </c>
      <c r="X705" s="2" t="s">
        <v>241</v>
      </c>
      <c r="Y705" s="2" t="s">
        <v>4379</v>
      </c>
      <c r="Z705" s="4">
        <v>112</v>
      </c>
      <c r="AA705" s="4">
        <f>=ROUNDDOWN(22.4,0)</f>
      </c>
      <c r="AB705" s="5">
        <v>5</v>
      </c>
      <c r="AC705" s="2" t="s">
        <v>200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200</v>
      </c>
      <c r="AM705" s="4"/>
      <c r="AN705" s="4"/>
      <c r="AO705" s="7"/>
      <c r="AP705" s="4"/>
      <c r="AQ705" s="8"/>
      <c r="AR705" s="4"/>
      <c r="AS705" s="8"/>
      <c r="AT705" s="7"/>
      <c r="AU705" s="7"/>
      <c r="AV705" s="4"/>
      <c r="AW705" s="8"/>
      <c r="AX705" s="4"/>
      <c r="AY705" s="8"/>
      <c r="AZ705" s="7"/>
      <c r="BA705" s="7"/>
      <c r="BB705" s="7"/>
      <c r="BC705" s="4"/>
      <c r="BD705" s="8"/>
      <c r="BE705" s="4"/>
      <c r="BF705" s="8"/>
      <c r="BG705" s="7"/>
      <c r="BH705" s="7"/>
      <c r="BI705" s="7"/>
      <c r="BJ705" s="4">
        <v>44</v>
      </c>
      <c r="BK705" s="8">
        <v>1614.29</v>
      </c>
      <c r="BL705" s="2" t="s">
        <v>4380</v>
      </c>
      <c r="BM705" s="7"/>
      <c r="BN705" s="7"/>
      <c r="BO705" s="4"/>
      <c r="BP705" s="8"/>
      <c r="BQ705" s="4"/>
      <c r="BR705" s="8"/>
      <c r="BS705" s="7"/>
      <c r="BT705" s="7"/>
      <c r="BU705" s="2" t="s">
        <v>4381</v>
      </c>
      <c r="BV705" s="2" t="s">
        <v>200</v>
      </c>
      <c r="BW705" s="2" t="s">
        <v>200</v>
      </c>
      <c r="BX705" s="2" t="s">
        <v>289</v>
      </c>
      <c r="BY705" s="2" t="s">
        <v>247</v>
      </c>
      <c r="BZ705" s="2" t="s">
        <v>212</v>
      </c>
      <c r="CA705" s="2" t="s">
        <v>4379</v>
      </c>
      <c r="CB705" s="2" t="s">
        <v>4382</v>
      </c>
      <c r="CC705" s="2" t="s">
        <v>213</v>
      </c>
      <c r="CD705" s="2" t="s">
        <v>200</v>
      </c>
      <c r="CE705" s="4">
        <v>112</v>
      </c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</row>
    <row r="706">
      <c r="A706" s="2" t="s">
        <v>4383</v>
      </c>
      <c r="B706" s="2" t="s">
        <v>903</v>
      </c>
      <c r="C706" s="2" t="s">
        <v>231</v>
      </c>
      <c r="D706" s="2" t="s">
        <v>608</v>
      </c>
      <c r="E706" s="2" t="s">
        <v>1324</v>
      </c>
      <c r="F706" s="2" t="s">
        <v>4384</v>
      </c>
      <c r="G706" s="2" t="s">
        <v>4385</v>
      </c>
      <c r="H706" s="2" t="s">
        <v>4386</v>
      </c>
      <c r="I706" s="2" t="s">
        <v>4387</v>
      </c>
      <c r="J706" s="2" t="s">
        <v>612</v>
      </c>
      <c r="K706" s="2" t="s">
        <v>3708</v>
      </c>
      <c r="L706" s="3">
        <v>36.57</v>
      </c>
      <c r="M706" s="3">
        <v>38.4</v>
      </c>
      <c r="N706" s="3">
        <v>79.99</v>
      </c>
      <c r="O706" s="2" t="s">
        <v>212</v>
      </c>
      <c r="P706" s="2" t="s">
        <v>285</v>
      </c>
      <c r="Q706" s="2" t="s">
        <v>206</v>
      </c>
      <c r="R706" s="2" t="s">
        <v>200</v>
      </c>
      <c r="S706" s="2" t="s">
        <v>4388</v>
      </c>
      <c r="T706" s="2" t="s">
        <v>1176</v>
      </c>
      <c r="U706" s="2" t="s">
        <v>454</v>
      </c>
      <c r="V706" s="2" t="s">
        <v>1348</v>
      </c>
      <c r="W706" s="2" t="s">
        <v>2087</v>
      </c>
      <c r="X706" s="2" t="s">
        <v>1399</v>
      </c>
      <c r="Y706" s="2" t="s">
        <v>1395</v>
      </c>
      <c r="Z706" s="4">
        <v>93</v>
      </c>
      <c r="AA706" s="4">
        <f>=ROUNDDOWN(23.25,0)</f>
      </c>
      <c r="AB706" s="5">
        <v>4</v>
      </c>
      <c r="AC706" s="2" t="s">
        <v>200</v>
      </c>
      <c r="AD706" s="4"/>
      <c r="AE706" s="4"/>
      <c r="AF706" s="6">
        <v>64</v>
      </c>
      <c r="AG706" s="6"/>
      <c r="AH706" s="7">
        <v>1</v>
      </c>
      <c r="AI706" s="4"/>
      <c r="AJ706" s="4">
        <f>=ROUNDDOWN({0},0)</f>
      </c>
      <c r="AK706" s="5"/>
      <c r="AL706" s="2" t="s">
        <v>200</v>
      </c>
      <c r="AM706" s="4"/>
      <c r="AN706" s="4"/>
      <c r="AO706" s="7"/>
      <c r="AP706" s="4"/>
      <c r="AQ706" s="8"/>
      <c r="AR706" s="4"/>
      <c r="AS706" s="8"/>
      <c r="AT706" s="7"/>
      <c r="AU706" s="7"/>
      <c r="AV706" s="4" t="s">
        <v>200</v>
      </c>
      <c r="AW706" s="8" t="s">
        <v>200</v>
      </c>
      <c r="AX706" s="4" t="s">
        <v>200</v>
      </c>
      <c r="AY706" s="8" t="s">
        <v>200</v>
      </c>
      <c r="AZ706" s="7" t="s">
        <v>200</v>
      </c>
      <c r="BA706" s="7" t="s">
        <v>200</v>
      </c>
      <c r="BB706" s="7" t="s">
        <v>200</v>
      </c>
      <c r="BC706" s="4" t="s">
        <v>200</v>
      </c>
      <c r="BD706" s="8" t="s">
        <v>200</v>
      </c>
      <c r="BE706" s="4" t="s">
        <v>200</v>
      </c>
      <c r="BF706" s="8" t="s">
        <v>200</v>
      </c>
      <c r="BG706" s="7" t="s">
        <v>200</v>
      </c>
      <c r="BH706" s="7" t="s">
        <v>200</v>
      </c>
      <c r="BI706" s="7"/>
      <c r="BJ706" s="4">
        <v>28</v>
      </c>
      <c r="BK706" s="8">
        <v>882.44</v>
      </c>
      <c r="BL706" s="2" t="s">
        <v>4389</v>
      </c>
      <c r="BM706" s="7"/>
      <c r="BN706" s="7"/>
      <c r="BO706" s="4"/>
      <c r="BP706" s="8"/>
      <c r="BQ706" s="4"/>
      <c r="BR706" s="8"/>
      <c r="BS706" s="7"/>
      <c r="BT706" s="7"/>
      <c r="BU706" s="2" t="s">
        <v>4390</v>
      </c>
      <c r="BV706" s="2" t="s">
        <v>200</v>
      </c>
      <c r="BW706" s="2" t="s">
        <v>200</v>
      </c>
      <c r="BX706" s="2" t="s">
        <v>289</v>
      </c>
      <c r="BY706" s="2" t="s">
        <v>247</v>
      </c>
      <c r="BZ706" s="2" t="s">
        <v>212</v>
      </c>
      <c r="CA706" s="2" t="s">
        <v>4391</v>
      </c>
      <c r="CB706" s="2" t="s">
        <v>2089</v>
      </c>
      <c r="CC706" s="2" t="s">
        <v>213</v>
      </c>
      <c r="CD706" s="2" t="s">
        <v>200</v>
      </c>
      <c r="CE706" s="4">
        <v>93</v>
      </c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</row>
    <row r="707">
      <c r="A707" s="2" t="s">
        <v>4392</v>
      </c>
      <c r="B707" s="2" t="s">
        <v>903</v>
      </c>
      <c r="C707" s="2" t="s">
        <v>231</v>
      </c>
      <c r="D707" s="2" t="s">
        <v>918</v>
      </c>
      <c r="E707" s="2" t="s">
        <v>919</v>
      </c>
      <c r="F707" s="2" t="s">
        <v>4384</v>
      </c>
      <c r="G707" s="2" t="s">
        <v>4385</v>
      </c>
      <c r="H707" s="2" t="s">
        <v>4386</v>
      </c>
      <c r="I707" s="2" t="s">
        <v>4393</v>
      </c>
      <c r="J707" s="2" t="s">
        <v>612</v>
      </c>
      <c r="K707" s="2" t="s">
        <v>3708</v>
      </c>
      <c r="L707" s="3">
        <v>27.42</v>
      </c>
      <c r="M707" s="3">
        <v>28.79</v>
      </c>
      <c r="N707" s="3">
        <v>59.99</v>
      </c>
      <c r="O707" s="2" t="s">
        <v>212</v>
      </c>
      <c r="P707" s="2" t="s">
        <v>285</v>
      </c>
      <c r="Q707" s="2" t="s">
        <v>206</v>
      </c>
      <c r="R707" s="2" t="s">
        <v>200</v>
      </c>
      <c r="S707" s="2" t="s">
        <v>4388</v>
      </c>
      <c r="T707" s="2" t="s">
        <v>1176</v>
      </c>
      <c r="U707" s="2" t="s">
        <v>454</v>
      </c>
      <c r="V707" s="2" t="s">
        <v>1348</v>
      </c>
      <c r="W707" s="2" t="s">
        <v>2087</v>
      </c>
      <c r="X707" s="2" t="s">
        <v>1399</v>
      </c>
      <c r="Y707" s="2" t="s">
        <v>1395</v>
      </c>
      <c r="Z707" s="4">
        <v>72</v>
      </c>
      <c r="AA707" s="4">
        <f>=ROUNDDOWN(36,0)</f>
      </c>
      <c r="AB707" s="5">
        <v>2</v>
      </c>
      <c r="AC707" s="2" t="s">
        <v>200</v>
      </c>
      <c r="AD707" s="4"/>
      <c r="AE707" s="4"/>
      <c r="AF707" s="6">
        <v>64</v>
      </c>
      <c r="AG707" s="6"/>
      <c r="AH707" s="7">
        <v>1</v>
      </c>
      <c r="AI707" s="4"/>
      <c r="AJ707" s="4">
        <f>=ROUNDDOWN({0},0)</f>
      </c>
      <c r="AK707" s="5"/>
      <c r="AL707" s="2" t="s">
        <v>200</v>
      </c>
      <c r="AM707" s="4"/>
      <c r="AN707" s="4"/>
      <c r="AO707" s="7"/>
      <c r="AP707" s="4"/>
      <c r="AQ707" s="8"/>
      <c r="AR707" s="4"/>
      <c r="AS707" s="8"/>
      <c r="AT707" s="7"/>
      <c r="AU707" s="7"/>
      <c r="AV707" s="4" t="s">
        <v>200</v>
      </c>
      <c r="AW707" s="8" t="s">
        <v>200</v>
      </c>
      <c r="AX707" s="4" t="s">
        <v>200</v>
      </c>
      <c r="AY707" s="8" t="s">
        <v>200</v>
      </c>
      <c r="AZ707" s="7" t="s">
        <v>200</v>
      </c>
      <c r="BA707" s="7" t="s">
        <v>200</v>
      </c>
      <c r="BB707" s="7" t="s">
        <v>200</v>
      </c>
      <c r="BC707" s="4" t="s">
        <v>200</v>
      </c>
      <c r="BD707" s="8" t="s">
        <v>200</v>
      </c>
      <c r="BE707" s="4" t="s">
        <v>200</v>
      </c>
      <c r="BF707" s="8" t="s">
        <v>200</v>
      </c>
      <c r="BG707" s="7" t="s">
        <v>200</v>
      </c>
      <c r="BH707" s="7" t="s">
        <v>200</v>
      </c>
      <c r="BI707" s="7"/>
      <c r="BJ707" s="4">
        <v>6</v>
      </c>
      <c r="BK707" s="8">
        <v>183.12</v>
      </c>
      <c r="BL707" s="2" t="s">
        <v>2440</v>
      </c>
      <c r="BM707" s="7"/>
      <c r="BN707" s="7"/>
      <c r="BO707" s="4"/>
      <c r="BP707" s="8"/>
      <c r="BQ707" s="4"/>
      <c r="BR707" s="8"/>
      <c r="BS707" s="7"/>
      <c r="BT707" s="7"/>
      <c r="BU707" s="2" t="s">
        <v>4394</v>
      </c>
      <c r="BV707" s="2" t="s">
        <v>200</v>
      </c>
      <c r="BW707" s="2" t="s">
        <v>200</v>
      </c>
      <c r="BX707" s="2" t="s">
        <v>289</v>
      </c>
      <c r="BY707" s="2" t="s">
        <v>247</v>
      </c>
      <c r="BZ707" s="2" t="s">
        <v>212</v>
      </c>
      <c r="CA707" s="2" t="s">
        <v>4391</v>
      </c>
      <c r="CB707" s="2" t="s">
        <v>4395</v>
      </c>
      <c r="CC707" s="2" t="s">
        <v>213</v>
      </c>
      <c r="CD707" s="2" t="s">
        <v>200</v>
      </c>
      <c r="CE707" s="4">
        <v>72</v>
      </c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</row>
    <row r="708">
      <c r="A708" s="2" t="s">
        <v>4396</v>
      </c>
      <c r="B708" s="2" t="s">
        <v>744</v>
      </c>
      <c r="C708" s="2" t="s">
        <v>1375</v>
      </c>
      <c r="D708" s="2" t="s">
        <v>1462</v>
      </c>
      <c r="E708" s="2" t="s">
        <v>1463</v>
      </c>
      <c r="F708" s="2" t="s">
        <v>4384</v>
      </c>
      <c r="G708" s="2" t="s">
        <v>4384</v>
      </c>
      <c r="H708" s="2" t="s">
        <v>4384</v>
      </c>
      <c r="I708" s="2" t="s">
        <v>4397</v>
      </c>
      <c r="J708" s="2" t="s">
        <v>711</v>
      </c>
      <c r="K708" s="2" t="s">
        <v>2589</v>
      </c>
      <c r="L708" s="3">
        <v>102.6</v>
      </c>
      <c r="M708" s="3">
        <v>107.73</v>
      </c>
      <c r="N708" s="3">
        <v>219</v>
      </c>
      <c r="O708" s="2" t="s">
        <v>212</v>
      </c>
      <c r="P708" s="2" t="s">
        <v>205</v>
      </c>
      <c r="Q708" s="2" t="s">
        <v>206</v>
      </c>
      <c r="R708" s="2" t="s">
        <v>200</v>
      </c>
      <c r="S708" s="2" t="s">
        <v>200</v>
      </c>
      <c r="T708" s="2" t="s">
        <v>1176</v>
      </c>
      <c r="U708" s="2" t="s">
        <v>677</v>
      </c>
      <c r="V708" s="2" t="s">
        <v>616</v>
      </c>
      <c r="W708" s="2" t="s">
        <v>419</v>
      </c>
      <c r="X708" s="2" t="s">
        <v>379</v>
      </c>
      <c r="Y708" s="2" t="s">
        <v>4398</v>
      </c>
      <c r="Z708" s="4">
        <v>90</v>
      </c>
      <c r="AA708" s="4">
        <f>=ROUNDDOWN(45,0)</f>
      </c>
      <c r="AB708" s="5">
        <v>2</v>
      </c>
      <c r="AC708" s="2" t="s">
        <v>200</v>
      </c>
      <c r="AD708" s="4"/>
      <c r="AE708" s="4"/>
      <c r="AF708" s="6">
        <v>76</v>
      </c>
      <c r="AG708" s="6"/>
      <c r="AH708" s="7">
        <v>1</v>
      </c>
      <c r="AI708" s="4"/>
      <c r="AJ708" s="4">
        <f>=ROUNDDOWN({0},0)</f>
      </c>
      <c r="AK708" s="5"/>
      <c r="AL708" s="2" t="s">
        <v>200</v>
      </c>
      <c r="AM708" s="4"/>
      <c r="AN708" s="4"/>
      <c r="AO708" s="7"/>
      <c r="AP708" s="4"/>
      <c r="AQ708" s="8"/>
      <c r="AR708" s="4"/>
      <c r="AS708" s="8"/>
      <c r="AT708" s="7"/>
      <c r="AU708" s="7"/>
      <c r="AV708" s="4"/>
      <c r="AW708" s="8"/>
      <c r="AX708" s="4"/>
      <c r="AY708" s="8"/>
      <c r="AZ708" s="7"/>
      <c r="BA708" s="7"/>
      <c r="BB708" s="7"/>
      <c r="BC708" s="4" t="s">
        <v>200</v>
      </c>
      <c r="BD708" s="8" t="s">
        <v>200</v>
      </c>
      <c r="BE708" s="4" t="s">
        <v>200</v>
      </c>
      <c r="BF708" s="8" t="s">
        <v>200</v>
      </c>
      <c r="BG708" s="7" t="s">
        <v>200</v>
      </c>
      <c r="BH708" s="7" t="s">
        <v>200</v>
      </c>
      <c r="BI708" s="7"/>
      <c r="BJ708" s="4">
        <v>3</v>
      </c>
      <c r="BK708" s="8">
        <v>342.47</v>
      </c>
      <c r="BL708" s="2" t="s">
        <v>1418</v>
      </c>
      <c r="BM708" s="7"/>
      <c r="BN708" s="7"/>
      <c r="BO708" s="4"/>
      <c r="BP708" s="8"/>
      <c r="BQ708" s="4"/>
      <c r="BR708" s="8"/>
      <c r="BS708" s="7"/>
      <c r="BT708" s="7"/>
      <c r="BU708" s="2" t="s">
        <v>4399</v>
      </c>
      <c r="BV708" s="2" t="s">
        <v>200</v>
      </c>
      <c r="BW708" s="2" t="s">
        <v>200</v>
      </c>
      <c r="BX708" s="2" t="s">
        <v>264</v>
      </c>
      <c r="BY708" s="2" t="s">
        <v>247</v>
      </c>
      <c r="BZ708" s="2" t="s">
        <v>212</v>
      </c>
      <c r="CA708" s="2" t="s">
        <v>1427</v>
      </c>
      <c r="CB708" s="2" t="s">
        <v>200</v>
      </c>
      <c r="CC708" s="2" t="s">
        <v>213</v>
      </c>
      <c r="CD708" s="2" t="s">
        <v>200</v>
      </c>
      <c r="CE708" s="4"/>
      <c r="CF708" s="4">
        <v>90</v>
      </c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</row>
    <row r="709">
      <c r="A709" s="2" t="s">
        <v>4400</v>
      </c>
      <c r="B709" s="2" t="s">
        <v>744</v>
      </c>
      <c r="C709" s="2" t="s">
        <v>1375</v>
      </c>
      <c r="D709" s="2" t="s">
        <v>1462</v>
      </c>
      <c r="E709" s="2" t="s">
        <v>1463</v>
      </c>
      <c r="F709" s="2" t="s">
        <v>4384</v>
      </c>
      <c r="G709" s="2" t="s">
        <v>4384</v>
      </c>
      <c r="H709" s="2" t="s">
        <v>4384</v>
      </c>
      <c r="I709" s="2" t="s">
        <v>4397</v>
      </c>
      <c r="J709" s="2" t="s">
        <v>711</v>
      </c>
      <c r="K709" s="2" t="s">
        <v>1969</v>
      </c>
      <c r="L709" s="3">
        <v>102.6</v>
      </c>
      <c r="M709" s="3">
        <v>107.73</v>
      </c>
      <c r="N709" s="3">
        <v>219</v>
      </c>
      <c r="O709" s="2" t="s">
        <v>212</v>
      </c>
      <c r="P709" s="2" t="s">
        <v>205</v>
      </c>
      <c r="Q709" s="2" t="s">
        <v>206</v>
      </c>
      <c r="R709" s="2" t="s">
        <v>200</v>
      </c>
      <c r="S709" s="2" t="s">
        <v>200</v>
      </c>
      <c r="T709" s="2" t="s">
        <v>200</v>
      </c>
      <c r="U709" s="2" t="s">
        <v>677</v>
      </c>
      <c r="V709" s="2" t="s">
        <v>616</v>
      </c>
      <c r="W709" s="2" t="s">
        <v>419</v>
      </c>
      <c r="X709" s="2" t="s">
        <v>379</v>
      </c>
      <c r="Y709" s="2" t="s">
        <v>678</v>
      </c>
      <c r="Z709" s="4">
        <v>161</v>
      </c>
      <c r="AA709" s="4">
        <f>=ROUNDDOWN(26.8333333333333,0)</f>
      </c>
      <c r="AB709" s="5">
        <v>6</v>
      </c>
      <c r="AC709" s="2" t="s">
        <v>200</v>
      </c>
      <c r="AD709" s="4"/>
      <c r="AE709" s="4"/>
      <c r="AF709" s="6">
        <v>76</v>
      </c>
      <c r="AG709" s="6"/>
      <c r="AH709" s="7">
        <v>1</v>
      </c>
      <c r="AI709" s="4"/>
      <c r="AJ709" s="4">
        <f>=ROUNDDOWN({0},0)</f>
      </c>
      <c r="AK709" s="5"/>
      <c r="AL709" s="2" t="s">
        <v>200</v>
      </c>
      <c r="AM709" s="4"/>
      <c r="AN709" s="4"/>
      <c r="AO709" s="7"/>
      <c r="AP709" s="4"/>
      <c r="AQ709" s="8"/>
      <c r="AR709" s="4"/>
      <c r="AS709" s="8"/>
      <c r="AT709" s="7"/>
      <c r="AU709" s="7"/>
      <c r="AV709" s="4"/>
      <c r="AW709" s="8"/>
      <c r="AX709" s="4"/>
      <c r="AY709" s="8"/>
      <c r="AZ709" s="7"/>
      <c r="BA709" s="7"/>
      <c r="BB709" s="7"/>
      <c r="BC709" s="4" t="s">
        <v>200</v>
      </c>
      <c r="BD709" s="8" t="s">
        <v>200</v>
      </c>
      <c r="BE709" s="4" t="s">
        <v>200</v>
      </c>
      <c r="BF709" s="8" t="s">
        <v>200</v>
      </c>
      <c r="BG709" s="7" t="s">
        <v>200</v>
      </c>
      <c r="BH709" s="7" t="s">
        <v>200</v>
      </c>
      <c r="BI709" s="7"/>
      <c r="BJ709" s="4">
        <v>18</v>
      </c>
      <c r="BK709" s="8">
        <v>1985.32</v>
      </c>
      <c r="BL709" s="2" t="s">
        <v>4401</v>
      </c>
      <c r="BM709" s="7"/>
      <c r="BN709" s="7"/>
      <c r="BO709" s="4"/>
      <c r="BP709" s="8"/>
      <c r="BQ709" s="4"/>
      <c r="BR709" s="8"/>
      <c r="BS709" s="7"/>
      <c r="BT709" s="7"/>
      <c r="BU709" s="2" t="s">
        <v>4402</v>
      </c>
      <c r="BV709" s="2" t="s">
        <v>200</v>
      </c>
      <c r="BW709" s="2" t="s">
        <v>200</v>
      </c>
      <c r="BX709" s="2" t="s">
        <v>264</v>
      </c>
      <c r="BY709" s="2" t="s">
        <v>247</v>
      </c>
      <c r="BZ709" s="2" t="s">
        <v>212</v>
      </c>
      <c r="CA709" s="2" t="s">
        <v>915</v>
      </c>
      <c r="CB709" s="2" t="s">
        <v>200</v>
      </c>
      <c r="CC709" s="2" t="s">
        <v>213</v>
      </c>
      <c r="CD709" s="2" t="s">
        <v>200</v>
      </c>
      <c r="CE709" s="4"/>
      <c r="CF709" s="4">
        <v>161</v>
      </c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</row>
    <row r="710">
      <c r="A710" s="2" t="s">
        <v>4403</v>
      </c>
      <c r="B710" s="2" t="s">
        <v>744</v>
      </c>
      <c r="C710" s="2" t="s">
        <v>1375</v>
      </c>
      <c r="D710" s="2" t="s">
        <v>1462</v>
      </c>
      <c r="E710" s="2" t="s">
        <v>1463</v>
      </c>
      <c r="F710" s="2" t="s">
        <v>4384</v>
      </c>
      <c r="G710" s="2" t="s">
        <v>4384</v>
      </c>
      <c r="H710" s="2" t="s">
        <v>4384</v>
      </c>
      <c r="I710" s="2" t="s">
        <v>4397</v>
      </c>
      <c r="J710" s="2" t="s">
        <v>711</v>
      </c>
      <c r="K710" s="2" t="s">
        <v>1700</v>
      </c>
      <c r="L710" s="3">
        <v>102.6</v>
      </c>
      <c r="M710" s="3">
        <v>107.73</v>
      </c>
      <c r="N710" s="3">
        <v>219</v>
      </c>
      <c r="O710" s="2" t="s">
        <v>212</v>
      </c>
      <c r="P710" s="2" t="s">
        <v>750</v>
      </c>
      <c r="Q710" s="2" t="s">
        <v>206</v>
      </c>
      <c r="R710" s="2" t="s">
        <v>200</v>
      </c>
      <c r="S710" s="2" t="s">
        <v>200</v>
      </c>
      <c r="T710" s="2" t="s">
        <v>200</v>
      </c>
      <c r="U710" s="2" t="s">
        <v>677</v>
      </c>
      <c r="V710" s="2" t="s">
        <v>616</v>
      </c>
      <c r="W710" s="2" t="s">
        <v>419</v>
      </c>
      <c r="X710" s="2" t="s">
        <v>379</v>
      </c>
      <c r="Y710" s="2" t="s">
        <v>4404</v>
      </c>
      <c r="Z710" s="4">
        <v>97</v>
      </c>
      <c r="AA710" s="4">
        <f>=ROUNDDOWN(97,0)</f>
      </c>
      <c r="AB710" s="5">
        <v>1</v>
      </c>
      <c r="AC710" s="2" t="s">
        <v>200</v>
      </c>
      <c r="AD710" s="4"/>
      <c r="AE710" s="4"/>
      <c r="AF710" s="6">
        <v>76</v>
      </c>
      <c r="AG710" s="6"/>
      <c r="AH710" s="7">
        <v>1</v>
      </c>
      <c r="AI710" s="4"/>
      <c r="AJ710" s="4">
        <f>=ROUNDDOWN({0},0)</f>
      </c>
      <c r="AK710" s="5"/>
      <c r="AL710" s="2" t="s">
        <v>200</v>
      </c>
      <c r="AM710" s="4"/>
      <c r="AN710" s="4"/>
      <c r="AO710" s="7"/>
      <c r="AP710" s="4"/>
      <c r="AQ710" s="8"/>
      <c r="AR710" s="4"/>
      <c r="AS710" s="8"/>
      <c r="AT710" s="7"/>
      <c r="AU710" s="7"/>
      <c r="AV710" s="4"/>
      <c r="AW710" s="8"/>
      <c r="AX710" s="4"/>
      <c r="AY710" s="8"/>
      <c r="AZ710" s="7"/>
      <c r="BA710" s="7"/>
      <c r="BB710" s="7"/>
      <c r="BC710" s="4" t="s">
        <v>200</v>
      </c>
      <c r="BD710" s="8" t="s">
        <v>200</v>
      </c>
      <c r="BE710" s="4" t="s">
        <v>200</v>
      </c>
      <c r="BF710" s="8" t="s">
        <v>200</v>
      </c>
      <c r="BG710" s="7" t="s">
        <v>200</v>
      </c>
      <c r="BH710" s="7" t="s">
        <v>200</v>
      </c>
      <c r="BI710" s="7"/>
      <c r="BJ710" s="4">
        <v>3</v>
      </c>
      <c r="BK710" s="8">
        <v>347.96</v>
      </c>
      <c r="BL710" s="2" t="s">
        <v>4405</v>
      </c>
      <c r="BM710" s="7"/>
      <c r="BN710" s="7"/>
      <c r="BO710" s="4"/>
      <c r="BP710" s="8"/>
      <c r="BQ710" s="4"/>
      <c r="BR710" s="8"/>
      <c r="BS710" s="7"/>
      <c r="BT710" s="7"/>
      <c r="BU710" s="2" t="s">
        <v>4406</v>
      </c>
      <c r="BV710" s="2" t="s">
        <v>200</v>
      </c>
      <c r="BW710" s="2" t="s">
        <v>200</v>
      </c>
      <c r="BX710" s="2" t="s">
        <v>264</v>
      </c>
      <c r="BY710" s="2" t="s">
        <v>247</v>
      </c>
      <c r="BZ710" s="2" t="s">
        <v>212</v>
      </c>
      <c r="CA710" s="2" t="s">
        <v>4124</v>
      </c>
      <c r="CB710" s="2" t="s">
        <v>2512</v>
      </c>
      <c r="CC710" s="2" t="s">
        <v>213</v>
      </c>
      <c r="CD710" s="2" t="s">
        <v>200</v>
      </c>
      <c r="CE710" s="4"/>
      <c r="CF710" s="4">
        <v>97</v>
      </c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</row>
    <row r="711">
      <c r="A711" s="2" t="s">
        <v>4407</v>
      </c>
      <c r="B711" s="2" t="s">
        <v>705</v>
      </c>
      <c r="C711" s="2" t="s">
        <v>745</v>
      </c>
      <c r="D711" s="2" t="s">
        <v>817</v>
      </c>
      <c r="E711" s="2" t="s">
        <v>818</v>
      </c>
      <c r="F711" s="2" t="s">
        <v>4384</v>
      </c>
      <c r="G711" s="2" t="s">
        <v>4384</v>
      </c>
      <c r="H711" s="2" t="s">
        <v>4384</v>
      </c>
      <c r="I711" s="2" t="s">
        <v>4408</v>
      </c>
      <c r="J711" s="2" t="s">
        <v>711</v>
      </c>
      <c r="K711" s="2" t="s">
        <v>257</v>
      </c>
      <c r="L711" s="3">
        <v>39.5</v>
      </c>
      <c r="M711" s="3">
        <v>41.48</v>
      </c>
      <c r="N711" s="3">
        <v>89.99</v>
      </c>
      <c r="O711" s="2" t="s">
        <v>212</v>
      </c>
      <c r="P711" s="2" t="s">
        <v>258</v>
      </c>
      <c r="Q711" s="2" t="s">
        <v>206</v>
      </c>
      <c r="R711" s="2" t="s">
        <v>200</v>
      </c>
      <c r="S711" s="2" t="s">
        <v>200</v>
      </c>
      <c r="T711" s="2" t="s">
        <v>200</v>
      </c>
      <c r="U711" s="2" t="s">
        <v>270</v>
      </c>
      <c r="V711" s="2" t="s">
        <v>616</v>
      </c>
      <c r="W711" s="2" t="s">
        <v>379</v>
      </c>
      <c r="X711" s="2" t="s">
        <v>200</v>
      </c>
      <c r="Y711" s="2" t="s">
        <v>1708</v>
      </c>
      <c r="Z711" s="4">
        <v>131</v>
      </c>
      <c r="AA711" s="4">
        <f>=ROUNDDOWN(72.7777777777778,0)</f>
      </c>
      <c r="AB711" s="5">
        <v>1.8</v>
      </c>
      <c r="AC711" s="2" t="s">
        <v>200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200</v>
      </c>
      <c r="AM711" s="4"/>
      <c r="AN711" s="4"/>
      <c r="AO711" s="7"/>
      <c r="AP711" s="4"/>
      <c r="AQ711" s="8"/>
      <c r="AR711" s="4"/>
      <c r="AS711" s="8"/>
      <c r="AT711" s="7"/>
      <c r="AU711" s="7"/>
      <c r="AV711" s="4"/>
      <c r="AW711" s="8"/>
      <c r="AX711" s="4"/>
      <c r="AY711" s="8"/>
      <c r="AZ711" s="7"/>
      <c r="BA711" s="7"/>
      <c r="BB711" s="7"/>
      <c r="BC711" s="4" t="s">
        <v>200</v>
      </c>
      <c r="BD711" s="8" t="s">
        <v>200</v>
      </c>
      <c r="BE711" s="4" t="s">
        <v>200</v>
      </c>
      <c r="BF711" s="8" t="s">
        <v>200</v>
      </c>
      <c r="BG711" s="7" t="s">
        <v>200</v>
      </c>
      <c r="BH711" s="7" t="s">
        <v>200</v>
      </c>
      <c r="BI711" s="7"/>
      <c r="BJ711" s="4">
        <v>10</v>
      </c>
      <c r="BK711" s="8">
        <v>422.78</v>
      </c>
      <c r="BL711" s="2" t="s">
        <v>2991</v>
      </c>
      <c r="BM711" s="7"/>
      <c r="BN711" s="7"/>
      <c r="BO711" s="4"/>
      <c r="BP711" s="8"/>
      <c r="BQ711" s="4"/>
      <c r="BR711" s="8"/>
      <c r="BS711" s="7"/>
      <c r="BT711" s="7"/>
      <c r="BU711" s="2" t="s">
        <v>4409</v>
      </c>
      <c r="BV711" s="2" t="s">
        <v>200</v>
      </c>
      <c r="BW711" s="2" t="s">
        <v>200</v>
      </c>
      <c r="BX711" s="2" t="s">
        <v>264</v>
      </c>
      <c r="BY711" s="2" t="s">
        <v>247</v>
      </c>
      <c r="BZ711" s="2" t="s">
        <v>212</v>
      </c>
      <c r="CA711" s="2" t="s">
        <v>1710</v>
      </c>
      <c r="CB711" s="2" t="s">
        <v>4410</v>
      </c>
      <c r="CC711" s="2" t="s">
        <v>213</v>
      </c>
      <c r="CD711" s="2" t="s">
        <v>200</v>
      </c>
      <c r="CE711" s="4"/>
      <c r="CF711" s="4">
        <v>131</v>
      </c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</row>
    <row r="712">
      <c r="A712" s="2" t="s">
        <v>4411</v>
      </c>
      <c r="B712" s="2" t="s">
        <v>719</v>
      </c>
      <c r="C712" s="2" t="s">
        <v>231</v>
      </c>
      <c r="D712" s="2" t="s">
        <v>1542</v>
      </c>
      <c r="E712" s="2" t="s">
        <v>2060</v>
      </c>
      <c r="F712" s="2" t="s">
        <v>4412</v>
      </c>
      <c r="G712" s="2" t="s">
        <v>4412</v>
      </c>
      <c r="H712" s="2" t="s">
        <v>4412</v>
      </c>
      <c r="I712" s="2" t="s">
        <v>4413</v>
      </c>
      <c r="J712" s="2" t="s">
        <v>711</v>
      </c>
      <c r="K712" s="2" t="s">
        <v>4414</v>
      </c>
      <c r="L712" s="3">
        <v>31.08</v>
      </c>
      <c r="M712" s="3">
        <v>32.63</v>
      </c>
      <c r="N712" s="3">
        <v>65.44</v>
      </c>
      <c r="O712" s="2" t="s">
        <v>212</v>
      </c>
      <c r="P712" s="2" t="s">
        <v>285</v>
      </c>
      <c r="Q712" s="2" t="s">
        <v>206</v>
      </c>
      <c r="R712" s="2" t="s">
        <v>200</v>
      </c>
      <c r="S712" s="2" t="s">
        <v>4415</v>
      </c>
      <c r="T712" s="2" t="s">
        <v>200</v>
      </c>
      <c r="U712" s="2" t="s">
        <v>270</v>
      </c>
      <c r="V712" s="2" t="s">
        <v>885</v>
      </c>
      <c r="W712" s="2" t="s">
        <v>379</v>
      </c>
      <c r="X712" s="2" t="s">
        <v>241</v>
      </c>
      <c r="Y712" s="2" t="s">
        <v>4416</v>
      </c>
      <c r="Z712" s="4">
        <v>9</v>
      </c>
      <c r="AA712" s="4">
        <f>=ROUNDDOWN(3,0)</f>
      </c>
      <c r="AB712" s="5">
        <v>3</v>
      </c>
      <c r="AC712" s="2" t="s">
        <v>200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200</v>
      </c>
      <c r="AM712" s="4"/>
      <c r="AN712" s="4"/>
      <c r="AO712" s="7"/>
      <c r="AP712" s="4"/>
      <c r="AQ712" s="8"/>
      <c r="AR712" s="4"/>
      <c r="AS712" s="8"/>
      <c r="AT712" s="7"/>
      <c r="AU712" s="7"/>
      <c r="AV712" s="4"/>
      <c r="AW712" s="8"/>
      <c r="AX712" s="4"/>
      <c r="AY712" s="8"/>
      <c r="AZ712" s="7"/>
      <c r="BA712" s="7"/>
      <c r="BB712" s="7"/>
      <c r="BC712" s="4"/>
      <c r="BD712" s="8"/>
      <c r="BE712" s="4"/>
      <c r="BF712" s="8"/>
      <c r="BG712" s="7"/>
      <c r="BH712" s="7"/>
      <c r="BI712" s="7"/>
      <c r="BJ712" s="4">
        <v>8</v>
      </c>
      <c r="BK712" s="8">
        <v>256.14</v>
      </c>
      <c r="BL712" s="2" t="s">
        <v>1751</v>
      </c>
      <c r="BM712" s="7"/>
      <c r="BN712" s="7"/>
      <c r="BO712" s="4"/>
      <c r="BP712" s="8"/>
      <c r="BQ712" s="4"/>
      <c r="BR712" s="8"/>
      <c r="BS712" s="7"/>
      <c r="BT712" s="7"/>
      <c r="BU712" s="2" t="s">
        <v>4417</v>
      </c>
      <c r="BV712" s="2" t="s">
        <v>200</v>
      </c>
      <c r="BW712" s="2" t="s">
        <v>200</v>
      </c>
      <c r="BX712" s="2" t="s">
        <v>289</v>
      </c>
      <c r="BY712" s="2" t="s">
        <v>247</v>
      </c>
      <c r="BZ712" s="2" t="s">
        <v>212</v>
      </c>
      <c r="CA712" s="2" t="s">
        <v>4418</v>
      </c>
      <c r="CB712" s="2" t="s">
        <v>1552</v>
      </c>
      <c r="CC712" s="2" t="s">
        <v>213</v>
      </c>
      <c r="CD712" s="2" t="s">
        <v>200</v>
      </c>
      <c r="CE712" s="4"/>
      <c r="CF712" s="4">
        <v>9</v>
      </c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</row>
    <row r="713">
      <c r="A713" s="2" t="s">
        <v>4419</v>
      </c>
      <c r="B713" s="2" t="s">
        <v>705</v>
      </c>
      <c r="C713" s="2" t="s">
        <v>745</v>
      </c>
      <c r="D713" s="2" t="s">
        <v>707</v>
      </c>
      <c r="E713" s="2" t="s">
        <v>708</v>
      </c>
      <c r="F713" s="2" t="s">
        <v>4420</v>
      </c>
      <c r="G713" s="2" t="s">
        <v>4420</v>
      </c>
      <c r="H713" s="2" t="s">
        <v>4420</v>
      </c>
      <c r="I713" s="2" t="s">
        <v>4421</v>
      </c>
      <c r="J713" s="2" t="s">
        <v>711</v>
      </c>
      <c r="K713" s="2" t="s">
        <v>4422</v>
      </c>
      <c r="L713" s="3">
        <v>51.75</v>
      </c>
      <c r="M713" s="3">
        <v>54.34</v>
      </c>
      <c r="N713" s="3">
        <v>117.99</v>
      </c>
      <c r="O713" s="2" t="s">
        <v>460</v>
      </c>
      <c r="P713" s="2" t="s">
        <v>285</v>
      </c>
      <c r="Q713" s="2" t="s">
        <v>206</v>
      </c>
      <c r="R713" s="2" t="s">
        <v>200</v>
      </c>
      <c r="S713" s="2" t="s">
        <v>200</v>
      </c>
      <c r="T713" s="2" t="s">
        <v>200</v>
      </c>
      <c r="U713" s="2" t="s">
        <v>200</v>
      </c>
      <c r="V713" s="2" t="s">
        <v>616</v>
      </c>
      <c r="W713" s="2" t="s">
        <v>712</v>
      </c>
      <c r="X713" s="2" t="s">
        <v>200</v>
      </c>
      <c r="Y713" s="2" t="s">
        <v>1774</v>
      </c>
      <c r="Z713" s="4">
        <v>36</v>
      </c>
      <c r="AA713" s="4">
        <f>=ROUNDDOWN(18,0)</f>
      </c>
      <c r="AB713" s="5">
        <v>2</v>
      </c>
      <c r="AC713" s="2" t="s">
        <v>200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200</v>
      </c>
      <c r="AM713" s="4"/>
      <c r="AN713" s="4"/>
      <c r="AO713" s="7"/>
      <c r="AP713" s="4"/>
      <c r="AQ713" s="8"/>
      <c r="AR713" s="4"/>
      <c r="AS713" s="8"/>
      <c r="AT713" s="7"/>
      <c r="AU713" s="7"/>
      <c r="AV713" s="4"/>
      <c r="AW713" s="8"/>
      <c r="AX713" s="4"/>
      <c r="AY713" s="8"/>
      <c r="AZ713" s="7"/>
      <c r="BA713" s="7"/>
      <c r="BB713" s="7"/>
      <c r="BC713" s="4"/>
      <c r="BD713" s="8"/>
      <c r="BE713" s="4"/>
      <c r="BF713" s="8"/>
      <c r="BG713" s="7"/>
      <c r="BH713" s="7"/>
      <c r="BI713" s="7"/>
      <c r="BJ713" s="4">
        <v>1</v>
      </c>
      <c r="BK713" s="8">
        <v>59.51</v>
      </c>
      <c r="BL713" s="2" t="s">
        <v>1656</v>
      </c>
      <c r="BM713" s="7"/>
      <c r="BN713" s="7"/>
      <c r="BO713" s="4"/>
      <c r="BP713" s="8"/>
      <c r="BQ713" s="4"/>
      <c r="BR713" s="8"/>
      <c r="BS713" s="7"/>
      <c r="BT713" s="7"/>
      <c r="BU713" s="2" t="s">
        <v>4423</v>
      </c>
      <c r="BV713" s="2" t="s">
        <v>200</v>
      </c>
      <c r="BW713" s="2" t="s">
        <v>200</v>
      </c>
      <c r="BX713" s="2" t="s">
        <v>289</v>
      </c>
      <c r="BY713" s="2" t="s">
        <v>247</v>
      </c>
      <c r="BZ713" s="2" t="s">
        <v>212</v>
      </c>
      <c r="CA713" s="2" t="s">
        <v>2282</v>
      </c>
      <c r="CB713" s="2" t="s">
        <v>4424</v>
      </c>
      <c r="CC713" s="2" t="s">
        <v>213</v>
      </c>
      <c r="CD713" s="2" t="s">
        <v>200</v>
      </c>
      <c r="CE713" s="4"/>
      <c r="CF713" s="4">
        <v>36</v>
      </c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</row>
    <row r="714">
      <c r="A714" s="2" t="s">
        <v>4425</v>
      </c>
      <c r="B714" s="2" t="s">
        <v>705</v>
      </c>
      <c r="C714" s="2" t="s">
        <v>706</v>
      </c>
      <c r="D714" s="2" t="s">
        <v>707</v>
      </c>
      <c r="E714" s="2" t="s">
        <v>708</v>
      </c>
      <c r="F714" s="2" t="s">
        <v>4426</v>
      </c>
      <c r="G714" s="2" t="s">
        <v>4426</v>
      </c>
      <c r="H714" s="2" t="s">
        <v>4426</v>
      </c>
      <c r="I714" s="2" t="s">
        <v>4427</v>
      </c>
      <c r="J714" s="2" t="s">
        <v>711</v>
      </c>
      <c r="K714" s="2" t="s">
        <v>4428</v>
      </c>
      <c r="L714" s="3">
        <v>83.03</v>
      </c>
      <c r="M714" s="3">
        <v>87.18</v>
      </c>
      <c r="N714" s="3">
        <v>189.99</v>
      </c>
      <c r="O714" s="2" t="s">
        <v>460</v>
      </c>
      <c r="P714" s="2" t="s">
        <v>285</v>
      </c>
      <c r="Q714" s="2" t="s">
        <v>206</v>
      </c>
      <c r="R714" s="2" t="s">
        <v>200</v>
      </c>
      <c r="S714" s="2" t="s">
        <v>200</v>
      </c>
      <c r="T714" s="2" t="s">
        <v>200</v>
      </c>
      <c r="U714" s="2" t="s">
        <v>270</v>
      </c>
      <c r="V714" s="2" t="s">
        <v>616</v>
      </c>
      <c r="W714" s="2" t="s">
        <v>736</v>
      </c>
      <c r="X714" s="2" t="s">
        <v>1399</v>
      </c>
      <c r="Y714" s="2" t="s">
        <v>428</v>
      </c>
      <c r="Z714" s="4">
        <v>96</v>
      </c>
      <c r="AA714" s="4">
        <f>=ROUNDDOWN(96,0)</f>
      </c>
      <c r="AB714" s="5">
        <v>1</v>
      </c>
      <c r="AC714" s="2" t="s">
        <v>200</v>
      </c>
      <c r="AD714" s="4"/>
      <c r="AE714" s="4"/>
      <c r="AF714" s="6">
        <v>63</v>
      </c>
      <c r="AG714" s="6"/>
      <c r="AH714" s="7">
        <v>1</v>
      </c>
      <c r="AI714" s="4"/>
      <c r="AJ714" s="4">
        <f>=ROUNDDOWN({0},0)</f>
      </c>
      <c r="AK714" s="5"/>
      <c r="AL714" s="2" t="s">
        <v>200</v>
      </c>
      <c r="AM714" s="4"/>
      <c r="AN714" s="4"/>
      <c r="AO714" s="7"/>
      <c r="AP714" s="4"/>
      <c r="AQ714" s="8"/>
      <c r="AR714" s="4"/>
      <c r="AS714" s="8"/>
      <c r="AT714" s="7"/>
      <c r="AU714" s="7"/>
      <c r="AV714" s="4"/>
      <c r="AW714" s="8"/>
      <c r="AX714" s="4"/>
      <c r="AY714" s="8"/>
      <c r="AZ714" s="7"/>
      <c r="BA714" s="7"/>
      <c r="BB714" s="7"/>
      <c r="BC714" s="4"/>
      <c r="BD714" s="8"/>
      <c r="BE714" s="4"/>
      <c r="BF714" s="8"/>
      <c r="BG714" s="7"/>
      <c r="BH714" s="7"/>
      <c r="BI714" s="7"/>
      <c r="BJ714" s="4">
        <v>1</v>
      </c>
      <c r="BK714" s="8">
        <v>199</v>
      </c>
      <c r="BL714" s="2" t="s">
        <v>1618</v>
      </c>
      <c r="BM714" s="7"/>
      <c r="BN714" s="7"/>
      <c r="BO714" s="4"/>
      <c r="BP714" s="8"/>
      <c r="BQ714" s="4"/>
      <c r="BR714" s="8"/>
      <c r="BS714" s="7"/>
      <c r="BT714" s="7"/>
      <c r="BU714" s="2" t="s">
        <v>4429</v>
      </c>
      <c r="BV714" s="2" t="s">
        <v>200</v>
      </c>
      <c r="BW714" s="2" t="s">
        <v>200</v>
      </c>
      <c r="BX714" s="2" t="s">
        <v>289</v>
      </c>
      <c r="BY714" s="2" t="s">
        <v>247</v>
      </c>
      <c r="BZ714" s="2" t="s">
        <v>212</v>
      </c>
      <c r="CA714" s="2" t="s">
        <v>3773</v>
      </c>
      <c r="CB714" s="2" t="s">
        <v>4430</v>
      </c>
      <c r="CC714" s="2" t="s">
        <v>213</v>
      </c>
      <c r="CD714" s="2" t="s">
        <v>200</v>
      </c>
      <c r="CE714" s="4"/>
      <c r="CF714" s="4">
        <v>96</v>
      </c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</row>
    <row r="715">
      <c r="A715" s="2" t="s">
        <v>4431</v>
      </c>
      <c r="B715" s="2" t="s">
        <v>992</v>
      </c>
      <c r="C715" s="2" t="s">
        <v>231</v>
      </c>
      <c r="D715" s="2" t="s">
        <v>992</v>
      </c>
      <c r="E715" s="2" t="s">
        <v>992</v>
      </c>
      <c r="F715" s="2" t="s">
        <v>4432</v>
      </c>
      <c r="G715" s="2" t="s">
        <v>4433</v>
      </c>
      <c r="H715" s="2" t="s">
        <v>4434</v>
      </c>
      <c r="I715" s="2" t="s">
        <v>4435</v>
      </c>
      <c r="J715" s="2" t="s">
        <v>997</v>
      </c>
      <c r="K715" s="2" t="s">
        <v>4436</v>
      </c>
      <c r="L715" s="3">
        <v>70</v>
      </c>
      <c r="M715" s="3">
        <v>73.5</v>
      </c>
      <c r="N715" s="3">
        <v>159.99</v>
      </c>
      <c r="O715" s="2" t="s">
        <v>417</v>
      </c>
      <c r="P715" s="2" t="s">
        <v>285</v>
      </c>
      <c r="Q715" s="2" t="s">
        <v>206</v>
      </c>
      <c r="R715" s="2" t="s">
        <v>200</v>
      </c>
      <c r="S715" s="2" t="s">
        <v>4437</v>
      </c>
      <c r="T715" s="2" t="s">
        <v>200</v>
      </c>
      <c r="U715" s="2" t="s">
        <v>270</v>
      </c>
      <c r="V715" s="2" t="s">
        <v>1529</v>
      </c>
      <c r="W715" s="2" t="s">
        <v>1975</v>
      </c>
      <c r="X715" s="2" t="s">
        <v>200</v>
      </c>
      <c r="Y715" s="2" t="s">
        <v>4438</v>
      </c>
      <c r="Z715" s="4">
        <v>5</v>
      </c>
      <c r="AA715" s="4">
        <f>=ROUNDDOWN(5.55555555555556,0)</f>
      </c>
      <c r="AB715" s="5">
        <v>0.9</v>
      </c>
      <c r="AC715" s="2" t="s">
        <v>200</v>
      </c>
      <c r="AD715" s="4"/>
      <c r="AE715" s="4"/>
      <c r="AF715" s="6">
        <v>63</v>
      </c>
      <c r="AG715" s="6"/>
      <c r="AH715" s="7">
        <v>1</v>
      </c>
      <c r="AI715" s="4"/>
      <c r="AJ715" s="4">
        <f>=ROUNDDOWN({0},0)</f>
      </c>
      <c r="AK715" s="5"/>
      <c r="AL715" s="2" t="s">
        <v>200</v>
      </c>
      <c r="AM715" s="4"/>
      <c r="AN715" s="4"/>
      <c r="AO715" s="7"/>
      <c r="AP715" s="4"/>
      <c r="AQ715" s="8"/>
      <c r="AR715" s="4"/>
      <c r="AS715" s="8"/>
      <c r="AT715" s="7"/>
      <c r="AU715" s="7"/>
      <c r="AV715" s="4" t="s">
        <v>200</v>
      </c>
      <c r="AW715" s="8" t="s">
        <v>200</v>
      </c>
      <c r="AX715" s="4" t="s">
        <v>200</v>
      </c>
      <c r="AY715" s="8" t="s">
        <v>200</v>
      </c>
      <c r="AZ715" s="7" t="s">
        <v>200</v>
      </c>
      <c r="BA715" s="7" t="s">
        <v>200</v>
      </c>
      <c r="BB715" s="7"/>
      <c r="BC715" s="4" t="s">
        <v>200</v>
      </c>
      <c r="BD715" s="8" t="s">
        <v>200</v>
      </c>
      <c r="BE715" s="4" t="s">
        <v>200</v>
      </c>
      <c r="BF715" s="8" t="s">
        <v>200</v>
      </c>
      <c r="BG715" s="7" t="s">
        <v>200</v>
      </c>
      <c r="BH715" s="7" t="s">
        <v>200</v>
      </c>
      <c r="BI715" s="7"/>
      <c r="BJ715" s="4">
        <v>2</v>
      </c>
      <c r="BK715" s="8">
        <v>147</v>
      </c>
      <c r="BL715" s="2" t="s">
        <v>4439</v>
      </c>
      <c r="BM715" s="7"/>
      <c r="BN715" s="7"/>
      <c r="BO715" s="4"/>
      <c r="BP715" s="8"/>
      <c r="BQ715" s="4"/>
      <c r="BR715" s="8"/>
      <c r="BS715" s="7"/>
      <c r="BT715" s="7"/>
      <c r="BU715" s="2" t="s">
        <v>4440</v>
      </c>
      <c r="BV715" s="2" t="s">
        <v>200</v>
      </c>
      <c r="BW715" s="2" t="s">
        <v>200</v>
      </c>
      <c r="BX715" s="2" t="s">
        <v>289</v>
      </c>
      <c r="BY715" s="2" t="s">
        <v>247</v>
      </c>
      <c r="BZ715" s="2" t="s">
        <v>212</v>
      </c>
      <c r="CA715" s="2" t="s">
        <v>4441</v>
      </c>
      <c r="CB715" s="2" t="s">
        <v>3064</v>
      </c>
      <c r="CC715" s="2" t="s">
        <v>213</v>
      </c>
      <c r="CD715" s="2" t="s">
        <v>200</v>
      </c>
      <c r="CE715" s="4"/>
      <c r="CF715" s="4">
        <v>5</v>
      </c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</row>
    <row r="716">
      <c r="A716" s="2" t="s">
        <v>4442</v>
      </c>
      <c r="B716" s="2" t="s">
        <v>992</v>
      </c>
      <c r="C716" s="2" t="s">
        <v>231</v>
      </c>
      <c r="D716" s="2" t="s">
        <v>992</v>
      </c>
      <c r="E716" s="2" t="s">
        <v>992</v>
      </c>
      <c r="F716" s="2" t="s">
        <v>4432</v>
      </c>
      <c r="G716" s="2" t="s">
        <v>4433</v>
      </c>
      <c r="H716" s="2" t="s">
        <v>4434</v>
      </c>
      <c r="I716" s="2" t="s">
        <v>4435</v>
      </c>
      <c r="J716" s="2" t="s">
        <v>1585</v>
      </c>
      <c r="K716" s="2" t="s">
        <v>4436</v>
      </c>
      <c r="L716" s="3">
        <v>150</v>
      </c>
      <c r="M716" s="3">
        <v>157.5</v>
      </c>
      <c r="N716" s="3">
        <v>319.98</v>
      </c>
      <c r="O716" s="2" t="s">
        <v>417</v>
      </c>
      <c r="P716" s="2" t="s">
        <v>285</v>
      </c>
      <c r="Q716" s="2" t="s">
        <v>206</v>
      </c>
      <c r="R716" s="2" t="s">
        <v>200</v>
      </c>
      <c r="S716" s="2" t="s">
        <v>4437</v>
      </c>
      <c r="T716" s="2" t="s">
        <v>200</v>
      </c>
      <c r="U716" s="2" t="s">
        <v>270</v>
      </c>
      <c r="V716" s="2" t="s">
        <v>1529</v>
      </c>
      <c r="W716" s="2" t="s">
        <v>1975</v>
      </c>
      <c r="X716" s="2" t="s">
        <v>200</v>
      </c>
      <c r="Y716" s="2" t="s">
        <v>4438</v>
      </c>
      <c r="Z716" s="4">
        <v>6</v>
      </c>
      <c r="AA716" s="4">
        <f>=ROUNDDOWN(2.72727272727273,0)</f>
      </c>
      <c r="AB716" s="5">
        <v>2.2</v>
      </c>
      <c r="AC716" s="2" t="s">
        <v>200</v>
      </c>
      <c r="AD716" s="4"/>
      <c r="AE716" s="4"/>
      <c r="AF716" s="6">
        <v>63</v>
      </c>
      <c r="AG716" s="6"/>
      <c r="AH716" s="7">
        <v>1</v>
      </c>
      <c r="AI716" s="4"/>
      <c r="AJ716" s="4">
        <f>=ROUNDDOWN({0},0)</f>
      </c>
      <c r="AK716" s="5"/>
      <c r="AL716" s="2" t="s">
        <v>200</v>
      </c>
      <c r="AM716" s="4"/>
      <c r="AN716" s="4"/>
      <c r="AO716" s="7"/>
      <c r="AP716" s="4"/>
      <c r="AQ716" s="8"/>
      <c r="AR716" s="4"/>
      <c r="AS716" s="8"/>
      <c r="AT716" s="7"/>
      <c r="AU716" s="7"/>
      <c r="AV716" s="4" t="s">
        <v>200</v>
      </c>
      <c r="AW716" s="8" t="s">
        <v>200</v>
      </c>
      <c r="AX716" s="4" t="s">
        <v>200</v>
      </c>
      <c r="AY716" s="8" t="s">
        <v>200</v>
      </c>
      <c r="AZ716" s="7" t="s">
        <v>200</v>
      </c>
      <c r="BA716" s="7" t="s">
        <v>200</v>
      </c>
      <c r="BB716" s="7"/>
      <c r="BC716" s="4" t="s">
        <v>200</v>
      </c>
      <c r="BD716" s="8" t="s">
        <v>200</v>
      </c>
      <c r="BE716" s="4" t="s">
        <v>200</v>
      </c>
      <c r="BF716" s="8" t="s">
        <v>200</v>
      </c>
      <c r="BG716" s="7" t="s">
        <v>200</v>
      </c>
      <c r="BH716" s="7" t="s">
        <v>200</v>
      </c>
      <c r="BI716" s="7"/>
      <c r="BJ716" s="4">
        <v>5</v>
      </c>
      <c r="BK716" s="8">
        <v>578.82</v>
      </c>
      <c r="BL716" s="2" t="s">
        <v>1302</v>
      </c>
      <c r="BM716" s="7"/>
      <c r="BN716" s="7"/>
      <c r="BO716" s="4"/>
      <c r="BP716" s="8"/>
      <c r="BQ716" s="4"/>
      <c r="BR716" s="8"/>
      <c r="BS716" s="7"/>
      <c r="BT716" s="7"/>
      <c r="BU716" s="2" t="s">
        <v>4443</v>
      </c>
      <c r="BV716" s="2" t="s">
        <v>200</v>
      </c>
      <c r="BW716" s="2" t="s">
        <v>200</v>
      </c>
      <c r="BX716" s="2" t="s">
        <v>289</v>
      </c>
      <c r="BY716" s="2" t="s">
        <v>247</v>
      </c>
      <c r="BZ716" s="2" t="s">
        <v>212</v>
      </c>
      <c r="CA716" s="2" t="s">
        <v>4441</v>
      </c>
      <c r="CB716" s="2" t="s">
        <v>2853</v>
      </c>
      <c r="CC716" s="2" t="s">
        <v>213</v>
      </c>
      <c r="CD716" s="2" t="s">
        <v>200</v>
      </c>
      <c r="CE716" s="4"/>
      <c r="CF716" s="4">
        <v>6</v>
      </c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</row>
    <row r="717">
      <c r="A717" s="2" t="s">
        <v>4444</v>
      </c>
      <c r="B717" s="2" t="s">
        <v>932</v>
      </c>
      <c r="C717" s="2" t="s">
        <v>877</v>
      </c>
      <c r="D717" s="2" t="s">
        <v>608</v>
      </c>
      <c r="E717" s="2" t="s">
        <v>609</v>
      </c>
      <c r="F717" s="2" t="s">
        <v>4445</v>
      </c>
      <c r="G717" s="2" t="s">
        <v>2699</v>
      </c>
      <c r="H717" s="2" t="s">
        <v>4446</v>
      </c>
      <c r="I717" s="2" t="s">
        <v>4447</v>
      </c>
      <c r="J717" s="2" t="s">
        <v>1390</v>
      </c>
      <c r="K717" s="2" t="s">
        <v>1017</v>
      </c>
      <c r="L717" s="3">
        <v>31.05</v>
      </c>
      <c r="M717" s="3">
        <v>32.6</v>
      </c>
      <c r="N717" s="3">
        <v>59.99</v>
      </c>
      <c r="O717" s="2" t="s">
        <v>212</v>
      </c>
      <c r="P717" s="2" t="s">
        <v>258</v>
      </c>
      <c r="Q717" s="2" t="s">
        <v>206</v>
      </c>
      <c r="R717" s="2" t="s">
        <v>200</v>
      </c>
      <c r="S717" s="2" t="s">
        <v>4448</v>
      </c>
      <c r="T717" s="2" t="s">
        <v>2935</v>
      </c>
      <c r="U717" s="2" t="s">
        <v>454</v>
      </c>
      <c r="V717" s="2" t="s">
        <v>208</v>
      </c>
      <c r="W717" s="2" t="s">
        <v>242</v>
      </c>
      <c r="X717" s="2" t="s">
        <v>4449</v>
      </c>
      <c r="Y717" s="2" t="s">
        <v>2270</v>
      </c>
      <c r="Z717" s="4">
        <v>27</v>
      </c>
      <c r="AA717" s="4">
        <f>=ROUNDDOWN(9,0)</f>
      </c>
      <c r="AB717" s="5">
        <v>3</v>
      </c>
      <c r="AC717" s="2" t="s">
        <v>1141</v>
      </c>
      <c r="AD717" s="4">
        <v>75</v>
      </c>
      <c r="AE717" s="4">
        <v>75</v>
      </c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200</v>
      </c>
      <c r="AM717" s="4"/>
      <c r="AN717" s="4"/>
      <c r="AO717" s="7"/>
      <c r="AP717" s="4"/>
      <c r="AQ717" s="8"/>
      <c r="AR717" s="4"/>
      <c r="AS717" s="8"/>
      <c r="AT717" s="7"/>
      <c r="AU717" s="7"/>
      <c r="AV717" s="4" t="s">
        <v>200</v>
      </c>
      <c r="AW717" s="8" t="s">
        <v>200</v>
      </c>
      <c r="AX717" s="4" t="s">
        <v>200</v>
      </c>
      <c r="AY717" s="8" t="s">
        <v>200</v>
      </c>
      <c r="AZ717" s="7" t="s">
        <v>200</v>
      </c>
      <c r="BA717" s="7" t="s">
        <v>200</v>
      </c>
      <c r="BB717" s="7" t="s">
        <v>200</v>
      </c>
      <c r="BC717" s="4" t="s">
        <v>200</v>
      </c>
      <c r="BD717" s="8" t="s">
        <v>200</v>
      </c>
      <c r="BE717" s="4" t="s">
        <v>200</v>
      </c>
      <c r="BF717" s="8" t="s">
        <v>200</v>
      </c>
      <c r="BG717" s="7" t="s">
        <v>200</v>
      </c>
      <c r="BH717" s="7" t="s">
        <v>200</v>
      </c>
      <c r="BI717" s="7"/>
      <c r="BJ717" s="4">
        <v>36</v>
      </c>
      <c r="BK717" s="8">
        <v>1278.89</v>
      </c>
      <c r="BL717" s="2" t="s">
        <v>4450</v>
      </c>
      <c r="BM717" s="7"/>
      <c r="BN717" s="7"/>
      <c r="BO717" s="4"/>
      <c r="BP717" s="8"/>
      <c r="BQ717" s="4"/>
      <c r="BR717" s="8"/>
      <c r="BS717" s="7"/>
      <c r="BT717" s="7"/>
      <c r="BU717" s="2" t="s">
        <v>4451</v>
      </c>
      <c r="BV717" s="2" t="s">
        <v>200</v>
      </c>
      <c r="BW717" s="2" t="s">
        <v>200</v>
      </c>
      <c r="BX717" s="2" t="s">
        <v>629</v>
      </c>
      <c r="BY717" s="2" t="s">
        <v>247</v>
      </c>
      <c r="BZ717" s="2" t="s">
        <v>212</v>
      </c>
      <c r="CA717" s="2" t="s">
        <v>2270</v>
      </c>
      <c r="CB717" s="2" t="s">
        <v>4452</v>
      </c>
      <c r="CC717" s="2" t="s">
        <v>213</v>
      </c>
      <c r="CD717" s="2" t="s">
        <v>200</v>
      </c>
      <c r="CE717" s="4">
        <v>27</v>
      </c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>
        <v>75</v>
      </c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</row>
    <row r="718">
      <c r="A718" s="2" t="s">
        <v>4453</v>
      </c>
      <c r="B718" s="2" t="s">
        <v>932</v>
      </c>
      <c r="C718" s="2" t="s">
        <v>877</v>
      </c>
      <c r="D718" s="2" t="s">
        <v>918</v>
      </c>
      <c r="E718" s="2" t="s">
        <v>934</v>
      </c>
      <c r="F718" s="2" t="s">
        <v>4445</v>
      </c>
      <c r="G718" s="2" t="s">
        <v>2699</v>
      </c>
      <c r="H718" s="2" t="s">
        <v>4446</v>
      </c>
      <c r="I718" s="2" t="s">
        <v>4454</v>
      </c>
      <c r="J718" s="2" t="s">
        <v>1390</v>
      </c>
      <c r="K718" s="2" t="s">
        <v>1017</v>
      </c>
      <c r="L718" s="3">
        <v>27.6</v>
      </c>
      <c r="M718" s="3">
        <v>28.98</v>
      </c>
      <c r="N718" s="3">
        <v>59.99</v>
      </c>
      <c r="O718" s="2" t="s">
        <v>212</v>
      </c>
      <c r="P718" s="2" t="s">
        <v>205</v>
      </c>
      <c r="Q718" s="2" t="s">
        <v>206</v>
      </c>
      <c r="R718" s="2" t="s">
        <v>200</v>
      </c>
      <c r="S718" s="2" t="s">
        <v>4448</v>
      </c>
      <c r="T718" s="2" t="s">
        <v>2935</v>
      </c>
      <c r="U718" s="2" t="s">
        <v>454</v>
      </c>
      <c r="V718" s="2" t="s">
        <v>208</v>
      </c>
      <c r="W718" s="2" t="s">
        <v>242</v>
      </c>
      <c r="X718" s="2" t="s">
        <v>4449</v>
      </c>
      <c r="Y718" s="2" t="s">
        <v>2270</v>
      </c>
      <c r="Z718" s="4">
        <v>6</v>
      </c>
      <c r="AA718" s="4">
        <f>=ROUNDDOWN(3,0)</f>
      </c>
      <c r="AB718" s="5">
        <v>2</v>
      </c>
      <c r="AC718" s="2" t="s">
        <v>4455</v>
      </c>
      <c r="AD718" s="4">
        <v>40</v>
      </c>
      <c r="AE718" s="4">
        <v>40</v>
      </c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200</v>
      </c>
      <c r="AM718" s="4"/>
      <c r="AN718" s="4"/>
      <c r="AO718" s="7"/>
      <c r="AP718" s="4"/>
      <c r="AQ718" s="8"/>
      <c r="AR718" s="4"/>
      <c r="AS718" s="8"/>
      <c r="AT718" s="7"/>
      <c r="AU718" s="7"/>
      <c r="AV718" s="4" t="s">
        <v>200</v>
      </c>
      <c r="AW718" s="8" t="s">
        <v>200</v>
      </c>
      <c r="AX718" s="4" t="s">
        <v>200</v>
      </c>
      <c r="AY718" s="8" t="s">
        <v>200</v>
      </c>
      <c r="AZ718" s="7" t="s">
        <v>200</v>
      </c>
      <c r="BA718" s="7" t="s">
        <v>200</v>
      </c>
      <c r="BB718" s="7" t="s">
        <v>200</v>
      </c>
      <c r="BC718" s="4" t="s">
        <v>200</v>
      </c>
      <c r="BD718" s="8" t="s">
        <v>200</v>
      </c>
      <c r="BE718" s="4" t="s">
        <v>200</v>
      </c>
      <c r="BF718" s="8" t="s">
        <v>200</v>
      </c>
      <c r="BG718" s="7" t="s">
        <v>200</v>
      </c>
      <c r="BH718" s="7" t="s">
        <v>200</v>
      </c>
      <c r="BI718" s="7"/>
      <c r="BJ718" s="4">
        <v>12</v>
      </c>
      <c r="BK718" s="8">
        <v>375.32</v>
      </c>
      <c r="BL718" s="2" t="s">
        <v>4456</v>
      </c>
      <c r="BM718" s="7"/>
      <c r="BN718" s="7"/>
      <c r="BO718" s="4"/>
      <c r="BP718" s="8"/>
      <c r="BQ718" s="4"/>
      <c r="BR718" s="8"/>
      <c r="BS718" s="7"/>
      <c r="BT718" s="7"/>
      <c r="BU718" s="2" t="s">
        <v>4457</v>
      </c>
      <c r="BV718" s="2" t="s">
        <v>200</v>
      </c>
      <c r="BW718" s="2" t="s">
        <v>200</v>
      </c>
      <c r="BX718" s="2" t="s">
        <v>620</v>
      </c>
      <c r="BY718" s="2" t="s">
        <v>247</v>
      </c>
      <c r="BZ718" s="2" t="s">
        <v>212</v>
      </c>
      <c r="CA718" s="2" t="s">
        <v>2643</v>
      </c>
      <c r="CB718" s="2" t="s">
        <v>200</v>
      </c>
      <c r="CC718" s="2" t="s">
        <v>213</v>
      </c>
      <c r="CD718" s="2" t="s">
        <v>200</v>
      </c>
      <c r="CE718" s="4">
        <v>6</v>
      </c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>
        <v>40</v>
      </c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</row>
    <row r="719">
      <c r="A719" s="2" t="s">
        <v>4458</v>
      </c>
      <c r="B719" s="2" t="s">
        <v>932</v>
      </c>
      <c r="C719" s="2" t="s">
        <v>877</v>
      </c>
      <c r="D719" s="2" t="s">
        <v>918</v>
      </c>
      <c r="E719" s="2" t="s">
        <v>934</v>
      </c>
      <c r="F719" s="2" t="s">
        <v>4445</v>
      </c>
      <c r="G719" s="2" t="s">
        <v>2699</v>
      </c>
      <c r="H719" s="2" t="s">
        <v>4446</v>
      </c>
      <c r="I719" s="2" t="s">
        <v>4454</v>
      </c>
      <c r="J719" s="2" t="s">
        <v>612</v>
      </c>
      <c r="K719" s="2" t="s">
        <v>1017</v>
      </c>
      <c r="L719" s="3">
        <v>33.6</v>
      </c>
      <c r="M719" s="3">
        <v>35.28</v>
      </c>
      <c r="N719" s="3">
        <v>69.99</v>
      </c>
      <c r="O719" s="2" t="s">
        <v>212</v>
      </c>
      <c r="P719" s="2" t="s">
        <v>205</v>
      </c>
      <c r="Q719" s="2" t="s">
        <v>206</v>
      </c>
      <c r="R719" s="2" t="s">
        <v>200</v>
      </c>
      <c r="S719" s="2" t="s">
        <v>4448</v>
      </c>
      <c r="T719" s="2" t="s">
        <v>2935</v>
      </c>
      <c r="U719" s="2" t="s">
        <v>240</v>
      </c>
      <c r="V719" s="2" t="s">
        <v>208</v>
      </c>
      <c r="W719" s="2" t="s">
        <v>242</v>
      </c>
      <c r="X719" s="2" t="s">
        <v>4449</v>
      </c>
      <c r="Y719" s="2" t="s">
        <v>2270</v>
      </c>
      <c r="Z719" s="4">
        <v>1</v>
      </c>
      <c r="AA719" s="4">
        <f>=ROUNDDOWN(0.333333333333333,0)</f>
      </c>
      <c r="AB719" s="5">
        <v>3</v>
      </c>
      <c r="AC719" s="2" t="s">
        <v>4455</v>
      </c>
      <c r="AD719" s="4">
        <v>55</v>
      </c>
      <c r="AE719" s="4">
        <v>55</v>
      </c>
      <c r="AF719" s="6">
        <v>65</v>
      </c>
      <c r="AG719" s="6"/>
      <c r="AH719" s="7">
        <v>0.9</v>
      </c>
      <c r="AI719" s="4"/>
      <c r="AJ719" s="4">
        <f>=ROUNDDOWN({0},0)</f>
      </c>
      <c r="AK719" s="5"/>
      <c r="AL719" s="2" t="s">
        <v>200</v>
      </c>
      <c r="AM719" s="4"/>
      <c r="AN719" s="4"/>
      <c r="AO719" s="7"/>
      <c r="AP719" s="4"/>
      <c r="AQ719" s="8"/>
      <c r="AR719" s="4"/>
      <c r="AS719" s="8"/>
      <c r="AT719" s="7"/>
      <c r="AU719" s="7"/>
      <c r="AV719" s="4" t="s">
        <v>200</v>
      </c>
      <c r="AW719" s="8" t="s">
        <v>200</v>
      </c>
      <c r="AX719" s="4" t="s">
        <v>200</v>
      </c>
      <c r="AY719" s="8" t="s">
        <v>200</v>
      </c>
      <c r="AZ719" s="7" t="s">
        <v>200</v>
      </c>
      <c r="BA719" s="7" t="s">
        <v>200</v>
      </c>
      <c r="BB719" s="7"/>
      <c r="BC719" s="4" t="s">
        <v>200</v>
      </c>
      <c r="BD719" s="8" t="s">
        <v>200</v>
      </c>
      <c r="BE719" s="4" t="s">
        <v>200</v>
      </c>
      <c r="BF719" s="8" t="s">
        <v>200</v>
      </c>
      <c r="BG719" s="7" t="s">
        <v>200</v>
      </c>
      <c r="BH719" s="7" t="s">
        <v>200</v>
      </c>
      <c r="BI719" s="7"/>
      <c r="BJ719" s="4">
        <v>29</v>
      </c>
      <c r="BK719" s="8">
        <v>1079.54</v>
      </c>
      <c r="BL719" s="2" t="s">
        <v>4459</v>
      </c>
      <c r="BM719" s="7"/>
      <c r="BN719" s="7"/>
      <c r="BO719" s="4"/>
      <c r="BP719" s="8"/>
      <c r="BQ719" s="4"/>
      <c r="BR719" s="8"/>
      <c r="BS719" s="7"/>
      <c r="BT719" s="7"/>
      <c r="BU719" s="2" t="s">
        <v>4460</v>
      </c>
      <c r="BV719" s="2" t="s">
        <v>200</v>
      </c>
      <c r="BW719" s="2" t="s">
        <v>200</v>
      </c>
      <c r="BX719" s="2" t="s">
        <v>620</v>
      </c>
      <c r="BY719" s="2" t="s">
        <v>247</v>
      </c>
      <c r="BZ719" s="2" t="s">
        <v>212</v>
      </c>
      <c r="CA719" s="2" t="s">
        <v>2643</v>
      </c>
      <c r="CB719" s="2" t="s">
        <v>1971</v>
      </c>
      <c r="CC719" s="2" t="s">
        <v>213</v>
      </c>
      <c r="CD719" s="2" t="s">
        <v>200</v>
      </c>
      <c r="CE719" s="4">
        <v>1</v>
      </c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>
        <v>55</v>
      </c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</row>
    <row r="720">
      <c r="A720" s="2" t="s">
        <v>4461</v>
      </c>
      <c r="B720" s="2" t="s">
        <v>932</v>
      </c>
      <c r="C720" s="2" t="s">
        <v>877</v>
      </c>
      <c r="D720" s="2" t="s">
        <v>918</v>
      </c>
      <c r="E720" s="2" t="s">
        <v>934</v>
      </c>
      <c r="F720" s="2" t="s">
        <v>4445</v>
      </c>
      <c r="G720" s="2" t="s">
        <v>2699</v>
      </c>
      <c r="H720" s="2" t="s">
        <v>4446</v>
      </c>
      <c r="I720" s="2" t="s">
        <v>4454</v>
      </c>
      <c r="J720" s="2" t="s">
        <v>924</v>
      </c>
      <c r="K720" s="2" t="s">
        <v>1017</v>
      </c>
      <c r="L720" s="3">
        <v>36.75</v>
      </c>
      <c r="M720" s="3">
        <v>38.59</v>
      </c>
      <c r="N720" s="3">
        <v>74.99</v>
      </c>
      <c r="O720" s="2" t="s">
        <v>212</v>
      </c>
      <c r="P720" s="2" t="s">
        <v>205</v>
      </c>
      <c r="Q720" s="2" t="s">
        <v>206</v>
      </c>
      <c r="R720" s="2" t="s">
        <v>200</v>
      </c>
      <c r="S720" s="2" t="s">
        <v>4448</v>
      </c>
      <c r="T720" s="2" t="s">
        <v>2935</v>
      </c>
      <c r="U720" s="2" t="s">
        <v>240</v>
      </c>
      <c r="V720" s="2" t="s">
        <v>208</v>
      </c>
      <c r="W720" s="2" t="s">
        <v>242</v>
      </c>
      <c r="X720" s="2" t="s">
        <v>4449</v>
      </c>
      <c r="Y720" s="2" t="s">
        <v>2270</v>
      </c>
      <c r="Z720" s="4"/>
      <c r="AA720" s="4">
        <f>=ROUNDDOWN({0},0)</f>
      </c>
      <c r="AB720" s="5">
        <v>4</v>
      </c>
      <c r="AC720" s="2" t="s">
        <v>4455</v>
      </c>
      <c r="AD720" s="4">
        <v>55</v>
      </c>
      <c r="AE720" s="4">
        <v>55</v>
      </c>
      <c r="AF720" s="6">
        <v>65</v>
      </c>
      <c r="AG720" s="6"/>
      <c r="AH720" s="7">
        <v>0</v>
      </c>
      <c r="AI720" s="4"/>
      <c r="AJ720" s="4">
        <f>=ROUNDDOWN({0},0)</f>
      </c>
      <c r="AK720" s="5"/>
      <c r="AL720" s="2" t="s">
        <v>200</v>
      </c>
      <c r="AM720" s="4"/>
      <c r="AN720" s="4"/>
      <c r="AO720" s="7"/>
      <c r="AP720" s="4"/>
      <c r="AQ720" s="8"/>
      <c r="AR720" s="4"/>
      <c r="AS720" s="8"/>
      <c r="AT720" s="7"/>
      <c r="AU720" s="7"/>
      <c r="AV720" s="4" t="s">
        <v>200</v>
      </c>
      <c r="AW720" s="8" t="s">
        <v>200</v>
      </c>
      <c r="AX720" s="4" t="s">
        <v>200</v>
      </c>
      <c r="AY720" s="8" t="s">
        <v>200</v>
      </c>
      <c r="AZ720" s="7" t="s">
        <v>200</v>
      </c>
      <c r="BA720" s="7" t="s">
        <v>200</v>
      </c>
      <c r="BB720" s="7"/>
      <c r="BC720" s="4" t="s">
        <v>200</v>
      </c>
      <c r="BD720" s="8" t="s">
        <v>200</v>
      </c>
      <c r="BE720" s="4" t="s">
        <v>200</v>
      </c>
      <c r="BF720" s="8" t="s">
        <v>200</v>
      </c>
      <c r="BG720" s="7" t="s">
        <v>200</v>
      </c>
      <c r="BH720" s="7" t="s">
        <v>200</v>
      </c>
      <c r="BI720" s="7"/>
      <c r="BJ720" s="4"/>
      <c r="BK720" s="8"/>
      <c r="BL720" s="2" t="s">
        <v>200</v>
      </c>
      <c r="BM720" s="7"/>
      <c r="BN720" s="7"/>
      <c r="BO720" s="4"/>
      <c r="BP720" s="8"/>
      <c r="BQ720" s="4"/>
      <c r="BR720" s="8"/>
      <c r="BS720" s="7"/>
      <c r="BT720" s="7"/>
      <c r="BU720" s="2" t="s">
        <v>4462</v>
      </c>
      <c r="BV720" s="2" t="s">
        <v>200</v>
      </c>
      <c r="BW720" s="2" t="s">
        <v>200</v>
      </c>
      <c r="BX720" s="2" t="s">
        <v>620</v>
      </c>
      <c r="BY720" s="2" t="s">
        <v>247</v>
      </c>
      <c r="BZ720" s="2" t="s">
        <v>212</v>
      </c>
      <c r="CA720" s="2" t="s">
        <v>2643</v>
      </c>
      <c r="CB720" s="2" t="s">
        <v>915</v>
      </c>
      <c r="CC720" s="2" t="s">
        <v>213</v>
      </c>
      <c r="CD720" s="2" t="s">
        <v>200</v>
      </c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>
        <v>55</v>
      </c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</row>
    <row r="721">
      <c r="A721" s="2" t="s">
        <v>4463</v>
      </c>
      <c r="B721" s="2" t="s">
        <v>932</v>
      </c>
      <c r="C721" s="2" t="s">
        <v>877</v>
      </c>
      <c r="D721" s="2" t="s">
        <v>608</v>
      </c>
      <c r="E721" s="2" t="s">
        <v>609</v>
      </c>
      <c r="F721" s="2" t="s">
        <v>4445</v>
      </c>
      <c r="G721" s="2" t="s">
        <v>2699</v>
      </c>
      <c r="H721" s="2" t="s">
        <v>4446</v>
      </c>
      <c r="I721" s="2" t="s">
        <v>4447</v>
      </c>
      <c r="J721" s="2" t="s">
        <v>1390</v>
      </c>
      <c r="K721" s="2" t="s">
        <v>416</v>
      </c>
      <c r="L721" s="3">
        <v>31.05</v>
      </c>
      <c r="M721" s="3">
        <v>32.6</v>
      </c>
      <c r="N721" s="3">
        <v>59.99</v>
      </c>
      <c r="O721" s="2" t="s">
        <v>212</v>
      </c>
      <c r="P721" s="2" t="s">
        <v>258</v>
      </c>
      <c r="Q721" s="2" t="s">
        <v>206</v>
      </c>
      <c r="R721" s="2" t="s">
        <v>200</v>
      </c>
      <c r="S721" s="2" t="s">
        <v>4464</v>
      </c>
      <c r="T721" s="2" t="s">
        <v>2935</v>
      </c>
      <c r="U721" s="2" t="s">
        <v>454</v>
      </c>
      <c r="V721" s="2" t="s">
        <v>208</v>
      </c>
      <c r="W721" s="2" t="s">
        <v>242</v>
      </c>
      <c r="X721" s="2" t="s">
        <v>4449</v>
      </c>
      <c r="Y721" s="2" t="s">
        <v>2270</v>
      </c>
      <c r="Z721" s="4">
        <v>51</v>
      </c>
      <c r="AA721" s="4">
        <f>=ROUNDDOWN(17,0)</f>
      </c>
      <c r="AB721" s="5">
        <v>3</v>
      </c>
      <c r="AC721" s="2" t="s">
        <v>200</v>
      </c>
      <c r="AD721" s="4"/>
      <c r="AE721" s="4"/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200</v>
      </c>
      <c r="AM721" s="4"/>
      <c r="AN721" s="4"/>
      <c r="AO721" s="7"/>
      <c r="AP721" s="4"/>
      <c r="AQ721" s="8"/>
      <c r="AR721" s="4"/>
      <c r="AS721" s="8"/>
      <c r="AT721" s="7"/>
      <c r="AU721" s="7"/>
      <c r="AV721" s="4" t="s">
        <v>200</v>
      </c>
      <c r="AW721" s="8" t="s">
        <v>200</v>
      </c>
      <c r="AX721" s="4" t="s">
        <v>200</v>
      </c>
      <c r="AY721" s="8" t="s">
        <v>200</v>
      </c>
      <c r="AZ721" s="7" t="s">
        <v>200</v>
      </c>
      <c r="BA721" s="7" t="s">
        <v>200</v>
      </c>
      <c r="BB721" s="7" t="s">
        <v>200</v>
      </c>
      <c r="BC721" s="4" t="s">
        <v>200</v>
      </c>
      <c r="BD721" s="8" t="s">
        <v>200</v>
      </c>
      <c r="BE721" s="4" t="s">
        <v>200</v>
      </c>
      <c r="BF721" s="8" t="s">
        <v>200</v>
      </c>
      <c r="BG721" s="7" t="s">
        <v>200</v>
      </c>
      <c r="BH721" s="7" t="s">
        <v>200</v>
      </c>
      <c r="BI721" s="7"/>
      <c r="BJ721" s="4">
        <v>34</v>
      </c>
      <c r="BK721" s="8">
        <v>1093.2</v>
      </c>
      <c r="BL721" s="2" t="s">
        <v>4465</v>
      </c>
      <c r="BM721" s="7"/>
      <c r="BN721" s="7"/>
      <c r="BO721" s="4"/>
      <c r="BP721" s="8"/>
      <c r="BQ721" s="4"/>
      <c r="BR721" s="8"/>
      <c r="BS721" s="7"/>
      <c r="BT721" s="7"/>
      <c r="BU721" s="2" t="s">
        <v>4466</v>
      </c>
      <c r="BV721" s="2" t="s">
        <v>200</v>
      </c>
      <c r="BW721" s="2" t="s">
        <v>200</v>
      </c>
      <c r="BX721" s="2" t="s">
        <v>629</v>
      </c>
      <c r="BY721" s="2" t="s">
        <v>247</v>
      </c>
      <c r="BZ721" s="2" t="s">
        <v>212</v>
      </c>
      <c r="CA721" s="2" t="s">
        <v>2270</v>
      </c>
      <c r="CB721" s="2" t="s">
        <v>1183</v>
      </c>
      <c r="CC721" s="2" t="s">
        <v>213</v>
      </c>
      <c r="CD721" s="2" t="s">
        <v>200</v>
      </c>
      <c r="CE721" s="4">
        <v>51</v>
      </c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</row>
    <row r="722">
      <c r="A722" s="2" t="s">
        <v>4467</v>
      </c>
      <c r="B722" s="2" t="s">
        <v>932</v>
      </c>
      <c r="C722" s="2" t="s">
        <v>877</v>
      </c>
      <c r="D722" s="2" t="s">
        <v>918</v>
      </c>
      <c r="E722" s="2" t="s">
        <v>934</v>
      </c>
      <c r="F722" s="2" t="s">
        <v>4445</v>
      </c>
      <c r="G722" s="2" t="s">
        <v>2699</v>
      </c>
      <c r="H722" s="2" t="s">
        <v>4446</v>
      </c>
      <c r="I722" s="2" t="s">
        <v>4454</v>
      </c>
      <c r="J722" s="2" t="s">
        <v>1390</v>
      </c>
      <c r="K722" s="2" t="s">
        <v>416</v>
      </c>
      <c r="L722" s="3">
        <v>27.6</v>
      </c>
      <c r="M722" s="3">
        <v>28.98</v>
      </c>
      <c r="N722" s="3">
        <v>59.99</v>
      </c>
      <c r="O722" s="2" t="s">
        <v>212</v>
      </c>
      <c r="P722" s="2" t="s">
        <v>205</v>
      </c>
      <c r="Q722" s="2" t="s">
        <v>206</v>
      </c>
      <c r="R722" s="2" t="s">
        <v>200</v>
      </c>
      <c r="S722" s="2" t="s">
        <v>4464</v>
      </c>
      <c r="T722" s="2" t="s">
        <v>2935</v>
      </c>
      <c r="U722" s="2" t="s">
        <v>454</v>
      </c>
      <c r="V722" s="2" t="s">
        <v>208</v>
      </c>
      <c r="W722" s="2" t="s">
        <v>242</v>
      </c>
      <c r="X722" s="2" t="s">
        <v>4449</v>
      </c>
      <c r="Y722" s="2" t="s">
        <v>2270</v>
      </c>
      <c r="Z722" s="4">
        <v>15</v>
      </c>
      <c r="AA722" s="4">
        <f>=ROUNDDOWN(12.5,0)</f>
      </c>
      <c r="AB722" s="5">
        <v>1.2</v>
      </c>
      <c r="AC722" s="2" t="s">
        <v>200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200</v>
      </c>
      <c r="AM722" s="4"/>
      <c r="AN722" s="4"/>
      <c r="AO722" s="7"/>
      <c r="AP722" s="4"/>
      <c r="AQ722" s="8"/>
      <c r="AR722" s="4"/>
      <c r="AS722" s="8"/>
      <c r="AT722" s="7"/>
      <c r="AU722" s="7"/>
      <c r="AV722" s="4" t="s">
        <v>200</v>
      </c>
      <c r="AW722" s="8" t="s">
        <v>200</v>
      </c>
      <c r="AX722" s="4" t="s">
        <v>200</v>
      </c>
      <c r="AY722" s="8" t="s">
        <v>200</v>
      </c>
      <c r="AZ722" s="7" t="s">
        <v>200</v>
      </c>
      <c r="BA722" s="7" t="s">
        <v>200</v>
      </c>
      <c r="BB722" s="7" t="s">
        <v>200</v>
      </c>
      <c r="BC722" s="4" t="s">
        <v>200</v>
      </c>
      <c r="BD722" s="8" t="s">
        <v>200</v>
      </c>
      <c r="BE722" s="4" t="s">
        <v>200</v>
      </c>
      <c r="BF722" s="8" t="s">
        <v>200</v>
      </c>
      <c r="BG722" s="7" t="s">
        <v>200</v>
      </c>
      <c r="BH722" s="7" t="s">
        <v>200</v>
      </c>
      <c r="BI722" s="7"/>
      <c r="BJ722" s="4">
        <v>10</v>
      </c>
      <c r="BK722" s="8">
        <v>310.72</v>
      </c>
      <c r="BL722" s="2" t="s">
        <v>3138</v>
      </c>
      <c r="BM722" s="7"/>
      <c r="BN722" s="7"/>
      <c r="BO722" s="4"/>
      <c r="BP722" s="8"/>
      <c r="BQ722" s="4"/>
      <c r="BR722" s="8"/>
      <c r="BS722" s="7"/>
      <c r="BT722" s="7"/>
      <c r="BU722" s="2" t="s">
        <v>4468</v>
      </c>
      <c r="BV722" s="2" t="s">
        <v>200</v>
      </c>
      <c r="BW722" s="2" t="s">
        <v>200</v>
      </c>
      <c r="BX722" s="2" t="s">
        <v>620</v>
      </c>
      <c r="BY722" s="2" t="s">
        <v>247</v>
      </c>
      <c r="BZ722" s="2" t="s">
        <v>212</v>
      </c>
      <c r="CA722" s="2" t="s">
        <v>2643</v>
      </c>
      <c r="CB722" s="2" t="s">
        <v>200</v>
      </c>
      <c r="CC722" s="2" t="s">
        <v>213</v>
      </c>
      <c r="CD722" s="2" t="s">
        <v>200</v>
      </c>
      <c r="CE722" s="4">
        <v>15</v>
      </c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</row>
    <row r="723">
      <c r="A723" s="2" t="s">
        <v>4469</v>
      </c>
      <c r="B723" s="2" t="s">
        <v>932</v>
      </c>
      <c r="C723" s="2" t="s">
        <v>877</v>
      </c>
      <c r="D723" s="2" t="s">
        <v>918</v>
      </c>
      <c r="E723" s="2" t="s">
        <v>934</v>
      </c>
      <c r="F723" s="2" t="s">
        <v>4445</v>
      </c>
      <c r="G723" s="2" t="s">
        <v>2699</v>
      </c>
      <c r="H723" s="2" t="s">
        <v>4446</v>
      </c>
      <c r="I723" s="2" t="s">
        <v>4454</v>
      </c>
      <c r="J723" s="2" t="s">
        <v>612</v>
      </c>
      <c r="K723" s="2" t="s">
        <v>416</v>
      </c>
      <c r="L723" s="3">
        <v>33.6</v>
      </c>
      <c r="M723" s="3">
        <v>35.28</v>
      </c>
      <c r="N723" s="3">
        <v>69.99</v>
      </c>
      <c r="O723" s="2" t="s">
        <v>212</v>
      </c>
      <c r="P723" s="2" t="s">
        <v>205</v>
      </c>
      <c r="Q723" s="2" t="s">
        <v>206</v>
      </c>
      <c r="R723" s="2" t="s">
        <v>200</v>
      </c>
      <c r="S723" s="2" t="s">
        <v>4464</v>
      </c>
      <c r="T723" s="2" t="s">
        <v>2935</v>
      </c>
      <c r="U723" s="2" t="s">
        <v>240</v>
      </c>
      <c r="V723" s="2" t="s">
        <v>208</v>
      </c>
      <c r="W723" s="2" t="s">
        <v>242</v>
      </c>
      <c r="X723" s="2" t="s">
        <v>4449</v>
      </c>
      <c r="Y723" s="2" t="s">
        <v>2270</v>
      </c>
      <c r="Z723" s="4">
        <v>3</v>
      </c>
      <c r="AA723" s="4">
        <f>=ROUNDDOWN(1,0)</f>
      </c>
      <c r="AB723" s="5">
        <v>3</v>
      </c>
      <c r="AC723" s="2" t="s">
        <v>200</v>
      </c>
      <c r="AD723" s="4"/>
      <c r="AE723" s="4"/>
      <c r="AF723" s="6">
        <v>65</v>
      </c>
      <c r="AG723" s="6"/>
      <c r="AH723" s="7">
        <v>0.9333</v>
      </c>
      <c r="AI723" s="4"/>
      <c r="AJ723" s="4">
        <f>=ROUNDDOWN({0},0)</f>
      </c>
      <c r="AK723" s="5"/>
      <c r="AL723" s="2" t="s">
        <v>200</v>
      </c>
      <c r="AM723" s="4"/>
      <c r="AN723" s="4"/>
      <c r="AO723" s="7"/>
      <c r="AP723" s="4"/>
      <c r="AQ723" s="8"/>
      <c r="AR723" s="4"/>
      <c r="AS723" s="8"/>
      <c r="AT723" s="7"/>
      <c r="AU723" s="7"/>
      <c r="AV723" s="4" t="s">
        <v>200</v>
      </c>
      <c r="AW723" s="8" t="s">
        <v>200</v>
      </c>
      <c r="AX723" s="4" t="s">
        <v>200</v>
      </c>
      <c r="AY723" s="8" t="s">
        <v>200</v>
      </c>
      <c r="AZ723" s="7" t="s">
        <v>200</v>
      </c>
      <c r="BA723" s="7" t="s">
        <v>200</v>
      </c>
      <c r="BB723" s="7"/>
      <c r="BC723" s="4" t="s">
        <v>200</v>
      </c>
      <c r="BD723" s="8" t="s">
        <v>200</v>
      </c>
      <c r="BE723" s="4" t="s">
        <v>200</v>
      </c>
      <c r="BF723" s="8" t="s">
        <v>200</v>
      </c>
      <c r="BG723" s="7" t="s">
        <v>200</v>
      </c>
      <c r="BH723" s="7" t="s">
        <v>200</v>
      </c>
      <c r="BI723" s="7"/>
      <c r="BJ723" s="4">
        <v>13</v>
      </c>
      <c r="BK723" s="8">
        <v>453.81</v>
      </c>
      <c r="BL723" s="2" t="s">
        <v>4470</v>
      </c>
      <c r="BM723" s="7"/>
      <c r="BN723" s="7"/>
      <c r="BO723" s="4"/>
      <c r="BP723" s="8"/>
      <c r="BQ723" s="4"/>
      <c r="BR723" s="8"/>
      <c r="BS723" s="7"/>
      <c r="BT723" s="7"/>
      <c r="BU723" s="2" t="s">
        <v>4471</v>
      </c>
      <c r="BV723" s="2" t="s">
        <v>200</v>
      </c>
      <c r="BW723" s="2" t="s">
        <v>200</v>
      </c>
      <c r="BX723" s="2" t="s">
        <v>620</v>
      </c>
      <c r="BY723" s="2" t="s">
        <v>247</v>
      </c>
      <c r="BZ723" s="2" t="s">
        <v>212</v>
      </c>
      <c r="CA723" s="2" t="s">
        <v>2643</v>
      </c>
      <c r="CB723" s="2" t="s">
        <v>963</v>
      </c>
      <c r="CC723" s="2" t="s">
        <v>213</v>
      </c>
      <c r="CD723" s="2" t="s">
        <v>200</v>
      </c>
      <c r="CE723" s="4">
        <v>3</v>
      </c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</row>
    <row r="724">
      <c r="A724" s="2" t="s">
        <v>4472</v>
      </c>
      <c r="B724" s="2" t="s">
        <v>932</v>
      </c>
      <c r="C724" s="2" t="s">
        <v>877</v>
      </c>
      <c r="D724" s="2" t="s">
        <v>918</v>
      </c>
      <c r="E724" s="2" t="s">
        <v>934</v>
      </c>
      <c r="F724" s="2" t="s">
        <v>4445</v>
      </c>
      <c r="G724" s="2" t="s">
        <v>2699</v>
      </c>
      <c r="H724" s="2" t="s">
        <v>4446</v>
      </c>
      <c r="I724" s="2" t="s">
        <v>4454</v>
      </c>
      <c r="J724" s="2" t="s">
        <v>924</v>
      </c>
      <c r="K724" s="2" t="s">
        <v>416</v>
      </c>
      <c r="L724" s="3">
        <v>36.75</v>
      </c>
      <c r="M724" s="3">
        <v>38.59</v>
      </c>
      <c r="N724" s="3">
        <v>74.99</v>
      </c>
      <c r="O724" s="2" t="s">
        <v>212</v>
      </c>
      <c r="P724" s="2" t="s">
        <v>205</v>
      </c>
      <c r="Q724" s="2" t="s">
        <v>206</v>
      </c>
      <c r="R724" s="2" t="s">
        <v>200</v>
      </c>
      <c r="S724" s="2" t="s">
        <v>4464</v>
      </c>
      <c r="T724" s="2" t="s">
        <v>2935</v>
      </c>
      <c r="U724" s="2" t="s">
        <v>240</v>
      </c>
      <c r="V724" s="2" t="s">
        <v>208</v>
      </c>
      <c r="W724" s="2" t="s">
        <v>242</v>
      </c>
      <c r="X724" s="2" t="s">
        <v>4449</v>
      </c>
      <c r="Y724" s="2" t="s">
        <v>2270</v>
      </c>
      <c r="Z724" s="4">
        <v>1</v>
      </c>
      <c r="AA724" s="4">
        <f>=ROUNDDOWN(0.333333333333333,0)</f>
      </c>
      <c r="AB724" s="5">
        <v>3</v>
      </c>
      <c r="AC724" s="2" t="s">
        <v>200</v>
      </c>
      <c r="AD724" s="4"/>
      <c r="AE724" s="4"/>
      <c r="AF724" s="6">
        <v>65</v>
      </c>
      <c r="AG724" s="6"/>
      <c r="AH724" s="7">
        <v>0</v>
      </c>
      <c r="AI724" s="4"/>
      <c r="AJ724" s="4">
        <f>=ROUNDDOWN({0},0)</f>
      </c>
      <c r="AK724" s="5"/>
      <c r="AL724" s="2" t="s">
        <v>200</v>
      </c>
      <c r="AM724" s="4"/>
      <c r="AN724" s="4"/>
      <c r="AO724" s="7"/>
      <c r="AP724" s="4"/>
      <c r="AQ724" s="8"/>
      <c r="AR724" s="4"/>
      <c r="AS724" s="8"/>
      <c r="AT724" s="7"/>
      <c r="AU724" s="7"/>
      <c r="AV724" s="4" t="s">
        <v>200</v>
      </c>
      <c r="AW724" s="8" t="s">
        <v>200</v>
      </c>
      <c r="AX724" s="4" t="s">
        <v>200</v>
      </c>
      <c r="AY724" s="8" t="s">
        <v>200</v>
      </c>
      <c r="AZ724" s="7" t="s">
        <v>200</v>
      </c>
      <c r="BA724" s="7" t="s">
        <v>200</v>
      </c>
      <c r="BB724" s="7"/>
      <c r="BC724" s="4" t="s">
        <v>200</v>
      </c>
      <c r="BD724" s="8" t="s">
        <v>200</v>
      </c>
      <c r="BE724" s="4" t="s">
        <v>200</v>
      </c>
      <c r="BF724" s="8" t="s">
        <v>200</v>
      </c>
      <c r="BG724" s="7" t="s">
        <v>200</v>
      </c>
      <c r="BH724" s="7" t="s">
        <v>200</v>
      </c>
      <c r="BI724" s="7"/>
      <c r="BJ724" s="4"/>
      <c r="BK724" s="8"/>
      <c r="BL724" s="2" t="s">
        <v>200</v>
      </c>
      <c r="BM724" s="7"/>
      <c r="BN724" s="7"/>
      <c r="BO724" s="4"/>
      <c r="BP724" s="8"/>
      <c r="BQ724" s="4"/>
      <c r="BR724" s="8"/>
      <c r="BS724" s="7"/>
      <c r="BT724" s="7"/>
      <c r="BU724" s="2" t="s">
        <v>4473</v>
      </c>
      <c r="BV724" s="2" t="s">
        <v>200</v>
      </c>
      <c r="BW724" s="2" t="s">
        <v>200</v>
      </c>
      <c r="BX724" s="2" t="s">
        <v>620</v>
      </c>
      <c r="BY724" s="2" t="s">
        <v>247</v>
      </c>
      <c r="BZ724" s="2" t="s">
        <v>212</v>
      </c>
      <c r="CA724" s="2" t="s">
        <v>2643</v>
      </c>
      <c r="CB724" s="2" t="s">
        <v>861</v>
      </c>
      <c r="CC724" s="2" t="s">
        <v>213</v>
      </c>
      <c r="CD724" s="2" t="s">
        <v>200</v>
      </c>
      <c r="CE724" s="4">
        <v>1</v>
      </c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</row>
    <row r="725">
      <c r="A725" s="2" t="s">
        <v>4474</v>
      </c>
      <c r="B725" s="2" t="s">
        <v>932</v>
      </c>
      <c r="C725" s="2" t="s">
        <v>877</v>
      </c>
      <c r="D725" s="2" t="s">
        <v>918</v>
      </c>
      <c r="E725" s="2" t="s">
        <v>934</v>
      </c>
      <c r="F725" s="2" t="s">
        <v>4445</v>
      </c>
      <c r="G725" s="2" t="s">
        <v>2699</v>
      </c>
      <c r="H725" s="2" t="s">
        <v>4446</v>
      </c>
      <c r="I725" s="2" t="s">
        <v>4454</v>
      </c>
      <c r="J725" s="2" t="s">
        <v>1390</v>
      </c>
      <c r="K725" s="2" t="s">
        <v>221</v>
      </c>
      <c r="L725" s="3">
        <v>27.6</v>
      </c>
      <c r="M725" s="3">
        <v>28.98</v>
      </c>
      <c r="N725" s="3">
        <v>59.99</v>
      </c>
      <c r="O725" s="2" t="s">
        <v>212</v>
      </c>
      <c r="P725" s="2" t="s">
        <v>258</v>
      </c>
      <c r="Q725" s="2" t="s">
        <v>206</v>
      </c>
      <c r="R725" s="2" t="s">
        <v>200</v>
      </c>
      <c r="S725" s="2" t="s">
        <v>4475</v>
      </c>
      <c r="T725" s="2" t="s">
        <v>2935</v>
      </c>
      <c r="U725" s="2" t="s">
        <v>454</v>
      </c>
      <c r="V725" s="2" t="s">
        <v>208</v>
      </c>
      <c r="W725" s="2" t="s">
        <v>242</v>
      </c>
      <c r="X725" s="2" t="s">
        <v>4449</v>
      </c>
      <c r="Y725" s="2" t="s">
        <v>3541</v>
      </c>
      <c r="Z725" s="4">
        <v>178</v>
      </c>
      <c r="AA725" s="4">
        <f>=ROUNDDOWN(59.3333333333333,0)</f>
      </c>
      <c r="AB725" s="5">
        <v>3</v>
      </c>
      <c r="AC725" s="2" t="s">
        <v>369</v>
      </c>
      <c r="AD725" s="4">
        <v>130</v>
      </c>
      <c r="AE725" s="4">
        <v>130</v>
      </c>
      <c r="AF725" s="6">
        <v>64</v>
      </c>
      <c r="AG725" s="6"/>
      <c r="AH725" s="7">
        <v>1</v>
      </c>
      <c r="AI725" s="4"/>
      <c r="AJ725" s="4">
        <f>=ROUNDDOWN({0},0)</f>
      </c>
      <c r="AK725" s="5"/>
      <c r="AL725" s="2" t="s">
        <v>200</v>
      </c>
      <c r="AM725" s="4"/>
      <c r="AN725" s="4"/>
      <c r="AO725" s="7"/>
      <c r="AP725" s="4"/>
      <c r="AQ725" s="8"/>
      <c r="AR725" s="4"/>
      <c r="AS725" s="8"/>
      <c r="AT725" s="7"/>
      <c r="AU725" s="7"/>
      <c r="AV725" s="4" t="s">
        <v>200</v>
      </c>
      <c r="AW725" s="8" t="s">
        <v>200</v>
      </c>
      <c r="AX725" s="4" t="s">
        <v>200</v>
      </c>
      <c r="AY725" s="8" t="s">
        <v>200</v>
      </c>
      <c r="AZ725" s="7" t="s">
        <v>200</v>
      </c>
      <c r="BA725" s="7" t="s">
        <v>200</v>
      </c>
      <c r="BB725" s="7"/>
      <c r="BC725" s="4" t="s">
        <v>200</v>
      </c>
      <c r="BD725" s="8" t="s">
        <v>200</v>
      </c>
      <c r="BE725" s="4" t="s">
        <v>200</v>
      </c>
      <c r="BF725" s="8" t="s">
        <v>200</v>
      </c>
      <c r="BG725" s="7" t="s">
        <v>200</v>
      </c>
      <c r="BH725" s="7" t="s">
        <v>200</v>
      </c>
      <c r="BI725" s="7"/>
      <c r="BJ725" s="4">
        <v>9</v>
      </c>
      <c r="BK725" s="8">
        <v>267.72</v>
      </c>
      <c r="BL725" s="2" t="s">
        <v>4476</v>
      </c>
      <c r="BM725" s="7"/>
      <c r="BN725" s="7"/>
      <c r="BO725" s="4"/>
      <c r="BP725" s="8"/>
      <c r="BQ725" s="4"/>
      <c r="BR725" s="8"/>
      <c r="BS725" s="7"/>
      <c r="BT725" s="7"/>
      <c r="BU725" s="2" t="s">
        <v>4477</v>
      </c>
      <c r="BV725" s="2" t="s">
        <v>200</v>
      </c>
      <c r="BW725" s="2" t="s">
        <v>200</v>
      </c>
      <c r="BX725" s="2" t="s">
        <v>620</v>
      </c>
      <c r="BY725" s="2" t="s">
        <v>247</v>
      </c>
      <c r="BZ725" s="2" t="s">
        <v>212</v>
      </c>
      <c r="CA725" s="2" t="s">
        <v>4478</v>
      </c>
      <c r="CB725" s="2" t="s">
        <v>4479</v>
      </c>
      <c r="CC725" s="2" t="s">
        <v>213</v>
      </c>
      <c r="CD725" s="2" t="s">
        <v>200</v>
      </c>
      <c r="CE725" s="4">
        <v>178</v>
      </c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>
        <v>130</v>
      </c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</row>
    <row r="726">
      <c r="A726" s="2" t="s">
        <v>4480</v>
      </c>
      <c r="B726" s="2" t="s">
        <v>932</v>
      </c>
      <c r="C726" s="2" t="s">
        <v>877</v>
      </c>
      <c r="D726" s="2" t="s">
        <v>1818</v>
      </c>
      <c r="E726" s="2" t="s">
        <v>2000</v>
      </c>
      <c r="F726" s="2" t="s">
        <v>4445</v>
      </c>
      <c r="G726" s="2" t="s">
        <v>2699</v>
      </c>
      <c r="H726" s="2" t="s">
        <v>4446</v>
      </c>
      <c r="I726" s="2" t="s">
        <v>4481</v>
      </c>
      <c r="J726" s="2" t="s">
        <v>612</v>
      </c>
      <c r="K726" s="2" t="s">
        <v>221</v>
      </c>
      <c r="L726" s="3">
        <v>30.95</v>
      </c>
      <c r="M726" s="3">
        <v>32.5</v>
      </c>
      <c r="N726" s="3">
        <v>64.99</v>
      </c>
      <c r="O726" s="2" t="s">
        <v>417</v>
      </c>
      <c r="P726" s="2" t="s">
        <v>285</v>
      </c>
      <c r="Q726" s="2" t="s">
        <v>206</v>
      </c>
      <c r="R726" s="2" t="s">
        <v>200</v>
      </c>
      <c r="S726" s="2" t="s">
        <v>4475</v>
      </c>
      <c r="T726" s="2" t="s">
        <v>2935</v>
      </c>
      <c r="U726" s="2" t="s">
        <v>454</v>
      </c>
      <c r="V726" s="2" t="s">
        <v>208</v>
      </c>
      <c r="W726" s="2" t="s">
        <v>242</v>
      </c>
      <c r="X726" s="2" t="s">
        <v>4449</v>
      </c>
      <c r="Y726" s="2" t="s">
        <v>4482</v>
      </c>
      <c r="Z726" s="4">
        <v>103</v>
      </c>
      <c r="AA726" s="4">
        <f>=ROUNDDOWN(79.2307692307692,0)</f>
      </c>
      <c r="AB726" s="5">
        <v>1.3</v>
      </c>
      <c r="AC726" s="2" t="s">
        <v>200</v>
      </c>
      <c r="AD726" s="4"/>
      <c r="AE726" s="4"/>
      <c r="AF726" s="6">
        <v>64</v>
      </c>
      <c r="AG726" s="6"/>
      <c r="AH726" s="7">
        <v>0.8667</v>
      </c>
      <c r="AI726" s="4"/>
      <c r="AJ726" s="4">
        <f>=ROUNDDOWN({0},0)</f>
      </c>
      <c r="AK726" s="5"/>
      <c r="AL726" s="2" t="s">
        <v>200</v>
      </c>
      <c r="AM726" s="4"/>
      <c r="AN726" s="4"/>
      <c r="AO726" s="7"/>
      <c r="AP726" s="4"/>
      <c r="AQ726" s="8"/>
      <c r="AR726" s="4"/>
      <c r="AS726" s="8"/>
      <c r="AT726" s="7"/>
      <c r="AU726" s="7"/>
      <c r="AV726" s="4" t="s">
        <v>200</v>
      </c>
      <c r="AW726" s="8" t="s">
        <v>200</v>
      </c>
      <c r="AX726" s="4" t="s">
        <v>200</v>
      </c>
      <c r="AY726" s="8" t="s">
        <v>200</v>
      </c>
      <c r="AZ726" s="7" t="s">
        <v>200</v>
      </c>
      <c r="BA726" s="7" t="s">
        <v>200</v>
      </c>
      <c r="BB726" s="7"/>
      <c r="BC726" s="4" t="s">
        <v>200</v>
      </c>
      <c r="BD726" s="8" t="s">
        <v>200</v>
      </c>
      <c r="BE726" s="4" t="s">
        <v>200</v>
      </c>
      <c r="BF726" s="8" t="s">
        <v>200</v>
      </c>
      <c r="BG726" s="7" t="s">
        <v>200</v>
      </c>
      <c r="BH726" s="7" t="s">
        <v>200</v>
      </c>
      <c r="BI726" s="7"/>
      <c r="BJ726" s="4">
        <v>6</v>
      </c>
      <c r="BK726" s="8">
        <v>122.82</v>
      </c>
      <c r="BL726" s="2" t="s">
        <v>4483</v>
      </c>
      <c r="BM726" s="7"/>
      <c r="BN726" s="7"/>
      <c r="BO726" s="4"/>
      <c r="BP726" s="8"/>
      <c r="BQ726" s="4"/>
      <c r="BR726" s="8"/>
      <c r="BS726" s="7"/>
      <c r="BT726" s="7"/>
      <c r="BU726" s="2" t="s">
        <v>4484</v>
      </c>
      <c r="BV726" s="2" t="s">
        <v>200</v>
      </c>
      <c r="BW726" s="2" t="s">
        <v>200</v>
      </c>
      <c r="BX726" s="2" t="s">
        <v>289</v>
      </c>
      <c r="BY726" s="2" t="s">
        <v>247</v>
      </c>
      <c r="BZ726" s="2" t="s">
        <v>212</v>
      </c>
      <c r="CA726" s="2" t="s">
        <v>4485</v>
      </c>
      <c r="CB726" s="2" t="s">
        <v>4486</v>
      </c>
      <c r="CC726" s="2" t="s">
        <v>213</v>
      </c>
      <c r="CD726" s="2" t="s">
        <v>200</v>
      </c>
      <c r="CE726" s="4">
        <v>103</v>
      </c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</row>
    <row r="727">
      <c r="A727" s="2" t="s">
        <v>4487</v>
      </c>
      <c r="B727" s="2" t="s">
        <v>932</v>
      </c>
      <c r="C727" s="2" t="s">
        <v>877</v>
      </c>
      <c r="D727" s="2" t="s">
        <v>608</v>
      </c>
      <c r="E727" s="2" t="s">
        <v>609</v>
      </c>
      <c r="F727" s="2" t="s">
        <v>4445</v>
      </c>
      <c r="G727" s="2" t="s">
        <v>2699</v>
      </c>
      <c r="H727" s="2" t="s">
        <v>4446</v>
      </c>
      <c r="I727" s="2" t="s">
        <v>4447</v>
      </c>
      <c r="J727" s="2" t="s">
        <v>1390</v>
      </c>
      <c r="K727" s="2" t="s">
        <v>223</v>
      </c>
      <c r="L727" s="3">
        <v>31.05</v>
      </c>
      <c r="M727" s="3">
        <v>32.6</v>
      </c>
      <c r="N727" s="3">
        <v>59.99</v>
      </c>
      <c r="O727" s="2" t="s">
        <v>212</v>
      </c>
      <c r="P727" s="2" t="s">
        <v>1075</v>
      </c>
      <c r="Q727" s="2" t="s">
        <v>206</v>
      </c>
      <c r="R727" s="2" t="s">
        <v>200</v>
      </c>
      <c r="S727" s="2" t="s">
        <v>4488</v>
      </c>
      <c r="T727" s="2" t="s">
        <v>2935</v>
      </c>
      <c r="U727" s="2" t="s">
        <v>454</v>
      </c>
      <c r="V727" s="2" t="s">
        <v>208</v>
      </c>
      <c r="W727" s="2" t="s">
        <v>242</v>
      </c>
      <c r="X727" s="2" t="s">
        <v>4449</v>
      </c>
      <c r="Y727" s="2" t="s">
        <v>4489</v>
      </c>
      <c r="Z727" s="4">
        <v>491</v>
      </c>
      <c r="AA727" s="4">
        <f>=ROUNDDOWN(81.8333333333333,0)</f>
      </c>
      <c r="AB727" s="5">
        <v>6</v>
      </c>
      <c r="AC727" s="2" t="s">
        <v>369</v>
      </c>
      <c r="AD727" s="4">
        <v>180</v>
      </c>
      <c r="AE727" s="4">
        <v>180</v>
      </c>
      <c r="AF727" s="6">
        <v>64</v>
      </c>
      <c r="AG727" s="6">
        <v>47</v>
      </c>
      <c r="AH727" s="7">
        <v>1</v>
      </c>
      <c r="AI727" s="4"/>
      <c r="AJ727" s="4">
        <f>=ROUNDDOWN({0},0)</f>
      </c>
      <c r="AK727" s="5"/>
      <c r="AL727" s="2" t="s">
        <v>200</v>
      </c>
      <c r="AM727" s="4"/>
      <c r="AN727" s="4"/>
      <c r="AO727" s="7"/>
      <c r="AP727" s="4"/>
      <c r="AQ727" s="8"/>
      <c r="AR727" s="4"/>
      <c r="AS727" s="8"/>
      <c r="AT727" s="7"/>
      <c r="AU727" s="7"/>
      <c r="AV727" s="4"/>
      <c r="AW727" s="8"/>
      <c r="AX727" s="4"/>
      <c r="AY727" s="8"/>
      <c r="AZ727" s="7"/>
      <c r="BA727" s="7"/>
      <c r="BB727" s="7"/>
      <c r="BC727" s="4" t="s">
        <v>200</v>
      </c>
      <c r="BD727" s="8" t="s">
        <v>200</v>
      </c>
      <c r="BE727" s="4" t="s">
        <v>200</v>
      </c>
      <c r="BF727" s="8" t="s">
        <v>200</v>
      </c>
      <c r="BG727" s="7" t="s">
        <v>200</v>
      </c>
      <c r="BH727" s="7" t="s">
        <v>200</v>
      </c>
      <c r="BI727" s="7"/>
      <c r="BJ727" s="4">
        <v>46</v>
      </c>
      <c r="BK727" s="8">
        <v>1511.86</v>
      </c>
      <c r="BL727" s="2" t="s">
        <v>4490</v>
      </c>
      <c r="BM727" s="7"/>
      <c r="BN727" s="7"/>
      <c r="BO727" s="4"/>
      <c r="BP727" s="8"/>
      <c r="BQ727" s="4"/>
      <c r="BR727" s="8"/>
      <c r="BS727" s="7"/>
      <c r="BT727" s="7"/>
      <c r="BU727" s="2" t="s">
        <v>4491</v>
      </c>
      <c r="BV727" s="2" t="s">
        <v>200</v>
      </c>
      <c r="BW727" s="2" t="s">
        <v>200</v>
      </c>
      <c r="BX727" s="2" t="s">
        <v>629</v>
      </c>
      <c r="BY727" s="2" t="s">
        <v>247</v>
      </c>
      <c r="BZ727" s="2" t="s">
        <v>212</v>
      </c>
      <c r="CA727" s="2" t="s">
        <v>4492</v>
      </c>
      <c r="CB727" s="2" t="s">
        <v>4065</v>
      </c>
      <c r="CC727" s="2" t="s">
        <v>213</v>
      </c>
      <c r="CD727" s="2" t="s">
        <v>200</v>
      </c>
      <c r="CE727" s="4">
        <v>273</v>
      </c>
      <c r="CF727" s="4"/>
      <c r="CG727" s="4"/>
      <c r="CH727" s="4">
        <v>218</v>
      </c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>
        <v>180</v>
      </c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</row>
    <row r="728">
      <c r="A728" s="2" t="s">
        <v>4493</v>
      </c>
      <c r="B728" s="2" t="s">
        <v>932</v>
      </c>
      <c r="C728" s="2" t="s">
        <v>877</v>
      </c>
      <c r="D728" s="2" t="s">
        <v>608</v>
      </c>
      <c r="E728" s="2" t="s">
        <v>609</v>
      </c>
      <c r="F728" s="2" t="s">
        <v>4445</v>
      </c>
      <c r="G728" s="2" t="s">
        <v>2699</v>
      </c>
      <c r="H728" s="2" t="s">
        <v>4446</v>
      </c>
      <c r="I728" s="2" t="s">
        <v>4447</v>
      </c>
      <c r="J728" s="2" t="s">
        <v>1390</v>
      </c>
      <c r="K728" s="2" t="s">
        <v>2366</v>
      </c>
      <c r="L728" s="3">
        <v>31.05</v>
      </c>
      <c r="M728" s="3">
        <v>32.6</v>
      </c>
      <c r="N728" s="3">
        <v>59.99</v>
      </c>
      <c r="O728" s="2" t="s">
        <v>212</v>
      </c>
      <c r="P728" s="2" t="s">
        <v>258</v>
      </c>
      <c r="Q728" s="2" t="s">
        <v>206</v>
      </c>
      <c r="R728" s="2" t="s">
        <v>200</v>
      </c>
      <c r="S728" s="2" t="s">
        <v>4494</v>
      </c>
      <c r="T728" s="2" t="s">
        <v>2935</v>
      </c>
      <c r="U728" s="2" t="s">
        <v>454</v>
      </c>
      <c r="V728" s="2" t="s">
        <v>208</v>
      </c>
      <c r="W728" s="2" t="s">
        <v>242</v>
      </c>
      <c r="X728" s="2" t="s">
        <v>4449</v>
      </c>
      <c r="Y728" s="2" t="s">
        <v>2270</v>
      </c>
      <c r="Z728" s="4">
        <v>109</v>
      </c>
      <c r="AA728" s="4">
        <f>=ROUNDDOWN(36.3333333333333,0)</f>
      </c>
      <c r="AB728" s="5">
        <v>3</v>
      </c>
      <c r="AC728" s="2" t="s">
        <v>200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200</v>
      </c>
      <c r="AM728" s="4"/>
      <c r="AN728" s="4"/>
      <c r="AO728" s="7"/>
      <c r="AP728" s="4"/>
      <c r="AQ728" s="8"/>
      <c r="AR728" s="4"/>
      <c r="AS728" s="8"/>
      <c r="AT728" s="7"/>
      <c r="AU728" s="7"/>
      <c r="AV728" s="4" t="s">
        <v>200</v>
      </c>
      <c r="AW728" s="8" t="s">
        <v>200</v>
      </c>
      <c r="AX728" s="4" t="s">
        <v>200</v>
      </c>
      <c r="AY728" s="8" t="s">
        <v>200</v>
      </c>
      <c r="AZ728" s="7" t="s">
        <v>200</v>
      </c>
      <c r="BA728" s="7" t="s">
        <v>200</v>
      </c>
      <c r="BB728" s="7" t="s">
        <v>200</v>
      </c>
      <c r="BC728" s="4" t="s">
        <v>200</v>
      </c>
      <c r="BD728" s="8" t="s">
        <v>200</v>
      </c>
      <c r="BE728" s="4" t="s">
        <v>200</v>
      </c>
      <c r="BF728" s="8" t="s">
        <v>200</v>
      </c>
      <c r="BG728" s="7" t="s">
        <v>200</v>
      </c>
      <c r="BH728" s="7" t="s">
        <v>200</v>
      </c>
      <c r="BI728" s="7"/>
      <c r="BJ728" s="4">
        <v>8</v>
      </c>
      <c r="BK728" s="8">
        <v>273.21</v>
      </c>
      <c r="BL728" s="2" t="s">
        <v>3147</v>
      </c>
      <c r="BM728" s="7"/>
      <c r="BN728" s="7"/>
      <c r="BO728" s="4"/>
      <c r="BP728" s="8"/>
      <c r="BQ728" s="4"/>
      <c r="BR728" s="8"/>
      <c r="BS728" s="7"/>
      <c r="BT728" s="7"/>
      <c r="BU728" s="2" t="s">
        <v>4495</v>
      </c>
      <c r="BV728" s="2" t="s">
        <v>200</v>
      </c>
      <c r="BW728" s="2" t="s">
        <v>200</v>
      </c>
      <c r="BX728" s="2" t="s">
        <v>629</v>
      </c>
      <c r="BY728" s="2" t="s">
        <v>247</v>
      </c>
      <c r="BZ728" s="2" t="s">
        <v>212</v>
      </c>
      <c r="CA728" s="2" t="s">
        <v>2270</v>
      </c>
      <c r="CB728" s="2" t="s">
        <v>3598</v>
      </c>
      <c r="CC728" s="2" t="s">
        <v>213</v>
      </c>
      <c r="CD728" s="2" t="s">
        <v>200</v>
      </c>
      <c r="CE728" s="4">
        <v>109</v>
      </c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</row>
    <row r="729">
      <c r="A729" s="2" t="s">
        <v>4496</v>
      </c>
      <c r="B729" s="2" t="s">
        <v>932</v>
      </c>
      <c r="C729" s="2" t="s">
        <v>877</v>
      </c>
      <c r="D729" s="2" t="s">
        <v>918</v>
      </c>
      <c r="E729" s="2" t="s">
        <v>934</v>
      </c>
      <c r="F729" s="2" t="s">
        <v>4445</v>
      </c>
      <c r="G729" s="2" t="s">
        <v>2699</v>
      </c>
      <c r="H729" s="2" t="s">
        <v>4446</v>
      </c>
      <c r="I729" s="2" t="s">
        <v>4454</v>
      </c>
      <c r="J729" s="2" t="s">
        <v>1390</v>
      </c>
      <c r="K729" s="2" t="s">
        <v>2366</v>
      </c>
      <c r="L729" s="3">
        <v>27.6</v>
      </c>
      <c r="M729" s="3">
        <v>28.98</v>
      </c>
      <c r="N729" s="3">
        <v>59.99</v>
      </c>
      <c r="O729" s="2" t="s">
        <v>212</v>
      </c>
      <c r="P729" s="2" t="s">
        <v>205</v>
      </c>
      <c r="Q729" s="2" t="s">
        <v>206</v>
      </c>
      <c r="R729" s="2" t="s">
        <v>200</v>
      </c>
      <c r="S729" s="2" t="s">
        <v>4494</v>
      </c>
      <c r="T729" s="2" t="s">
        <v>2935</v>
      </c>
      <c r="U729" s="2" t="s">
        <v>454</v>
      </c>
      <c r="V729" s="2" t="s">
        <v>208</v>
      </c>
      <c r="W729" s="2" t="s">
        <v>242</v>
      </c>
      <c r="X729" s="2" t="s">
        <v>4449</v>
      </c>
      <c r="Y729" s="2" t="s">
        <v>2270</v>
      </c>
      <c r="Z729" s="4">
        <v>30</v>
      </c>
      <c r="AA729" s="4">
        <f>=ROUNDDOWN(15,0)</f>
      </c>
      <c r="AB729" s="5">
        <v>2</v>
      </c>
      <c r="AC729" s="2" t="s">
        <v>200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200</v>
      </c>
      <c r="AM729" s="4"/>
      <c r="AN729" s="4"/>
      <c r="AO729" s="7"/>
      <c r="AP729" s="4"/>
      <c r="AQ729" s="8"/>
      <c r="AR729" s="4"/>
      <c r="AS729" s="8"/>
      <c r="AT729" s="7"/>
      <c r="AU729" s="7"/>
      <c r="AV729" s="4" t="s">
        <v>200</v>
      </c>
      <c r="AW729" s="8" t="s">
        <v>200</v>
      </c>
      <c r="AX729" s="4" t="s">
        <v>200</v>
      </c>
      <c r="AY729" s="8" t="s">
        <v>200</v>
      </c>
      <c r="AZ729" s="7" t="s">
        <v>200</v>
      </c>
      <c r="BA729" s="7" t="s">
        <v>200</v>
      </c>
      <c r="BB729" s="7" t="s">
        <v>200</v>
      </c>
      <c r="BC729" s="4" t="s">
        <v>200</v>
      </c>
      <c r="BD729" s="8" t="s">
        <v>200</v>
      </c>
      <c r="BE729" s="4" t="s">
        <v>200</v>
      </c>
      <c r="BF729" s="8" t="s">
        <v>200</v>
      </c>
      <c r="BG729" s="7" t="s">
        <v>200</v>
      </c>
      <c r="BH729" s="7" t="s">
        <v>200</v>
      </c>
      <c r="BI729" s="7"/>
      <c r="BJ729" s="4">
        <v>2</v>
      </c>
      <c r="BK729" s="8">
        <v>56.24</v>
      </c>
      <c r="BL729" s="2" t="s">
        <v>2436</v>
      </c>
      <c r="BM729" s="7"/>
      <c r="BN729" s="7"/>
      <c r="BO729" s="4"/>
      <c r="BP729" s="8"/>
      <c r="BQ729" s="4"/>
      <c r="BR729" s="8"/>
      <c r="BS729" s="7"/>
      <c r="BT729" s="7"/>
      <c r="BU729" s="2" t="s">
        <v>4497</v>
      </c>
      <c r="BV729" s="2" t="s">
        <v>200</v>
      </c>
      <c r="BW729" s="2" t="s">
        <v>200</v>
      </c>
      <c r="BX729" s="2" t="s">
        <v>620</v>
      </c>
      <c r="BY729" s="2" t="s">
        <v>247</v>
      </c>
      <c r="BZ729" s="2" t="s">
        <v>212</v>
      </c>
      <c r="CA729" s="2" t="s">
        <v>2643</v>
      </c>
      <c r="CB729" s="2" t="s">
        <v>200</v>
      </c>
      <c r="CC729" s="2" t="s">
        <v>213</v>
      </c>
      <c r="CD729" s="2" t="s">
        <v>200</v>
      </c>
      <c r="CE729" s="4">
        <v>30</v>
      </c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</row>
    <row r="730">
      <c r="A730" s="2" t="s">
        <v>4498</v>
      </c>
      <c r="B730" s="2" t="s">
        <v>932</v>
      </c>
      <c r="C730" s="2" t="s">
        <v>877</v>
      </c>
      <c r="D730" s="2" t="s">
        <v>918</v>
      </c>
      <c r="E730" s="2" t="s">
        <v>934</v>
      </c>
      <c r="F730" s="2" t="s">
        <v>4445</v>
      </c>
      <c r="G730" s="2" t="s">
        <v>2699</v>
      </c>
      <c r="H730" s="2" t="s">
        <v>4446</v>
      </c>
      <c r="I730" s="2" t="s">
        <v>4454</v>
      </c>
      <c r="J730" s="2" t="s">
        <v>924</v>
      </c>
      <c r="K730" s="2" t="s">
        <v>2366</v>
      </c>
      <c r="L730" s="3">
        <v>36.75</v>
      </c>
      <c r="M730" s="3">
        <v>38.59</v>
      </c>
      <c r="N730" s="3">
        <v>74.99</v>
      </c>
      <c r="O730" s="2" t="s">
        <v>212</v>
      </c>
      <c r="P730" s="2" t="s">
        <v>205</v>
      </c>
      <c r="Q730" s="2" t="s">
        <v>206</v>
      </c>
      <c r="R730" s="2" t="s">
        <v>200</v>
      </c>
      <c r="S730" s="2" t="s">
        <v>4494</v>
      </c>
      <c r="T730" s="2" t="s">
        <v>2935</v>
      </c>
      <c r="U730" s="2" t="s">
        <v>240</v>
      </c>
      <c r="V730" s="2" t="s">
        <v>208</v>
      </c>
      <c r="W730" s="2" t="s">
        <v>242</v>
      </c>
      <c r="X730" s="2" t="s">
        <v>4449</v>
      </c>
      <c r="Y730" s="2" t="s">
        <v>2270</v>
      </c>
      <c r="Z730" s="4"/>
      <c r="AA730" s="4">
        <f>=ROUNDDOWN({0},0)</f>
      </c>
      <c r="AB730" s="5">
        <v>4</v>
      </c>
      <c r="AC730" s="2" t="s">
        <v>200</v>
      </c>
      <c r="AD730" s="4"/>
      <c r="AE730" s="4"/>
      <c r="AF730" s="6">
        <v>65</v>
      </c>
      <c r="AG730" s="6"/>
      <c r="AH730" s="7">
        <v>0</v>
      </c>
      <c r="AI730" s="4"/>
      <c r="AJ730" s="4">
        <f>=ROUNDDOWN({0},0)</f>
      </c>
      <c r="AK730" s="5"/>
      <c r="AL730" s="2" t="s">
        <v>200</v>
      </c>
      <c r="AM730" s="4"/>
      <c r="AN730" s="4"/>
      <c r="AO730" s="7"/>
      <c r="AP730" s="4"/>
      <c r="AQ730" s="8"/>
      <c r="AR730" s="4"/>
      <c r="AS730" s="8"/>
      <c r="AT730" s="7"/>
      <c r="AU730" s="7"/>
      <c r="AV730" s="4" t="s">
        <v>200</v>
      </c>
      <c r="AW730" s="8" t="s">
        <v>200</v>
      </c>
      <c r="AX730" s="4" t="s">
        <v>200</v>
      </c>
      <c r="AY730" s="8" t="s">
        <v>200</v>
      </c>
      <c r="AZ730" s="7" t="s">
        <v>200</v>
      </c>
      <c r="BA730" s="7" t="s">
        <v>200</v>
      </c>
      <c r="BB730" s="7"/>
      <c r="BC730" s="4" t="s">
        <v>200</v>
      </c>
      <c r="BD730" s="8" t="s">
        <v>200</v>
      </c>
      <c r="BE730" s="4" t="s">
        <v>200</v>
      </c>
      <c r="BF730" s="8" t="s">
        <v>200</v>
      </c>
      <c r="BG730" s="7" t="s">
        <v>200</v>
      </c>
      <c r="BH730" s="7" t="s">
        <v>200</v>
      </c>
      <c r="BI730" s="7"/>
      <c r="BJ730" s="4">
        <v>3</v>
      </c>
      <c r="BK730" s="8">
        <v>126.78</v>
      </c>
      <c r="BL730" s="2" t="s">
        <v>1259</v>
      </c>
      <c r="BM730" s="7"/>
      <c r="BN730" s="7"/>
      <c r="BO730" s="4"/>
      <c r="BP730" s="8"/>
      <c r="BQ730" s="4"/>
      <c r="BR730" s="8"/>
      <c r="BS730" s="7"/>
      <c r="BT730" s="7"/>
      <c r="BU730" s="2" t="s">
        <v>4499</v>
      </c>
      <c r="BV730" s="2" t="s">
        <v>200</v>
      </c>
      <c r="BW730" s="2" t="s">
        <v>200</v>
      </c>
      <c r="BX730" s="2" t="s">
        <v>620</v>
      </c>
      <c r="BY730" s="2" t="s">
        <v>247</v>
      </c>
      <c r="BZ730" s="2" t="s">
        <v>212</v>
      </c>
      <c r="CA730" s="2" t="s">
        <v>2643</v>
      </c>
      <c r="CB730" s="2" t="s">
        <v>1677</v>
      </c>
      <c r="CC730" s="2" t="s">
        <v>213</v>
      </c>
      <c r="CD730" s="2" t="s">
        <v>200</v>
      </c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  <c r="GH730" s="4"/>
    </row>
    <row r="731">
      <c r="A731" s="2" t="s">
        <v>4500</v>
      </c>
      <c r="B731" s="2" t="s">
        <v>744</v>
      </c>
      <c r="C731" s="2" t="s">
        <v>231</v>
      </c>
      <c r="D731" s="2" t="s">
        <v>2677</v>
      </c>
      <c r="E731" s="2" t="s">
        <v>2678</v>
      </c>
      <c r="F731" s="2" t="s">
        <v>4501</v>
      </c>
      <c r="G731" s="2" t="s">
        <v>3043</v>
      </c>
      <c r="H731" s="2" t="s">
        <v>2266</v>
      </c>
      <c r="I731" s="2" t="s">
        <v>4502</v>
      </c>
      <c r="J731" s="2" t="s">
        <v>711</v>
      </c>
      <c r="K731" s="2" t="s">
        <v>857</v>
      </c>
      <c r="L731" s="3">
        <v>153</v>
      </c>
      <c r="M731" s="3">
        <v>160.65</v>
      </c>
      <c r="N731" s="3">
        <v>319</v>
      </c>
      <c r="O731" s="2" t="s">
        <v>212</v>
      </c>
      <c r="P731" s="2" t="s">
        <v>258</v>
      </c>
      <c r="Q731" s="2" t="s">
        <v>206</v>
      </c>
      <c r="R731" s="2" t="s">
        <v>200</v>
      </c>
      <c r="S731" s="2" t="s">
        <v>200</v>
      </c>
      <c r="T731" s="2" t="s">
        <v>200</v>
      </c>
      <c r="U731" s="2" t="s">
        <v>270</v>
      </c>
      <c r="V731" s="2" t="s">
        <v>208</v>
      </c>
      <c r="W731" s="2" t="s">
        <v>736</v>
      </c>
      <c r="X731" s="2" t="s">
        <v>200</v>
      </c>
      <c r="Y731" s="2" t="s">
        <v>4503</v>
      </c>
      <c r="Z731" s="4">
        <v>149</v>
      </c>
      <c r="AA731" s="4">
        <f>=ROUNDDOWN(46.5625,0)</f>
      </c>
      <c r="AB731" s="5">
        <v>3.2</v>
      </c>
      <c r="AC731" s="2" t="s">
        <v>200</v>
      </c>
      <c r="AD731" s="4"/>
      <c r="AE731" s="4"/>
      <c r="AF731" s="6">
        <v>66</v>
      </c>
      <c r="AG731" s="6">
        <v>49</v>
      </c>
      <c r="AH731" s="7">
        <v>1</v>
      </c>
      <c r="AI731" s="4"/>
      <c r="AJ731" s="4">
        <f>=ROUNDDOWN({0},0)</f>
      </c>
      <c r="AK731" s="5">
        <v>4.9</v>
      </c>
      <c r="AL731" s="2" t="s">
        <v>200</v>
      </c>
      <c r="AM731" s="4"/>
      <c r="AN731" s="4"/>
      <c r="AO731" s="7">
        <v>1</v>
      </c>
      <c r="AP731" s="4"/>
      <c r="AQ731" s="8"/>
      <c r="AR731" s="4"/>
      <c r="AS731" s="8"/>
      <c r="AT731" s="7"/>
      <c r="AU731" s="7"/>
      <c r="AV731" s="4"/>
      <c r="AW731" s="8"/>
      <c r="AX731" s="4"/>
      <c r="AY731" s="8"/>
      <c r="AZ731" s="7"/>
      <c r="BA731" s="7"/>
      <c r="BB731" s="7"/>
      <c r="BC731" s="4"/>
      <c r="BD731" s="8"/>
      <c r="BE731" s="4"/>
      <c r="BF731" s="8"/>
      <c r="BG731" s="7"/>
      <c r="BH731" s="7"/>
      <c r="BI731" s="7"/>
      <c r="BJ731" s="4">
        <v>27</v>
      </c>
      <c r="BK731" s="8">
        <v>3812.35</v>
      </c>
      <c r="BL731" s="2" t="s">
        <v>4504</v>
      </c>
      <c r="BM731" s="7"/>
      <c r="BN731" s="7"/>
      <c r="BO731" s="4"/>
      <c r="BP731" s="8"/>
      <c r="BQ731" s="4"/>
      <c r="BR731" s="8"/>
      <c r="BS731" s="7"/>
      <c r="BT731" s="7"/>
      <c r="BU731" s="2" t="s">
        <v>4505</v>
      </c>
      <c r="BV731" s="2" t="s">
        <v>200</v>
      </c>
      <c r="BW731" s="2" t="s">
        <v>200</v>
      </c>
      <c r="BX731" s="2" t="s">
        <v>264</v>
      </c>
      <c r="BY731" s="2" t="s">
        <v>247</v>
      </c>
      <c r="BZ731" s="2" t="s">
        <v>212</v>
      </c>
      <c r="CA731" s="2" t="s">
        <v>4506</v>
      </c>
      <c r="CB731" s="2" t="s">
        <v>4507</v>
      </c>
      <c r="CC731" s="2" t="s">
        <v>213</v>
      </c>
      <c r="CD731" s="2" t="s">
        <v>200</v>
      </c>
      <c r="CE731" s="4"/>
      <c r="CF731" s="4">
        <v>149</v>
      </c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</row>
    <row r="732">
      <c r="A732" s="2" t="s">
        <v>4508</v>
      </c>
      <c r="B732" s="2" t="s">
        <v>744</v>
      </c>
      <c r="C732" s="2" t="s">
        <v>730</v>
      </c>
      <c r="D732" s="2" t="s">
        <v>1462</v>
      </c>
      <c r="E732" s="2" t="s">
        <v>1463</v>
      </c>
      <c r="F732" s="2" t="s">
        <v>4509</v>
      </c>
      <c r="G732" s="2" t="s">
        <v>4509</v>
      </c>
      <c r="H732" s="2" t="s">
        <v>4509</v>
      </c>
      <c r="I732" s="2" t="s">
        <v>4510</v>
      </c>
      <c r="J732" s="2" t="s">
        <v>711</v>
      </c>
      <c r="K732" s="2" t="s">
        <v>2589</v>
      </c>
      <c r="L732" s="3">
        <v>145.35</v>
      </c>
      <c r="M732" s="3">
        <v>152.62</v>
      </c>
      <c r="N732" s="3">
        <v>299</v>
      </c>
      <c r="O732" s="2" t="s">
        <v>212</v>
      </c>
      <c r="P732" s="2" t="s">
        <v>750</v>
      </c>
      <c r="Q732" s="2" t="s">
        <v>206</v>
      </c>
      <c r="R732" s="2" t="s">
        <v>200</v>
      </c>
      <c r="S732" s="2" t="s">
        <v>200</v>
      </c>
      <c r="T732" s="2" t="s">
        <v>200</v>
      </c>
      <c r="U732" s="2" t="s">
        <v>677</v>
      </c>
      <c r="V732" s="2" t="s">
        <v>616</v>
      </c>
      <c r="W732" s="2" t="s">
        <v>1399</v>
      </c>
      <c r="X732" s="2" t="s">
        <v>737</v>
      </c>
      <c r="Y732" s="2" t="s">
        <v>1301</v>
      </c>
      <c r="Z732" s="4">
        <v>146</v>
      </c>
      <c r="AA732" s="4">
        <f>=ROUNDDOWN(69.5238095238095,0)</f>
      </c>
      <c r="AB732" s="5">
        <v>2.1</v>
      </c>
      <c r="AC732" s="2" t="s">
        <v>200</v>
      </c>
      <c r="AD732" s="4"/>
      <c r="AE732" s="4"/>
      <c r="AF732" s="6">
        <v>74</v>
      </c>
      <c r="AG732" s="6"/>
      <c r="AH732" s="7">
        <v>1</v>
      </c>
      <c r="AI732" s="4"/>
      <c r="AJ732" s="4">
        <f>=ROUNDDOWN({0},0)</f>
      </c>
      <c r="AK732" s="5"/>
      <c r="AL732" s="2" t="s">
        <v>200</v>
      </c>
      <c r="AM732" s="4"/>
      <c r="AN732" s="4"/>
      <c r="AO732" s="7"/>
      <c r="AP732" s="4"/>
      <c r="AQ732" s="8"/>
      <c r="AR732" s="4"/>
      <c r="AS732" s="8"/>
      <c r="AT732" s="7"/>
      <c r="AU732" s="7"/>
      <c r="AV732" s="4"/>
      <c r="AW732" s="8"/>
      <c r="AX732" s="4"/>
      <c r="AY732" s="8"/>
      <c r="AZ732" s="7"/>
      <c r="BA732" s="7"/>
      <c r="BB732" s="7"/>
      <c r="BC732" s="4"/>
      <c r="BD732" s="8"/>
      <c r="BE732" s="4"/>
      <c r="BF732" s="8"/>
      <c r="BG732" s="7"/>
      <c r="BH732" s="7"/>
      <c r="BI732" s="7"/>
      <c r="BJ732" s="4"/>
      <c r="BK732" s="8"/>
      <c r="BL732" s="2" t="s">
        <v>287</v>
      </c>
      <c r="BM732" s="7"/>
      <c r="BN732" s="7"/>
      <c r="BO732" s="4"/>
      <c r="BP732" s="8"/>
      <c r="BQ732" s="4"/>
      <c r="BR732" s="8"/>
      <c r="BS732" s="7"/>
      <c r="BT732" s="7"/>
      <c r="BU732" s="2" t="s">
        <v>4511</v>
      </c>
      <c r="BV732" s="2" t="s">
        <v>200</v>
      </c>
      <c r="BW732" s="2" t="s">
        <v>200</v>
      </c>
      <c r="BX732" s="2" t="s">
        <v>264</v>
      </c>
      <c r="BY732" s="2" t="s">
        <v>247</v>
      </c>
      <c r="BZ732" s="2" t="s">
        <v>212</v>
      </c>
      <c r="CA732" s="2" t="s">
        <v>1301</v>
      </c>
      <c r="CB732" s="2" t="s">
        <v>4512</v>
      </c>
      <c r="CC732" s="2" t="s">
        <v>213</v>
      </c>
      <c r="CD732" s="2" t="s">
        <v>200</v>
      </c>
      <c r="CE732" s="4"/>
      <c r="CF732" s="4">
        <v>146</v>
      </c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/>
      <c r="GH732" s="4"/>
    </row>
    <row r="733">
      <c r="A733" s="2" t="s">
        <v>4513</v>
      </c>
      <c r="B733" s="2" t="s">
        <v>903</v>
      </c>
      <c r="C733" s="2" t="s">
        <v>4514</v>
      </c>
      <c r="D733" s="2" t="s">
        <v>1818</v>
      </c>
      <c r="E733" s="2" t="s">
        <v>2020</v>
      </c>
      <c r="F733" s="2" t="s">
        <v>4515</v>
      </c>
      <c r="G733" s="2" t="s">
        <v>4515</v>
      </c>
      <c r="H733" s="2" t="s">
        <v>4515</v>
      </c>
      <c r="I733" s="2" t="s">
        <v>4516</v>
      </c>
      <c r="J733" s="2" t="s">
        <v>612</v>
      </c>
      <c r="K733" s="2" t="s">
        <v>4517</v>
      </c>
      <c r="L733" s="3">
        <v>102.14</v>
      </c>
      <c r="M733" s="3">
        <v>107.25</v>
      </c>
      <c r="N733" s="3">
        <v>299.99</v>
      </c>
      <c r="O733" s="2" t="s">
        <v>212</v>
      </c>
      <c r="P733" s="2" t="s">
        <v>285</v>
      </c>
      <c r="Q733" s="2" t="s">
        <v>206</v>
      </c>
      <c r="R733" s="2" t="s">
        <v>200</v>
      </c>
      <c r="S733" s="2" t="s">
        <v>200</v>
      </c>
      <c r="T733" s="2" t="s">
        <v>312</v>
      </c>
      <c r="U733" s="2" t="s">
        <v>200</v>
      </c>
      <c r="V733" s="2" t="s">
        <v>208</v>
      </c>
      <c r="W733" s="2" t="s">
        <v>419</v>
      </c>
      <c r="X733" s="2" t="s">
        <v>200</v>
      </c>
      <c r="Y733" s="2" t="s">
        <v>4518</v>
      </c>
      <c r="Z733" s="4">
        <v>79</v>
      </c>
      <c r="AA733" s="4">
        <f>=ROUNDDOWN(71.8181818181818,0)</f>
      </c>
      <c r="AB733" s="5">
        <v>1.1</v>
      </c>
      <c r="AC733" s="2" t="s">
        <v>200</v>
      </c>
      <c r="AD733" s="4"/>
      <c r="AE733" s="4"/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200</v>
      </c>
      <c r="AM733" s="4"/>
      <c r="AN733" s="4"/>
      <c r="AO733" s="7"/>
      <c r="AP733" s="4"/>
      <c r="AQ733" s="8"/>
      <c r="AR733" s="4"/>
      <c r="AS733" s="8"/>
      <c r="AT733" s="7"/>
      <c r="AU733" s="7"/>
      <c r="AV733" s="4"/>
      <c r="AW733" s="8"/>
      <c r="AX733" s="4"/>
      <c r="AY733" s="8"/>
      <c r="AZ733" s="7"/>
      <c r="BA733" s="7"/>
      <c r="BB733" s="7"/>
      <c r="BC733" s="4"/>
      <c r="BD733" s="8"/>
      <c r="BE733" s="4"/>
      <c r="BF733" s="8"/>
      <c r="BG733" s="7"/>
      <c r="BH733" s="7"/>
      <c r="BI733" s="7"/>
      <c r="BJ733" s="4">
        <v>13</v>
      </c>
      <c r="BK733" s="8">
        <v>1513.66</v>
      </c>
      <c r="BL733" s="2" t="s">
        <v>4519</v>
      </c>
      <c r="BM733" s="7"/>
      <c r="BN733" s="7"/>
      <c r="BO733" s="4"/>
      <c r="BP733" s="8"/>
      <c r="BQ733" s="4"/>
      <c r="BR733" s="8"/>
      <c r="BS733" s="7"/>
      <c r="BT733" s="7"/>
      <c r="BU733" s="2" t="s">
        <v>4520</v>
      </c>
      <c r="BV733" s="2" t="s">
        <v>200</v>
      </c>
      <c r="BW733" s="2" t="s">
        <v>200</v>
      </c>
      <c r="BX733" s="2" t="s">
        <v>289</v>
      </c>
      <c r="BY733" s="2" t="s">
        <v>247</v>
      </c>
      <c r="BZ733" s="2" t="s">
        <v>212</v>
      </c>
      <c r="CA733" s="2" t="s">
        <v>4521</v>
      </c>
      <c r="CB733" s="2" t="s">
        <v>1384</v>
      </c>
      <c r="CC733" s="2" t="s">
        <v>213</v>
      </c>
      <c r="CD733" s="2" t="s">
        <v>200</v>
      </c>
      <c r="CE733" s="4">
        <v>79</v>
      </c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</row>
    <row r="734">
      <c r="A734" s="2" t="s">
        <v>4522</v>
      </c>
      <c r="B734" s="2" t="s">
        <v>903</v>
      </c>
      <c r="C734" s="2" t="s">
        <v>745</v>
      </c>
      <c r="D734" s="2" t="s">
        <v>1524</v>
      </c>
      <c r="E734" s="2" t="s">
        <v>2324</v>
      </c>
      <c r="F734" s="2" t="s">
        <v>4523</v>
      </c>
      <c r="G734" s="2" t="s">
        <v>200</v>
      </c>
      <c r="H734" s="2" t="s">
        <v>200</v>
      </c>
      <c r="I734" s="2" t="s">
        <v>2546</v>
      </c>
      <c r="J734" s="2" t="s">
        <v>2547</v>
      </c>
      <c r="K734" s="2" t="s">
        <v>223</v>
      </c>
      <c r="L734" s="3">
        <v>14.4</v>
      </c>
      <c r="M734" s="3">
        <v>15.12</v>
      </c>
      <c r="N734" s="3">
        <v>31.99</v>
      </c>
      <c r="O734" s="2" t="s">
        <v>460</v>
      </c>
      <c r="P734" s="2" t="s">
        <v>285</v>
      </c>
      <c r="Q734" s="2" t="s">
        <v>206</v>
      </c>
      <c r="R734" s="2" t="s">
        <v>200</v>
      </c>
      <c r="S734" s="2" t="s">
        <v>4524</v>
      </c>
      <c r="T734" s="2" t="s">
        <v>200</v>
      </c>
      <c r="U734" s="2" t="s">
        <v>200</v>
      </c>
      <c r="V734" s="2" t="s">
        <v>1348</v>
      </c>
      <c r="W734" s="2" t="s">
        <v>241</v>
      </c>
      <c r="X734" s="2" t="s">
        <v>4525</v>
      </c>
      <c r="Y734" s="2" t="s">
        <v>261</v>
      </c>
      <c r="Z734" s="4">
        <v>235</v>
      </c>
      <c r="AA734" s="4">
        <f>=ROUNDDOWN(47,0)</f>
      </c>
      <c r="AB734" s="5">
        <v>5</v>
      </c>
      <c r="AC734" s="2" t="s">
        <v>200</v>
      </c>
      <c r="AD734" s="4"/>
      <c r="AE734" s="4"/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200</v>
      </c>
      <c r="AM734" s="4"/>
      <c r="AN734" s="4"/>
      <c r="AO734" s="7"/>
      <c r="AP734" s="4"/>
      <c r="AQ734" s="8"/>
      <c r="AR734" s="4"/>
      <c r="AS734" s="8"/>
      <c r="AT734" s="7"/>
      <c r="AU734" s="7"/>
      <c r="AV734" s="4"/>
      <c r="AW734" s="8"/>
      <c r="AX734" s="4"/>
      <c r="AY734" s="8"/>
      <c r="AZ734" s="7"/>
      <c r="BA734" s="7"/>
      <c r="BB734" s="7"/>
      <c r="BC734" s="4"/>
      <c r="BD734" s="8"/>
      <c r="BE734" s="4"/>
      <c r="BF734" s="8"/>
      <c r="BG734" s="7"/>
      <c r="BH734" s="7"/>
      <c r="BI734" s="7"/>
      <c r="BJ734" s="4">
        <v>22</v>
      </c>
      <c r="BK734" s="8">
        <v>269.27</v>
      </c>
      <c r="BL734" s="2" t="s">
        <v>4526</v>
      </c>
      <c r="BM734" s="7"/>
      <c r="BN734" s="7"/>
      <c r="BO734" s="4"/>
      <c r="BP734" s="8"/>
      <c r="BQ734" s="4"/>
      <c r="BR734" s="8"/>
      <c r="BS734" s="7"/>
      <c r="BT734" s="7"/>
      <c r="BU734" s="2" t="s">
        <v>4527</v>
      </c>
      <c r="BV734" s="2" t="s">
        <v>200</v>
      </c>
      <c r="BW734" s="2" t="s">
        <v>200</v>
      </c>
      <c r="BX734" s="2" t="s">
        <v>289</v>
      </c>
      <c r="BY734" s="2" t="s">
        <v>247</v>
      </c>
      <c r="BZ734" s="2" t="s">
        <v>212</v>
      </c>
      <c r="CA734" s="2" t="s">
        <v>265</v>
      </c>
      <c r="CB734" s="2" t="s">
        <v>4528</v>
      </c>
      <c r="CC734" s="2" t="s">
        <v>213</v>
      </c>
      <c r="CD734" s="2" t="s">
        <v>200</v>
      </c>
      <c r="CE734" s="4">
        <v>235</v>
      </c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</row>
    <row r="735">
      <c r="A735" s="2" t="s">
        <v>4529</v>
      </c>
      <c r="B735" s="2" t="s">
        <v>719</v>
      </c>
      <c r="C735" s="2" t="s">
        <v>877</v>
      </c>
      <c r="D735" s="2" t="s">
        <v>1554</v>
      </c>
      <c r="E735" s="2" t="s">
        <v>1555</v>
      </c>
      <c r="F735" s="2" t="s">
        <v>4530</v>
      </c>
      <c r="G735" s="2" t="s">
        <v>4530</v>
      </c>
      <c r="H735" s="2" t="s">
        <v>4530</v>
      </c>
      <c r="I735" s="2" t="s">
        <v>4531</v>
      </c>
      <c r="J735" s="2" t="s">
        <v>711</v>
      </c>
      <c r="K735" s="2" t="s">
        <v>221</v>
      </c>
      <c r="L735" s="3">
        <v>39.27</v>
      </c>
      <c r="M735" s="3">
        <v>41.23</v>
      </c>
      <c r="N735" s="3">
        <v>84.99</v>
      </c>
      <c r="O735" s="2" t="s">
        <v>212</v>
      </c>
      <c r="P735" s="2" t="s">
        <v>258</v>
      </c>
      <c r="Q735" s="2" t="s">
        <v>206</v>
      </c>
      <c r="R735" s="2" t="s">
        <v>200</v>
      </c>
      <c r="S735" s="2" t="s">
        <v>200</v>
      </c>
      <c r="T735" s="2" t="s">
        <v>200</v>
      </c>
      <c r="U735" s="2" t="s">
        <v>454</v>
      </c>
      <c r="V735" s="2" t="s">
        <v>3270</v>
      </c>
      <c r="W735" s="2" t="s">
        <v>241</v>
      </c>
      <c r="X735" s="2" t="s">
        <v>200</v>
      </c>
      <c r="Y735" s="2" t="s">
        <v>4532</v>
      </c>
      <c r="Z735" s="4">
        <v>119</v>
      </c>
      <c r="AA735" s="4">
        <f>=ROUNDDOWN(39.6666666666667,0)</f>
      </c>
      <c r="AB735" s="5">
        <v>3</v>
      </c>
      <c r="AC735" s="2" t="s">
        <v>200</v>
      </c>
      <c r="AD735" s="4"/>
      <c r="AE735" s="4"/>
      <c r="AF735" s="6">
        <v>61</v>
      </c>
      <c r="AG735" s="6"/>
      <c r="AH735" s="7">
        <v>1</v>
      </c>
      <c r="AI735" s="4"/>
      <c r="AJ735" s="4">
        <f>=ROUNDDOWN({0},0)</f>
      </c>
      <c r="AK735" s="5"/>
      <c r="AL735" s="2" t="s">
        <v>200</v>
      </c>
      <c r="AM735" s="4"/>
      <c r="AN735" s="4"/>
      <c r="AO735" s="7"/>
      <c r="AP735" s="4"/>
      <c r="AQ735" s="8"/>
      <c r="AR735" s="4"/>
      <c r="AS735" s="8"/>
      <c r="AT735" s="7"/>
      <c r="AU735" s="7"/>
      <c r="AV735" s="4"/>
      <c r="AW735" s="8"/>
      <c r="AX735" s="4"/>
      <c r="AY735" s="8"/>
      <c r="AZ735" s="7"/>
      <c r="BA735" s="7"/>
      <c r="BB735" s="7"/>
      <c r="BC735" s="4"/>
      <c r="BD735" s="8"/>
      <c r="BE735" s="4"/>
      <c r="BF735" s="8"/>
      <c r="BG735" s="7"/>
      <c r="BH735" s="7"/>
      <c r="BI735" s="7"/>
      <c r="BJ735" s="4">
        <v>10</v>
      </c>
      <c r="BK735" s="8">
        <v>453.26</v>
      </c>
      <c r="BL735" s="2" t="s">
        <v>4533</v>
      </c>
      <c r="BM735" s="7"/>
      <c r="BN735" s="7"/>
      <c r="BO735" s="4"/>
      <c r="BP735" s="8"/>
      <c r="BQ735" s="4"/>
      <c r="BR735" s="8"/>
      <c r="BS735" s="7"/>
      <c r="BT735" s="7"/>
      <c r="BU735" s="2" t="s">
        <v>4534</v>
      </c>
      <c r="BV735" s="2" t="s">
        <v>200</v>
      </c>
      <c r="BW735" s="2" t="s">
        <v>200</v>
      </c>
      <c r="BX735" s="2" t="s">
        <v>264</v>
      </c>
      <c r="BY735" s="2" t="s">
        <v>247</v>
      </c>
      <c r="BZ735" s="2" t="s">
        <v>212</v>
      </c>
      <c r="CA735" s="2" t="s">
        <v>1917</v>
      </c>
      <c r="CB735" s="2" t="s">
        <v>4535</v>
      </c>
      <c r="CC735" s="2" t="s">
        <v>213</v>
      </c>
      <c r="CD735" s="2" t="s">
        <v>200</v>
      </c>
      <c r="CE735" s="4"/>
      <c r="CF735" s="4">
        <v>119</v>
      </c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/>
      <c r="GH735" s="4"/>
    </row>
    <row r="736">
      <c r="A736" s="2" t="s">
        <v>4536</v>
      </c>
      <c r="B736" s="2" t="s">
        <v>705</v>
      </c>
      <c r="C736" s="2" t="s">
        <v>745</v>
      </c>
      <c r="D736" s="2" t="s">
        <v>817</v>
      </c>
      <c r="E736" s="2" t="s">
        <v>818</v>
      </c>
      <c r="F736" s="2" t="s">
        <v>4537</v>
      </c>
      <c r="G736" s="2" t="s">
        <v>4537</v>
      </c>
      <c r="H736" s="2" t="s">
        <v>4537</v>
      </c>
      <c r="I736" s="2" t="s">
        <v>4538</v>
      </c>
      <c r="J736" s="2" t="s">
        <v>711</v>
      </c>
      <c r="K736" s="2" t="s">
        <v>4539</v>
      </c>
      <c r="L736" s="3">
        <v>49</v>
      </c>
      <c r="M736" s="3">
        <v>51.45</v>
      </c>
      <c r="N736" s="3">
        <v>99.99</v>
      </c>
      <c r="O736" s="2" t="s">
        <v>212</v>
      </c>
      <c r="P736" s="2" t="s">
        <v>750</v>
      </c>
      <c r="Q736" s="2" t="s">
        <v>206</v>
      </c>
      <c r="R736" s="2" t="s">
        <v>200</v>
      </c>
      <c r="S736" s="2" t="s">
        <v>200</v>
      </c>
      <c r="T736" s="2" t="s">
        <v>200</v>
      </c>
      <c r="U736" s="2" t="s">
        <v>270</v>
      </c>
      <c r="V736" s="2" t="s">
        <v>616</v>
      </c>
      <c r="W736" s="2" t="s">
        <v>379</v>
      </c>
      <c r="X736" s="2" t="s">
        <v>241</v>
      </c>
      <c r="Y736" s="2" t="s">
        <v>1479</v>
      </c>
      <c r="Z736" s="4">
        <v>56</v>
      </c>
      <c r="AA736" s="4">
        <f>=ROUNDDOWN(56,0)</f>
      </c>
      <c r="AB736" s="5">
        <v>1</v>
      </c>
      <c r="AC736" s="2" t="s">
        <v>200</v>
      </c>
      <c r="AD736" s="4"/>
      <c r="AE736" s="4"/>
      <c r="AF736" s="6">
        <v>63</v>
      </c>
      <c r="AG736" s="6"/>
      <c r="AH736" s="7">
        <v>1</v>
      </c>
      <c r="AI736" s="4"/>
      <c r="AJ736" s="4">
        <f>=ROUNDDOWN({0},0)</f>
      </c>
      <c r="AK736" s="5"/>
      <c r="AL736" s="2" t="s">
        <v>200</v>
      </c>
      <c r="AM736" s="4"/>
      <c r="AN736" s="4"/>
      <c r="AO736" s="7"/>
      <c r="AP736" s="4"/>
      <c r="AQ736" s="8"/>
      <c r="AR736" s="4"/>
      <c r="AS736" s="8"/>
      <c r="AT736" s="7"/>
      <c r="AU736" s="7"/>
      <c r="AV736" s="4"/>
      <c r="AW736" s="8"/>
      <c r="AX736" s="4"/>
      <c r="AY736" s="8"/>
      <c r="AZ736" s="7"/>
      <c r="BA736" s="7"/>
      <c r="BB736" s="7"/>
      <c r="BC736" s="4"/>
      <c r="BD736" s="8"/>
      <c r="BE736" s="4"/>
      <c r="BF736" s="8"/>
      <c r="BG736" s="7"/>
      <c r="BH736" s="7"/>
      <c r="BI736" s="7"/>
      <c r="BJ736" s="4">
        <v>1</v>
      </c>
      <c r="BK736" s="8">
        <v>70.97</v>
      </c>
      <c r="BL736" s="2" t="s">
        <v>813</v>
      </c>
      <c r="BM736" s="7"/>
      <c r="BN736" s="7"/>
      <c r="BO736" s="4"/>
      <c r="BP736" s="8"/>
      <c r="BQ736" s="4"/>
      <c r="BR736" s="8"/>
      <c r="BS736" s="7"/>
      <c r="BT736" s="7"/>
      <c r="BU736" s="2" t="s">
        <v>4540</v>
      </c>
      <c r="BV736" s="2" t="s">
        <v>200</v>
      </c>
      <c r="BW736" s="2" t="s">
        <v>200</v>
      </c>
      <c r="BX736" s="2" t="s">
        <v>264</v>
      </c>
      <c r="BY736" s="2" t="s">
        <v>247</v>
      </c>
      <c r="BZ736" s="2" t="s">
        <v>212</v>
      </c>
      <c r="CA736" s="2" t="s">
        <v>4117</v>
      </c>
      <c r="CB736" s="2" t="s">
        <v>2522</v>
      </c>
      <c r="CC736" s="2" t="s">
        <v>213</v>
      </c>
      <c r="CD736" s="2" t="s">
        <v>200</v>
      </c>
      <c r="CE736" s="4"/>
      <c r="CF736" s="4">
        <v>56</v>
      </c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</row>
    <row r="737">
      <c r="A737" s="2" t="s">
        <v>4541</v>
      </c>
      <c r="B737" s="2" t="s">
        <v>903</v>
      </c>
      <c r="C737" s="2" t="s">
        <v>4514</v>
      </c>
      <c r="D737" s="2" t="s">
        <v>1524</v>
      </c>
      <c r="E737" s="2" t="s">
        <v>1525</v>
      </c>
      <c r="F737" s="2" t="s">
        <v>4542</v>
      </c>
      <c r="G737" s="2" t="s">
        <v>4542</v>
      </c>
      <c r="H737" s="2" t="s">
        <v>4542</v>
      </c>
      <c r="I737" s="2" t="s">
        <v>4543</v>
      </c>
      <c r="J737" s="2" t="s">
        <v>2547</v>
      </c>
      <c r="K737" s="2" t="s">
        <v>257</v>
      </c>
      <c r="L737" s="3">
        <v>21.66</v>
      </c>
      <c r="M737" s="3">
        <v>22.74</v>
      </c>
      <c r="N737" s="3">
        <v>69.99</v>
      </c>
      <c r="O737" s="2" t="s">
        <v>212</v>
      </c>
      <c r="P737" s="2" t="s">
        <v>285</v>
      </c>
      <c r="Q737" s="2" t="s">
        <v>206</v>
      </c>
      <c r="R737" s="2" t="s">
        <v>200</v>
      </c>
      <c r="S737" s="2" t="s">
        <v>200</v>
      </c>
      <c r="T737" s="2" t="s">
        <v>4544</v>
      </c>
      <c r="U737" s="2" t="s">
        <v>200</v>
      </c>
      <c r="V737" s="2" t="s">
        <v>4545</v>
      </c>
      <c r="W737" s="2" t="s">
        <v>419</v>
      </c>
      <c r="X737" s="2" t="s">
        <v>200</v>
      </c>
      <c r="Y737" s="2" t="s">
        <v>3658</v>
      </c>
      <c r="Z737" s="4">
        <v>36</v>
      </c>
      <c r="AA737" s="4">
        <f>=ROUNDDOWN(18,0)</f>
      </c>
      <c r="AB737" s="5">
        <v>2</v>
      </c>
      <c r="AC737" s="2" t="s">
        <v>200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200</v>
      </c>
      <c r="AM737" s="4"/>
      <c r="AN737" s="4"/>
      <c r="AO737" s="7"/>
      <c r="AP737" s="4"/>
      <c r="AQ737" s="8"/>
      <c r="AR737" s="4"/>
      <c r="AS737" s="8"/>
      <c r="AT737" s="7"/>
      <c r="AU737" s="7"/>
      <c r="AV737" s="4"/>
      <c r="AW737" s="8"/>
      <c r="AX737" s="4"/>
      <c r="AY737" s="8"/>
      <c r="AZ737" s="7"/>
      <c r="BA737" s="7"/>
      <c r="BB737" s="7"/>
      <c r="BC737" s="4"/>
      <c r="BD737" s="8"/>
      <c r="BE737" s="4"/>
      <c r="BF737" s="8"/>
      <c r="BG737" s="7"/>
      <c r="BH737" s="7"/>
      <c r="BI737" s="7"/>
      <c r="BJ737" s="4">
        <v>33</v>
      </c>
      <c r="BK737" s="8">
        <v>515.91</v>
      </c>
      <c r="BL737" s="2" t="s">
        <v>4546</v>
      </c>
      <c r="BM737" s="7"/>
      <c r="BN737" s="7"/>
      <c r="BO737" s="4"/>
      <c r="BP737" s="8"/>
      <c r="BQ737" s="4"/>
      <c r="BR737" s="8"/>
      <c r="BS737" s="7"/>
      <c r="BT737" s="7"/>
      <c r="BU737" s="2" t="s">
        <v>4547</v>
      </c>
      <c r="BV737" s="2" t="s">
        <v>200</v>
      </c>
      <c r="BW737" s="2" t="s">
        <v>200</v>
      </c>
      <c r="BX737" s="2" t="s">
        <v>289</v>
      </c>
      <c r="BY737" s="2" t="s">
        <v>247</v>
      </c>
      <c r="BZ737" s="2" t="s">
        <v>212</v>
      </c>
      <c r="CA737" s="2" t="s">
        <v>1218</v>
      </c>
      <c r="CB737" s="2" t="s">
        <v>4548</v>
      </c>
      <c r="CC737" s="2" t="s">
        <v>213</v>
      </c>
      <c r="CD737" s="2" t="s">
        <v>200</v>
      </c>
      <c r="CE737" s="4">
        <v>36</v>
      </c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  <c r="GH737" s="4"/>
    </row>
    <row r="738">
      <c r="A738" s="2" t="s">
        <v>4549</v>
      </c>
      <c r="B738" s="2" t="s">
        <v>719</v>
      </c>
      <c r="C738" s="2" t="s">
        <v>730</v>
      </c>
      <c r="D738" s="2" t="s">
        <v>1554</v>
      </c>
      <c r="E738" s="2" t="s">
        <v>721</v>
      </c>
      <c r="F738" s="2" t="s">
        <v>4550</v>
      </c>
      <c r="G738" s="2" t="s">
        <v>4550</v>
      </c>
      <c r="H738" s="2" t="s">
        <v>4550</v>
      </c>
      <c r="I738" s="2" t="s">
        <v>4551</v>
      </c>
      <c r="J738" s="2" t="s">
        <v>711</v>
      </c>
      <c r="K738" s="2" t="s">
        <v>733</v>
      </c>
      <c r="L738" s="3">
        <v>27.4</v>
      </c>
      <c r="M738" s="3">
        <v>28.77</v>
      </c>
      <c r="N738" s="3">
        <v>59.49</v>
      </c>
      <c r="O738" s="2" t="s">
        <v>460</v>
      </c>
      <c r="P738" s="2" t="s">
        <v>285</v>
      </c>
      <c r="Q738" s="2" t="s">
        <v>206</v>
      </c>
      <c r="R738" s="2" t="s">
        <v>200</v>
      </c>
      <c r="S738" s="2" t="s">
        <v>4552</v>
      </c>
      <c r="T738" s="2" t="s">
        <v>200</v>
      </c>
      <c r="U738" s="2" t="s">
        <v>270</v>
      </c>
      <c r="V738" s="2" t="s">
        <v>735</v>
      </c>
      <c r="W738" s="2" t="s">
        <v>736</v>
      </c>
      <c r="X738" s="2" t="s">
        <v>737</v>
      </c>
      <c r="Y738" s="2" t="s">
        <v>738</v>
      </c>
      <c r="Z738" s="4">
        <v>19</v>
      </c>
      <c r="AA738" s="4">
        <f>=ROUNDDOWN(5.9375,0)</f>
      </c>
      <c r="AB738" s="5">
        <v>3.2</v>
      </c>
      <c r="AC738" s="2" t="s">
        <v>200</v>
      </c>
      <c r="AD738" s="4"/>
      <c r="AE738" s="4"/>
      <c r="AF738" s="6">
        <v>63</v>
      </c>
      <c r="AG738" s="6"/>
      <c r="AH738" s="7">
        <v>1</v>
      </c>
      <c r="AI738" s="4"/>
      <c r="AJ738" s="4">
        <f>=ROUNDDOWN({0},0)</f>
      </c>
      <c r="AK738" s="5"/>
      <c r="AL738" s="2" t="s">
        <v>200</v>
      </c>
      <c r="AM738" s="4"/>
      <c r="AN738" s="4"/>
      <c r="AO738" s="7"/>
      <c r="AP738" s="4"/>
      <c r="AQ738" s="8"/>
      <c r="AR738" s="4"/>
      <c r="AS738" s="8"/>
      <c r="AT738" s="7"/>
      <c r="AU738" s="7"/>
      <c r="AV738" s="4"/>
      <c r="AW738" s="8"/>
      <c r="AX738" s="4"/>
      <c r="AY738" s="8"/>
      <c r="AZ738" s="7"/>
      <c r="BA738" s="7"/>
      <c r="BB738" s="7"/>
      <c r="BC738" s="4"/>
      <c r="BD738" s="8"/>
      <c r="BE738" s="4"/>
      <c r="BF738" s="8"/>
      <c r="BG738" s="7"/>
      <c r="BH738" s="7"/>
      <c r="BI738" s="7"/>
      <c r="BJ738" s="4">
        <v>11</v>
      </c>
      <c r="BK738" s="8">
        <v>303.55</v>
      </c>
      <c r="BL738" s="2" t="s">
        <v>4553</v>
      </c>
      <c r="BM738" s="7"/>
      <c r="BN738" s="7"/>
      <c r="BO738" s="4"/>
      <c r="BP738" s="8"/>
      <c r="BQ738" s="4"/>
      <c r="BR738" s="8"/>
      <c r="BS738" s="7"/>
      <c r="BT738" s="7"/>
      <c r="BU738" s="2" t="s">
        <v>4554</v>
      </c>
      <c r="BV738" s="2" t="s">
        <v>200</v>
      </c>
      <c r="BW738" s="2" t="s">
        <v>200</v>
      </c>
      <c r="BX738" s="2" t="s">
        <v>289</v>
      </c>
      <c r="BY738" s="2" t="s">
        <v>247</v>
      </c>
      <c r="BZ738" s="2" t="s">
        <v>212</v>
      </c>
      <c r="CA738" s="2" t="s">
        <v>741</v>
      </c>
      <c r="CB738" s="2" t="s">
        <v>4555</v>
      </c>
      <c r="CC738" s="2" t="s">
        <v>213</v>
      </c>
      <c r="CD738" s="2" t="s">
        <v>200</v>
      </c>
      <c r="CE738" s="4"/>
      <c r="CF738" s="4">
        <v>19</v>
      </c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</row>
    <row r="739">
      <c r="A739" s="2" t="s">
        <v>4556</v>
      </c>
      <c r="B739" s="2" t="s">
        <v>744</v>
      </c>
      <c r="C739" s="2" t="s">
        <v>231</v>
      </c>
      <c r="D739" s="2" t="s">
        <v>4557</v>
      </c>
      <c r="E739" s="2" t="s">
        <v>1633</v>
      </c>
      <c r="F739" s="2" t="s">
        <v>4558</v>
      </c>
      <c r="G739" s="2" t="s">
        <v>4559</v>
      </c>
      <c r="H739" s="2" t="s">
        <v>4560</v>
      </c>
      <c r="I739" s="2" t="s">
        <v>4561</v>
      </c>
      <c r="J739" s="2" t="s">
        <v>711</v>
      </c>
      <c r="K739" s="2" t="s">
        <v>857</v>
      </c>
      <c r="L739" s="3">
        <v>475</v>
      </c>
      <c r="M739" s="3">
        <v>498.75</v>
      </c>
      <c r="N739" s="3">
        <v>999</v>
      </c>
      <c r="O739" s="2" t="s">
        <v>460</v>
      </c>
      <c r="P739" s="2" t="s">
        <v>285</v>
      </c>
      <c r="Q739" s="2" t="s">
        <v>206</v>
      </c>
      <c r="R739" s="2" t="s">
        <v>200</v>
      </c>
      <c r="S739" s="2" t="s">
        <v>4562</v>
      </c>
      <c r="T739" s="2" t="s">
        <v>200</v>
      </c>
      <c r="U739" s="2" t="s">
        <v>200</v>
      </c>
      <c r="V739" s="2" t="s">
        <v>208</v>
      </c>
      <c r="W739" s="2" t="s">
        <v>419</v>
      </c>
      <c r="X739" s="2" t="s">
        <v>200</v>
      </c>
      <c r="Y739" s="2" t="s">
        <v>4563</v>
      </c>
      <c r="Z739" s="4">
        <v>75</v>
      </c>
      <c r="AA739" s="4">
        <f>=ROUNDDOWN(187.5,0)</f>
      </c>
      <c r="AB739" s="5">
        <v>0.4</v>
      </c>
      <c r="AC739" s="2" t="s">
        <v>200</v>
      </c>
      <c r="AD739" s="4"/>
      <c r="AE739" s="4"/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200</v>
      </c>
      <c r="AM739" s="4"/>
      <c r="AN739" s="4"/>
      <c r="AO739" s="7"/>
      <c r="AP739" s="4"/>
      <c r="AQ739" s="8"/>
      <c r="AR739" s="4"/>
      <c r="AS739" s="8"/>
      <c r="AT739" s="7"/>
      <c r="AU739" s="7"/>
      <c r="AV739" s="4"/>
      <c r="AW739" s="8"/>
      <c r="AX739" s="4"/>
      <c r="AY739" s="8"/>
      <c r="AZ739" s="7"/>
      <c r="BA739" s="7"/>
      <c r="BB739" s="7"/>
      <c r="BC739" s="4"/>
      <c r="BD739" s="8"/>
      <c r="BE739" s="4"/>
      <c r="BF739" s="8"/>
      <c r="BG739" s="7"/>
      <c r="BH739" s="7"/>
      <c r="BI739" s="7"/>
      <c r="BJ739" s="4">
        <v>1</v>
      </c>
      <c r="BK739" s="8">
        <v>350</v>
      </c>
      <c r="BL739" s="2" t="s">
        <v>752</v>
      </c>
      <c r="BM739" s="7"/>
      <c r="BN739" s="7"/>
      <c r="BO739" s="4"/>
      <c r="BP739" s="8"/>
      <c r="BQ739" s="4"/>
      <c r="BR739" s="8"/>
      <c r="BS739" s="7"/>
      <c r="BT739" s="7"/>
      <c r="BU739" s="2" t="s">
        <v>4564</v>
      </c>
      <c r="BV739" s="2" t="s">
        <v>200</v>
      </c>
      <c r="BW739" s="2" t="s">
        <v>200</v>
      </c>
      <c r="BX739" s="2" t="s">
        <v>289</v>
      </c>
      <c r="BY739" s="2" t="s">
        <v>247</v>
      </c>
      <c r="BZ739" s="2" t="s">
        <v>212</v>
      </c>
      <c r="CA739" s="2" t="s">
        <v>980</v>
      </c>
      <c r="CB739" s="2" t="s">
        <v>4565</v>
      </c>
      <c r="CC739" s="2" t="s">
        <v>213</v>
      </c>
      <c r="CD739" s="2" t="s">
        <v>200</v>
      </c>
      <c r="CE739" s="4"/>
      <c r="CF739" s="4">
        <v>75</v>
      </c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</row>
    <row r="740">
      <c r="A740" s="2" t="s">
        <v>4566</v>
      </c>
      <c r="B740" s="2" t="s">
        <v>195</v>
      </c>
      <c r="C740" s="2" t="s">
        <v>624</v>
      </c>
      <c r="D740" s="2" t="s">
        <v>1168</v>
      </c>
      <c r="E740" s="2" t="s">
        <v>1169</v>
      </c>
      <c r="F740" s="2" t="s">
        <v>4567</v>
      </c>
      <c r="G740" s="2" t="s">
        <v>4567</v>
      </c>
      <c r="H740" s="2" t="s">
        <v>4567</v>
      </c>
      <c r="I740" s="2" t="s">
        <v>4568</v>
      </c>
      <c r="J740" s="2" t="s">
        <v>4569</v>
      </c>
      <c r="K740" s="2" t="s">
        <v>203</v>
      </c>
      <c r="L740" s="3">
        <v>32.76</v>
      </c>
      <c r="M740" s="3">
        <v>34.4</v>
      </c>
      <c r="N740" s="3">
        <v>69.99</v>
      </c>
      <c r="O740" s="2" t="s">
        <v>460</v>
      </c>
      <c r="P740" s="2" t="s">
        <v>1258</v>
      </c>
      <c r="Q740" s="2" t="s">
        <v>206</v>
      </c>
      <c r="R740" s="2" t="s">
        <v>1259</v>
      </c>
      <c r="S740" s="2" t="s">
        <v>4570</v>
      </c>
      <c r="T740" s="2" t="s">
        <v>2604</v>
      </c>
      <c r="U740" s="2" t="s">
        <v>270</v>
      </c>
      <c r="V740" s="2" t="s">
        <v>208</v>
      </c>
      <c r="W740" s="2" t="s">
        <v>241</v>
      </c>
      <c r="X740" s="2" t="s">
        <v>1271</v>
      </c>
      <c r="Y740" s="2" t="s">
        <v>1862</v>
      </c>
      <c r="Z740" s="4">
        <v>5387</v>
      </c>
      <c r="AA740" s="4">
        <f>=ROUNDDOWN(1035.96153846154,0)</f>
      </c>
      <c r="AB740" s="5">
        <v>5.2</v>
      </c>
      <c r="AC740" s="2" t="s">
        <v>200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200</v>
      </c>
      <c r="AM740" s="4"/>
      <c r="AN740" s="4"/>
      <c r="AO740" s="7"/>
      <c r="AP740" s="4"/>
      <c r="AQ740" s="8"/>
      <c r="AR740" s="4"/>
      <c r="AS740" s="8"/>
      <c r="AT740" s="7"/>
      <c r="AU740" s="7"/>
      <c r="AV740" s="4"/>
      <c r="AW740" s="8"/>
      <c r="AX740" s="4"/>
      <c r="AY740" s="8"/>
      <c r="AZ740" s="7"/>
      <c r="BA740" s="7"/>
      <c r="BB740" s="7"/>
      <c r="BC740" s="4" t="s">
        <v>200</v>
      </c>
      <c r="BD740" s="8" t="s">
        <v>200</v>
      </c>
      <c r="BE740" s="4" t="s">
        <v>200</v>
      </c>
      <c r="BF740" s="8" t="s">
        <v>200</v>
      </c>
      <c r="BG740" s="7" t="s">
        <v>200</v>
      </c>
      <c r="BH740" s="7" t="s">
        <v>200</v>
      </c>
      <c r="BI740" s="7"/>
      <c r="BJ740" s="4">
        <v>34</v>
      </c>
      <c r="BK740" s="8">
        <v>522.88</v>
      </c>
      <c r="BL740" s="2" t="s">
        <v>4571</v>
      </c>
      <c r="BM740" s="7"/>
      <c r="BN740" s="7"/>
      <c r="BO740" s="4"/>
      <c r="BP740" s="8"/>
      <c r="BQ740" s="4"/>
      <c r="BR740" s="8"/>
      <c r="BS740" s="7"/>
      <c r="BT740" s="7"/>
      <c r="BU740" s="2" t="s">
        <v>4572</v>
      </c>
      <c r="BV740" s="2" t="s">
        <v>200</v>
      </c>
      <c r="BW740" s="2" t="s">
        <v>200</v>
      </c>
      <c r="BX740" s="2" t="s">
        <v>264</v>
      </c>
      <c r="BY740" s="2" t="s">
        <v>247</v>
      </c>
      <c r="BZ740" s="2" t="s">
        <v>212</v>
      </c>
      <c r="CA740" s="2" t="s">
        <v>4573</v>
      </c>
      <c r="CB740" s="2" t="s">
        <v>4574</v>
      </c>
      <c r="CC740" s="2" t="s">
        <v>213</v>
      </c>
      <c r="CD740" s="2" t="s">
        <v>200</v>
      </c>
      <c r="CE740" s="4">
        <v>5387</v>
      </c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</row>
    <row r="741">
      <c r="A741" s="2" t="s">
        <v>4575</v>
      </c>
      <c r="B741" s="2" t="s">
        <v>195</v>
      </c>
      <c r="C741" s="2" t="s">
        <v>624</v>
      </c>
      <c r="D741" s="2" t="s">
        <v>1168</v>
      </c>
      <c r="E741" s="2" t="s">
        <v>1169</v>
      </c>
      <c r="F741" s="2" t="s">
        <v>4567</v>
      </c>
      <c r="G741" s="2" t="s">
        <v>4567</v>
      </c>
      <c r="H741" s="2" t="s">
        <v>4567</v>
      </c>
      <c r="I741" s="2" t="s">
        <v>4568</v>
      </c>
      <c r="J741" s="2" t="s">
        <v>4569</v>
      </c>
      <c r="K741" s="2" t="s">
        <v>436</v>
      </c>
      <c r="L741" s="3">
        <v>32.76</v>
      </c>
      <c r="M741" s="3">
        <v>34.4</v>
      </c>
      <c r="N741" s="3">
        <v>69.99</v>
      </c>
      <c r="O741" s="2" t="s">
        <v>460</v>
      </c>
      <c r="P741" s="2" t="s">
        <v>1258</v>
      </c>
      <c r="Q741" s="2" t="s">
        <v>206</v>
      </c>
      <c r="R741" s="2" t="s">
        <v>1259</v>
      </c>
      <c r="S741" s="2" t="s">
        <v>4576</v>
      </c>
      <c r="T741" s="2" t="s">
        <v>2604</v>
      </c>
      <c r="U741" s="2" t="s">
        <v>270</v>
      </c>
      <c r="V741" s="2" t="s">
        <v>208</v>
      </c>
      <c r="W741" s="2" t="s">
        <v>241</v>
      </c>
      <c r="X741" s="2" t="s">
        <v>1271</v>
      </c>
      <c r="Y741" s="2" t="s">
        <v>1862</v>
      </c>
      <c r="Z741" s="4">
        <v>1256</v>
      </c>
      <c r="AA741" s="4">
        <f>=ROUNDDOWN(83.7333333333333,0)</f>
      </c>
      <c r="AB741" s="5">
        <v>15</v>
      </c>
      <c r="AC741" s="2" t="s">
        <v>200</v>
      </c>
      <c r="AD741" s="4"/>
      <c r="AE741" s="4"/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200</v>
      </c>
      <c r="AM741" s="4"/>
      <c r="AN741" s="4"/>
      <c r="AO741" s="7"/>
      <c r="AP741" s="4"/>
      <c r="AQ741" s="8"/>
      <c r="AR741" s="4"/>
      <c r="AS741" s="8"/>
      <c r="AT741" s="7"/>
      <c r="AU741" s="7"/>
      <c r="AV741" s="4"/>
      <c r="AW741" s="8"/>
      <c r="AX741" s="4"/>
      <c r="AY741" s="8"/>
      <c r="AZ741" s="7"/>
      <c r="BA741" s="7"/>
      <c r="BB741" s="7"/>
      <c r="BC741" s="4" t="s">
        <v>200</v>
      </c>
      <c r="BD741" s="8" t="s">
        <v>200</v>
      </c>
      <c r="BE741" s="4" t="s">
        <v>200</v>
      </c>
      <c r="BF741" s="8" t="s">
        <v>200</v>
      </c>
      <c r="BG741" s="7" t="s">
        <v>200</v>
      </c>
      <c r="BH741" s="7" t="s">
        <v>200</v>
      </c>
      <c r="BI741" s="7"/>
      <c r="BJ741" s="4">
        <v>1</v>
      </c>
      <c r="BK741" s="8">
        <v>59.49</v>
      </c>
      <c r="BL741" s="2" t="s">
        <v>4577</v>
      </c>
      <c r="BM741" s="7"/>
      <c r="BN741" s="7"/>
      <c r="BO741" s="4"/>
      <c r="BP741" s="8"/>
      <c r="BQ741" s="4"/>
      <c r="BR741" s="8"/>
      <c r="BS741" s="7"/>
      <c r="BT741" s="7"/>
      <c r="BU741" s="2" t="s">
        <v>4578</v>
      </c>
      <c r="BV741" s="2" t="s">
        <v>200</v>
      </c>
      <c r="BW741" s="2" t="s">
        <v>200</v>
      </c>
      <c r="BX741" s="2" t="s">
        <v>264</v>
      </c>
      <c r="BY741" s="2" t="s">
        <v>247</v>
      </c>
      <c r="BZ741" s="2" t="s">
        <v>212</v>
      </c>
      <c r="CA741" s="2" t="s">
        <v>4573</v>
      </c>
      <c r="CB741" s="2" t="s">
        <v>4574</v>
      </c>
      <c r="CC741" s="2" t="s">
        <v>213</v>
      </c>
      <c r="CD741" s="2" t="s">
        <v>200</v>
      </c>
      <c r="CE741" s="4">
        <v>1005</v>
      </c>
      <c r="CF741" s="4"/>
      <c r="CG741" s="4"/>
      <c r="CH741" s="4">
        <v>251</v>
      </c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</row>
    <row r="742">
      <c r="A742" s="2" t="s">
        <v>4579</v>
      </c>
      <c r="B742" s="2" t="s">
        <v>250</v>
      </c>
      <c r="C742" s="2" t="s">
        <v>3397</v>
      </c>
      <c r="D742" s="2" t="s">
        <v>197</v>
      </c>
      <c r="E742" s="2" t="s">
        <v>2477</v>
      </c>
      <c r="F742" s="2" t="s">
        <v>4580</v>
      </c>
      <c r="G742" s="2" t="s">
        <v>4580</v>
      </c>
      <c r="H742" s="2" t="s">
        <v>4580</v>
      </c>
      <c r="I742" s="2" t="s">
        <v>4581</v>
      </c>
      <c r="J742" s="2" t="s">
        <v>256</v>
      </c>
      <c r="K742" s="2" t="s">
        <v>257</v>
      </c>
      <c r="L742" s="3">
        <v>28.57</v>
      </c>
      <c r="M742" s="3">
        <v>30</v>
      </c>
      <c r="N742" s="3">
        <v>59.99</v>
      </c>
      <c r="O742" s="2" t="s">
        <v>212</v>
      </c>
      <c r="P742" s="2" t="s">
        <v>285</v>
      </c>
      <c r="Q742" s="2" t="s">
        <v>206</v>
      </c>
      <c r="R742" s="2" t="s">
        <v>200</v>
      </c>
      <c r="S742" s="2" t="s">
        <v>4582</v>
      </c>
      <c r="T742" s="2" t="s">
        <v>200</v>
      </c>
      <c r="U742" s="2" t="s">
        <v>200</v>
      </c>
      <c r="V742" s="2" t="s">
        <v>208</v>
      </c>
      <c r="W742" s="2" t="s">
        <v>241</v>
      </c>
      <c r="X742" s="2" t="s">
        <v>200</v>
      </c>
      <c r="Y742" s="2" t="s">
        <v>3669</v>
      </c>
      <c r="Z742" s="4">
        <v>100</v>
      </c>
      <c r="AA742" s="4">
        <f>=ROUNDDOWN(20,0)</f>
      </c>
      <c r="AB742" s="5">
        <v>5</v>
      </c>
      <c r="AC742" s="2" t="s">
        <v>200</v>
      </c>
      <c r="AD742" s="4"/>
      <c r="AE742" s="4"/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200</v>
      </c>
      <c r="AM742" s="4"/>
      <c r="AN742" s="4"/>
      <c r="AO742" s="7"/>
      <c r="AP742" s="4"/>
      <c r="AQ742" s="8"/>
      <c r="AR742" s="4"/>
      <c r="AS742" s="8"/>
      <c r="AT742" s="7"/>
      <c r="AU742" s="7"/>
      <c r="AV742" s="4" t="s">
        <v>200</v>
      </c>
      <c r="AW742" s="8" t="s">
        <v>200</v>
      </c>
      <c r="AX742" s="4" t="s">
        <v>200</v>
      </c>
      <c r="AY742" s="8" t="s">
        <v>200</v>
      </c>
      <c r="AZ742" s="7" t="s">
        <v>200</v>
      </c>
      <c r="BA742" s="7" t="s">
        <v>200</v>
      </c>
      <c r="BB742" s="7"/>
      <c r="BC742" s="4" t="s">
        <v>200</v>
      </c>
      <c r="BD742" s="8" t="s">
        <v>200</v>
      </c>
      <c r="BE742" s="4" t="s">
        <v>200</v>
      </c>
      <c r="BF742" s="8" t="s">
        <v>200</v>
      </c>
      <c r="BG742" s="7" t="s">
        <v>200</v>
      </c>
      <c r="BH742" s="7" t="s">
        <v>200</v>
      </c>
      <c r="BI742" s="7"/>
      <c r="BJ742" s="4">
        <v>38</v>
      </c>
      <c r="BK742" s="8">
        <v>1103.54</v>
      </c>
      <c r="BL742" s="2" t="s">
        <v>4583</v>
      </c>
      <c r="BM742" s="7"/>
      <c r="BN742" s="7"/>
      <c r="BO742" s="4"/>
      <c r="BP742" s="8"/>
      <c r="BQ742" s="4"/>
      <c r="BR742" s="8"/>
      <c r="BS742" s="7"/>
      <c r="BT742" s="7"/>
      <c r="BU742" s="2" t="s">
        <v>4584</v>
      </c>
      <c r="BV742" s="2" t="s">
        <v>200</v>
      </c>
      <c r="BW742" s="2" t="s">
        <v>200</v>
      </c>
      <c r="BX742" s="2" t="s">
        <v>289</v>
      </c>
      <c r="BY742" s="2" t="s">
        <v>247</v>
      </c>
      <c r="BZ742" s="2" t="s">
        <v>212</v>
      </c>
      <c r="CA742" s="2" t="s">
        <v>4585</v>
      </c>
      <c r="CB742" s="2" t="s">
        <v>4586</v>
      </c>
      <c r="CC742" s="2" t="s">
        <v>213</v>
      </c>
      <c r="CD742" s="2" t="s">
        <v>200</v>
      </c>
      <c r="CE742" s="4">
        <v>100</v>
      </c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</row>
    <row r="743">
      <c r="A743" s="2" t="s">
        <v>4587</v>
      </c>
      <c r="B743" s="2" t="s">
        <v>250</v>
      </c>
      <c r="C743" s="2" t="s">
        <v>3397</v>
      </c>
      <c r="D743" s="2" t="s">
        <v>197</v>
      </c>
      <c r="E743" s="2" t="s">
        <v>2477</v>
      </c>
      <c r="F743" s="2" t="s">
        <v>4580</v>
      </c>
      <c r="G743" s="2" t="s">
        <v>4580</v>
      </c>
      <c r="H743" s="2" t="s">
        <v>4580</v>
      </c>
      <c r="I743" s="2" t="s">
        <v>4581</v>
      </c>
      <c r="J743" s="2" t="s">
        <v>302</v>
      </c>
      <c r="K743" s="2" t="s">
        <v>257</v>
      </c>
      <c r="L743" s="3">
        <v>38.09</v>
      </c>
      <c r="M743" s="3">
        <v>39.99</v>
      </c>
      <c r="N743" s="3">
        <v>79.99</v>
      </c>
      <c r="O743" s="2" t="s">
        <v>212</v>
      </c>
      <c r="P743" s="2" t="s">
        <v>285</v>
      </c>
      <c r="Q743" s="2" t="s">
        <v>206</v>
      </c>
      <c r="R743" s="2" t="s">
        <v>200</v>
      </c>
      <c r="S743" s="2" t="s">
        <v>4582</v>
      </c>
      <c r="T743" s="2" t="s">
        <v>200</v>
      </c>
      <c r="U743" s="2" t="s">
        <v>200</v>
      </c>
      <c r="V743" s="2" t="s">
        <v>208</v>
      </c>
      <c r="W743" s="2" t="s">
        <v>241</v>
      </c>
      <c r="X743" s="2" t="s">
        <v>200</v>
      </c>
      <c r="Y743" s="2" t="s">
        <v>3669</v>
      </c>
      <c r="Z743" s="4">
        <v>101</v>
      </c>
      <c r="AA743" s="4">
        <f>=ROUNDDOWN(8.41666666666667,0)</f>
      </c>
      <c r="AB743" s="5">
        <v>12</v>
      </c>
      <c r="AC743" s="2" t="s">
        <v>200</v>
      </c>
      <c r="AD743" s="4"/>
      <c r="AE743" s="4"/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200</v>
      </c>
      <c r="AM743" s="4"/>
      <c r="AN743" s="4"/>
      <c r="AO743" s="7"/>
      <c r="AP743" s="4"/>
      <c r="AQ743" s="8"/>
      <c r="AR743" s="4"/>
      <c r="AS743" s="8"/>
      <c r="AT743" s="7"/>
      <c r="AU743" s="7"/>
      <c r="AV743" s="4" t="s">
        <v>200</v>
      </c>
      <c r="AW743" s="8" t="s">
        <v>200</v>
      </c>
      <c r="AX743" s="4" t="s">
        <v>200</v>
      </c>
      <c r="AY743" s="8" t="s">
        <v>200</v>
      </c>
      <c r="AZ743" s="7" t="s">
        <v>200</v>
      </c>
      <c r="BA743" s="7" t="s">
        <v>200</v>
      </c>
      <c r="BB743" s="7"/>
      <c r="BC743" s="4" t="s">
        <v>200</v>
      </c>
      <c r="BD743" s="8" t="s">
        <v>200</v>
      </c>
      <c r="BE743" s="4" t="s">
        <v>200</v>
      </c>
      <c r="BF743" s="8" t="s">
        <v>200</v>
      </c>
      <c r="BG743" s="7" t="s">
        <v>200</v>
      </c>
      <c r="BH743" s="7" t="s">
        <v>200</v>
      </c>
      <c r="BI743" s="7"/>
      <c r="BJ743" s="4">
        <v>58</v>
      </c>
      <c r="BK743" s="8">
        <v>2231.58</v>
      </c>
      <c r="BL743" s="2" t="s">
        <v>4588</v>
      </c>
      <c r="BM743" s="7"/>
      <c r="BN743" s="7"/>
      <c r="BO743" s="4"/>
      <c r="BP743" s="8"/>
      <c r="BQ743" s="4"/>
      <c r="BR743" s="8"/>
      <c r="BS743" s="7"/>
      <c r="BT743" s="7"/>
      <c r="BU743" s="2" t="s">
        <v>4589</v>
      </c>
      <c r="BV743" s="2" t="s">
        <v>200</v>
      </c>
      <c r="BW743" s="2" t="s">
        <v>200</v>
      </c>
      <c r="BX743" s="2" t="s">
        <v>289</v>
      </c>
      <c r="BY743" s="2" t="s">
        <v>247</v>
      </c>
      <c r="BZ743" s="2" t="s">
        <v>212</v>
      </c>
      <c r="CA743" s="2" t="s">
        <v>4585</v>
      </c>
      <c r="CB743" s="2" t="s">
        <v>4590</v>
      </c>
      <c r="CC743" s="2" t="s">
        <v>213</v>
      </c>
      <c r="CD743" s="2" t="s">
        <v>200</v>
      </c>
      <c r="CE743" s="4">
        <v>101</v>
      </c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</row>
    <row r="744">
      <c r="A744" s="2" t="s">
        <v>4591</v>
      </c>
      <c r="B744" s="2" t="s">
        <v>744</v>
      </c>
      <c r="C744" s="2" t="s">
        <v>745</v>
      </c>
      <c r="D744" s="2" t="s">
        <v>4592</v>
      </c>
      <c r="E744" s="2" t="s">
        <v>4356</v>
      </c>
      <c r="F744" s="2" t="s">
        <v>4593</v>
      </c>
      <c r="G744" s="2" t="s">
        <v>4593</v>
      </c>
      <c r="H744" s="2" t="s">
        <v>4593</v>
      </c>
      <c r="I744" s="2" t="s">
        <v>4594</v>
      </c>
      <c r="J744" s="2" t="s">
        <v>711</v>
      </c>
      <c r="K744" s="2" t="s">
        <v>1174</v>
      </c>
      <c r="L744" s="3">
        <v>115.2</v>
      </c>
      <c r="M744" s="3">
        <v>120.96</v>
      </c>
      <c r="N744" s="3">
        <v>249</v>
      </c>
      <c r="O744" s="2" t="s">
        <v>212</v>
      </c>
      <c r="P744" s="2" t="s">
        <v>285</v>
      </c>
      <c r="Q744" s="2" t="s">
        <v>206</v>
      </c>
      <c r="R744" s="2" t="s">
        <v>200</v>
      </c>
      <c r="S744" s="2" t="s">
        <v>200</v>
      </c>
      <c r="T744" s="2" t="s">
        <v>200</v>
      </c>
      <c r="U744" s="2" t="s">
        <v>270</v>
      </c>
      <c r="V744" s="2" t="s">
        <v>616</v>
      </c>
      <c r="W744" s="2" t="s">
        <v>241</v>
      </c>
      <c r="X744" s="2" t="s">
        <v>379</v>
      </c>
      <c r="Y744" s="2" t="s">
        <v>1813</v>
      </c>
      <c r="Z744" s="4">
        <v>33</v>
      </c>
      <c r="AA744" s="4">
        <f>=ROUNDDOWN(33,0)</f>
      </c>
      <c r="AB744" s="5">
        <v>1</v>
      </c>
      <c r="AC744" s="2" t="s">
        <v>200</v>
      </c>
      <c r="AD744" s="4"/>
      <c r="AE744" s="4"/>
      <c r="AF744" s="6">
        <v>74</v>
      </c>
      <c r="AG744" s="6"/>
      <c r="AH744" s="7">
        <v>1</v>
      </c>
      <c r="AI744" s="4"/>
      <c r="AJ744" s="4">
        <f>=ROUNDDOWN({0},0)</f>
      </c>
      <c r="AK744" s="5"/>
      <c r="AL744" s="2" t="s">
        <v>200</v>
      </c>
      <c r="AM744" s="4"/>
      <c r="AN744" s="4"/>
      <c r="AO744" s="7"/>
      <c r="AP744" s="4"/>
      <c r="AQ744" s="8"/>
      <c r="AR744" s="4"/>
      <c r="AS744" s="8"/>
      <c r="AT744" s="7"/>
      <c r="AU744" s="7"/>
      <c r="AV744" s="4"/>
      <c r="AW744" s="8"/>
      <c r="AX744" s="4"/>
      <c r="AY744" s="8"/>
      <c r="AZ744" s="7"/>
      <c r="BA744" s="7"/>
      <c r="BB744" s="7"/>
      <c r="BC744" s="4"/>
      <c r="BD744" s="8"/>
      <c r="BE744" s="4"/>
      <c r="BF744" s="8"/>
      <c r="BG744" s="7"/>
      <c r="BH744" s="7"/>
      <c r="BI744" s="7"/>
      <c r="BJ744" s="4">
        <v>28</v>
      </c>
      <c r="BK744" s="8">
        <v>1097.12</v>
      </c>
      <c r="BL744" s="2" t="s">
        <v>752</v>
      </c>
      <c r="BM744" s="7"/>
      <c r="BN744" s="7"/>
      <c r="BO744" s="4"/>
      <c r="BP744" s="8"/>
      <c r="BQ744" s="4"/>
      <c r="BR744" s="8"/>
      <c r="BS744" s="7"/>
      <c r="BT744" s="7"/>
      <c r="BU744" s="2" t="s">
        <v>4595</v>
      </c>
      <c r="BV744" s="2" t="s">
        <v>200</v>
      </c>
      <c r="BW744" s="2" t="s">
        <v>200</v>
      </c>
      <c r="BX744" s="2" t="s">
        <v>289</v>
      </c>
      <c r="BY744" s="2" t="s">
        <v>247</v>
      </c>
      <c r="BZ744" s="2" t="s">
        <v>212</v>
      </c>
      <c r="CA744" s="2" t="s">
        <v>4596</v>
      </c>
      <c r="CB744" s="2" t="s">
        <v>1501</v>
      </c>
      <c r="CC744" s="2" t="s">
        <v>213</v>
      </c>
      <c r="CD744" s="2" t="s">
        <v>200</v>
      </c>
      <c r="CE744" s="4"/>
      <c r="CF744" s="4">
        <v>33</v>
      </c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</row>
    <row r="745">
      <c r="A745" s="2" t="s">
        <v>4597</v>
      </c>
      <c r="B745" s="2" t="s">
        <v>903</v>
      </c>
      <c r="C745" s="2" t="s">
        <v>231</v>
      </c>
      <c r="D745" s="2" t="s">
        <v>1818</v>
      </c>
      <c r="E745" s="2" t="s">
        <v>2000</v>
      </c>
      <c r="F745" s="2" t="s">
        <v>4598</v>
      </c>
      <c r="G745" s="2" t="s">
        <v>4599</v>
      </c>
      <c r="H745" s="2" t="s">
        <v>1366</v>
      </c>
      <c r="I745" s="2" t="s">
        <v>4600</v>
      </c>
      <c r="J745" s="2" t="s">
        <v>924</v>
      </c>
      <c r="K745" s="2" t="s">
        <v>1214</v>
      </c>
      <c r="L745" s="3">
        <v>42.85</v>
      </c>
      <c r="M745" s="3">
        <v>44.99</v>
      </c>
      <c r="N745" s="3">
        <v>89.99</v>
      </c>
      <c r="O745" s="2" t="s">
        <v>460</v>
      </c>
      <c r="P745" s="2" t="s">
        <v>285</v>
      </c>
      <c r="Q745" s="2" t="s">
        <v>206</v>
      </c>
      <c r="R745" s="2" t="s">
        <v>200</v>
      </c>
      <c r="S745" s="2" t="s">
        <v>4601</v>
      </c>
      <c r="T745" s="2" t="s">
        <v>200</v>
      </c>
      <c r="U745" s="2" t="s">
        <v>454</v>
      </c>
      <c r="V745" s="2" t="s">
        <v>208</v>
      </c>
      <c r="W745" s="2" t="s">
        <v>241</v>
      </c>
      <c r="X745" s="2" t="s">
        <v>1399</v>
      </c>
      <c r="Y745" s="2" t="s">
        <v>4090</v>
      </c>
      <c r="Z745" s="4">
        <v>37</v>
      </c>
      <c r="AA745" s="4">
        <f>=ROUNDDOWN(10,0)</f>
      </c>
      <c r="AB745" s="5">
        <v>3.7</v>
      </c>
      <c r="AC745" s="2" t="s">
        <v>200</v>
      </c>
      <c r="AD745" s="4"/>
      <c r="AE745" s="4"/>
      <c r="AF745" s="6">
        <v>64</v>
      </c>
      <c r="AG745" s="6"/>
      <c r="AH745" s="7">
        <v>1</v>
      </c>
      <c r="AI745" s="4"/>
      <c r="AJ745" s="4">
        <f>=ROUNDDOWN({0},0)</f>
      </c>
      <c r="AK745" s="5"/>
      <c r="AL745" s="2" t="s">
        <v>200</v>
      </c>
      <c r="AM745" s="4"/>
      <c r="AN745" s="4"/>
      <c r="AO745" s="7"/>
      <c r="AP745" s="4"/>
      <c r="AQ745" s="8"/>
      <c r="AR745" s="4"/>
      <c r="AS745" s="8"/>
      <c r="AT745" s="7"/>
      <c r="AU745" s="7"/>
      <c r="AV745" s="4"/>
      <c r="AW745" s="8"/>
      <c r="AX745" s="4"/>
      <c r="AY745" s="8"/>
      <c r="AZ745" s="7"/>
      <c r="BA745" s="7"/>
      <c r="BB745" s="7"/>
      <c r="BC745" s="4" t="s">
        <v>200</v>
      </c>
      <c r="BD745" s="8" t="s">
        <v>200</v>
      </c>
      <c r="BE745" s="4" t="s">
        <v>200</v>
      </c>
      <c r="BF745" s="8" t="s">
        <v>200</v>
      </c>
      <c r="BG745" s="7" t="s">
        <v>200</v>
      </c>
      <c r="BH745" s="7" t="s">
        <v>200</v>
      </c>
      <c r="BI745" s="7"/>
      <c r="BJ745" s="4">
        <v>18</v>
      </c>
      <c r="BK745" s="8">
        <v>659.51</v>
      </c>
      <c r="BL745" s="2" t="s">
        <v>1148</v>
      </c>
      <c r="BM745" s="7"/>
      <c r="BN745" s="7"/>
      <c r="BO745" s="4"/>
      <c r="BP745" s="8"/>
      <c r="BQ745" s="4"/>
      <c r="BR745" s="8"/>
      <c r="BS745" s="7"/>
      <c r="BT745" s="7"/>
      <c r="BU745" s="2" t="s">
        <v>4602</v>
      </c>
      <c r="BV745" s="2" t="s">
        <v>200</v>
      </c>
      <c r="BW745" s="2" t="s">
        <v>200</v>
      </c>
      <c r="BX745" s="2" t="s">
        <v>289</v>
      </c>
      <c r="BY745" s="2" t="s">
        <v>247</v>
      </c>
      <c r="BZ745" s="2" t="s">
        <v>212</v>
      </c>
      <c r="CA745" s="2" t="s">
        <v>4603</v>
      </c>
      <c r="CB745" s="2" t="s">
        <v>4604</v>
      </c>
      <c r="CC745" s="2" t="s">
        <v>213</v>
      </c>
      <c r="CD745" s="2" t="s">
        <v>200</v>
      </c>
      <c r="CE745" s="4">
        <v>37</v>
      </c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  <c r="GH745" s="4"/>
    </row>
    <row r="746">
      <c r="A746" s="2" t="s">
        <v>4605</v>
      </c>
      <c r="B746" s="2" t="s">
        <v>903</v>
      </c>
      <c r="C746" s="2" t="s">
        <v>231</v>
      </c>
      <c r="D746" s="2" t="s">
        <v>1818</v>
      </c>
      <c r="E746" s="2" t="s">
        <v>2000</v>
      </c>
      <c r="F746" s="2" t="s">
        <v>4598</v>
      </c>
      <c r="G746" s="2" t="s">
        <v>4599</v>
      </c>
      <c r="H746" s="2" t="s">
        <v>1366</v>
      </c>
      <c r="I746" s="2" t="s">
        <v>4600</v>
      </c>
      <c r="J746" s="2" t="s">
        <v>612</v>
      </c>
      <c r="K746" s="2" t="s">
        <v>223</v>
      </c>
      <c r="L746" s="3">
        <v>38.09</v>
      </c>
      <c r="M746" s="3">
        <v>39.99</v>
      </c>
      <c r="N746" s="3">
        <v>79.99</v>
      </c>
      <c r="O746" s="2" t="s">
        <v>460</v>
      </c>
      <c r="P746" s="2" t="s">
        <v>285</v>
      </c>
      <c r="Q746" s="2" t="s">
        <v>206</v>
      </c>
      <c r="R746" s="2" t="s">
        <v>200</v>
      </c>
      <c r="S746" s="2" t="s">
        <v>4606</v>
      </c>
      <c r="T746" s="2" t="s">
        <v>200</v>
      </c>
      <c r="U746" s="2" t="s">
        <v>454</v>
      </c>
      <c r="V746" s="2" t="s">
        <v>208</v>
      </c>
      <c r="W746" s="2" t="s">
        <v>241</v>
      </c>
      <c r="X746" s="2" t="s">
        <v>1399</v>
      </c>
      <c r="Y746" s="2" t="s">
        <v>4090</v>
      </c>
      <c r="Z746" s="4">
        <v>40</v>
      </c>
      <c r="AA746" s="4">
        <f>=ROUNDDOWN(16.6666666666667,0)</f>
      </c>
      <c r="AB746" s="5">
        <v>2.4</v>
      </c>
      <c r="AC746" s="2" t="s">
        <v>200</v>
      </c>
      <c r="AD746" s="4"/>
      <c r="AE746" s="4"/>
      <c r="AF746" s="6">
        <v>64</v>
      </c>
      <c r="AG746" s="6"/>
      <c r="AH746" s="7">
        <v>1</v>
      </c>
      <c r="AI746" s="4"/>
      <c r="AJ746" s="4">
        <f>=ROUNDDOWN({0},0)</f>
      </c>
      <c r="AK746" s="5"/>
      <c r="AL746" s="2" t="s">
        <v>200</v>
      </c>
      <c r="AM746" s="4"/>
      <c r="AN746" s="4"/>
      <c r="AO746" s="7"/>
      <c r="AP746" s="4"/>
      <c r="AQ746" s="8"/>
      <c r="AR746" s="4"/>
      <c r="AS746" s="8"/>
      <c r="AT746" s="7"/>
      <c r="AU746" s="7"/>
      <c r="AV746" s="4" t="s">
        <v>200</v>
      </c>
      <c r="AW746" s="8" t="s">
        <v>200</v>
      </c>
      <c r="AX746" s="4" t="s">
        <v>200</v>
      </c>
      <c r="AY746" s="8" t="s">
        <v>200</v>
      </c>
      <c r="AZ746" s="7" t="s">
        <v>200</v>
      </c>
      <c r="BA746" s="7" t="s">
        <v>200</v>
      </c>
      <c r="BB746" s="7"/>
      <c r="BC746" s="4" t="s">
        <v>200</v>
      </c>
      <c r="BD746" s="8" t="s">
        <v>200</v>
      </c>
      <c r="BE746" s="4" t="s">
        <v>200</v>
      </c>
      <c r="BF746" s="8" t="s">
        <v>200</v>
      </c>
      <c r="BG746" s="7" t="s">
        <v>200</v>
      </c>
      <c r="BH746" s="7" t="s">
        <v>200</v>
      </c>
      <c r="BI746" s="7"/>
      <c r="BJ746" s="4">
        <v>35</v>
      </c>
      <c r="BK746" s="8">
        <v>988.04</v>
      </c>
      <c r="BL746" s="2" t="s">
        <v>4607</v>
      </c>
      <c r="BM746" s="7"/>
      <c r="BN746" s="7"/>
      <c r="BO746" s="4"/>
      <c r="BP746" s="8"/>
      <c r="BQ746" s="4"/>
      <c r="BR746" s="8"/>
      <c r="BS746" s="7"/>
      <c r="BT746" s="7"/>
      <c r="BU746" s="2" t="s">
        <v>4608</v>
      </c>
      <c r="BV746" s="2" t="s">
        <v>200</v>
      </c>
      <c r="BW746" s="2" t="s">
        <v>200</v>
      </c>
      <c r="BX746" s="2" t="s">
        <v>289</v>
      </c>
      <c r="BY746" s="2" t="s">
        <v>247</v>
      </c>
      <c r="BZ746" s="2" t="s">
        <v>212</v>
      </c>
      <c r="CA746" s="2" t="s">
        <v>4603</v>
      </c>
      <c r="CB746" s="2" t="s">
        <v>4609</v>
      </c>
      <c r="CC746" s="2" t="s">
        <v>213</v>
      </c>
      <c r="CD746" s="2" t="s">
        <v>200</v>
      </c>
      <c r="CE746" s="4">
        <v>40</v>
      </c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</row>
    <row r="747">
      <c r="A747" s="2" t="s">
        <v>4610</v>
      </c>
      <c r="B747" s="2" t="s">
        <v>903</v>
      </c>
      <c r="C747" s="2" t="s">
        <v>231</v>
      </c>
      <c r="D747" s="2" t="s">
        <v>1818</v>
      </c>
      <c r="E747" s="2" t="s">
        <v>2000</v>
      </c>
      <c r="F747" s="2" t="s">
        <v>4598</v>
      </c>
      <c r="G747" s="2" t="s">
        <v>4599</v>
      </c>
      <c r="H747" s="2" t="s">
        <v>1366</v>
      </c>
      <c r="I747" s="2" t="s">
        <v>4600</v>
      </c>
      <c r="J747" s="2" t="s">
        <v>924</v>
      </c>
      <c r="K747" s="2" t="s">
        <v>223</v>
      </c>
      <c r="L747" s="3">
        <v>42.85</v>
      </c>
      <c r="M747" s="3">
        <v>44.99</v>
      </c>
      <c r="N747" s="3">
        <v>89.99</v>
      </c>
      <c r="O747" s="2" t="s">
        <v>460</v>
      </c>
      <c r="P747" s="2" t="s">
        <v>285</v>
      </c>
      <c r="Q747" s="2" t="s">
        <v>206</v>
      </c>
      <c r="R747" s="2" t="s">
        <v>200</v>
      </c>
      <c r="S747" s="2" t="s">
        <v>4606</v>
      </c>
      <c r="T747" s="2" t="s">
        <v>200</v>
      </c>
      <c r="U747" s="2" t="s">
        <v>454</v>
      </c>
      <c r="V747" s="2" t="s">
        <v>208</v>
      </c>
      <c r="W747" s="2" t="s">
        <v>241</v>
      </c>
      <c r="X747" s="2" t="s">
        <v>1399</v>
      </c>
      <c r="Y747" s="2" t="s">
        <v>4090</v>
      </c>
      <c r="Z747" s="4">
        <v>188</v>
      </c>
      <c r="AA747" s="4">
        <f>=ROUNDDOWN(134.285714285714,0)</f>
      </c>
      <c r="AB747" s="5">
        <v>1.4</v>
      </c>
      <c r="AC747" s="2" t="s">
        <v>200</v>
      </c>
      <c r="AD747" s="4"/>
      <c r="AE747" s="4"/>
      <c r="AF747" s="6">
        <v>64</v>
      </c>
      <c r="AG747" s="6"/>
      <c r="AH747" s="7">
        <v>1</v>
      </c>
      <c r="AI747" s="4"/>
      <c r="AJ747" s="4">
        <f>=ROUNDDOWN({0},0)</f>
      </c>
      <c r="AK747" s="5"/>
      <c r="AL747" s="2" t="s">
        <v>200</v>
      </c>
      <c r="AM747" s="4"/>
      <c r="AN747" s="4"/>
      <c r="AO747" s="7"/>
      <c r="AP747" s="4"/>
      <c r="AQ747" s="8"/>
      <c r="AR747" s="4"/>
      <c r="AS747" s="8"/>
      <c r="AT747" s="7"/>
      <c r="AU747" s="7"/>
      <c r="AV747" s="4" t="s">
        <v>200</v>
      </c>
      <c r="AW747" s="8" t="s">
        <v>200</v>
      </c>
      <c r="AX747" s="4" t="s">
        <v>200</v>
      </c>
      <c r="AY747" s="8" t="s">
        <v>200</v>
      </c>
      <c r="AZ747" s="7" t="s">
        <v>200</v>
      </c>
      <c r="BA747" s="7" t="s">
        <v>200</v>
      </c>
      <c r="BB747" s="7"/>
      <c r="BC747" s="4" t="s">
        <v>200</v>
      </c>
      <c r="BD747" s="8" t="s">
        <v>200</v>
      </c>
      <c r="BE747" s="4" t="s">
        <v>200</v>
      </c>
      <c r="BF747" s="8" t="s">
        <v>200</v>
      </c>
      <c r="BG747" s="7" t="s">
        <v>200</v>
      </c>
      <c r="BH747" s="7" t="s">
        <v>200</v>
      </c>
      <c r="BI747" s="7"/>
      <c r="BJ747" s="4">
        <v>11</v>
      </c>
      <c r="BK747" s="8">
        <v>338.74</v>
      </c>
      <c r="BL747" s="2" t="s">
        <v>4611</v>
      </c>
      <c r="BM747" s="7"/>
      <c r="BN747" s="7"/>
      <c r="BO747" s="4"/>
      <c r="BP747" s="8"/>
      <c r="BQ747" s="4"/>
      <c r="BR747" s="8"/>
      <c r="BS747" s="7"/>
      <c r="BT747" s="7"/>
      <c r="BU747" s="2" t="s">
        <v>4612</v>
      </c>
      <c r="BV747" s="2" t="s">
        <v>200</v>
      </c>
      <c r="BW747" s="2" t="s">
        <v>200</v>
      </c>
      <c r="BX747" s="2" t="s">
        <v>289</v>
      </c>
      <c r="BY747" s="2" t="s">
        <v>247</v>
      </c>
      <c r="BZ747" s="2" t="s">
        <v>212</v>
      </c>
      <c r="CA747" s="2" t="s">
        <v>4603</v>
      </c>
      <c r="CB747" s="2" t="s">
        <v>4613</v>
      </c>
      <c r="CC747" s="2" t="s">
        <v>213</v>
      </c>
      <c r="CD747" s="2" t="s">
        <v>200</v>
      </c>
      <c r="CE747" s="4">
        <v>188</v>
      </c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</row>
    <row r="748">
      <c r="A748" s="2" t="s">
        <v>4614</v>
      </c>
      <c r="B748" s="2" t="s">
        <v>903</v>
      </c>
      <c r="C748" s="2" t="s">
        <v>231</v>
      </c>
      <c r="D748" s="2" t="s">
        <v>1818</v>
      </c>
      <c r="E748" s="2" t="s">
        <v>2000</v>
      </c>
      <c r="F748" s="2" t="s">
        <v>4615</v>
      </c>
      <c r="G748" s="2" t="s">
        <v>4616</v>
      </c>
      <c r="H748" s="2" t="s">
        <v>921</v>
      </c>
      <c r="I748" s="2" t="s">
        <v>4617</v>
      </c>
      <c r="J748" s="2" t="s">
        <v>612</v>
      </c>
      <c r="K748" s="2" t="s">
        <v>4618</v>
      </c>
      <c r="L748" s="3">
        <v>38.09</v>
      </c>
      <c r="M748" s="3">
        <v>39.99</v>
      </c>
      <c r="N748" s="3">
        <v>79.99</v>
      </c>
      <c r="O748" s="2" t="s">
        <v>212</v>
      </c>
      <c r="P748" s="2" t="s">
        <v>205</v>
      </c>
      <c r="Q748" s="2" t="s">
        <v>206</v>
      </c>
      <c r="R748" s="2" t="s">
        <v>200</v>
      </c>
      <c r="S748" s="2" t="s">
        <v>4619</v>
      </c>
      <c r="T748" s="2" t="s">
        <v>4620</v>
      </c>
      <c r="U748" s="2" t="s">
        <v>454</v>
      </c>
      <c r="V748" s="2" t="s">
        <v>885</v>
      </c>
      <c r="W748" s="2" t="s">
        <v>2826</v>
      </c>
      <c r="X748" s="2" t="s">
        <v>200</v>
      </c>
      <c r="Y748" s="2" t="s">
        <v>4621</v>
      </c>
      <c r="Z748" s="4">
        <v>253</v>
      </c>
      <c r="AA748" s="4">
        <f>=ROUNDDOWN(63.25,0)</f>
      </c>
      <c r="AB748" s="5">
        <v>4</v>
      </c>
      <c r="AC748" s="2" t="s">
        <v>200</v>
      </c>
      <c r="AD748" s="4"/>
      <c r="AE748" s="4"/>
      <c r="AF748" s="6">
        <v>64</v>
      </c>
      <c r="AG748" s="6"/>
      <c r="AH748" s="7">
        <v>1</v>
      </c>
      <c r="AI748" s="4"/>
      <c r="AJ748" s="4">
        <f>=ROUNDDOWN({0},0)</f>
      </c>
      <c r="AK748" s="5"/>
      <c r="AL748" s="2" t="s">
        <v>200</v>
      </c>
      <c r="AM748" s="4"/>
      <c r="AN748" s="4"/>
      <c r="AO748" s="7"/>
      <c r="AP748" s="4"/>
      <c r="AQ748" s="8"/>
      <c r="AR748" s="4"/>
      <c r="AS748" s="8"/>
      <c r="AT748" s="7"/>
      <c r="AU748" s="7"/>
      <c r="AV748" s="4"/>
      <c r="AW748" s="8"/>
      <c r="AX748" s="4"/>
      <c r="AY748" s="8"/>
      <c r="AZ748" s="7"/>
      <c r="BA748" s="7"/>
      <c r="BB748" s="7"/>
      <c r="BC748" s="4"/>
      <c r="BD748" s="8"/>
      <c r="BE748" s="4"/>
      <c r="BF748" s="8"/>
      <c r="BG748" s="7"/>
      <c r="BH748" s="7"/>
      <c r="BI748" s="7"/>
      <c r="BJ748" s="4">
        <v>6</v>
      </c>
      <c r="BK748" s="8">
        <v>266.87</v>
      </c>
      <c r="BL748" s="2" t="s">
        <v>2460</v>
      </c>
      <c r="BM748" s="7"/>
      <c r="BN748" s="7"/>
      <c r="BO748" s="4"/>
      <c r="BP748" s="8"/>
      <c r="BQ748" s="4"/>
      <c r="BR748" s="8"/>
      <c r="BS748" s="7"/>
      <c r="BT748" s="7"/>
      <c r="BU748" s="2" t="s">
        <v>4622</v>
      </c>
      <c r="BV748" s="2" t="s">
        <v>200</v>
      </c>
      <c r="BW748" s="2" t="s">
        <v>200</v>
      </c>
      <c r="BX748" s="2" t="s">
        <v>264</v>
      </c>
      <c r="BY748" s="2" t="s">
        <v>247</v>
      </c>
      <c r="BZ748" s="2" t="s">
        <v>212</v>
      </c>
      <c r="CA748" s="2" t="s">
        <v>2406</v>
      </c>
      <c r="CB748" s="2" t="s">
        <v>372</v>
      </c>
      <c r="CC748" s="2" t="s">
        <v>213</v>
      </c>
      <c r="CD748" s="2" t="s">
        <v>200</v>
      </c>
      <c r="CE748" s="4">
        <v>253</v>
      </c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</row>
    <row r="749">
      <c r="A749" s="2" t="s">
        <v>4623</v>
      </c>
      <c r="B749" s="2" t="s">
        <v>195</v>
      </c>
      <c r="C749" s="2" t="s">
        <v>231</v>
      </c>
      <c r="D749" s="2" t="s">
        <v>197</v>
      </c>
      <c r="E749" s="2" t="s">
        <v>198</v>
      </c>
      <c r="F749" s="2" t="s">
        <v>4624</v>
      </c>
      <c r="G749" s="2" t="s">
        <v>4624</v>
      </c>
      <c r="H749" s="2" t="s">
        <v>4624</v>
      </c>
      <c r="I749" s="2" t="s">
        <v>4625</v>
      </c>
      <c r="J749" s="2" t="s">
        <v>256</v>
      </c>
      <c r="K749" s="2" t="s">
        <v>416</v>
      </c>
      <c r="L749" s="3">
        <v>18.39</v>
      </c>
      <c r="M749" s="3">
        <v>19.31</v>
      </c>
      <c r="N749" s="3">
        <v>34.99</v>
      </c>
      <c r="O749" s="2" t="s">
        <v>212</v>
      </c>
      <c r="P749" s="2" t="s">
        <v>258</v>
      </c>
      <c r="Q749" s="2" t="s">
        <v>206</v>
      </c>
      <c r="R749" s="2" t="s">
        <v>200</v>
      </c>
      <c r="S749" s="2" t="s">
        <v>4626</v>
      </c>
      <c r="T749" s="2" t="s">
        <v>312</v>
      </c>
      <c r="U749" s="2" t="s">
        <v>270</v>
      </c>
      <c r="V749" s="2" t="s">
        <v>208</v>
      </c>
      <c r="W749" s="2" t="s">
        <v>241</v>
      </c>
      <c r="X749" s="2" t="s">
        <v>200</v>
      </c>
      <c r="Y749" s="2" t="s">
        <v>3013</v>
      </c>
      <c r="Z749" s="4">
        <v>439</v>
      </c>
      <c r="AA749" s="4">
        <f>=ROUNDDOWN(93.4042553191489,0)</f>
      </c>
      <c r="AB749" s="5">
        <v>4.7</v>
      </c>
      <c r="AC749" s="2" t="s">
        <v>200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200</v>
      </c>
      <c r="AM749" s="4"/>
      <c r="AN749" s="4"/>
      <c r="AO749" s="7"/>
      <c r="AP749" s="4"/>
      <c r="AQ749" s="8"/>
      <c r="AR749" s="4"/>
      <c r="AS749" s="8"/>
      <c r="AT749" s="7"/>
      <c r="AU749" s="7"/>
      <c r="AV749" s="4" t="s">
        <v>200</v>
      </c>
      <c r="AW749" s="8" t="s">
        <v>200</v>
      </c>
      <c r="AX749" s="4" t="s">
        <v>200</v>
      </c>
      <c r="AY749" s="8" t="s">
        <v>200</v>
      </c>
      <c r="AZ749" s="7" t="s">
        <v>200</v>
      </c>
      <c r="BA749" s="7" t="s">
        <v>200</v>
      </c>
      <c r="BB749" s="7"/>
      <c r="BC749" s="4" t="s">
        <v>200</v>
      </c>
      <c r="BD749" s="8" t="s">
        <v>200</v>
      </c>
      <c r="BE749" s="4" t="s">
        <v>200</v>
      </c>
      <c r="BF749" s="8" t="s">
        <v>200</v>
      </c>
      <c r="BG749" s="7" t="s">
        <v>200</v>
      </c>
      <c r="BH749" s="7" t="s">
        <v>200</v>
      </c>
      <c r="BI749" s="7"/>
      <c r="BJ749" s="4">
        <v>9</v>
      </c>
      <c r="BK749" s="8">
        <v>159.27</v>
      </c>
      <c r="BL749" s="2" t="s">
        <v>359</v>
      </c>
      <c r="BM749" s="7"/>
      <c r="BN749" s="7"/>
      <c r="BO749" s="4"/>
      <c r="BP749" s="8"/>
      <c r="BQ749" s="4"/>
      <c r="BR749" s="8"/>
      <c r="BS749" s="7"/>
      <c r="BT749" s="7"/>
      <c r="BU749" s="2" t="s">
        <v>4627</v>
      </c>
      <c r="BV749" s="2" t="s">
        <v>200</v>
      </c>
      <c r="BW749" s="2" t="s">
        <v>200</v>
      </c>
      <c r="BX749" s="2" t="s">
        <v>264</v>
      </c>
      <c r="BY749" s="2" t="s">
        <v>247</v>
      </c>
      <c r="BZ749" s="2" t="s">
        <v>212</v>
      </c>
      <c r="CA749" s="2" t="s">
        <v>1989</v>
      </c>
      <c r="CB749" s="2" t="s">
        <v>200</v>
      </c>
      <c r="CC749" s="2" t="s">
        <v>213</v>
      </c>
      <c r="CD749" s="2" t="s">
        <v>200</v>
      </c>
      <c r="CE749" s="4">
        <v>306</v>
      </c>
      <c r="CF749" s="4">
        <v>133</v>
      </c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</row>
    <row r="750">
      <c r="A750" s="2" t="s">
        <v>4628</v>
      </c>
      <c r="B750" s="2" t="s">
        <v>195</v>
      </c>
      <c r="C750" s="2" t="s">
        <v>231</v>
      </c>
      <c r="D750" s="2" t="s">
        <v>197</v>
      </c>
      <c r="E750" s="2" t="s">
        <v>198</v>
      </c>
      <c r="F750" s="2" t="s">
        <v>4624</v>
      </c>
      <c r="G750" s="2" t="s">
        <v>4624</v>
      </c>
      <c r="H750" s="2" t="s">
        <v>4624</v>
      </c>
      <c r="I750" s="2" t="s">
        <v>4625</v>
      </c>
      <c r="J750" s="2" t="s">
        <v>302</v>
      </c>
      <c r="K750" s="2" t="s">
        <v>416</v>
      </c>
      <c r="L750" s="3">
        <v>24.14</v>
      </c>
      <c r="M750" s="3">
        <v>25.35</v>
      </c>
      <c r="N750" s="3">
        <v>44.99</v>
      </c>
      <c r="O750" s="2" t="s">
        <v>212</v>
      </c>
      <c r="P750" s="2" t="s">
        <v>258</v>
      </c>
      <c r="Q750" s="2" t="s">
        <v>206</v>
      </c>
      <c r="R750" s="2" t="s">
        <v>200</v>
      </c>
      <c r="S750" s="2" t="s">
        <v>4626</v>
      </c>
      <c r="T750" s="2" t="s">
        <v>312</v>
      </c>
      <c r="U750" s="2" t="s">
        <v>270</v>
      </c>
      <c r="V750" s="2" t="s">
        <v>208</v>
      </c>
      <c r="W750" s="2" t="s">
        <v>241</v>
      </c>
      <c r="X750" s="2" t="s">
        <v>200</v>
      </c>
      <c r="Y750" s="2" t="s">
        <v>3013</v>
      </c>
      <c r="Z750" s="4">
        <v>456</v>
      </c>
      <c r="AA750" s="4">
        <f>=ROUNDDOWN(76,0)</f>
      </c>
      <c r="AB750" s="5">
        <v>6</v>
      </c>
      <c r="AC750" s="2" t="s">
        <v>200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200</v>
      </c>
      <c r="AM750" s="4"/>
      <c r="AN750" s="4"/>
      <c r="AO750" s="7"/>
      <c r="AP750" s="4"/>
      <c r="AQ750" s="8"/>
      <c r="AR750" s="4"/>
      <c r="AS750" s="8"/>
      <c r="AT750" s="7"/>
      <c r="AU750" s="7"/>
      <c r="AV750" s="4" t="s">
        <v>200</v>
      </c>
      <c r="AW750" s="8" t="s">
        <v>200</v>
      </c>
      <c r="AX750" s="4" t="s">
        <v>200</v>
      </c>
      <c r="AY750" s="8" t="s">
        <v>200</v>
      </c>
      <c r="AZ750" s="7" t="s">
        <v>200</v>
      </c>
      <c r="BA750" s="7" t="s">
        <v>200</v>
      </c>
      <c r="BB750" s="7"/>
      <c r="BC750" s="4" t="s">
        <v>200</v>
      </c>
      <c r="BD750" s="8" t="s">
        <v>200</v>
      </c>
      <c r="BE750" s="4" t="s">
        <v>200</v>
      </c>
      <c r="BF750" s="8" t="s">
        <v>200</v>
      </c>
      <c r="BG750" s="7" t="s">
        <v>200</v>
      </c>
      <c r="BH750" s="7" t="s">
        <v>200</v>
      </c>
      <c r="BI750" s="7"/>
      <c r="BJ750" s="4">
        <v>32</v>
      </c>
      <c r="BK750" s="8">
        <v>660.53</v>
      </c>
      <c r="BL750" s="2" t="s">
        <v>327</v>
      </c>
      <c r="BM750" s="7"/>
      <c r="BN750" s="7"/>
      <c r="BO750" s="4"/>
      <c r="BP750" s="8"/>
      <c r="BQ750" s="4"/>
      <c r="BR750" s="8"/>
      <c r="BS750" s="7"/>
      <c r="BT750" s="7"/>
      <c r="BU750" s="2" t="s">
        <v>4629</v>
      </c>
      <c r="BV750" s="2" t="s">
        <v>200</v>
      </c>
      <c r="BW750" s="2" t="s">
        <v>200</v>
      </c>
      <c r="BX750" s="2" t="s">
        <v>264</v>
      </c>
      <c r="BY750" s="2" t="s">
        <v>247</v>
      </c>
      <c r="BZ750" s="2" t="s">
        <v>212</v>
      </c>
      <c r="CA750" s="2" t="s">
        <v>1989</v>
      </c>
      <c r="CB750" s="2" t="s">
        <v>861</v>
      </c>
      <c r="CC750" s="2" t="s">
        <v>213</v>
      </c>
      <c r="CD750" s="2" t="s">
        <v>200</v>
      </c>
      <c r="CE750" s="4">
        <v>291</v>
      </c>
      <c r="CF750" s="4">
        <v>165</v>
      </c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</row>
    <row r="751">
      <c r="A751" s="2" t="s">
        <v>4630</v>
      </c>
      <c r="B751" s="2" t="s">
        <v>195</v>
      </c>
      <c r="C751" s="2" t="s">
        <v>231</v>
      </c>
      <c r="D751" s="2" t="s">
        <v>197</v>
      </c>
      <c r="E751" s="2" t="s">
        <v>198</v>
      </c>
      <c r="F751" s="2" t="s">
        <v>4624</v>
      </c>
      <c r="G751" s="2" t="s">
        <v>4624</v>
      </c>
      <c r="H751" s="2" t="s">
        <v>4624</v>
      </c>
      <c r="I751" s="2" t="s">
        <v>4625</v>
      </c>
      <c r="J751" s="2" t="s">
        <v>302</v>
      </c>
      <c r="K751" s="2" t="s">
        <v>539</v>
      </c>
      <c r="L751" s="3">
        <v>24.14</v>
      </c>
      <c r="M751" s="3">
        <v>25.35</v>
      </c>
      <c r="N751" s="3">
        <v>44.99</v>
      </c>
      <c r="O751" s="2" t="s">
        <v>212</v>
      </c>
      <c r="P751" s="2" t="s">
        <v>258</v>
      </c>
      <c r="Q751" s="2" t="s">
        <v>206</v>
      </c>
      <c r="R751" s="2" t="s">
        <v>200</v>
      </c>
      <c r="S751" s="2" t="s">
        <v>4631</v>
      </c>
      <c r="T751" s="2" t="s">
        <v>312</v>
      </c>
      <c r="U751" s="2" t="s">
        <v>200</v>
      </c>
      <c r="V751" s="2" t="s">
        <v>208</v>
      </c>
      <c r="W751" s="2" t="s">
        <v>241</v>
      </c>
      <c r="X751" s="2" t="s">
        <v>200</v>
      </c>
      <c r="Y751" s="2" t="s">
        <v>261</v>
      </c>
      <c r="Z751" s="4">
        <v>780</v>
      </c>
      <c r="AA751" s="4">
        <f>=ROUNDDOWN(37.1428571428571,0)</f>
      </c>
      <c r="AB751" s="5">
        <v>21</v>
      </c>
      <c r="AC751" s="2" t="s">
        <v>4632</v>
      </c>
      <c r="AD751" s="4">
        <v>400</v>
      </c>
      <c r="AE751" s="4">
        <v>400</v>
      </c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200</v>
      </c>
      <c r="AM751" s="4"/>
      <c r="AN751" s="4"/>
      <c r="AO751" s="7"/>
      <c r="AP751" s="4"/>
      <c r="AQ751" s="8"/>
      <c r="AR751" s="4"/>
      <c r="AS751" s="8"/>
      <c r="AT751" s="7"/>
      <c r="AU751" s="7"/>
      <c r="AV751" s="4"/>
      <c r="AW751" s="8"/>
      <c r="AX751" s="4"/>
      <c r="AY751" s="8"/>
      <c r="AZ751" s="7"/>
      <c r="BA751" s="7"/>
      <c r="BB751" s="7"/>
      <c r="BC751" s="4" t="s">
        <v>200</v>
      </c>
      <c r="BD751" s="8" t="s">
        <v>200</v>
      </c>
      <c r="BE751" s="4" t="s">
        <v>200</v>
      </c>
      <c r="BF751" s="8" t="s">
        <v>200</v>
      </c>
      <c r="BG751" s="7" t="s">
        <v>200</v>
      </c>
      <c r="BH751" s="7" t="s">
        <v>200</v>
      </c>
      <c r="BI751" s="7"/>
      <c r="BJ751" s="4">
        <v>75</v>
      </c>
      <c r="BK751" s="8">
        <v>1569.98</v>
      </c>
      <c r="BL751" s="2" t="s">
        <v>4633</v>
      </c>
      <c r="BM751" s="7"/>
      <c r="BN751" s="7"/>
      <c r="BO751" s="4"/>
      <c r="BP751" s="8"/>
      <c r="BQ751" s="4"/>
      <c r="BR751" s="8"/>
      <c r="BS751" s="7"/>
      <c r="BT751" s="7"/>
      <c r="BU751" s="2" t="s">
        <v>4634</v>
      </c>
      <c r="BV751" s="2" t="s">
        <v>200</v>
      </c>
      <c r="BW751" s="2" t="s">
        <v>200</v>
      </c>
      <c r="BX751" s="2" t="s">
        <v>264</v>
      </c>
      <c r="BY751" s="2" t="s">
        <v>247</v>
      </c>
      <c r="BZ751" s="2" t="s">
        <v>212</v>
      </c>
      <c r="CA751" s="2" t="s">
        <v>265</v>
      </c>
      <c r="CB751" s="2" t="s">
        <v>4635</v>
      </c>
      <c r="CC751" s="2" t="s">
        <v>213</v>
      </c>
      <c r="CD751" s="2" t="s">
        <v>200</v>
      </c>
      <c r="CE751" s="4">
        <v>483</v>
      </c>
      <c r="CF751" s="4">
        <v>297</v>
      </c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>
        <v>400</v>
      </c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</row>
    <row r="752">
      <c r="A752" s="2" t="s">
        <v>4636</v>
      </c>
      <c r="B752" s="2" t="s">
        <v>903</v>
      </c>
      <c r="C752" s="2" t="s">
        <v>1523</v>
      </c>
      <c r="D752" s="2" t="s">
        <v>608</v>
      </c>
      <c r="E752" s="2" t="s">
        <v>609</v>
      </c>
      <c r="F752" s="2" t="s">
        <v>4637</v>
      </c>
      <c r="G752" s="2" t="s">
        <v>4637</v>
      </c>
      <c r="H752" s="2" t="s">
        <v>4637</v>
      </c>
      <c r="I752" s="2" t="s">
        <v>1761</v>
      </c>
      <c r="J752" s="2" t="s">
        <v>297</v>
      </c>
      <c r="K752" s="2" t="s">
        <v>223</v>
      </c>
      <c r="L752" s="3">
        <v>178.75</v>
      </c>
      <c r="M752" s="3">
        <v>187.69</v>
      </c>
      <c r="N752" s="3">
        <v>499.99</v>
      </c>
      <c r="O752" s="2" t="s">
        <v>212</v>
      </c>
      <c r="P752" s="2" t="s">
        <v>205</v>
      </c>
      <c r="Q752" s="2" t="s">
        <v>206</v>
      </c>
      <c r="R752" s="2" t="s">
        <v>200</v>
      </c>
      <c r="S752" s="2" t="s">
        <v>200</v>
      </c>
      <c r="T752" s="2" t="s">
        <v>1176</v>
      </c>
      <c r="U752" s="2" t="s">
        <v>240</v>
      </c>
      <c r="V752" s="2" t="s">
        <v>419</v>
      </c>
      <c r="W752" s="2" t="s">
        <v>200</v>
      </c>
      <c r="X752" s="2" t="s">
        <v>200</v>
      </c>
      <c r="Y752" s="2" t="s">
        <v>200</v>
      </c>
      <c r="Z752" s="4"/>
      <c r="AA752" s="4">
        <f>=ROUNDDOWN({0},0)</f>
      </c>
      <c r="AB752" s="5"/>
      <c r="AC752" s="2" t="s">
        <v>200</v>
      </c>
      <c r="AD752" s="4"/>
      <c r="AE752" s="4"/>
      <c r="AF752" s="6"/>
      <c r="AG752" s="6"/>
      <c r="AH752" s="7"/>
      <c r="AI752" s="4"/>
      <c r="AJ752" s="4">
        <f>=ROUNDDOWN({0},0)</f>
      </c>
      <c r="AK752" s="5"/>
      <c r="AL752" s="2" t="s">
        <v>200</v>
      </c>
      <c r="AM752" s="4"/>
      <c r="AN752" s="4"/>
      <c r="AO752" s="7"/>
      <c r="AP752" s="4"/>
      <c r="AQ752" s="8"/>
      <c r="AR752" s="4"/>
      <c r="AS752" s="8"/>
      <c r="AT752" s="7"/>
      <c r="AU752" s="7"/>
      <c r="AV752" s="4" t="s">
        <v>200</v>
      </c>
      <c r="AW752" s="8" t="s">
        <v>200</v>
      </c>
      <c r="AX752" s="4" t="s">
        <v>200</v>
      </c>
      <c r="AY752" s="8" t="s">
        <v>200</v>
      </c>
      <c r="AZ752" s="7" t="s">
        <v>200</v>
      </c>
      <c r="BA752" s="7" t="s">
        <v>200</v>
      </c>
      <c r="BB752" s="7"/>
      <c r="BC752" s="4" t="s">
        <v>200</v>
      </c>
      <c r="BD752" s="8" t="s">
        <v>200</v>
      </c>
      <c r="BE752" s="4" t="s">
        <v>200</v>
      </c>
      <c r="BF752" s="8" t="s">
        <v>200</v>
      </c>
      <c r="BG752" s="7" t="s">
        <v>200</v>
      </c>
      <c r="BH752" s="7" t="s">
        <v>200</v>
      </c>
      <c r="BI752" s="7"/>
      <c r="BJ752" s="4"/>
      <c r="BK752" s="8"/>
      <c r="BL752" s="2" t="s">
        <v>200</v>
      </c>
      <c r="BM752" s="7"/>
      <c r="BN752" s="7"/>
      <c r="BO752" s="4"/>
      <c r="BP752" s="8"/>
      <c r="BQ752" s="4"/>
      <c r="BR752" s="8"/>
      <c r="BS752" s="7"/>
      <c r="BT752" s="7"/>
      <c r="BU752" s="2" t="s">
        <v>210</v>
      </c>
      <c r="BV752" s="2" t="s">
        <v>200</v>
      </c>
      <c r="BW752" s="2" t="s">
        <v>200</v>
      </c>
      <c r="BX752" s="2" t="s">
        <v>210</v>
      </c>
      <c r="BY752" s="2" t="s">
        <v>211</v>
      </c>
      <c r="BZ752" s="2" t="s">
        <v>212</v>
      </c>
      <c r="CA752" s="2" t="s">
        <v>200</v>
      </c>
      <c r="CB752" s="2" t="s">
        <v>200</v>
      </c>
      <c r="CC752" s="2" t="s">
        <v>213</v>
      </c>
      <c r="CD752" s="2" t="s">
        <v>200</v>
      </c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</row>
    <row r="753">
      <c r="A753" s="2" t="s">
        <v>4638</v>
      </c>
      <c r="B753" s="2" t="s">
        <v>903</v>
      </c>
      <c r="C753" s="2" t="s">
        <v>1523</v>
      </c>
      <c r="D753" s="2" t="s">
        <v>608</v>
      </c>
      <c r="E753" s="2" t="s">
        <v>609</v>
      </c>
      <c r="F753" s="2" t="s">
        <v>4637</v>
      </c>
      <c r="G753" s="2" t="s">
        <v>4637</v>
      </c>
      <c r="H753" s="2" t="s">
        <v>4637</v>
      </c>
      <c r="I753" s="2" t="s">
        <v>1761</v>
      </c>
      <c r="J753" s="2" t="s">
        <v>302</v>
      </c>
      <c r="K753" s="2" t="s">
        <v>223</v>
      </c>
      <c r="L753" s="3">
        <v>214.5</v>
      </c>
      <c r="M753" s="3">
        <v>225.23</v>
      </c>
      <c r="N753" s="3">
        <v>599.99</v>
      </c>
      <c r="O753" s="2" t="s">
        <v>212</v>
      </c>
      <c r="P753" s="2" t="s">
        <v>205</v>
      </c>
      <c r="Q753" s="2" t="s">
        <v>206</v>
      </c>
      <c r="R753" s="2" t="s">
        <v>200</v>
      </c>
      <c r="S753" s="2" t="s">
        <v>200</v>
      </c>
      <c r="T753" s="2" t="s">
        <v>1176</v>
      </c>
      <c r="U753" s="2" t="s">
        <v>240</v>
      </c>
      <c r="V753" s="2" t="s">
        <v>419</v>
      </c>
      <c r="W753" s="2" t="s">
        <v>200</v>
      </c>
      <c r="X753" s="2" t="s">
        <v>200</v>
      </c>
      <c r="Y753" s="2" t="s">
        <v>200</v>
      </c>
      <c r="Z753" s="4"/>
      <c r="AA753" s="4">
        <f>=ROUNDDOWN({0},0)</f>
      </c>
      <c r="AB753" s="5"/>
      <c r="AC753" s="2" t="s">
        <v>200</v>
      </c>
      <c r="AD753" s="4"/>
      <c r="AE753" s="4"/>
      <c r="AF753" s="6"/>
      <c r="AG753" s="6"/>
      <c r="AH753" s="7"/>
      <c r="AI753" s="4"/>
      <c r="AJ753" s="4">
        <f>=ROUNDDOWN({0},0)</f>
      </c>
      <c r="AK753" s="5"/>
      <c r="AL753" s="2" t="s">
        <v>200</v>
      </c>
      <c r="AM753" s="4"/>
      <c r="AN753" s="4"/>
      <c r="AO753" s="7"/>
      <c r="AP753" s="4"/>
      <c r="AQ753" s="8"/>
      <c r="AR753" s="4"/>
      <c r="AS753" s="8"/>
      <c r="AT753" s="7"/>
      <c r="AU753" s="7"/>
      <c r="AV753" s="4" t="s">
        <v>200</v>
      </c>
      <c r="AW753" s="8" t="s">
        <v>200</v>
      </c>
      <c r="AX753" s="4" t="s">
        <v>200</v>
      </c>
      <c r="AY753" s="8" t="s">
        <v>200</v>
      </c>
      <c r="AZ753" s="7" t="s">
        <v>200</v>
      </c>
      <c r="BA753" s="7" t="s">
        <v>200</v>
      </c>
      <c r="BB753" s="7"/>
      <c r="BC753" s="4" t="s">
        <v>200</v>
      </c>
      <c r="BD753" s="8" t="s">
        <v>200</v>
      </c>
      <c r="BE753" s="4" t="s">
        <v>200</v>
      </c>
      <c r="BF753" s="8" t="s">
        <v>200</v>
      </c>
      <c r="BG753" s="7" t="s">
        <v>200</v>
      </c>
      <c r="BH753" s="7" t="s">
        <v>200</v>
      </c>
      <c r="BI753" s="7"/>
      <c r="BJ753" s="4"/>
      <c r="BK753" s="8"/>
      <c r="BL753" s="2" t="s">
        <v>200</v>
      </c>
      <c r="BM753" s="7"/>
      <c r="BN753" s="7"/>
      <c r="BO753" s="4"/>
      <c r="BP753" s="8"/>
      <c r="BQ753" s="4"/>
      <c r="BR753" s="8"/>
      <c r="BS753" s="7"/>
      <c r="BT753" s="7"/>
      <c r="BU753" s="2" t="s">
        <v>210</v>
      </c>
      <c r="BV753" s="2" t="s">
        <v>200</v>
      </c>
      <c r="BW753" s="2" t="s">
        <v>200</v>
      </c>
      <c r="BX753" s="2" t="s">
        <v>210</v>
      </c>
      <c r="BY753" s="2" t="s">
        <v>211</v>
      </c>
      <c r="BZ753" s="2" t="s">
        <v>212</v>
      </c>
      <c r="CA753" s="2" t="s">
        <v>200</v>
      </c>
      <c r="CB753" s="2" t="s">
        <v>200</v>
      </c>
      <c r="CC753" s="2" t="s">
        <v>213</v>
      </c>
      <c r="CD753" s="2" t="s">
        <v>200</v>
      </c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  <c r="GH753" s="4"/>
    </row>
    <row r="754">
      <c r="A754" s="2" t="s">
        <v>4639</v>
      </c>
      <c r="B754" s="2" t="s">
        <v>903</v>
      </c>
      <c r="C754" s="2" t="s">
        <v>1523</v>
      </c>
      <c r="D754" s="2" t="s">
        <v>608</v>
      </c>
      <c r="E754" s="2" t="s">
        <v>609</v>
      </c>
      <c r="F754" s="2" t="s">
        <v>4637</v>
      </c>
      <c r="G754" s="2" t="s">
        <v>4637</v>
      </c>
      <c r="H754" s="2" t="s">
        <v>4637</v>
      </c>
      <c r="I754" s="2" t="s">
        <v>1761</v>
      </c>
      <c r="J754" s="2" t="s">
        <v>236</v>
      </c>
      <c r="K754" s="2" t="s">
        <v>223</v>
      </c>
      <c r="L754" s="3">
        <v>214.5</v>
      </c>
      <c r="M754" s="3">
        <v>225.23</v>
      </c>
      <c r="N754" s="3">
        <v>599.99</v>
      </c>
      <c r="O754" s="2" t="s">
        <v>212</v>
      </c>
      <c r="P754" s="2" t="s">
        <v>205</v>
      </c>
      <c r="Q754" s="2" t="s">
        <v>206</v>
      </c>
      <c r="R754" s="2" t="s">
        <v>200</v>
      </c>
      <c r="S754" s="2" t="s">
        <v>200</v>
      </c>
      <c r="T754" s="2" t="s">
        <v>1176</v>
      </c>
      <c r="U754" s="2" t="s">
        <v>240</v>
      </c>
      <c r="V754" s="2" t="s">
        <v>419</v>
      </c>
      <c r="W754" s="2" t="s">
        <v>200</v>
      </c>
      <c r="X754" s="2" t="s">
        <v>200</v>
      </c>
      <c r="Y754" s="2" t="s">
        <v>200</v>
      </c>
      <c r="Z754" s="4"/>
      <c r="AA754" s="4">
        <f>=ROUNDDOWN({0},0)</f>
      </c>
      <c r="AB754" s="5"/>
      <c r="AC754" s="2" t="s">
        <v>200</v>
      </c>
      <c r="AD754" s="4"/>
      <c r="AE754" s="4"/>
      <c r="AF754" s="6"/>
      <c r="AG754" s="6"/>
      <c r="AH754" s="7"/>
      <c r="AI754" s="4"/>
      <c r="AJ754" s="4">
        <f>=ROUNDDOWN({0},0)</f>
      </c>
      <c r="AK754" s="5"/>
      <c r="AL754" s="2" t="s">
        <v>200</v>
      </c>
      <c r="AM754" s="4"/>
      <c r="AN754" s="4"/>
      <c r="AO754" s="7"/>
      <c r="AP754" s="4"/>
      <c r="AQ754" s="8"/>
      <c r="AR754" s="4"/>
      <c r="AS754" s="8"/>
      <c r="AT754" s="7"/>
      <c r="AU754" s="7"/>
      <c r="AV754" s="4" t="s">
        <v>200</v>
      </c>
      <c r="AW754" s="8" t="s">
        <v>200</v>
      </c>
      <c r="AX754" s="4" t="s">
        <v>200</v>
      </c>
      <c r="AY754" s="8" t="s">
        <v>200</v>
      </c>
      <c r="AZ754" s="7" t="s">
        <v>200</v>
      </c>
      <c r="BA754" s="7" t="s">
        <v>200</v>
      </c>
      <c r="BB754" s="7"/>
      <c r="BC754" s="4" t="s">
        <v>200</v>
      </c>
      <c r="BD754" s="8" t="s">
        <v>200</v>
      </c>
      <c r="BE754" s="4" t="s">
        <v>200</v>
      </c>
      <c r="BF754" s="8" t="s">
        <v>200</v>
      </c>
      <c r="BG754" s="7" t="s">
        <v>200</v>
      </c>
      <c r="BH754" s="7" t="s">
        <v>200</v>
      </c>
      <c r="BI754" s="7"/>
      <c r="BJ754" s="4"/>
      <c r="BK754" s="8"/>
      <c r="BL754" s="2" t="s">
        <v>200</v>
      </c>
      <c r="BM754" s="7"/>
      <c r="BN754" s="7"/>
      <c r="BO754" s="4"/>
      <c r="BP754" s="8"/>
      <c r="BQ754" s="4"/>
      <c r="BR754" s="8"/>
      <c r="BS754" s="7"/>
      <c r="BT754" s="7"/>
      <c r="BU754" s="2" t="s">
        <v>210</v>
      </c>
      <c r="BV754" s="2" t="s">
        <v>200</v>
      </c>
      <c r="BW754" s="2" t="s">
        <v>200</v>
      </c>
      <c r="BX754" s="2" t="s">
        <v>210</v>
      </c>
      <c r="BY754" s="2" t="s">
        <v>211</v>
      </c>
      <c r="BZ754" s="2" t="s">
        <v>212</v>
      </c>
      <c r="CA754" s="2" t="s">
        <v>200</v>
      </c>
      <c r="CB754" s="2" t="s">
        <v>200</v>
      </c>
      <c r="CC754" s="2" t="s">
        <v>213</v>
      </c>
      <c r="CD754" s="2" t="s">
        <v>200</v>
      </c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</row>
    <row r="755">
      <c r="A755" s="2" t="s">
        <v>4640</v>
      </c>
      <c r="B755" s="2" t="s">
        <v>827</v>
      </c>
      <c r="C755" s="2" t="s">
        <v>231</v>
      </c>
      <c r="D755" s="2" t="s">
        <v>828</v>
      </c>
      <c r="E755" s="2" t="s">
        <v>863</v>
      </c>
      <c r="F755" s="2" t="s">
        <v>4641</v>
      </c>
      <c r="G755" s="2" t="s">
        <v>4642</v>
      </c>
      <c r="H755" s="2" t="s">
        <v>4643</v>
      </c>
      <c r="I755" s="2" t="s">
        <v>4644</v>
      </c>
      <c r="J755" s="2" t="s">
        <v>3091</v>
      </c>
      <c r="K755" s="2" t="s">
        <v>387</v>
      </c>
      <c r="L755" s="3">
        <v>27</v>
      </c>
      <c r="M755" s="3">
        <v>28.35</v>
      </c>
      <c r="N755" s="3">
        <v>59.99</v>
      </c>
      <c r="O755" s="2" t="s">
        <v>212</v>
      </c>
      <c r="P755" s="2" t="s">
        <v>258</v>
      </c>
      <c r="Q755" s="2" t="s">
        <v>206</v>
      </c>
      <c r="R755" s="2" t="s">
        <v>200</v>
      </c>
      <c r="S755" s="2" t="s">
        <v>4645</v>
      </c>
      <c r="T755" s="2" t="s">
        <v>378</v>
      </c>
      <c r="U755" s="2" t="s">
        <v>270</v>
      </c>
      <c r="V755" s="2" t="s">
        <v>208</v>
      </c>
      <c r="W755" s="2" t="s">
        <v>241</v>
      </c>
      <c r="X755" s="2" t="s">
        <v>200</v>
      </c>
      <c r="Y755" s="2" t="s">
        <v>4646</v>
      </c>
      <c r="Z755" s="4">
        <v>356</v>
      </c>
      <c r="AA755" s="4">
        <f>=ROUNDDOWN(39.5555555555556,0)</f>
      </c>
      <c r="AB755" s="5">
        <v>9</v>
      </c>
      <c r="AC755" s="2" t="s">
        <v>482</v>
      </c>
      <c r="AD755" s="4">
        <v>30</v>
      </c>
      <c r="AE755" s="4">
        <v>192</v>
      </c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200</v>
      </c>
      <c r="AM755" s="4"/>
      <c r="AN755" s="4"/>
      <c r="AO755" s="7"/>
      <c r="AP755" s="4"/>
      <c r="AQ755" s="8"/>
      <c r="AR755" s="4"/>
      <c r="AS755" s="8"/>
      <c r="AT755" s="7"/>
      <c r="AU755" s="7"/>
      <c r="AV755" s="4" t="s">
        <v>200</v>
      </c>
      <c r="AW755" s="8" t="s">
        <v>200</v>
      </c>
      <c r="AX755" s="4" t="s">
        <v>200</v>
      </c>
      <c r="AY755" s="8" t="s">
        <v>200</v>
      </c>
      <c r="AZ755" s="7" t="s">
        <v>200</v>
      </c>
      <c r="BA755" s="7" t="s">
        <v>200</v>
      </c>
      <c r="BB755" s="7"/>
      <c r="BC755" s="4" t="s">
        <v>200</v>
      </c>
      <c r="BD755" s="8" t="s">
        <v>200</v>
      </c>
      <c r="BE755" s="4" t="s">
        <v>200</v>
      </c>
      <c r="BF755" s="8" t="s">
        <v>200</v>
      </c>
      <c r="BG755" s="7" t="s">
        <v>200</v>
      </c>
      <c r="BH755" s="7" t="s">
        <v>200</v>
      </c>
      <c r="BI755" s="7"/>
      <c r="BJ755" s="4">
        <v>10</v>
      </c>
      <c r="BK755" s="8">
        <v>258.51</v>
      </c>
      <c r="BL755" s="2" t="s">
        <v>4647</v>
      </c>
      <c r="BM755" s="7"/>
      <c r="BN755" s="7"/>
      <c r="BO755" s="4"/>
      <c r="BP755" s="8"/>
      <c r="BQ755" s="4"/>
      <c r="BR755" s="8"/>
      <c r="BS755" s="7"/>
      <c r="BT755" s="7"/>
      <c r="BU755" s="2" t="s">
        <v>4648</v>
      </c>
      <c r="BV755" s="2" t="s">
        <v>200</v>
      </c>
      <c r="BW755" s="2" t="s">
        <v>200</v>
      </c>
      <c r="BX755" s="2" t="s">
        <v>620</v>
      </c>
      <c r="BY755" s="2" t="s">
        <v>247</v>
      </c>
      <c r="BZ755" s="2" t="s">
        <v>212</v>
      </c>
      <c r="CA755" s="2" t="s">
        <v>4646</v>
      </c>
      <c r="CB755" s="2" t="s">
        <v>4649</v>
      </c>
      <c r="CC755" s="2" t="s">
        <v>213</v>
      </c>
      <c r="CD755" s="2" t="s">
        <v>200</v>
      </c>
      <c r="CE755" s="4">
        <v>356</v>
      </c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>
        <v>30</v>
      </c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>
        <v>162</v>
      </c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</row>
    <row r="756">
      <c r="A756" s="2" t="s">
        <v>4650</v>
      </c>
      <c r="B756" s="2" t="s">
        <v>827</v>
      </c>
      <c r="C756" s="2" t="s">
        <v>231</v>
      </c>
      <c r="D756" s="2" t="s">
        <v>828</v>
      </c>
      <c r="E756" s="2" t="s">
        <v>863</v>
      </c>
      <c r="F756" s="2" t="s">
        <v>4641</v>
      </c>
      <c r="G756" s="2" t="s">
        <v>4642</v>
      </c>
      <c r="H756" s="2" t="s">
        <v>4643</v>
      </c>
      <c r="I756" s="2" t="s">
        <v>4644</v>
      </c>
      <c r="J756" s="2" t="s">
        <v>868</v>
      </c>
      <c r="K756" s="2" t="s">
        <v>387</v>
      </c>
      <c r="L756" s="3">
        <v>32.2</v>
      </c>
      <c r="M756" s="3">
        <v>33.81</v>
      </c>
      <c r="N756" s="3">
        <v>69.99</v>
      </c>
      <c r="O756" s="2" t="s">
        <v>212</v>
      </c>
      <c r="P756" s="2" t="s">
        <v>258</v>
      </c>
      <c r="Q756" s="2" t="s">
        <v>206</v>
      </c>
      <c r="R756" s="2" t="s">
        <v>200</v>
      </c>
      <c r="S756" s="2" t="s">
        <v>4645</v>
      </c>
      <c r="T756" s="2" t="s">
        <v>378</v>
      </c>
      <c r="U756" s="2" t="s">
        <v>270</v>
      </c>
      <c r="V756" s="2" t="s">
        <v>208</v>
      </c>
      <c r="W756" s="2" t="s">
        <v>241</v>
      </c>
      <c r="X756" s="2" t="s">
        <v>200</v>
      </c>
      <c r="Y756" s="2" t="s">
        <v>4646</v>
      </c>
      <c r="Z756" s="4">
        <v>204</v>
      </c>
      <c r="AA756" s="4">
        <f>=ROUNDDOWN(25.5,0)</f>
      </c>
      <c r="AB756" s="5">
        <v>8</v>
      </c>
      <c r="AC756" s="2" t="s">
        <v>482</v>
      </c>
      <c r="AD756" s="4">
        <v>102</v>
      </c>
      <c r="AE756" s="4">
        <v>234</v>
      </c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200</v>
      </c>
      <c r="AM756" s="4"/>
      <c r="AN756" s="4"/>
      <c r="AO756" s="7"/>
      <c r="AP756" s="4"/>
      <c r="AQ756" s="8"/>
      <c r="AR756" s="4"/>
      <c r="AS756" s="8"/>
      <c r="AT756" s="7"/>
      <c r="AU756" s="7"/>
      <c r="AV756" s="4" t="s">
        <v>200</v>
      </c>
      <c r="AW756" s="8" t="s">
        <v>200</v>
      </c>
      <c r="AX756" s="4" t="s">
        <v>200</v>
      </c>
      <c r="AY756" s="8" t="s">
        <v>200</v>
      </c>
      <c r="AZ756" s="7" t="s">
        <v>200</v>
      </c>
      <c r="BA756" s="7" t="s">
        <v>200</v>
      </c>
      <c r="BB756" s="7"/>
      <c r="BC756" s="4" t="s">
        <v>200</v>
      </c>
      <c r="BD756" s="8" t="s">
        <v>200</v>
      </c>
      <c r="BE756" s="4" t="s">
        <v>200</v>
      </c>
      <c r="BF756" s="8" t="s">
        <v>200</v>
      </c>
      <c r="BG756" s="7" t="s">
        <v>200</v>
      </c>
      <c r="BH756" s="7" t="s">
        <v>200</v>
      </c>
      <c r="BI756" s="7"/>
      <c r="BJ756" s="4">
        <v>30</v>
      </c>
      <c r="BK756" s="8">
        <v>1050.22</v>
      </c>
      <c r="BL756" s="2" t="s">
        <v>4651</v>
      </c>
      <c r="BM756" s="7"/>
      <c r="BN756" s="7"/>
      <c r="BO756" s="4"/>
      <c r="BP756" s="8"/>
      <c r="BQ756" s="4"/>
      <c r="BR756" s="8"/>
      <c r="BS756" s="7"/>
      <c r="BT756" s="7"/>
      <c r="BU756" s="2" t="s">
        <v>4652</v>
      </c>
      <c r="BV756" s="2" t="s">
        <v>200</v>
      </c>
      <c r="BW756" s="2" t="s">
        <v>200</v>
      </c>
      <c r="BX756" s="2" t="s">
        <v>264</v>
      </c>
      <c r="BY756" s="2" t="s">
        <v>247</v>
      </c>
      <c r="BZ756" s="2" t="s">
        <v>212</v>
      </c>
      <c r="CA756" s="2" t="s">
        <v>4646</v>
      </c>
      <c r="CB756" s="2" t="s">
        <v>4653</v>
      </c>
      <c r="CC756" s="2" t="s">
        <v>213</v>
      </c>
      <c r="CD756" s="2" t="s">
        <v>200</v>
      </c>
      <c r="CE756" s="4">
        <v>204</v>
      </c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>
        <v>102</v>
      </c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>
        <v>132</v>
      </c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</row>
    <row r="757">
      <c r="A757" s="2" t="s">
        <v>4654</v>
      </c>
      <c r="B757" s="2" t="s">
        <v>827</v>
      </c>
      <c r="C757" s="2" t="s">
        <v>231</v>
      </c>
      <c r="D757" s="2" t="s">
        <v>828</v>
      </c>
      <c r="E757" s="2" t="s">
        <v>863</v>
      </c>
      <c r="F757" s="2" t="s">
        <v>4641</v>
      </c>
      <c r="G757" s="2" t="s">
        <v>4642</v>
      </c>
      <c r="H757" s="2" t="s">
        <v>4643</v>
      </c>
      <c r="I757" s="2" t="s">
        <v>4644</v>
      </c>
      <c r="J757" s="2" t="s">
        <v>4655</v>
      </c>
      <c r="K757" s="2" t="s">
        <v>387</v>
      </c>
      <c r="L757" s="3">
        <v>33.5</v>
      </c>
      <c r="M757" s="3">
        <v>35.18</v>
      </c>
      <c r="N757" s="3">
        <v>74.99</v>
      </c>
      <c r="O757" s="2" t="s">
        <v>212</v>
      </c>
      <c r="P757" s="2" t="s">
        <v>258</v>
      </c>
      <c r="Q757" s="2" t="s">
        <v>206</v>
      </c>
      <c r="R757" s="2" t="s">
        <v>200</v>
      </c>
      <c r="S757" s="2" t="s">
        <v>4645</v>
      </c>
      <c r="T757" s="2" t="s">
        <v>378</v>
      </c>
      <c r="U757" s="2" t="s">
        <v>270</v>
      </c>
      <c r="V757" s="2" t="s">
        <v>208</v>
      </c>
      <c r="W757" s="2" t="s">
        <v>241</v>
      </c>
      <c r="X757" s="2" t="s">
        <v>200</v>
      </c>
      <c r="Y757" s="2" t="s">
        <v>4656</v>
      </c>
      <c r="Z757" s="4">
        <v>126</v>
      </c>
      <c r="AA757" s="4">
        <f>=ROUNDDOWN(21,0)</f>
      </c>
      <c r="AB757" s="5">
        <v>6</v>
      </c>
      <c r="AC757" s="2" t="s">
        <v>482</v>
      </c>
      <c r="AD757" s="4">
        <v>120</v>
      </c>
      <c r="AE757" s="4">
        <v>234</v>
      </c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200</v>
      </c>
      <c r="AM757" s="4"/>
      <c r="AN757" s="4"/>
      <c r="AO757" s="7"/>
      <c r="AP757" s="4"/>
      <c r="AQ757" s="8"/>
      <c r="AR757" s="4"/>
      <c r="AS757" s="8"/>
      <c r="AT757" s="7"/>
      <c r="AU757" s="7"/>
      <c r="AV757" s="4" t="s">
        <v>200</v>
      </c>
      <c r="AW757" s="8" t="s">
        <v>200</v>
      </c>
      <c r="AX757" s="4" t="s">
        <v>200</v>
      </c>
      <c r="AY757" s="8" t="s">
        <v>200</v>
      </c>
      <c r="AZ757" s="7" t="s">
        <v>200</v>
      </c>
      <c r="BA757" s="7" t="s">
        <v>200</v>
      </c>
      <c r="BB757" s="7"/>
      <c r="BC757" s="4" t="s">
        <v>200</v>
      </c>
      <c r="BD757" s="8" t="s">
        <v>200</v>
      </c>
      <c r="BE757" s="4" t="s">
        <v>200</v>
      </c>
      <c r="BF757" s="8" t="s">
        <v>200</v>
      </c>
      <c r="BG757" s="7" t="s">
        <v>200</v>
      </c>
      <c r="BH757" s="7" t="s">
        <v>200</v>
      </c>
      <c r="BI757" s="7"/>
      <c r="BJ757" s="4">
        <v>20</v>
      </c>
      <c r="BK757" s="8">
        <v>613.59</v>
      </c>
      <c r="BL757" s="2" t="s">
        <v>872</v>
      </c>
      <c r="BM757" s="7"/>
      <c r="BN757" s="7"/>
      <c r="BO757" s="4"/>
      <c r="BP757" s="8"/>
      <c r="BQ757" s="4"/>
      <c r="BR757" s="8"/>
      <c r="BS757" s="7"/>
      <c r="BT757" s="7"/>
      <c r="BU757" s="2" t="s">
        <v>4657</v>
      </c>
      <c r="BV757" s="2" t="s">
        <v>200</v>
      </c>
      <c r="BW757" s="2" t="s">
        <v>200</v>
      </c>
      <c r="BX757" s="2" t="s">
        <v>264</v>
      </c>
      <c r="BY757" s="2" t="s">
        <v>247</v>
      </c>
      <c r="BZ757" s="2" t="s">
        <v>212</v>
      </c>
      <c r="CA757" s="2" t="s">
        <v>4056</v>
      </c>
      <c r="CB757" s="2" t="s">
        <v>754</v>
      </c>
      <c r="CC757" s="2" t="s">
        <v>213</v>
      </c>
      <c r="CD757" s="2" t="s">
        <v>200</v>
      </c>
      <c r="CE757" s="4">
        <v>126</v>
      </c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>
        <v>120</v>
      </c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>
        <v>114</v>
      </c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</row>
    <row r="758">
      <c r="A758" s="2" t="s">
        <v>4658</v>
      </c>
      <c r="B758" s="2" t="s">
        <v>827</v>
      </c>
      <c r="C758" s="2" t="s">
        <v>231</v>
      </c>
      <c r="D758" s="2" t="s">
        <v>828</v>
      </c>
      <c r="E758" s="2" t="s">
        <v>863</v>
      </c>
      <c r="F758" s="2" t="s">
        <v>4641</v>
      </c>
      <c r="G758" s="2" t="s">
        <v>4642</v>
      </c>
      <c r="H758" s="2" t="s">
        <v>4643</v>
      </c>
      <c r="I758" s="2" t="s">
        <v>4644</v>
      </c>
      <c r="J758" s="2" t="s">
        <v>3057</v>
      </c>
      <c r="K758" s="2" t="s">
        <v>1214</v>
      </c>
      <c r="L758" s="3">
        <v>29.25</v>
      </c>
      <c r="M758" s="3">
        <v>30.71</v>
      </c>
      <c r="N758" s="3">
        <v>64.99</v>
      </c>
      <c r="O758" s="2" t="s">
        <v>212</v>
      </c>
      <c r="P758" s="2" t="s">
        <v>285</v>
      </c>
      <c r="Q758" s="2" t="s">
        <v>206</v>
      </c>
      <c r="R758" s="2" t="s">
        <v>200</v>
      </c>
      <c r="S758" s="2" t="s">
        <v>200</v>
      </c>
      <c r="T758" s="2" t="s">
        <v>378</v>
      </c>
      <c r="U758" s="2" t="s">
        <v>270</v>
      </c>
      <c r="V758" s="2" t="s">
        <v>208</v>
      </c>
      <c r="W758" s="2" t="s">
        <v>241</v>
      </c>
      <c r="X758" s="2" t="s">
        <v>200</v>
      </c>
      <c r="Y758" s="2" t="s">
        <v>4659</v>
      </c>
      <c r="Z758" s="4">
        <v>38</v>
      </c>
      <c r="AA758" s="4">
        <f>=ROUNDDOWN(14.6153846153846,0)</f>
      </c>
      <c r="AB758" s="5">
        <v>2.6</v>
      </c>
      <c r="AC758" s="2" t="s">
        <v>200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200</v>
      </c>
      <c r="AM758" s="4"/>
      <c r="AN758" s="4"/>
      <c r="AO758" s="7"/>
      <c r="AP758" s="4"/>
      <c r="AQ758" s="8"/>
      <c r="AR758" s="4"/>
      <c r="AS758" s="8"/>
      <c r="AT758" s="7"/>
      <c r="AU758" s="7"/>
      <c r="AV758" s="4"/>
      <c r="AW758" s="8"/>
      <c r="AX758" s="4"/>
      <c r="AY758" s="8"/>
      <c r="AZ758" s="7"/>
      <c r="BA758" s="7"/>
      <c r="BB758" s="7"/>
      <c r="BC758" s="4" t="s">
        <v>200</v>
      </c>
      <c r="BD758" s="8" t="s">
        <v>200</v>
      </c>
      <c r="BE758" s="4" t="s">
        <v>200</v>
      </c>
      <c r="BF758" s="8" t="s">
        <v>200</v>
      </c>
      <c r="BG758" s="7" t="s">
        <v>200</v>
      </c>
      <c r="BH758" s="7" t="s">
        <v>200</v>
      </c>
      <c r="BI758" s="7"/>
      <c r="BJ758" s="4">
        <v>11</v>
      </c>
      <c r="BK758" s="8">
        <v>199.87</v>
      </c>
      <c r="BL758" s="2" t="s">
        <v>4660</v>
      </c>
      <c r="BM758" s="7"/>
      <c r="BN758" s="7"/>
      <c r="BO758" s="4"/>
      <c r="BP758" s="8"/>
      <c r="BQ758" s="4"/>
      <c r="BR758" s="8"/>
      <c r="BS758" s="7"/>
      <c r="BT758" s="7"/>
      <c r="BU758" s="2" t="s">
        <v>4661</v>
      </c>
      <c r="BV758" s="2" t="s">
        <v>200</v>
      </c>
      <c r="BW758" s="2" t="s">
        <v>200</v>
      </c>
      <c r="BX758" s="2" t="s">
        <v>289</v>
      </c>
      <c r="BY758" s="2" t="s">
        <v>247</v>
      </c>
      <c r="BZ758" s="2" t="s">
        <v>212</v>
      </c>
      <c r="CA758" s="2" t="s">
        <v>4662</v>
      </c>
      <c r="CB758" s="2" t="s">
        <v>3893</v>
      </c>
      <c r="CC758" s="2" t="s">
        <v>213</v>
      </c>
      <c r="CD758" s="2" t="s">
        <v>200</v>
      </c>
      <c r="CE758" s="4">
        <v>38</v>
      </c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</row>
    <row r="759">
      <c r="A759" s="2" t="s">
        <v>4663</v>
      </c>
      <c r="B759" s="2" t="s">
        <v>827</v>
      </c>
      <c r="C759" s="2" t="s">
        <v>231</v>
      </c>
      <c r="D759" s="2" t="s">
        <v>828</v>
      </c>
      <c r="E759" s="2" t="s">
        <v>878</v>
      </c>
      <c r="F759" s="2" t="s">
        <v>4641</v>
      </c>
      <c r="G759" s="2" t="s">
        <v>4642</v>
      </c>
      <c r="H759" s="2" t="s">
        <v>4643</v>
      </c>
      <c r="I759" s="2" t="s">
        <v>4664</v>
      </c>
      <c r="J759" s="2" t="s">
        <v>4665</v>
      </c>
      <c r="K759" s="2" t="s">
        <v>221</v>
      </c>
      <c r="L759" s="3">
        <v>19</v>
      </c>
      <c r="M759" s="3">
        <v>19.95</v>
      </c>
      <c r="N759" s="3">
        <v>39.99</v>
      </c>
      <c r="O759" s="2" t="s">
        <v>460</v>
      </c>
      <c r="P759" s="2" t="s">
        <v>285</v>
      </c>
      <c r="Q759" s="2" t="s">
        <v>206</v>
      </c>
      <c r="R759" s="2" t="s">
        <v>200</v>
      </c>
      <c r="S759" s="2" t="s">
        <v>4666</v>
      </c>
      <c r="T759" s="2" t="s">
        <v>200</v>
      </c>
      <c r="U759" s="2" t="s">
        <v>677</v>
      </c>
      <c r="V759" s="2" t="s">
        <v>208</v>
      </c>
      <c r="W759" s="2" t="s">
        <v>241</v>
      </c>
      <c r="X759" s="2" t="s">
        <v>200</v>
      </c>
      <c r="Y759" s="2" t="s">
        <v>1901</v>
      </c>
      <c r="Z759" s="4">
        <v>124</v>
      </c>
      <c r="AA759" s="4">
        <f>=ROUNDDOWN(30.2439024390244,0)</f>
      </c>
      <c r="AB759" s="5">
        <v>4.1</v>
      </c>
      <c r="AC759" s="2" t="s">
        <v>200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200</v>
      </c>
      <c r="AM759" s="4"/>
      <c r="AN759" s="4"/>
      <c r="AO759" s="7"/>
      <c r="AP759" s="4"/>
      <c r="AQ759" s="8"/>
      <c r="AR759" s="4"/>
      <c r="AS759" s="8"/>
      <c r="AT759" s="7"/>
      <c r="AU759" s="7"/>
      <c r="AV759" s="4" t="s">
        <v>200</v>
      </c>
      <c r="AW759" s="8" t="s">
        <v>200</v>
      </c>
      <c r="AX759" s="4" t="s">
        <v>200</v>
      </c>
      <c r="AY759" s="8" t="s">
        <v>200</v>
      </c>
      <c r="AZ759" s="7" t="s">
        <v>200</v>
      </c>
      <c r="BA759" s="7" t="s">
        <v>200</v>
      </c>
      <c r="BB759" s="7"/>
      <c r="BC759" s="4" t="s">
        <v>200</v>
      </c>
      <c r="BD759" s="8" t="s">
        <v>200</v>
      </c>
      <c r="BE759" s="4" t="s">
        <v>200</v>
      </c>
      <c r="BF759" s="8" t="s">
        <v>200</v>
      </c>
      <c r="BG759" s="7" t="s">
        <v>200</v>
      </c>
      <c r="BH759" s="7" t="s">
        <v>200</v>
      </c>
      <c r="BI759" s="7"/>
      <c r="BJ759" s="4">
        <v>15</v>
      </c>
      <c r="BK759" s="8">
        <v>377.72</v>
      </c>
      <c r="BL759" s="2" t="s">
        <v>2669</v>
      </c>
      <c r="BM759" s="7"/>
      <c r="BN759" s="7"/>
      <c r="BO759" s="4"/>
      <c r="BP759" s="8"/>
      <c r="BQ759" s="4"/>
      <c r="BR759" s="8"/>
      <c r="BS759" s="7"/>
      <c r="BT759" s="7"/>
      <c r="BU759" s="2" t="s">
        <v>4667</v>
      </c>
      <c r="BV759" s="2" t="s">
        <v>200</v>
      </c>
      <c r="BW759" s="2" t="s">
        <v>200</v>
      </c>
      <c r="BX759" s="2" t="s">
        <v>289</v>
      </c>
      <c r="BY759" s="2" t="s">
        <v>247</v>
      </c>
      <c r="BZ759" s="2" t="s">
        <v>212</v>
      </c>
      <c r="CA759" s="2" t="s">
        <v>4668</v>
      </c>
      <c r="CB759" s="2" t="s">
        <v>2752</v>
      </c>
      <c r="CC759" s="2" t="s">
        <v>213</v>
      </c>
      <c r="CD759" s="2" t="s">
        <v>200</v>
      </c>
      <c r="CE759" s="4">
        <v>124</v>
      </c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</row>
    <row r="760">
      <c r="A760" s="2" t="s">
        <v>4669</v>
      </c>
      <c r="B760" s="2" t="s">
        <v>827</v>
      </c>
      <c r="C760" s="2" t="s">
        <v>231</v>
      </c>
      <c r="D760" s="2" t="s">
        <v>828</v>
      </c>
      <c r="E760" s="2" t="s">
        <v>863</v>
      </c>
      <c r="F760" s="2" t="s">
        <v>4641</v>
      </c>
      <c r="G760" s="2" t="s">
        <v>4642</v>
      </c>
      <c r="H760" s="2" t="s">
        <v>4643</v>
      </c>
      <c r="I760" s="2" t="s">
        <v>4644</v>
      </c>
      <c r="J760" s="2" t="s">
        <v>3952</v>
      </c>
      <c r="K760" s="2" t="s">
        <v>221</v>
      </c>
      <c r="L760" s="3">
        <v>28.5</v>
      </c>
      <c r="M760" s="3">
        <v>29.93</v>
      </c>
      <c r="N760" s="3">
        <v>62.99</v>
      </c>
      <c r="O760" s="2" t="s">
        <v>212</v>
      </c>
      <c r="P760" s="2" t="s">
        <v>258</v>
      </c>
      <c r="Q760" s="2" t="s">
        <v>206</v>
      </c>
      <c r="R760" s="2" t="s">
        <v>200</v>
      </c>
      <c r="S760" s="2" t="s">
        <v>4666</v>
      </c>
      <c r="T760" s="2" t="s">
        <v>378</v>
      </c>
      <c r="U760" s="2" t="s">
        <v>270</v>
      </c>
      <c r="V760" s="2" t="s">
        <v>208</v>
      </c>
      <c r="W760" s="2" t="s">
        <v>241</v>
      </c>
      <c r="X760" s="2" t="s">
        <v>200</v>
      </c>
      <c r="Y760" s="2" t="s">
        <v>4670</v>
      </c>
      <c r="Z760" s="4">
        <v>281</v>
      </c>
      <c r="AA760" s="4">
        <f>=ROUNDDOWN(56.2,0)</f>
      </c>
      <c r="AB760" s="5">
        <v>5</v>
      </c>
      <c r="AC760" s="2" t="s">
        <v>200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200</v>
      </c>
      <c r="AM760" s="4"/>
      <c r="AN760" s="4"/>
      <c r="AO760" s="7"/>
      <c r="AP760" s="4"/>
      <c r="AQ760" s="8"/>
      <c r="AR760" s="4"/>
      <c r="AS760" s="8"/>
      <c r="AT760" s="7"/>
      <c r="AU760" s="7"/>
      <c r="AV760" s="4" t="s">
        <v>200</v>
      </c>
      <c r="AW760" s="8" t="s">
        <v>200</v>
      </c>
      <c r="AX760" s="4" t="s">
        <v>200</v>
      </c>
      <c r="AY760" s="8" t="s">
        <v>200</v>
      </c>
      <c r="AZ760" s="7" t="s">
        <v>200</v>
      </c>
      <c r="BA760" s="7" t="s">
        <v>200</v>
      </c>
      <c r="BB760" s="7"/>
      <c r="BC760" s="4" t="s">
        <v>200</v>
      </c>
      <c r="BD760" s="8" t="s">
        <v>200</v>
      </c>
      <c r="BE760" s="4" t="s">
        <v>200</v>
      </c>
      <c r="BF760" s="8" t="s">
        <v>200</v>
      </c>
      <c r="BG760" s="7" t="s">
        <v>200</v>
      </c>
      <c r="BH760" s="7" t="s">
        <v>200</v>
      </c>
      <c r="BI760" s="7"/>
      <c r="BJ760" s="4"/>
      <c r="BK760" s="8"/>
      <c r="BL760" s="2" t="s">
        <v>4234</v>
      </c>
      <c r="BM760" s="7"/>
      <c r="BN760" s="7"/>
      <c r="BO760" s="4"/>
      <c r="BP760" s="8"/>
      <c r="BQ760" s="4"/>
      <c r="BR760" s="8"/>
      <c r="BS760" s="7"/>
      <c r="BT760" s="7"/>
      <c r="BU760" s="2" t="s">
        <v>4671</v>
      </c>
      <c r="BV760" s="2" t="s">
        <v>200</v>
      </c>
      <c r="BW760" s="2" t="s">
        <v>200</v>
      </c>
      <c r="BX760" s="2" t="s">
        <v>264</v>
      </c>
      <c r="BY760" s="2" t="s">
        <v>247</v>
      </c>
      <c r="BZ760" s="2" t="s">
        <v>212</v>
      </c>
      <c r="CA760" s="2" t="s">
        <v>4672</v>
      </c>
      <c r="CB760" s="2" t="s">
        <v>4673</v>
      </c>
      <c r="CC760" s="2" t="s">
        <v>213</v>
      </c>
      <c r="CD760" s="2" t="s">
        <v>200</v>
      </c>
      <c r="CE760" s="4">
        <v>281</v>
      </c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</row>
    <row r="761">
      <c r="A761" s="2" t="s">
        <v>4674</v>
      </c>
      <c r="B761" s="2" t="s">
        <v>827</v>
      </c>
      <c r="C761" s="2" t="s">
        <v>231</v>
      </c>
      <c r="D761" s="2" t="s">
        <v>828</v>
      </c>
      <c r="E761" s="2" t="s">
        <v>863</v>
      </c>
      <c r="F761" s="2" t="s">
        <v>4641</v>
      </c>
      <c r="G761" s="2" t="s">
        <v>4642</v>
      </c>
      <c r="H761" s="2" t="s">
        <v>4643</v>
      </c>
      <c r="I761" s="2" t="s">
        <v>4644</v>
      </c>
      <c r="J761" s="2" t="s">
        <v>868</v>
      </c>
      <c r="K761" s="2" t="s">
        <v>221</v>
      </c>
      <c r="L761" s="3">
        <v>32.2</v>
      </c>
      <c r="M761" s="3">
        <v>33.81</v>
      </c>
      <c r="N761" s="3">
        <v>69.99</v>
      </c>
      <c r="O761" s="2" t="s">
        <v>212</v>
      </c>
      <c r="P761" s="2" t="s">
        <v>258</v>
      </c>
      <c r="Q761" s="2" t="s">
        <v>206</v>
      </c>
      <c r="R761" s="2" t="s">
        <v>200</v>
      </c>
      <c r="S761" s="2" t="s">
        <v>4666</v>
      </c>
      <c r="T761" s="2" t="s">
        <v>378</v>
      </c>
      <c r="U761" s="2" t="s">
        <v>270</v>
      </c>
      <c r="V761" s="2" t="s">
        <v>208</v>
      </c>
      <c r="W761" s="2" t="s">
        <v>241</v>
      </c>
      <c r="X761" s="2" t="s">
        <v>200</v>
      </c>
      <c r="Y761" s="2" t="s">
        <v>2462</v>
      </c>
      <c r="Z761" s="4">
        <v>155</v>
      </c>
      <c r="AA761" s="4">
        <f>=ROUNDDOWN(19.375,0)</f>
      </c>
      <c r="AB761" s="5">
        <v>8</v>
      </c>
      <c r="AC761" s="2" t="s">
        <v>111</v>
      </c>
      <c r="AD761" s="4">
        <v>84</v>
      </c>
      <c r="AE761" s="4">
        <v>258</v>
      </c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200</v>
      </c>
      <c r="AM761" s="4"/>
      <c r="AN761" s="4"/>
      <c r="AO761" s="7"/>
      <c r="AP761" s="4"/>
      <c r="AQ761" s="8"/>
      <c r="AR761" s="4"/>
      <c r="AS761" s="8"/>
      <c r="AT761" s="7"/>
      <c r="AU761" s="7"/>
      <c r="AV761" s="4" t="s">
        <v>200</v>
      </c>
      <c r="AW761" s="8" t="s">
        <v>200</v>
      </c>
      <c r="AX761" s="4" t="s">
        <v>200</v>
      </c>
      <c r="AY761" s="8" t="s">
        <v>200</v>
      </c>
      <c r="AZ761" s="7" t="s">
        <v>200</v>
      </c>
      <c r="BA761" s="7" t="s">
        <v>200</v>
      </c>
      <c r="BB761" s="7"/>
      <c r="BC761" s="4" t="s">
        <v>200</v>
      </c>
      <c r="BD761" s="8" t="s">
        <v>200</v>
      </c>
      <c r="BE761" s="4" t="s">
        <v>200</v>
      </c>
      <c r="BF761" s="8" t="s">
        <v>200</v>
      </c>
      <c r="BG761" s="7" t="s">
        <v>200</v>
      </c>
      <c r="BH761" s="7" t="s">
        <v>200</v>
      </c>
      <c r="BI761" s="7"/>
      <c r="BJ761" s="4">
        <v>47</v>
      </c>
      <c r="BK761" s="8">
        <v>1668.6</v>
      </c>
      <c r="BL761" s="2" t="s">
        <v>1756</v>
      </c>
      <c r="BM761" s="7"/>
      <c r="BN761" s="7"/>
      <c r="BO761" s="4"/>
      <c r="BP761" s="8"/>
      <c r="BQ761" s="4"/>
      <c r="BR761" s="8"/>
      <c r="BS761" s="7"/>
      <c r="BT761" s="7"/>
      <c r="BU761" s="2" t="s">
        <v>4675</v>
      </c>
      <c r="BV761" s="2" t="s">
        <v>200</v>
      </c>
      <c r="BW761" s="2" t="s">
        <v>200</v>
      </c>
      <c r="BX761" s="2" t="s">
        <v>264</v>
      </c>
      <c r="BY761" s="2" t="s">
        <v>247</v>
      </c>
      <c r="BZ761" s="2" t="s">
        <v>212</v>
      </c>
      <c r="CA761" s="2" t="s">
        <v>4676</v>
      </c>
      <c r="CB761" s="2" t="s">
        <v>4315</v>
      </c>
      <c r="CC761" s="2" t="s">
        <v>213</v>
      </c>
      <c r="CD761" s="2" t="s">
        <v>200</v>
      </c>
      <c r="CE761" s="4">
        <v>155</v>
      </c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>
        <v>84</v>
      </c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>
        <v>42</v>
      </c>
      <c r="FJ761" s="4"/>
      <c r="FK761" s="4"/>
      <c r="FL761" s="4"/>
      <c r="FM761" s="4">
        <v>132</v>
      </c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</row>
    <row r="762">
      <c r="A762" s="2" t="s">
        <v>4677</v>
      </c>
      <c r="B762" s="2" t="s">
        <v>827</v>
      </c>
      <c r="C762" s="2" t="s">
        <v>231</v>
      </c>
      <c r="D762" s="2" t="s">
        <v>828</v>
      </c>
      <c r="E762" s="2" t="s">
        <v>863</v>
      </c>
      <c r="F762" s="2" t="s">
        <v>4641</v>
      </c>
      <c r="G762" s="2" t="s">
        <v>4642</v>
      </c>
      <c r="H762" s="2" t="s">
        <v>4643</v>
      </c>
      <c r="I762" s="2" t="s">
        <v>4678</v>
      </c>
      <c r="J762" s="2" t="s">
        <v>4679</v>
      </c>
      <c r="K762" s="2" t="s">
        <v>221</v>
      </c>
      <c r="L762" s="3">
        <v>28.5</v>
      </c>
      <c r="M762" s="3">
        <v>29.93</v>
      </c>
      <c r="N762" s="3">
        <v>64.99</v>
      </c>
      <c r="O762" s="2" t="s">
        <v>417</v>
      </c>
      <c r="P762" s="2" t="s">
        <v>285</v>
      </c>
      <c r="Q762" s="2" t="s">
        <v>206</v>
      </c>
      <c r="R762" s="2" t="s">
        <v>200</v>
      </c>
      <c r="S762" s="2" t="s">
        <v>4666</v>
      </c>
      <c r="T762" s="2" t="s">
        <v>378</v>
      </c>
      <c r="U762" s="2" t="s">
        <v>270</v>
      </c>
      <c r="V762" s="2" t="s">
        <v>208</v>
      </c>
      <c r="W762" s="2" t="s">
        <v>241</v>
      </c>
      <c r="X762" s="2" t="s">
        <v>200</v>
      </c>
      <c r="Y762" s="2" t="s">
        <v>1778</v>
      </c>
      <c r="Z762" s="4">
        <v>137</v>
      </c>
      <c r="AA762" s="4">
        <f>=ROUNDDOWN(18.2666666666667,0)</f>
      </c>
      <c r="AB762" s="5">
        <v>7.5</v>
      </c>
      <c r="AC762" s="2" t="s">
        <v>200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200</v>
      </c>
      <c r="AM762" s="4"/>
      <c r="AN762" s="4"/>
      <c r="AO762" s="7"/>
      <c r="AP762" s="4"/>
      <c r="AQ762" s="8"/>
      <c r="AR762" s="4"/>
      <c r="AS762" s="8"/>
      <c r="AT762" s="7"/>
      <c r="AU762" s="7"/>
      <c r="AV762" s="4" t="s">
        <v>200</v>
      </c>
      <c r="AW762" s="8" t="s">
        <v>200</v>
      </c>
      <c r="AX762" s="4" t="s">
        <v>200</v>
      </c>
      <c r="AY762" s="8" t="s">
        <v>200</v>
      </c>
      <c r="AZ762" s="7" t="s">
        <v>200</v>
      </c>
      <c r="BA762" s="7" t="s">
        <v>200</v>
      </c>
      <c r="BB762" s="7"/>
      <c r="BC762" s="4" t="s">
        <v>200</v>
      </c>
      <c r="BD762" s="8" t="s">
        <v>200</v>
      </c>
      <c r="BE762" s="4" t="s">
        <v>200</v>
      </c>
      <c r="BF762" s="8" t="s">
        <v>200</v>
      </c>
      <c r="BG762" s="7" t="s">
        <v>200</v>
      </c>
      <c r="BH762" s="7" t="s">
        <v>200</v>
      </c>
      <c r="BI762" s="7"/>
      <c r="BJ762" s="4">
        <v>9</v>
      </c>
      <c r="BK762" s="8">
        <v>329.47</v>
      </c>
      <c r="BL762" s="2" t="s">
        <v>4680</v>
      </c>
      <c r="BM762" s="7"/>
      <c r="BN762" s="7"/>
      <c r="BO762" s="4"/>
      <c r="BP762" s="8"/>
      <c r="BQ762" s="4"/>
      <c r="BR762" s="8"/>
      <c r="BS762" s="7"/>
      <c r="BT762" s="7"/>
      <c r="BU762" s="2" t="s">
        <v>4681</v>
      </c>
      <c r="BV762" s="2" t="s">
        <v>200</v>
      </c>
      <c r="BW762" s="2" t="s">
        <v>200</v>
      </c>
      <c r="BX762" s="2" t="s">
        <v>289</v>
      </c>
      <c r="BY762" s="2" t="s">
        <v>247</v>
      </c>
      <c r="BZ762" s="2" t="s">
        <v>212</v>
      </c>
      <c r="CA762" s="2" t="s">
        <v>836</v>
      </c>
      <c r="CB762" s="2" t="s">
        <v>3010</v>
      </c>
      <c r="CC762" s="2" t="s">
        <v>213</v>
      </c>
      <c r="CD762" s="2" t="s">
        <v>200</v>
      </c>
      <c r="CE762" s="4">
        <v>137</v>
      </c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  <c r="GH762" s="4"/>
    </row>
    <row r="763">
      <c r="A763" s="2" t="s">
        <v>4682</v>
      </c>
      <c r="B763" s="2" t="s">
        <v>827</v>
      </c>
      <c r="C763" s="2" t="s">
        <v>231</v>
      </c>
      <c r="D763" s="2" t="s">
        <v>828</v>
      </c>
      <c r="E763" s="2" t="s">
        <v>863</v>
      </c>
      <c r="F763" s="2" t="s">
        <v>4641</v>
      </c>
      <c r="G763" s="2" t="s">
        <v>4642</v>
      </c>
      <c r="H763" s="2" t="s">
        <v>4643</v>
      </c>
      <c r="I763" s="2" t="s">
        <v>4678</v>
      </c>
      <c r="J763" s="2" t="s">
        <v>4683</v>
      </c>
      <c r="K763" s="2" t="s">
        <v>221</v>
      </c>
      <c r="L763" s="3">
        <v>32</v>
      </c>
      <c r="M763" s="3">
        <v>33.6</v>
      </c>
      <c r="N763" s="3">
        <v>69.99</v>
      </c>
      <c r="O763" s="2" t="s">
        <v>460</v>
      </c>
      <c r="P763" s="2" t="s">
        <v>285</v>
      </c>
      <c r="Q763" s="2" t="s">
        <v>206</v>
      </c>
      <c r="R763" s="2" t="s">
        <v>200</v>
      </c>
      <c r="S763" s="2" t="s">
        <v>4666</v>
      </c>
      <c r="T763" s="2" t="s">
        <v>378</v>
      </c>
      <c r="U763" s="2" t="s">
        <v>270</v>
      </c>
      <c r="V763" s="2" t="s">
        <v>208</v>
      </c>
      <c r="W763" s="2" t="s">
        <v>241</v>
      </c>
      <c r="X763" s="2" t="s">
        <v>200</v>
      </c>
      <c r="Y763" s="2" t="s">
        <v>1778</v>
      </c>
      <c r="Z763" s="4">
        <v>44</v>
      </c>
      <c r="AA763" s="4">
        <f>=ROUNDDOWN(6.11111111111111,0)</f>
      </c>
      <c r="AB763" s="5">
        <v>7.2</v>
      </c>
      <c r="AC763" s="2" t="s">
        <v>200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200</v>
      </c>
      <c r="AM763" s="4"/>
      <c r="AN763" s="4"/>
      <c r="AO763" s="7"/>
      <c r="AP763" s="4"/>
      <c r="AQ763" s="8"/>
      <c r="AR763" s="4"/>
      <c r="AS763" s="8"/>
      <c r="AT763" s="7"/>
      <c r="AU763" s="7"/>
      <c r="AV763" s="4" t="s">
        <v>200</v>
      </c>
      <c r="AW763" s="8" t="s">
        <v>200</v>
      </c>
      <c r="AX763" s="4" t="s">
        <v>200</v>
      </c>
      <c r="AY763" s="8" t="s">
        <v>200</v>
      </c>
      <c r="AZ763" s="7" t="s">
        <v>200</v>
      </c>
      <c r="BA763" s="7" t="s">
        <v>200</v>
      </c>
      <c r="BB763" s="7"/>
      <c r="BC763" s="4" t="s">
        <v>200</v>
      </c>
      <c r="BD763" s="8" t="s">
        <v>200</v>
      </c>
      <c r="BE763" s="4" t="s">
        <v>200</v>
      </c>
      <c r="BF763" s="8" t="s">
        <v>200</v>
      </c>
      <c r="BG763" s="7" t="s">
        <v>200</v>
      </c>
      <c r="BH763" s="7" t="s">
        <v>200</v>
      </c>
      <c r="BI763" s="7"/>
      <c r="BJ763" s="4">
        <v>24</v>
      </c>
      <c r="BK763" s="8">
        <v>758.34</v>
      </c>
      <c r="BL763" s="2" t="s">
        <v>4684</v>
      </c>
      <c r="BM763" s="7"/>
      <c r="BN763" s="7"/>
      <c r="BO763" s="4"/>
      <c r="BP763" s="8"/>
      <c r="BQ763" s="4"/>
      <c r="BR763" s="8"/>
      <c r="BS763" s="7"/>
      <c r="BT763" s="7"/>
      <c r="BU763" s="2" t="s">
        <v>4685</v>
      </c>
      <c r="BV763" s="2" t="s">
        <v>200</v>
      </c>
      <c r="BW763" s="2" t="s">
        <v>200</v>
      </c>
      <c r="BX763" s="2" t="s">
        <v>289</v>
      </c>
      <c r="BY763" s="2" t="s">
        <v>247</v>
      </c>
      <c r="BZ763" s="2" t="s">
        <v>212</v>
      </c>
      <c r="CA763" s="2" t="s">
        <v>836</v>
      </c>
      <c r="CB763" s="2" t="s">
        <v>4686</v>
      </c>
      <c r="CC763" s="2" t="s">
        <v>213</v>
      </c>
      <c r="CD763" s="2" t="s">
        <v>200</v>
      </c>
      <c r="CE763" s="4">
        <v>44</v>
      </c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</row>
    <row r="764">
      <c r="A764" s="2" t="s">
        <v>4687</v>
      </c>
      <c r="B764" s="2" t="s">
        <v>827</v>
      </c>
      <c r="C764" s="2" t="s">
        <v>231</v>
      </c>
      <c r="D764" s="2" t="s">
        <v>828</v>
      </c>
      <c r="E764" s="2" t="s">
        <v>863</v>
      </c>
      <c r="F764" s="2" t="s">
        <v>4641</v>
      </c>
      <c r="G764" s="2" t="s">
        <v>4642</v>
      </c>
      <c r="H764" s="2" t="s">
        <v>4643</v>
      </c>
      <c r="I764" s="2" t="s">
        <v>4678</v>
      </c>
      <c r="J764" s="2" t="s">
        <v>4688</v>
      </c>
      <c r="K764" s="2" t="s">
        <v>221</v>
      </c>
      <c r="L764" s="3">
        <v>38.5</v>
      </c>
      <c r="M764" s="3">
        <v>40.43</v>
      </c>
      <c r="N764" s="3">
        <v>81.99</v>
      </c>
      <c r="O764" s="2" t="s">
        <v>460</v>
      </c>
      <c r="P764" s="2" t="s">
        <v>285</v>
      </c>
      <c r="Q764" s="2" t="s">
        <v>206</v>
      </c>
      <c r="R764" s="2" t="s">
        <v>200</v>
      </c>
      <c r="S764" s="2" t="s">
        <v>4666</v>
      </c>
      <c r="T764" s="2" t="s">
        <v>378</v>
      </c>
      <c r="U764" s="2" t="s">
        <v>270</v>
      </c>
      <c r="V764" s="2" t="s">
        <v>208</v>
      </c>
      <c r="W764" s="2" t="s">
        <v>241</v>
      </c>
      <c r="X764" s="2" t="s">
        <v>200</v>
      </c>
      <c r="Y764" s="2" t="s">
        <v>1778</v>
      </c>
      <c r="Z764" s="4">
        <v>64</v>
      </c>
      <c r="AA764" s="4">
        <f>=ROUNDDOWN(8.2051282051282,0)</f>
      </c>
      <c r="AB764" s="5">
        <v>7.8</v>
      </c>
      <c r="AC764" s="2" t="s">
        <v>200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200</v>
      </c>
      <c r="AM764" s="4"/>
      <c r="AN764" s="4"/>
      <c r="AO764" s="7"/>
      <c r="AP764" s="4"/>
      <c r="AQ764" s="8"/>
      <c r="AR764" s="4"/>
      <c r="AS764" s="8"/>
      <c r="AT764" s="7"/>
      <c r="AU764" s="7"/>
      <c r="AV764" s="4" t="s">
        <v>200</v>
      </c>
      <c r="AW764" s="8" t="s">
        <v>200</v>
      </c>
      <c r="AX764" s="4" t="s">
        <v>200</v>
      </c>
      <c r="AY764" s="8" t="s">
        <v>200</v>
      </c>
      <c r="AZ764" s="7" t="s">
        <v>200</v>
      </c>
      <c r="BA764" s="7" t="s">
        <v>200</v>
      </c>
      <c r="BB764" s="7"/>
      <c r="BC764" s="4" t="s">
        <v>200</v>
      </c>
      <c r="BD764" s="8" t="s">
        <v>200</v>
      </c>
      <c r="BE764" s="4" t="s">
        <v>200</v>
      </c>
      <c r="BF764" s="8" t="s">
        <v>200</v>
      </c>
      <c r="BG764" s="7" t="s">
        <v>200</v>
      </c>
      <c r="BH764" s="7" t="s">
        <v>200</v>
      </c>
      <c r="BI764" s="7"/>
      <c r="BJ764" s="4">
        <v>33</v>
      </c>
      <c r="BK764" s="8">
        <v>1417.06</v>
      </c>
      <c r="BL764" s="2" t="s">
        <v>4689</v>
      </c>
      <c r="BM764" s="7"/>
      <c r="BN764" s="7"/>
      <c r="BO764" s="4"/>
      <c r="BP764" s="8"/>
      <c r="BQ764" s="4"/>
      <c r="BR764" s="8"/>
      <c r="BS764" s="7"/>
      <c r="BT764" s="7"/>
      <c r="BU764" s="2" t="s">
        <v>4690</v>
      </c>
      <c r="BV764" s="2" t="s">
        <v>200</v>
      </c>
      <c r="BW764" s="2" t="s">
        <v>200</v>
      </c>
      <c r="BX764" s="2" t="s">
        <v>289</v>
      </c>
      <c r="BY764" s="2" t="s">
        <v>247</v>
      </c>
      <c r="BZ764" s="2" t="s">
        <v>212</v>
      </c>
      <c r="CA764" s="2" t="s">
        <v>836</v>
      </c>
      <c r="CB764" s="2" t="s">
        <v>4686</v>
      </c>
      <c r="CC764" s="2" t="s">
        <v>213</v>
      </c>
      <c r="CD764" s="2" t="s">
        <v>200</v>
      </c>
      <c r="CE764" s="4">
        <v>64</v>
      </c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</row>
    <row r="765">
      <c r="A765" s="2" t="s">
        <v>4691</v>
      </c>
      <c r="B765" s="2" t="s">
        <v>827</v>
      </c>
      <c r="C765" s="2" t="s">
        <v>231</v>
      </c>
      <c r="D765" s="2" t="s">
        <v>828</v>
      </c>
      <c r="E765" s="2" t="s">
        <v>863</v>
      </c>
      <c r="F765" s="2" t="s">
        <v>4641</v>
      </c>
      <c r="G765" s="2" t="s">
        <v>4642</v>
      </c>
      <c r="H765" s="2" t="s">
        <v>4643</v>
      </c>
      <c r="I765" s="2" t="s">
        <v>4644</v>
      </c>
      <c r="J765" s="2" t="s">
        <v>3057</v>
      </c>
      <c r="K765" s="2" t="s">
        <v>1700</v>
      </c>
      <c r="L765" s="3">
        <v>29.25</v>
      </c>
      <c r="M765" s="3">
        <v>30.71</v>
      </c>
      <c r="N765" s="3">
        <v>64.99</v>
      </c>
      <c r="O765" s="2" t="s">
        <v>212</v>
      </c>
      <c r="P765" s="2" t="s">
        <v>1075</v>
      </c>
      <c r="Q765" s="2" t="s">
        <v>206</v>
      </c>
      <c r="R765" s="2" t="s">
        <v>200</v>
      </c>
      <c r="S765" s="2" t="s">
        <v>4692</v>
      </c>
      <c r="T765" s="2" t="s">
        <v>378</v>
      </c>
      <c r="U765" s="2" t="s">
        <v>270</v>
      </c>
      <c r="V765" s="2" t="s">
        <v>208</v>
      </c>
      <c r="W765" s="2" t="s">
        <v>241</v>
      </c>
      <c r="X765" s="2" t="s">
        <v>200</v>
      </c>
      <c r="Y765" s="2" t="s">
        <v>4646</v>
      </c>
      <c r="Z765" s="4">
        <v>180</v>
      </c>
      <c r="AA765" s="4">
        <f>=ROUNDDOWN(8.18181818181818,0)</f>
      </c>
      <c r="AB765" s="5">
        <v>22</v>
      </c>
      <c r="AC765" s="2" t="s">
        <v>111</v>
      </c>
      <c r="AD765" s="4">
        <v>300</v>
      </c>
      <c r="AE765" s="4">
        <v>582</v>
      </c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200</v>
      </c>
      <c r="AM765" s="4"/>
      <c r="AN765" s="4"/>
      <c r="AO765" s="7"/>
      <c r="AP765" s="4"/>
      <c r="AQ765" s="8"/>
      <c r="AR765" s="4"/>
      <c r="AS765" s="8"/>
      <c r="AT765" s="7"/>
      <c r="AU765" s="7"/>
      <c r="AV765" s="4" t="s">
        <v>200</v>
      </c>
      <c r="AW765" s="8" t="s">
        <v>200</v>
      </c>
      <c r="AX765" s="4" t="s">
        <v>200</v>
      </c>
      <c r="AY765" s="8" t="s">
        <v>200</v>
      </c>
      <c r="AZ765" s="7" t="s">
        <v>200</v>
      </c>
      <c r="BA765" s="7" t="s">
        <v>200</v>
      </c>
      <c r="BB765" s="7"/>
      <c r="BC765" s="4" t="s">
        <v>200</v>
      </c>
      <c r="BD765" s="8" t="s">
        <v>200</v>
      </c>
      <c r="BE765" s="4" t="s">
        <v>200</v>
      </c>
      <c r="BF765" s="8" t="s">
        <v>200</v>
      </c>
      <c r="BG765" s="7" t="s">
        <v>200</v>
      </c>
      <c r="BH765" s="7" t="s">
        <v>200</v>
      </c>
      <c r="BI765" s="7"/>
      <c r="BJ765" s="4">
        <v>144</v>
      </c>
      <c r="BK765" s="8">
        <v>4684.54</v>
      </c>
      <c r="BL765" s="2" t="s">
        <v>4693</v>
      </c>
      <c r="BM765" s="7"/>
      <c r="BN765" s="7"/>
      <c r="BO765" s="4"/>
      <c r="BP765" s="8"/>
      <c r="BQ765" s="4"/>
      <c r="BR765" s="8"/>
      <c r="BS765" s="7"/>
      <c r="BT765" s="7"/>
      <c r="BU765" s="2" t="s">
        <v>4694</v>
      </c>
      <c r="BV765" s="2" t="s">
        <v>200</v>
      </c>
      <c r="BW765" s="2" t="s">
        <v>200</v>
      </c>
      <c r="BX765" s="2" t="s">
        <v>264</v>
      </c>
      <c r="BY765" s="2" t="s">
        <v>247</v>
      </c>
      <c r="BZ765" s="2" t="s">
        <v>212</v>
      </c>
      <c r="CA765" s="2" t="s">
        <v>4646</v>
      </c>
      <c r="CB765" s="2" t="s">
        <v>4695</v>
      </c>
      <c r="CC765" s="2" t="s">
        <v>213</v>
      </c>
      <c r="CD765" s="2" t="s">
        <v>200</v>
      </c>
      <c r="CE765" s="4">
        <v>180</v>
      </c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>
        <v>300</v>
      </c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>
        <v>30</v>
      </c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>
        <v>90</v>
      </c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>
        <v>60</v>
      </c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>
        <v>102</v>
      </c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</row>
    <row r="766">
      <c r="A766" s="2" t="s">
        <v>4696</v>
      </c>
      <c r="B766" s="2" t="s">
        <v>827</v>
      </c>
      <c r="C766" s="2" t="s">
        <v>231</v>
      </c>
      <c r="D766" s="2" t="s">
        <v>828</v>
      </c>
      <c r="E766" s="2" t="s">
        <v>863</v>
      </c>
      <c r="F766" s="2" t="s">
        <v>4641</v>
      </c>
      <c r="G766" s="2" t="s">
        <v>4642</v>
      </c>
      <c r="H766" s="2" t="s">
        <v>4643</v>
      </c>
      <c r="I766" s="2" t="s">
        <v>4644</v>
      </c>
      <c r="J766" s="2" t="s">
        <v>3066</v>
      </c>
      <c r="K766" s="2" t="s">
        <v>1700</v>
      </c>
      <c r="L766" s="3">
        <v>38.4</v>
      </c>
      <c r="M766" s="3">
        <v>40.32</v>
      </c>
      <c r="N766" s="3">
        <v>79.99</v>
      </c>
      <c r="O766" s="2" t="s">
        <v>212</v>
      </c>
      <c r="P766" s="2" t="s">
        <v>258</v>
      </c>
      <c r="Q766" s="2" t="s">
        <v>206</v>
      </c>
      <c r="R766" s="2" t="s">
        <v>200</v>
      </c>
      <c r="S766" s="2" t="s">
        <v>4692</v>
      </c>
      <c r="T766" s="2" t="s">
        <v>378</v>
      </c>
      <c r="U766" s="2" t="s">
        <v>270</v>
      </c>
      <c r="V766" s="2" t="s">
        <v>208</v>
      </c>
      <c r="W766" s="2" t="s">
        <v>241</v>
      </c>
      <c r="X766" s="2" t="s">
        <v>200</v>
      </c>
      <c r="Y766" s="2" t="s">
        <v>4646</v>
      </c>
      <c r="Z766" s="4">
        <v>440</v>
      </c>
      <c r="AA766" s="4">
        <f>=ROUNDDOWN(27.5,0)</f>
      </c>
      <c r="AB766" s="5">
        <v>16</v>
      </c>
      <c r="AC766" s="2" t="s">
        <v>111</v>
      </c>
      <c r="AD766" s="4">
        <v>54</v>
      </c>
      <c r="AE766" s="4">
        <v>198</v>
      </c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200</v>
      </c>
      <c r="AM766" s="4"/>
      <c r="AN766" s="4"/>
      <c r="AO766" s="7"/>
      <c r="AP766" s="4"/>
      <c r="AQ766" s="8"/>
      <c r="AR766" s="4"/>
      <c r="AS766" s="8"/>
      <c r="AT766" s="7"/>
      <c r="AU766" s="7"/>
      <c r="AV766" s="4" t="s">
        <v>200</v>
      </c>
      <c r="AW766" s="8" t="s">
        <v>200</v>
      </c>
      <c r="AX766" s="4" t="s">
        <v>200</v>
      </c>
      <c r="AY766" s="8" t="s">
        <v>200</v>
      </c>
      <c r="AZ766" s="7" t="s">
        <v>200</v>
      </c>
      <c r="BA766" s="7" t="s">
        <v>200</v>
      </c>
      <c r="BB766" s="7"/>
      <c r="BC766" s="4" t="s">
        <v>200</v>
      </c>
      <c r="BD766" s="8" t="s">
        <v>200</v>
      </c>
      <c r="BE766" s="4" t="s">
        <v>200</v>
      </c>
      <c r="BF766" s="8" t="s">
        <v>200</v>
      </c>
      <c r="BG766" s="7" t="s">
        <v>200</v>
      </c>
      <c r="BH766" s="7" t="s">
        <v>200</v>
      </c>
      <c r="BI766" s="7"/>
      <c r="BJ766" s="4">
        <v>56</v>
      </c>
      <c r="BK766" s="8">
        <v>2438.16</v>
      </c>
      <c r="BL766" s="2" t="s">
        <v>4697</v>
      </c>
      <c r="BM766" s="7"/>
      <c r="BN766" s="7"/>
      <c r="BO766" s="4"/>
      <c r="BP766" s="8"/>
      <c r="BQ766" s="4"/>
      <c r="BR766" s="8"/>
      <c r="BS766" s="7"/>
      <c r="BT766" s="7"/>
      <c r="BU766" s="2" t="s">
        <v>4698</v>
      </c>
      <c r="BV766" s="2" t="s">
        <v>200</v>
      </c>
      <c r="BW766" s="2" t="s">
        <v>200</v>
      </c>
      <c r="BX766" s="2" t="s">
        <v>620</v>
      </c>
      <c r="BY766" s="2" t="s">
        <v>247</v>
      </c>
      <c r="BZ766" s="2" t="s">
        <v>212</v>
      </c>
      <c r="CA766" s="2" t="s">
        <v>4699</v>
      </c>
      <c r="CB766" s="2" t="s">
        <v>2681</v>
      </c>
      <c r="CC766" s="2" t="s">
        <v>213</v>
      </c>
      <c r="CD766" s="2" t="s">
        <v>200</v>
      </c>
      <c r="CE766" s="4">
        <v>440</v>
      </c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>
        <v>54</v>
      </c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>
        <v>54</v>
      </c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>
        <v>90</v>
      </c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</row>
    <row r="767">
      <c r="A767" s="2" t="s">
        <v>4700</v>
      </c>
      <c r="B767" s="2" t="s">
        <v>827</v>
      </c>
      <c r="C767" s="2" t="s">
        <v>231</v>
      </c>
      <c r="D767" s="2" t="s">
        <v>828</v>
      </c>
      <c r="E767" s="2" t="s">
        <v>863</v>
      </c>
      <c r="F767" s="2" t="s">
        <v>4641</v>
      </c>
      <c r="G767" s="2" t="s">
        <v>4642</v>
      </c>
      <c r="H767" s="2" t="s">
        <v>4643</v>
      </c>
      <c r="I767" s="2" t="s">
        <v>4644</v>
      </c>
      <c r="J767" s="2" t="s">
        <v>3952</v>
      </c>
      <c r="K767" s="2" t="s">
        <v>257</v>
      </c>
      <c r="L767" s="3">
        <v>28.5</v>
      </c>
      <c r="M767" s="3">
        <v>29.93</v>
      </c>
      <c r="N767" s="3">
        <v>62.99</v>
      </c>
      <c r="O767" s="2" t="s">
        <v>212</v>
      </c>
      <c r="P767" s="2" t="s">
        <v>258</v>
      </c>
      <c r="Q767" s="2" t="s">
        <v>206</v>
      </c>
      <c r="R767" s="2" t="s">
        <v>200</v>
      </c>
      <c r="S767" s="2" t="s">
        <v>4701</v>
      </c>
      <c r="T767" s="2" t="s">
        <v>378</v>
      </c>
      <c r="U767" s="2" t="s">
        <v>270</v>
      </c>
      <c r="V767" s="2" t="s">
        <v>208</v>
      </c>
      <c r="W767" s="2" t="s">
        <v>241</v>
      </c>
      <c r="X767" s="2" t="s">
        <v>200</v>
      </c>
      <c r="Y767" s="2" t="s">
        <v>4656</v>
      </c>
      <c r="Z767" s="4">
        <v>416</v>
      </c>
      <c r="AA767" s="4">
        <f>=ROUNDDOWN(27.7333333333333,0)</f>
      </c>
      <c r="AB767" s="5">
        <v>15</v>
      </c>
      <c r="AC767" s="2" t="s">
        <v>1141</v>
      </c>
      <c r="AD767" s="4">
        <v>210</v>
      </c>
      <c r="AE767" s="4">
        <v>210</v>
      </c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200</v>
      </c>
      <c r="AM767" s="4"/>
      <c r="AN767" s="4"/>
      <c r="AO767" s="7"/>
      <c r="AP767" s="4"/>
      <c r="AQ767" s="8"/>
      <c r="AR767" s="4"/>
      <c r="AS767" s="8"/>
      <c r="AT767" s="7"/>
      <c r="AU767" s="7"/>
      <c r="AV767" s="4" t="s">
        <v>200</v>
      </c>
      <c r="AW767" s="8" t="s">
        <v>200</v>
      </c>
      <c r="AX767" s="4" t="s">
        <v>200</v>
      </c>
      <c r="AY767" s="8" t="s">
        <v>200</v>
      </c>
      <c r="AZ767" s="7" t="s">
        <v>200</v>
      </c>
      <c r="BA767" s="7" t="s">
        <v>200</v>
      </c>
      <c r="BB767" s="7"/>
      <c r="BC767" s="4" t="s">
        <v>200</v>
      </c>
      <c r="BD767" s="8" t="s">
        <v>200</v>
      </c>
      <c r="BE767" s="4" t="s">
        <v>200</v>
      </c>
      <c r="BF767" s="8" t="s">
        <v>200</v>
      </c>
      <c r="BG767" s="7" t="s">
        <v>200</v>
      </c>
      <c r="BH767" s="7" t="s">
        <v>200</v>
      </c>
      <c r="BI767" s="7"/>
      <c r="BJ767" s="4">
        <v>139</v>
      </c>
      <c r="BK767" s="8">
        <v>4109.43</v>
      </c>
      <c r="BL767" s="2" t="s">
        <v>4702</v>
      </c>
      <c r="BM767" s="7"/>
      <c r="BN767" s="7"/>
      <c r="BO767" s="4"/>
      <c r="BP767" s="8"/>
      <c r="BQ767" s="4"/>
      <c r="BR767" s="8"/>
      <c r="BS767" s="7"/>
      <c r="BT767" s="7"/>
      <c r="BU767" s="2" t="s">
        <v>4703</v>
      </c>
      <c r="BV767" s="2" t="s">
        <v>200</v>
      </c>
      <c r="BW767" s="2" t="s">
        <v>200</v>
      </c>
      <c r="BX767" s="2" t="s">
        <v>264</v>
      </c>
      <c r="BY767" s="2" t="s">
        <v>247</v>
      </c>
      <c r="BZ767" s="2" t="s">
        <v>212</v>
      </c>
      <c r="CA767" s="2" t="s">
        <v>4056</v>
      </c>
      <c r="CB767" s="2" t="s">
        <v>4704</v>
      </c>
      <c r="CC767" s="2" t="s">
        <v>213</v>
      </c>
      <c r="CD767" s="2" t="s">
        <v>200</v>
      </c>
      <c r="CE767" s="4">
        <v>416</v>
      </c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>
        <v>210</v>
      </c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</row>
    <row r="768">
      <c r="A768" s="2" t="s">
        <v>4705</v>
      </c>
      <c r="B768" s="2" t="s">
        <v>827</v>
      </c>
      <c r="C768" s="2" t="s">
        <v>231</v>
      </c>
      <c r="D768" s="2" t="s">
        <v>828</v>
      </c>
      <c r="E768" s="2" t="s">
        <v>863</v>
      </c>
      <c r="F768" s="2" t="s">
        <v>4641</v>
      </c>
      <c r="G768" s="2" t="s">
        <v>4642</v>
      </c>
      <c r="H768" s="2" t="s">
        <v>4643</v>
      </c>
      <c r="I768" s="2" t="s">
        <v>4644</v>
      </c>
      <c r="J768" s="2" t="s">
        <v>868</v>
      </c>
      <c r="K768" s="2" t="s">
        <v>257</v>
      </c>
      <c r="L768" s="3">
        <v>32.2</v>
      </c>
      <c r="M768" s="3">
        <v>33.81</v>
      </c>
      <c r="N768" s="3">
        <v>69.99</v>
      </c>
      <c r="O768" s="2" t="s">
        <v>212</v>
      </c>
      <c r="P768" s="2" t="s">
        <v>1075</v>
      </c>
      <c r="Q768" s="2" t="s">
        <v>206</v>
      </c>
      <c r="R768" s="2" t="s">
        <v>200</v>
      </c>
      <c r="S768" s="2" t="s">
        <v>4701</v>
      </c>
      <c r="T768" s="2" t="s">
        <v>378</v>
      </c>
      <c r="U768" s="2" t="s">
        <v>270</v>
      </c>
      <c r="V768" s="2" t="s">
        <v>208</v>
      </c>
      <c r="W768" s="2" t="s">
        <v>241</v>
      </c>
      <c r="X768" s="2" t="s">
        <v>200</v>
      </c>
      <c r="Y768" s="2" t="s">
        <v>4706</v>
      </c>
      <c r="Z768" s="4">
        <v>485</v>
      </c>
      <c r="AA768" s="4">
        <f>=ROUNDDOWN(24.25,0)</f>
      </c>
      <c r="AB768" s="5">
        <v>20</v>
      </c>
      <c r="AC768" s="2" t="s">
        <v>1141</v>
      </c>
      <c r="AD768" s="4">
        <v>240</v>
      </c>
      <c r="AE768" s="4">
        <v>240</v>
      </c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200</v>
      </c>
      <c r="AM768" s="4"/>
      <c r="AN768" s="4"/>
      <c r="AO768" s="7"/>
      <c r="AP768" s="4"/>
      <c r="AQ768" s="8"/>
      <c r="AR768" s="4"/>
      <c r="AS768" s="8"/>
      <c r="AT768" s="7"/>
      <c r="AU768" s="7"/>
      <c r="AV768" s="4" t="s">
        <v>200</v>
      </c>
      <c r="AW768" s="8" t="s">
        <v>200</v>
      </c>
      <c r="AX768" s="4" t="s">
        <v>200</v>
      </c>
      <c r="AY768" s="8" t="s">
        <v>200</v>
      </c>
      <c r="AZ768" s="7" t="s">
        <v>200</v>
      </c>
      <c r="BA768" s="7" t="s">
        <v>200</v>
      </c>
      <c r="BB768" s="7"/>
      <c r="BC768" s="4" t="s">
        <v>200</v>
      </c>
      <c r="BD768" s="8" t="s">
        <v>200</v>
      </c>
      <c r="BE768" s="4" t="s">
        <v>200</v>
      </c>
      <c r="BF768" s="8" t="s">
        <v>200</v>
      </c>
      <c r="BG768" s="7" t="s">
        <v>200</v>
      </c>
      <c r="BH768" s="7" t="s">
        <v>200</v>
      </c>
      <c r="BI768" s="7"/>
      <c r="BJ768" s="4">
        <v>92</v>
      </c>
      <c r="BK768" s="8">
        <v>3313.15</v>
      </c>
      <c r="BL768" s="2" t="s">
        <v>4707</v>
      </c>
      <c r="BM768" s="7"/>
      <c r="BN768" s="7"/>
      <c r="BO768" s="4"/>
      <c r="BP768" s="8"/>
      <c r="BQ768" s="4"/>
      <c r="BR768" s="8"/>
      <c r="BS768" s="7"/>
      <c r="BT768" s="7"/>
      <c r="BU768" s="2" t="s">
        <v>4708</v>
      </c>
      <c r="BV768" s="2" t="s">
        <v>200</v>
      </c>
      <c r="BW768" s="2" t="s">
        <v>200</v>
      </c>
      <c r="BX768" s="2" t="s">
        <v>620</v>
      </c>
      <c r="BY768" s="2" t="s">
        <v>247</v>
      </c>
      <c r="BZ768" s="2" t="s">
        <v>212</v>
      </c>
      <c r="CA768" s="2" t="s">
        <v>4709</v>
      </c>
      <c r="CB768" s="2" t="s">
        <v>1627</v>
      </c>
      <c r="CC768" s="2" t="s">
        <v>213</v>
      </c>
      <c r="CD768" s="2" t="s">
        <v>200</v>
      </c>
      <c r="CE768" s="4">
        <v>485</v>
      </c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>
        <v>240</v>
      </c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</row>
    <row r="769">
      <c r="A769" s="2" t="s">
        <v>4710</v>
      </c>
      <c r="B769" s="2" t="s">
        <v>827</v>
      </c>
      <c r="C769" s="2" t="s">
        <v>231</v>
      </c>
      <c r="D769" s="2" t="s">
        <v>828</v>
      </c>
      <c r="E769" s="2" t="s">
        <v>863</v>
      </c>
      <c r="F769" s="2" t="s">
        <v>4641</v>
      </c>
      <c r="G769" s="2" t="s">
        <v>4642</v>
      </c>
      <c r="H769" s="2" t="s">
        <v>4643</v>
      </c>
      <c r="I769" s="2" t="s">
        <v>4678</v>
      </c>
      <c r="J769" s="2" t="s">
        <v>4683</v>
      </c>
      <c r="K769" s="2" t="s">
        <v>257</v>
      </c>
      <c r="L769" s="3">
        <v>32</v>
      </c>
      <c r="M769" s="3">
        <v>33.6</v>
      </c>
      <c r="N769" s="3">
        <v>69.99</v>
      </c>
      <c r="O769" s="2" t="s">
        <v>212</v>
      </c>
      <c r="P769" s="2" t="s">
        <v>285</v>
      </c>
      <c r="Q769" s="2" t="s">
        <v>206</v>
      </c>
      <c r="R769" s="2" t="s">
        <v>200</v>
      </c>
      <c r="S769" s="2" t="s">
        <v>4701</v>
      </c>
      <c r="T769" s="2" t="s">
        <v>378</v>
      </c>
      <c r="U769" s="2" t="s">
        <v>270</v>
      </c>
      <c r="V769" s="2" t="s">
        <v>208</v>
      </c>
      <c r="W769" s="2" t="s">
        <v>241</v>
      </c>
      <c r="X769" s="2" t="s">
        <v>200</v>
      </c>
      <c r="Y769" s="2" t="s">
        <v>3669</v>
      </c>
      <c r="Z769" s="4">
        <v>11</v>
      </c>
      <c r="AA769" s="4">
        <f>=ROUNDDOWN(1.25,0)</f>
      </c>
      <c r="AB769" s="5">
        <v>8.8</v>
      </c>
      <c r="AC769" s="2" t="s">
        <v>200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200</v>
      </c>
      <c r="AM769" s="4"/>
      <c r="AN769" s="4"/>
      <c r="AO769" s="7"/>
      <c r="AP769" s="4"/>
      <c r="AQ769" s="8"/>
      <c r="AR769" s="4"/>
      <c r="AS769" s="8"/>
      <c r="AT769" s="7"/>
      <c r="AU769" s="7"/>
      <c r="AV769" s="4" t="s">
        <v>200</v>
      </c>
      <c r="AW769" s="8" t="s">
        <v>200</v>
      </c>
      <c r="AX769" s="4" t="s">
        <v>200</v>
      </c>
      <c r="AY769" s="8" t="s">
        <v>200</v>
      </c>
      <c r="AZ769" s="7" t="s">
        <v>200</v>
      </c>
      <c r="BA769" s="7" t="s">
        <v>200</v>
      </c>
      <c r="BB769" s="7"/>
      <c r="BC769" s="4" t="s">
        <v>200</v>
      </c>
      <c r="BD769" s="8" t="s">
        <v>200</v>
      </c>
      <c r="BE769" s="4" t="s">
        <v>200</v>
      </c>
      <c r="BF769" s="8" t="s">
        <v>200</v>
      </c>
      <c r="BG769" s="7" t="s">
        <v>200</v>
      </c>
      <c r="BH769" s="7" t="s">
        <v>200</v>
      </c>
      <c r="BI769" s="7"/>
      <c r="BJ769" s="4">
        <v>26</v>
      </c>
      <c r="BK769" s="8">
        <v>636.74</v>
      </c>
      <c r="BL769" s="2" t="s">
        <v>4186</v>
      </c>
      <c r="BM769" s="7"/>
      <c r="BN769" s="7"/>
      <c r="BO769" s="4"/>
      <c r="BP769" s="8"/>
      <c r="BQ769" s="4"/>
      <c r="BR769" s="8"/>
      <c r="BS769" s="7"/>
      <c r="BT769" s="7"/>
      <c r="BU769" s="2" t="s">
        <v>4711</v>
      </c>
      <c r="BV769" s="2" t="s">
        <v>200</v>
      </c>
      <c r="BW769" s="2" t="s">
        <v>200</v>
      </c>
      <c r="BX769" s="2" t="s">
        <v>289</v>
      </c>
      <c r="BY769" s="2" t="s">
        <v>247</v>
      </c>
      <c r="BZ769" s="2" t="s">
        <v>212</v>
      </c>
      <c r="CA769" s="2" t="s">
        <v>2752</v>
      </c>
      <c r="CB769" s="2" t="s">
        <v>4712</v>
      </c>
      <c r="CC769" s="2" t="s">
        <v>213</v>
      </c>
      <c r="CD769" s="2" t="s">
        <v>200</v>
      </c>
      <c r="CE769" s="4">
        <v>11</v>
      </c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</row>
    <row r="770">
      <c r="A770" s="2" t="s">
        <v>4713</v>
      </c>
      <c r="B770" s="2" t="s">
        <v>903</v>
      </c>
      <c r="C770" s="2" t="s">
        <v>1523</v>
      </c>
      <c r="D770" s="2" t="s">
        <v>608</v>
      </c>
      <c r="E770" s="2" t="s">
        <v>609</v>
      </c>
      <c r="F770" s="2" t="s">
        <v>4714</v>
      </c>
      <c r="G770" s="2" t="s">
        <v>4714</v>
      </c>
      <c r="H770" s="2" t="s">
        <v>4714</v>
      </c>
      <c r="I770" s="2" t="s">
        <v>4715</v>
      </c>
      <c r="J770" s="2" t="s">
        <v>236</v>
      </c>
      <c r="K770" s="2" t="s">
        <v>1174</v>
      </c>
      <c r="L770" s="3">
        <v>204.28</v>
      </c>
      <c r="M770" s="3">
        <v>214.49</v>
      </c>
      <c r="N770" s="3">
        <v>599.99</v>
      </c>
      <c r="O770" s="2" t="s">
        <v>212</v>
      </c>
      <c r="P770" s="2" t="s">
        <v>258</v>
      </c>
      <c r="Q770" s="2" t="s">
        <v>206</v>
      </c>
      <c r="R770" s="2" t="s">
        <v>200</v>
      </c>
      <c r="S770" s="2" t="s">
        <v>200</v>
      </c>
      <c r="T770" s="2" t="s">
        <v>200</v>
      </c>
      <c r="U770" s="2" t="s">
        <v>240</v>
      </c>
      <c r="V770" s="2" t="s">
        <v>4716</v>
      </c>
      <c r="W770" s="2" t="s">
        <v>736</v>
      </c>
      <c r="X770" s="2" t="s">
        <v>200</v>
      </c>
      <c r="Y770" s="2" t="s">
        <v>4717</v>
      </c>
      <c r="Z770" s="4">
        <v>107</v>
      </c>
      <c r="AA770" s="4">
        <f>=ROUNDDOWN(34.5161290322581,0)</f>
      </c>
      <c r="AB770" s="5">
        <v>3.1</v>
      </c>
      <c r="AC770" s="2" t="s">
        <v>200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200</v>
      </c>
      <c r="AM770" s="4"/>
      <c r="AN770" s="4"/>
      <c r="AO770" s="7"/>
      <c r="AP770" s="4"/>
      <c r="AQ770" s="8"/>
      <c r="AR770" s="4"/>
      <c r="AS770" s="8"/>
      <c r="AT770" s="7"/>
      <c r="AU770" s="7"/>
      <c r="AV770" s="4"/>
      <c r="AW770" s="8"/>
      <c r="AX770" s="4"/>
      <c r="AY770" s="8"/>
      <c r="AZ770" s="7"/>
      <c r="BA770" s="7"/>
      <c r="BB770" s="7"/>
      <c r="BC770" s="4"/>
      <c r="BD770" s="8"/>
      <c r="BE770" s="4"/>
      <c r="BF770" s="8"/>
      <c r="BG770" s="7"/>
      <c r="BH770" s="7"/>
      <c r="BI770" s="7"/>
      <c r="BJ770" s="4">
        <v>14</v>
      </c>
      <c r="BK770" s="8">
        <v>3247.4</v>
      </c>
      <c r="BL770" s="2" t="s">
        <v>4718</v>
      </c>
      <c r="BM770" s="7"/>
      <c r="BN770" s="7"/>
      <c r="BO770" s="4"/>
      <c r="BP770" s="8"/>
      <c r="BQ770" s="4"/>
      <c r="BR770" s="8"/>
      <c r="BS770" s="7"/>
      <c r="BT770" s="7"/>
      <c r="BU770" s="2" t="s">
        <v>4719</v>
      </c>
      <c r="BV770" s="2" t="s">
        <v>200</v>
      </c>
      <c r="BW770" s="2" t="s">
        <v>200</v>
      </c>
      <c r="BX770" s="2" t="s">
        <v>620</v>
      </c>
      <c r="BY770" s="2" t="s">
        <v>247</v>
      </c>
      <c r="BZ770" s="2" t="s">
        <v>212</v>
      </c>
      <c r="CA770" s="2" t="s">
        <v>2529</v>
      </c>
      <c r="CB770" s="2" t="s">
        <v>955</v>
      </c>
      <c r="CC770" s="2" t="s">
        <v>213</v>
      </c>
      <c r="CD770" s="2" t="s">
        <v>200</v>
      </c>
      <c r="CE770" s="4">
        <v>107</v>
      </c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</row>
    <row r="771">
      <c r="A771" s="2" t="s">
        <v>4720</v>
      </c>
      <c r="B771" s="2" t="s">
        <v>744</v>
      </c>
      <c r="C771" s="2" t="s">
        <v>231</v>
      </c>
      <c r="D771" s="2" t="s">
        <v>1462</v>
      </c>
      <c r="E771" s="2" t="s">
        <v>1463</v>
      </c>
      <c r="F771" s="2" t="s">
        <v>4721</v>
      </c>
      <c r="G771" s="2" t="s">
        <v>4722</v>
      </c>
      <c r="H771" s="2" t="s">
        <v>4723</v>
      </c>
      <c r="I771" s="2" t="s">
        <v>4724</v>
      </c>
      <c r="J771" s="2" t="s">
        <v>711</v>
      </c>
      <c r="K771" s="2" t="s">
        <v>221</v>
      </c>
      <c r="L771" s="3">
        <v>142.6</v>
      </c>
      <c r="M771" s="3">
        <v>149.73</v>
      </c>
      <c r="N771" s="3">
        <v>299</v>
      </c>
      <c r="O771" s="2" t="s">
        <v>212</v>
      </c>
      <c r="P771" s="2" t="s">
        <v>285</v>
      </c>
      <c r="Q771" s="2" t="s">
        <v>206</v>
      </c>
      <c r="R771" s="2" t="s">
        <v>200</v>
      </c>
      <c r="S771" s="2" t="s">
        <v>4725</v>
      </c>
      <c r="T771" s="2" t="s">
        <v>200</v>
      </c>
      <c r="U771" s="2" t="s">
        <v>200</v>
      </c>
      <c r="V771" s="2" t="s">
        <v>208</v>
      </c>
      <c r="W771" s="2" t="s">
        <v>379</v>
      </c>
      <c r="X771" s="2" t="s">
        <v>200</v>
      </c>
      <c r="Y771" s="2" t="s">
        <v>261</v>
      </c>
      <c r="Z771" s="4">
        <v>141</v>
      </c>
      <c r="AA771" s="4">
        <f>=ROUNDDOWN(44.0625,0)</f>
      </c>
      <c r="AB771" s="5">
        <v>3.2</v>
      </c>
      <c r="AC771" s="2" t="s">
        <v>200</v>
      </c>
      <c r="AD771" s="4"/>
      <c r="AE771" s="4"/>
      <c r="AF771" s="6">
        <v>76</v>
      </c>
      <c r="AG771" s="6"/>
      <c r="AH771" s="7">
        <v>1</v>
      </c>
      <c r="AI771" s="4"/>
      <c r="AJ771" s="4">
        <f>=ROUNDDOWN({0},0)</f>
      </c>
      <c r="AK771" s="5"/>
      <c r="AL771" s="2" t="s">
        <v>200</v>
      </c>
      <c r="AM771" s="4"/>
      <c r="AN771" s="4"/>
      <c r="AO771" s="7"/>
      <c r="AP771" s="4"/>
      <c r="AQ771" s="8"/>
      <c r="AR771" s="4"/>
      <c r="AS771" s="8"/>
      <c r="AT771" s="7"/>
      <c r="AU771" s="7"/>
      <c r="AV771" s="4"/>
      <c r="AW771" s="8"/>
      <c r="AX771" s="4"/>
      <c r="AY771" s="8"/>
      <c r="AZ771" s="7"/>
      <c r="BA771" s="7"/>
      <c r="BB771" s="7"/>
      <c r="BC771" s="4"/>
      <c r="BD771" s="8"/>
      <c r="BE771" s="4"/>
      <c r="BF771" s="8"/>
      <c r="BG771" s="7"/>
      <c r="BH771" s="7"/>
      <c r="BI771" s="7"/>
      <c r="BJ771" s="4">
        <v>13</v>
      </c>
      <c r="BK771" s="8">
        <v>1109.31</v>
      </c>
      <c r="BL771" s="2" t="s">
        <v>4726</v>
      </c>
      <c r="BM771" s="7"/>
      <c r="BN771" s="7"/>
      <c r="BO771" s="4"/>
      <c r="BP771" s="8"/>
      <c r="BQ771" s="4"/>
      <c r="BR771" s="8"/>
      <c r="BS771" s="7"/>
      <c r="BT771" s="7"/>
      <c r="BU771" s="2" t="s">
        <v>4727</v>
      </c>
      <c r="BV771" s="2" t="s">
        <v>200</v>
      </c>
      <c r="BW771" s="2" t="s">
        <v>200</v>
      </c>
      <c r="BX771" s="2" t="s">
        <v>289</v>
      </c>
      <c r="BY771" s="2" t="s">
        <v>247</v>
      </c>
      <c r="BZ771" s="2" t="s">
        <v>212</v>
      </c>
      <c r="CA771" s="2" t="s">
        <v>265</v>
      </c>
      <c r="CB771" s="2" t="s">
        <v>3004</v>
      </c>
      <c r="CC771" s="2" t="s">
        <v>213</v>
      </c>
      <c r="CD771" s="2" t="s">
        <v>200</v>
      </c>
      <c r="CE771" s="4"/>
      <c r="CF771" s="4">
        <v>141</v>
      </c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</row>
    <row r="772">
      <c r="A772" s="2" t="s">
        <v>4728</v>
      </c>
      <c r="B772" s="2" t="s">
        <v>705</v>
      </c>
      <c r="C772" s="2" t="s">
        <v>745</v>
      </c>
      <c r="D772" s="2" t="s">
        <v>707</v>
      </c>
      <c r="E772" s="2" t="s">
        <v>708</v>
      </c>
      <c r="F772" s="2" t="s">
        <v>4729</v>
      </c>
      <c r="G772" s="2" t="s">
        <v>4729</v>
      </c>
      <c r="H772" s="2" t="s">
        <v>4729</v>
      </c>
      <c r="I772" s="2" t="s">
        <v>4730</v>
      </c>
      <c r="J772" s="2" t="s">
        <v>711</v>
      </c>
      <c r="K772" s="2" t="s">
        <v>4428</v>
      </c>
      <c r="L772" s="3">
        <v>34.96</v>
      </c>
      <c r="M772" s="3">
        <v>36.71</v>
      </c>
      <c r="N772" s="3">
        <v>79.99</v>
      </c>
      <c r="O772" s="2" t="s">
        <v>460</v>
      </c>
      <c r="P772" s="2" t="s">
        <v>285</v>
      </c>
      <c r="Q772" s="2" t="s">
        <v>206</v>
      </c>
      <c r="R772" s="2" t="s">
        <v>200</v>
      </c>
      <c r="S772" s="2" t="s">
        <v>200</v>
      </c>
      <c r="T772" s="2" t="s">
        <v>200</v>
      </c>
      <c r="U772" s="2" t="s">
        <v>270</v>
      </c>
      <c r="V772" s="2" t="s">
        <v>616</v>
      </c>
      <c r="W772" s="2" t="s">
        <v>379</v>
      </c>
      <c r="X772" s="2" t="s">
        <v>712</v>
      </c>
      <c r="Y772" s="2" t="s">
        <v>428</v>
      </c>
      <c r="Z772" s="4">
        <v>97</v>
      </c>
      <c r="AA772" s="4">
        <f>=ROUNDDOWN({0},0)</f>
      </c>
      <c r="AB772" s="5"/>
      <c r="AC772" s="2" t="s">
        <v>200</v>
      </c>
      <c r="AD772" s="4"/>
      <c r="AE772" s="4"/>
      <c r="AF772" s="6">
        <v>63</v>
      </c>
      <c r="AG772" s="6"/>
      <c r="AH772" s="7">
        <v>0.9</v>
      </c>
      <c r="AI772" s="4"/>
      <c r="AJ772" s="4">
        <f>=ROUNDDOWN({0},0)</f>
      </c>
      <c r="AK772" s="5"/>
      <c r="AL772" s="2" t="s">
        <v>200</v>
      </c>
      <c r="AM772" s="4"/>
      <c r="AN772" s="4"/>
      <c r="AO772" s="7"/>
      <c r="AP772" s="4"/>
      <c r="AQ772" s="8"/>
      <c r="AR772" s="4"/>
      <c r="AS772" s="8"/>
      <c r="AT772" s="7"/>
      <c r="AU772" s="7"/>
      <c r="AV772" s="4"/>
      <c r="AW772" s="8"/>
      <c r="AX772" s="4"/>
      <c r="AY772" s="8"/>
      <c r="AZ772" s="7"/>
      <c r="BA772" s="7"/>
      <c r="BB772" s="7"/>
      <c r="BC772" s="4"/>
      <c r="BD772" s="8"/>
      <c r="BE772" s="4"/>
      <c r="BF772" s="8"/>
      <c r="BG772" s="7"/>
      <c r="BH772" s="7"/>
      <c r="BI772" s="7"/>
      <c r="BJ772" s="4"/>
      <c r="BK772" s="8"/>
      <c r="BL772" s="2" t="s">
        <v>200</v>
      </c>
      <c r="BM772" s="7"/>
      <c r="BN772" s="7"/>
      <c r="BO772" s="4"/>
      <c r="BP772" s="8"/>
      <c r="BQ772" s="4"/>
      <c r="BR772" s="8"/>
      <c r="BS772" s="7"/>
      <c r="BT772" s="7"/>
      <c r="BU772" s="2" t="s">
        <v>4731</v>
      </c>
      <c r="BV772" s="2" t="s">
        <v>200</v>
      </c>
      <c r="BW772" s="2" t="s">
        <v>200</v>
      </c>
      <c r="BX772" s="2" t="s">
        <v>289</v>
      </c>
      <c r="BY772" s="2" t="s">
        <v>247</v>
      </c>
      <c r="BZ772" s="2" t="s">
        <v>212</v>
      </c>
      <c r="CA772" s="2" t="s">
        <v>3773</v>
      </c>
      <c r="CB772" s="2" t="s">
        <v>200</v>
      </c>
      <c r="CC772" s="2" t="s">
        <v>213</v>
      </c>
      <c r="CD772" s="2" t="s">
        <v>200</v>
      </c>
      <c r="CE772" s="4"/>
      <c r="CF772" s="4">
        <v>97</v>
      </c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</row>
    <row r="773">
      <c r="A773" s="2" t="s">
        <v>4732</v>
      </c>
      <c r="B773" s="2" t="s">
        <v>195</v>
      </c>
      <c r="C773" s="2" t="s">
        <v>413</v>
      </c>
      <c r="D773" s="2" t="s">
        <v>197</v>
      </c>
      <c r="E773" s="2" t="s">
        <v>198</v>
      </c>
      <c r="F773" s="2" t="s">
        <v>4733</v>
      </c>
      <c r="G773" s="2" t="s">
        <v>4733</v>
      </c>
      <c r="H773" s="2" t="s">
        <v>4733</v>
      </c>
      <c r="I773" s="2" t="s">
        <v>4734</v>
      </c>
      <c r="J773" s="2" t="s">
        <v>612</v>
      </c>
      <c r="K773" s="2" t="s">
        <v>2163</v>
      </c>
      <c r="L773" s="3">
        <v>27.6</v>
      </c>
      <c r="M773" s="3">
        <v>28.98</v>
      </c>
      <c r="N773" s="3">
        <v>59.99</v>
      </c>
      <c r="O773" s="2" t="s">
        <v>212</v>
      </c>
      <c r="P773" s="2" t="s">
        <v>258</v>
      </c>
      <c r="Q773" s="2" t="s">
        <v>206</v>
      </c>
      <c r="R773" s="2" t="s">
        <v>200</v>
      </c>
      <c r="S773" s="2" t="s">
        <v>4735</v>
      </c>
      <c r="T773" s="2" t="s">
        <v>312</v>
      </c>
      <c r="U773" s="2" t="s">
        <v>270</v>
      </c>
      <c r="V773" s="2" t="s">
        <v>208</v>
      </c>
      <c r="W773" s="2" t="s">
        <v>241</v>
      </c>
      <c r="X773" s="2" t="s">
        <v>313</v>
      </c>
      <c r="Y773" s="2" t="s">
        <v>4736</v>
      </c>
      <c r="Z773" s="4">
        <v>221</v>
      </c>
      <c r="AA773" s="4">
        <f>=ROUNDDOWN(36.8333333333333,0)</f>
      </c>
      <c r="AB773" s="5">
        <v>6</v>
      </c>
      <c r="AC773" s="2" t="s">
        <v>122</v>
      </c>
      <c r="AD773" s="4">
        <v>178</v>
      </c>
      <c r="AE773" s="4">
        <v>178</v>
      </c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200</v>
      </c>
      <c r="AM773" s="4"/>
      <c r="AN773" s="4"/>
      <c r="AO773" s="7"/>
      <c r="AP773" s="4"/>
      <c r="AQ773" s="8"/>
      <c r="AR773" s="4"/>
      <c r="AS773" s="8"/>
      <c r="AT773" s="7"/>
      <c r="AU773" s="7"/>
      <c r="AV773" s="4" t="s">
        <v>200</v>
      </c>
      <c r="AW773" s="8" t="s">
        <v>200</v>
      </c>
      <c r="AX773" s="4" t="s">
        <v>200</v>
      </c>
      <c r="AY773" s="8" t="s">
        <v>200</v>
      </c>
      <c r="AZ773" s="7" t="s">
        <v>200</v>
      </c>
      <c r="BA773" s="7" t="s">
        <v>200</v>
      </c>
      <c r="BB773" s="7"/>
      <c r="BC773" s="4" t="s">
        <v>200</v>
      </c>
      <c r="BD773" s="8" t="s">
        <v>200</v>
      </c>
      <c r="BE773" s="4" t="s">
        <v>200</v>
      </c>
      <c r="BF773" s="8" t="s">
        <v>200</v>
      </c>
      <c r="BG773" s="7" t="s">
        <v>200</v>
      </c>
      <c r="BH773" s="7" t="s">
        <v>200</v>
      </c>
      <c r="BI773" s="7"/>
      <c r="BJ773" s="4">
        <v>24</v>
      </c>
      <c r="BK773" s="8">
        <v>724.69</v>
      </c>
      <c r="BL773" s="2" t="s">
        <v>4737</v>
      </c>
      <c r="BM773" s="7"/>
      <c r="BN773" s="7"/>
      <c r="BO773" s="4"/>
      <c r="BP773" s="8"/>
      <c r="BQ773" s="4"/>
      <c r="BR773" s="8"/>
      <c r="BS773" s="7"/>
      <c r="BT773" s="7"/>
      <c r="BU773" s="2" t="s">
        <v>4738</v>
      </c>
      <c r="BV773" s="2" t="s">
        <v>200</v>
      </c>
      <c r="BW773" s="2" t="s">
        <v>200</v>
      </c>
      <c r="BX773" s="2" t="s">
        <v>264</v>
      </c>
      <c r="BY773" s="2" t="s">
        <v>247</v>
      </c>
      <c r="BZ773" s="2" t="s">
        <v>212</v>
      </c>
      <c r="CA773" s="2" t="s">
        <v>4739</v>
      </c>
      <c r="CB773" s="2" t="s">
        <v>4740</v>
      </c>
      <c r="CC773" s="2" t="s">
        <v>213</v>
      </c>
      <c r="CD773" s="2" t="s">
        <v>200</v>
      </c>
      <c r="CE773" s="4">
        <v>221</v>
      </c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>
        <v>178</v>
      </c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</row>
    <row r="774">
      <c r="A774" s="2" t="s">
        <v>4741</v>
      </c>
      <c r="B774" s="2" t="s">
        <v>195</v>
      </c>
      <c r="C774" s="2" t="s">
        <v>413</v>
      </c>
      <c r="D774" s="2" t="s">
        <v>197</v>
      </c>
      <c r="E774" s="2" t="s">
        <v>198</v>
      </c>
      <c r="F774" s="2" t="s">
        <v>4733</v>
      </c>
      <c r="G774" s="2" t="s">
        <v>4733</v>
      </c>
      <c r="H774" s="2" t="s">
        <v>4733</v>
      </c>
      <c r="I774" s="2" t="s">
        <v>4734</v>
      </c>
      <c r="J774" s="2" t="s">
        <v>302</v>
      </c>
      <c r="K774" s="2" t="s">
        <v>2163</v>
      </c>
      <c r="L774" s="3">
        <v>32.9</v>
      </c>
      <c r="M774" s="3">
        <v>34.55</v>
      </c>
      <c r="N774" s="3">
        <v>69.99</v>
      </c>
      <c r="O774" s="2" t="s">
        <v>212</v>
      </c>
      <c r="P774" s="2" t="s">
        <v>258</v>
      </c>
      <c r="Q774" s="2" t="s">
        <v>206</v>
      </c>
      <c r="R774" s="2" t="s">
        <v>200</v>
      </c>
      <c r="S774" s="2" t="s">
        <v>4735</v>
      </c>
      <c r="T774" s="2" t="s">
        <v>312</v>
      </c>
      <c r="U774" s="2" t="s">
        <v>270</v>
      </c>
      <c r="V774" s="2" t="s">
        <v>208</v>
      </c>
      <c r="W774" s="2" t="s">
        <v>241</v>
      </c>
      <c r="X774" s="2" t="s">
        <v>313</v>
      </c>
      <c r="Y774" s="2" t="s">
        <v>4736</v>
      </c>
      <c r="Z774" s="4">
        <v>313</v>
      </c>
      <c r="AA774" s="4">
        <f>=ROUNDDOWN(44.7142857142857,0)</f>
      </c>
      <c r="AB774" s="5">
        <v>7</v>
      </c>
      <c r="AC774" s="2" t="s">
        <v>122</v>
      </c>
      <c r="AD774" s="4">
        <v>194</v>
      </c>
      <c r="AE774" s="4">
        <v>194</v>
      </c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200</v>
      </c>
      <c r="AM774" s="4"/>
      <c r="AN774" s="4"/>
      <c r="AO774" s="7"/>
      <c r="AP774" s="4"/>
      <c r="AQ774" s="8"/>
      <c r="AR774" s="4"/>
      <c r="AS774" s="8"/>
      <c r="AT774" s="7"/>
      <c r="AU774" s="7"/>
      <c r="AV774" s="4" t="s">
        <v>200</v>
      </c>
      <c r="AW774" s="8" t="s">
        <v>200</v>
      </c>
      <c r="AX774" s="4" t="s">
        <v>200</v>
      </c>
      <c r="AY774" s="8" t="s">
        <v>200</v>
      </c>
      <c r="AZ774" s="7" t="s">
        <v>200</v>
      </c>
      <c r="BA774" s="7" t="s">
        <v>200</v>
      </c>
      <c r="BB774" s="7"/>
      <c r="BC774" s="4" t="s">
        <v>200</v>
      </c>
      <c r="BD774" s="8" t="s">
        <v>200</v>
      </c>
      <c r="BE774" s="4" t="s">
        <v>200</v>
      </c>
      <c r="BF774" s="8" t="s">
        <v>200</v>
      </c>
      <c r="BG774" s="7" t="s">
        <v>200</v>
      </c>
      <c r="BH774" s="7" t="s">
        <v>200</v>
      </c>
      <c r="BI774" s="7"/>
      <c r="BJ774" s="4">
        <v>29</v>
      </c>
      <c r="BK774" s="8">
        <v>1016.98</v>
      </c>
      <c r="BL774" s="2" t="s">
        <v>4742</v>
      </c>
      <c r="BM774" s="7"/>
      <c r="BN774" s="7"/>
      <c r="BO774" s="4"/>
      <c r="BP774" s="8"/>
      <c r="BQ774" s="4"/>
      <c r="BR774" s="8"/>
      <c r="BS774" s="7"/>
      <c r="BT774" s="7"/>
      <c r="BU774" s="2" t="s">
        <v>4743</v>
      </c>
      <c r="BV774" s="2" t="s">
        <v>200</v>
      </c>
      <c r="BW774" s="2" t="s">
        <v>200</v>
      </c>
      <c r="BX774" s="2" t="s">
        <v>264</v>
      </c>
      <c r="BY774" s="2" t="s">
        <v>247</v>
      </c>
      <c r="BZ774" s="2" t="s">
        <v>212</v>
      </c>
      <c r="CA774" s="2" t="s">
        <v>4739</v>
      </c>
      <c r="CB774" s="2" t="s">
        <v>473</v>
      </c>
      <c r="CC774" s="2" t="s">
        <v>213</v>
      </c>
      <c r="CD774" s="2" t="s">
        <v>200</v>
      </c>
      <c r="CE774" s="4">
        <v>313</v>
      </c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>
        <v>194</v>
      </c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</row>
    <row r="775">
      <c r="A775" s="2" t="s">
        <v>4744</v>
      </c>
      <c r="B775" s="2" t="s">
        <v>903</v>
      </c>
      <c r="C775" s="2" t="s">
        <v>1211</v>
      </c>
      <c r="D775" s="2" t="s">
        <v>1818</v>
      </c>
      <c r="E775" s="2" t="s">
        <v>2020</v>
      </c>
      <c r="F775" s="2" t="s">
        <v>4745</v>
      </c>
      <c r="G775" s="2" t="s">
        <v>4745</v>
      </c>
      <c r="H775" s="2" t="s">
        <v>4745</v>
      </c>
      <c r="I775" s="2" t="s">
        <v>4746</v>
      </c>
      <c r="J775" s="2" t="s">
        <v>612</v>
      </c>
      <c r="K775" s="2" t="s">
        <v>203</v>
      </c>
      <c r="L775" s="3">
        <v>68.09</v>
      </c>
      <c r="M775" s="3">
        <v>71.49</v>
      </c>
      <c r="N775" s="3">
        <v>199.99</v>
      </c>
      <c r="O775" s="2" t="s">
        <v>212</v>
      </c>
      <c r="P775" s="2" t="s">
        <v>285</v>
      </c>
      <c r="Q775" s="2" t="s">
        <v>206</v>
      </c>
      <c r="R775" s="2" t="s">
        <v>200</v>
      </c>
      <c r="S775" s="2" t="s">
        <v>200</v>
      </c>
      <c r="T775" s="2" t="s">
        <v>312</v>
      </c>
      <c r="U775" s="2" t="s">
        <v>200</v>
      </c>
      <c r="V775" s="2" t="s">
        <v>208</v>
      </c>
      <c r="W775" s="2" t="s">
        <v>379</v>
      </c>
      <c r="X775" s="2" t="s">
        <v>200</v>
      </c>
      <c r="Y775" s="2" t="s">
        <v>1215</v>
      </c>
      <c r="Z775" s="4">
        <v>38</v>
      </c>
      <c r="AA775" s="4">
        <f>=ROUNDDOWN(38,0)</f>
      </c>
      <c r="AB775" s="5">
        <v>1</v>
      </c>
      <c r="AC775" s="2" t="s">
        <v>200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200</v>
      </c>
      <c r="AM775" s="4"/>
      <c r="AN775" s="4"/>
      <c r="AO775" s="7"/>
      <c r="AP775" s="4"/>
      <c r="AQ775" s="8"/>
      <c r="AR775" s="4"/>
      <c r="AS775" s="8"/>
      <c r="AT775" s="7"/>
      <c r="AU775" s="7"/>
      <c r="AV775" s="4"/>
      <c r="AW775" s="8"/>
      <c r="AX775" s="4"/>
      <c r="AY775" s="8"/>
      <c r="AZ775" s="7"/>
      <c r="BA775" s="7"/>
      <c r="BB775" s="7"/>
      <c r="BC775" s="4" t="s">
        <v>200</v>
      </c>
      <c r="BD775" s="8" t="s">
        <v>200</v>
      </c>
      <c r="BE775" s="4" t="s">
        <v>200</v>
      </c>
      <c r="BF775" s="8" t="s">
        <v>200</v>
      </c>
      <c r="BG775" s="7" t="s">
        <v>200</v>
      </c>
      <c r="BH775" s="7" t="s">
        <v>200</v>
      </c>
      <c r="BI775" s="7"/>
      <c r="BJ775" s="4">
        <v>7</v>
      </c>
      <c r="BK775" s="8">
        <v>337.29</v>
      </c>
      <c r="BL775" s="2" t="s">
        <v>4747</v>
      </c>
      <c r="BM775" s="7"/>
      <c r="BN775" s="7"/>
      <c r="BO775" s="4"/>
      <c r="BP775" s="8"/>
      <c r="BQ775" s="4"/>
      <c r="BR775" s="8"/>
      <c r="BS775" s="7"/>
      <c r="BT775" s="7"/>
      <c r="BU775" s="2" t="s">
        <v>4748</v>
      </c>
      <c r="BV775" s="2" t="s">
        <v>200</v>
      </c>
      <c r="BW775" s="2" t="s">
        <v>200</v>
      </c>
      <c r="BX775" s="2" t="s">
        <v>289</v>
      </c>
      <c r="BY775" s="2" t="s">
        <v>247</v>
      </c>
      <c r="BZ775" s="2" t="s">
        <v>212</v>
      </c>
      <c r="CA775" s="2" t="s">
        <v>4521</v>
      </c>
      <c r="CB775" s="2" t="s">
        <v>2084</v>
      </c>
      <c r="CC775" s="2" t="s">
        <v>213</v>
      </c>
      <c r="CD775" s="2" t="s">
        <v>200</v>
      </c>
      <c r="CE775" s="4">
        <v>38</v>
      </c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</row>
    <row r="776">
      <c r="A776" s="2" t="s">
        <v>4749</v>
      </c>
      <c r="B776" s="2" t="s">
        <v>903</v>
      </c>
      <c r="C776" s="2" t="s">
        <v>1211</v>
      </c>
      <c r="D776" s="2" t="s">
        <v>2228</v>
      </c>
      <c r="E776" s="2" t="s">
        <v>2229</v>
      </c>
      <c r="F776" s="2" t="s">
        <v>4745</v>
      </c>
      <c r="G776" s="2" t="s">
        <v>4745</v>
      </c>
      <c r="H776" s="2" t="s">
        <v>4745</v>
      </c>
      <c r="I776" s="2" t="s">
        <v>2850</v>
      </c>
      <c r="J776" s="2" t="s">
        <v>2175</v>
      </c>
      <c r="K776" s="2" t="s">
        <v>221</v>
      </c>
      <c r="L776" s="3">
        <v>15.48</v>
      </c>
      <c r="M776" s="3">
        <v>16.25</v>
      </c>
      <c r="N776" s="3">
        <v>49.99</v>
      </c>
      <c r="O776" s="2" t="s">
        <v>212</v>
      </c>
      <c r="P776" s="2" t="s">
        <v>285</v>
      </c>
      <c r="Q776" s="2" t="s">
        <v>206</v>
      </c>
      <c r="R776" s="2" t="s">
        <v>200</v>
      </c>
      <c r="S776" s="2" t="s">
        <v>200</v>
      </c>
      <c r="T776" s="2" t="s">
        <v>312</v>
      </c>
      <c r="U776" s="2" t="s">
        <v>200</v>
      </c>
      <c r="V776" s="2" t="s">
        <v>208</v>
      </c>
      <c r="W776" s="2" t="s">
        <v>379</v>
      </c>
      <c r="X776" s="2" t="s">
        <v>200</v>
      </c>
      <c r="Y776" s="2" t="s">
        <v>1215</v>
      </c>
      <c r="Z776" s="4">
        <v>13</v>
      </c>
      <c r="AA776" s="4">
        <f>=ROUNDDOWN(6.5,0)</f>
      </c>
      <c r="AB776" s="5">
        <v>2</v>
      </c>
      <c r="AC776" s="2" t="s">
        <v>200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200</v>
      </c>
      <c r="AM776" s="4"/>
      <c r="AN776" s="4"/>
      <c r="AO776" s="7"/>
      <c r="AP776" s="4"/>
      <c r="AQ776" s="8"/>
      <c r="AR776" s="4"/>
      <c r="AS776" s="8"/>
      <c r="AT776" s="7"/>
      <c r="AU776" s="7"/>
      <c r="AV776" s="4"/>
      <c r="AW776" s="8"/>
      <c r="AX776" s="4"/>
      <c r="AY776" s="8"/>
      <c r="AZ776" s="7"/>
      <c r="BA776" s="7"/>
      <c r="BB776" s="7"/>
      <c r="BC776" s="4" t="s">
        <v>200</v>
      </c>
      <c r="BD776" s="8" t="s">
        <v>200</v>
      </c>
      <c r="BE776" s="4" t="s">
        <v>200</v>
      </c>
      <c r="BF776" s="8" t="s">
        <v>200</v>
      </c>
      <c r="BG776" s="7" t="s">
        <v>200</v>
      </c>
      <c r="BH776" s="7" t="s">
        <v>200</v>
      </c>
      <c r="BI776" s="7"/>
      <c r="BJ776" s="4">
        <v>3</v>
      </c>
      <c r="BK776" s="8">
        <v>48.75</v>
      </c>
      <c r="BL776" s="2" t="s">
        <v>4750</v>
      </c>
      <c r="BM776" s="7"/>
      <c r="BN776" s="7"/>
      <c r="BO776" s="4"/>
      <c r="BP776" s="8"/>
      <c r="BQ776" s="4"/>
      <c r="BR776" s="8"/>
      <c r="BS776" s="7"/>
      <c r="BT776" s="7"/>
      <c r="BU776" s="2" t="s">
        <v>4751</v>
      </c>
      <c r="BV776" s="2" t="s">
        <v>200</v>
      </c>
      <c r="BW776" s="2" t="s">
        <v>200</v>
      </c>
      <c r="BX776" s="2" t="s">
        <v>289</v>
      </c>
      <c r="BY776" s="2" t="s">
        <v>247</v>
      </c>
      <c r="BZ776" s="2" t="s">
        <v>212</v>
      </c>
      <c r="CA776" s="2" t="s">
        <v>1218</v>
      </c>
      <c r="CB776" s="2" t="s">
        <v>3018</v>
      </c>
      <c r="CC776" s="2" t="s">
        <v>213</v>
      </c>
      <c r="CD776" s="2" t="s">
        <v>200</v>
      </c>
      <c r="CE776" s="4">
        <v>13</v>
      </c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</row>
    <row r="777">
      <c r="A777" s="2" t="s">
        <v>4752</v>
      </c>
      <c r="B777" s="2" t="s">
        <v>903</v>
      </c>
      <c r="C777" s="2" t="s">
        <v>1211</v>
      </c>
      <c r="D777" s="2" t="s">
        <v>1818</v>
      </c>
      <c r="E777" s="2" t="s">
        <v>2020</v>
      </c>
      <c r="F777" s="2" t="s">
        <v>4745</v>
      </c>
      <c r="G777" s="2" t="s">
        <v>4745</v>
      </c>
      <c r="H777" s="2" t="s">
        <v>4745</v>
      </c>
      <c r="I777" s="2" t="s">
        <v>4753</v>
      </c>
      <c r="J777" s="2" t="s">
        <v>612</v>
      </c>
      <c r="K777" s="2" t="s">
        <v>4754</v>
      </c>
      <c r="L777" s="3">
        <v>68.09</v>
      </c>
      <c r="M777" s="3">
        <v>71.49</v>
      </c>
      <c r="N777" s="3">
        <v>199.99</v>
      </c>
      <c r="O777" s="2" t="s">
        <v>212</v>
      </c>
      <c r="P777" s="2" t="s">
        <v>285</v>
      </c>
      <c r="Q777" s="2" t="s">
        <v>206</v>
      </c>
      <c r="R777" s="2" t="s">
        <v>200</v>
      </c>
      <c r="S777" s="2" t="s">
        <v>200</v>
      </c>
      <c r="T777" s="2" t="s">
        <v>312</v>
      </c>
      <c r="U777" s="2" t="s">
        <v>200</v>
      </c>
      <c r="V777" s="2" t="s">
        <v>208</v>
      </c>
      <c r="W777" s="2" t="s">
        <v>379</v>
      </c>
      <c r="X777" s="2" t="s">
        <v>200</v>
      </c>
      <c r="Y777" s="2" t="s">
        <v>1215</v>
      </c>
      <c r="Z777" s="4">
        <v>41</v>
      </c>
      <c r="AA777" s="4">
        <f>=ROUNDDOWN(58.5714285714286,0)</f>
      </c>
      <c r="AB777" s="5">
        <v>0.7</v>
      </c>
      <c r="AC777" s="2" t="s">
        <v>200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200</v>
      </c>
      <c r="AM777" s="4"/>
      <c r="AN777" s="4"/>
      <c r="AO777" s="7"/>
      <c r="AP777" s="4"/>
      <c r="AQ777" s="8"/>
      <c r="AR777" s="4"/>
      <c r="AS777" s="8"/>
      <c r="AT777" s="7"/>
      <c r="AU777" s="7"/>
      <c r="AV777" s="4" t="s">
        <v>200</v>
      </c>
      <c r="AW777" s="8" t="s">
        <v>200</v>
      </c>
      <c r="AX777" s="4" t="s">
        <v>200</v>
      </c>
      <c r="AY777" s="8" t="s">
        <v>200</v>
      </c>
      <c r="AZ777" s="7" t="s">
        <v>200</v>
      </c>
      <c r="BA777" s="7" t="s">
        <v>200</v>
      </c>
      <c r="BB777" s="7"/>
      <c r="BC777" s="4" t="s">
        <v>200</v>
      </c>
      <c r="BD777" s="8" t="s">
        <v>200</v>
      </c>
      <c r="BE777" s="4" t="s">
        <v>200</v>
      </c>
      <c r="BF777" s="8" t="s">
        <v>200</v>
      </c>
      <c r="BG777" s="7" t="s">
        <v>200</v>
      </c>
      <c r="BH777" s="7" t="s">
        <v>200</v>
      </c>
      <c r="BI777" s="7"/>
      <c r="BJ777" s="4">
        <v>3</v>
      </c>
      <c r="BK777" s="8">
        <v>111.54</v>
      </c>
      <c r="BL777" s="2" t="s">
        <v>4519</v>
      </c>
      <c r="BM777" s="7"/>
      <c r="BN777" s="7"/>
      <c r="BO777" s="4"/>
      <c r="BP777" s="8"/>
      <c r="BQ777" s="4"/>
      <c r="BR777" s="8"/>
      <c r="BS777" s="7"/>
      <c r="BT777" s="7"/>
      <c r="BU777" s="2" t="s">
        <v>4755</v>
      </c>
      <c r="BV777" s="2" t="s">
        <v>200</v>
      </c>
      <c r="BW777" s="2" t="s">
        <v>200</v>
      </c>
      <c r="BX777" s="2" t="s">
        <v>289</v>
      </c>
      <c r="BY777" s="2" t="s">
        <v>247</v>
      </c>
      <c r="BZ777" s="2" t="s">
        <v>212</v>
      </c>
      <c r="CA777" s="2" t="s">
        <v>4521</v>
      </c>
      <c r="CB777" s="2" t="s">
        <v>4756</v>
      </c>
      <c r="CC777" s="2" t="s">
        <v>213</v>
      </c>
      <c r="CD777" s="2" t="s">
        <v>200</v>
      </c>
      <c r="CE777" s="4">
        <v>41</v>
      </c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</row>
    <row r="778">
      <c r="A778" s="2" t="s">
        <v>4757</v>
      </c>
      <c r="B778" s="2" t="s">
        <v>903</v>
      </c>
      <c r="C778" s="2" t="s">
        <v>1211</v>
      </c>
      <c r="D778" s="2" t="s">
        <v>2228</v>
      </c>
      <c r="E778" s="2" t="s">
        <v>2229</v>
      </c>
      <c r="F778" s="2" t="s">
        <v>4745</v>
      </c>
      <c r="G778" s="2" t="s">
        <v>4745</v>
      </c>
      <c r="H778" s="2" t="s">
        <v>4745</v>
      </c>
      <c r="I778" s="2" t="s">
        <v>2850</v>
      </c>
      <c r="J778" s="2" t="s">
        <v>2175</v>
      </c>
      <c r="K778" s="2" t="s">
        <v>4754</v>
      </c>
      <c r="L778" s="3">
        <v>15.48</v>
      </c>
      <c r="M778" s="3">
        <v>16.25</v>
      </c>
      <c r="N778" s="3">
        <v>49.99</v>
      </c>
      <c r="O778" s="2" t="s">
        <v>212</v>
      </c>
      <c r="P778" s="2" t="s">
        <v>285</v>
      </c>
      <c r="Q778" s="2" t="s">
        <v>206</v>
      </c>
      <c r="R778" s="2" t="s">
        <v>200</v>
      </c>
      <c r="S778" s="2" t="s">
        <v>200</v>
      </c>
      <c r="T778" s="2" t="s">
        <v>312</v>
      </c>
      <c r="U778" s="2" t="s">
        <v>200</v>
      </c>
      <c r="V778" s="2" t="s">
        <v>208</v>
      </c>
      <c r="W778" s="2" t="s">
        <v>379</v>
      </c>
      <c r="X778" s="2" t="s">
        <v>200</v>
      </c>
      <c r="Y778" s="2" t="s">
        <v>1215</v>
      </c>
      <c r="Z778" s="4">
        <v>17</v>
      </c>
      <c r="AA778" s="4">
        <f>=ROUNDDOWN(8.5,0)</f>
      </c>
      <c r="AB778" s="5">
        <v>2</v>
      </c>
      <c r="AC778" s="2" t="s">
        <v>200</v>
      </c>
      <c r="AD778" s="4"/>
      <c r="AE778" s="4"/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200</v>
      </c>
      <c r="AM778" s="4"/>
      <c r="AN778" s="4"/>
      <c r="AO778" s="7"/>
      <c r="AP778" s="4"/>
      <c r="AQ778" s="8"/>
      <c r="AR778" s="4"/>
      <c r="AS778" s="8"/>
      <c r="AT778" s="7"/>
      <c r="AU778" s="7"/>
      <c r="AV778" s="4" t="s">
        <v>200</v>
      </c>
      <c r="AW778" s="8" t="s">
        <v>200</v>
      </c>
      <c r="AX778" s="4" t="s">
        <v>200</v>
      </c>
      <c r="AY778" s="8" t="s">
        <v>200</v>
      </c>
      <c r="AZ778" s="7" t="s">
        <v>200</v>
      </c>
      <c r="BA778" s="7" t="s">
        <v>200</v>
      </c>
      <c r="BB778" s="7"/>
      <c r="BC778" s="4" t="s">
        <v>200</v>
      </c>
      <c r="BD778" s="8" t="s">
        <v>200</v>
      </c>
      <c r="BE778" s="4" t="s">
        <v>200</v>
      </c>
      <c r="BF778" s="8" t="s">
        <v>200</v>
      </c>
      <c r="BG778" s="7" t="s">
        <v>200</v>
      </c>
      <c r="BH778" s="7" t="s">
        <v>200</v>
      </c>
      <c r="BI778" s="7"/>
      <c r="BJ778" s="4">
        <v>7</v>
      </c>
      <c r="BK778" s="8">
        <v>115.39</v>
      </c>
      <c r="BL778" s="2" t="s">
        <v>2524</v>
      </c>
      <c r="BM778" s="7"/>
      <c r="BN778" s="7"/>
      <c r="BO778" s="4"/>
      <c r="BP778" s="8"/>
      <c r="BQ778" s="4"/>
      <c r="BR778" s="8"/>
      <c r="BS778" s="7"/>
      <c r="BT778" s="7"/>
      <c r="BU778" s="2" t="s">
        <v>4758</v>
      </c>
      <c r="BV778" s="2" t="s">
        <v>200</v>
      </c>
      <c r="BW778" s="2" t="s">
        <v>200</v>
      </c>
      <c r="BX778" s="2" t="s">
        <v>289</v>
      </c>
      <c r="BY778" s="2" t="s">
        <v>247</v>
      </c>
      <c r="BZ778" s="2" t="s">
        <v>212</v>
      </c>
      <c r="CA778" s="2" t="s">
        <v>1218</v>
      </c>
      <c r="CB778" s="2" t="s">
        <v>200</v>
      </c>
      <c r="CC778" s="2" t="s">
        <v>213</v>
      </c>
      <c r="CD778" s="2" t="s">
        <v>200</v>
      </c>
      <c r="CE778" s="4">
        <v>17</v>
      </c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</row>
    <row r="779">
      <c r="A779" s="2" t="s">
        <v>4759</v>
      </c>
      <c r="B779" s="2" t="s">
        <v>827</v>
      </c>
      <c r="C779" s="2" t="s">
        <v>231</v>
      </c>
      <c r="D779" s="2" t="s">
        <v>828</v>
      </c>
      <c r="E779" s="2" t="s">
        <v>1588</v>
      </c>
      <c r="F779" s="2" t="s">
        <v>4760</v>
      </c>
      <c r="G779" s="2" t="s">
        <v>4761</v>
      </c>
      <c r="H779" s="2" t="s">
        <v>4762</v>
      </c>
      <c r="I779" s="2" t="s">
        <v>4763</v>
      </c>
      <c r="J779" s="2" t="s">
        <v>4001</v>
      </c>
      <c r="K779" s="2" t="s">
        <v>257</v>
      </c>
      <c r="L779" s="3">
        <v>13.5</v>
      </c>
      <c r="M779" s="3">
        <v>14.18</v>
      </c>
      <c r="N779" s="3">
        <v>29.99</v>
      </c>
      <c r="O779" s="2" t="s">
        <v>212</v>
      </c>
      <c r="P779" s="2" t="s">
        <v>285</v>
      </c>
      <c r="Q779" s="2" t="s">
        <v>206</v>
      </c>
      <c r="R779" s="2" t="s">
        <v>200</v>
      </c>
      <c r="S779" s="2" t="s">
        <v>4764</v>
      </c>
      <c r="T779" s="2" t="s">
        <v>200</v>
      </c>
      <c r="U779" s="2" t="s">
        <v>200</v>
      </c>
      <c r="V779" s="2" t="s">
        <v>885</v>
      </c>
      <c r="W779" s="2" t="s">
        <v>379</v>
      </c>
      <c r="X779" s="2" t="s">
        <v>1588</v>
      </c>
      <c r="Y779" s="2" t="s">
        <v>261</v>
      </c>
      <c r="Z779" s="4">
        <v>61</v>
      </c>
      <c r="AA779" s="4">
        <f>=ROUNDDOWN(16.0526315789474,0)</f>
      </c>
      <c r="AB779" s="5">
        <v>3.8</v>
      </c>
      <c r="AC779" s="2" t="s">
        <v>200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200</v>
      </c>
      <c r="AM779" s="4"/>
      <c r="AN779" s="4"/>
      <c r="AO779" s="7"/>
      <c r="AP779" s="4"/>
      <c r="AQ779" s="8"/>
      <c r="AR779" s="4"/>
      <c r="AS779" s="8"/>
      <c r="AT779" s="7"/>
      <c r="AU779" s="7"/>
      <c r="AV779" s="4"/>
      <c r="AW779" s="8"/>
      <c r="AX779" s="4"/>
      <c r="AY779" s="8"/>
      <c r="AZ779" s="7"/>
      <c r="BA779" s="7"/>
      <c r="BB779" s="7"/>
      <c r="BC779" s="4" t="s">
        <v>200</v>
      </c>
      <c r="BD779" s="8" t="s">
        <v>200</v>
      </c>
      <c r="BE779" s="4" t="s">
        <v>200</v>
      </c>
      <c r="BF779" s="8" t="s">
        <v>200</v>
      </c>
      <c r="BG779" s="7" t="s">
        <v>200</v>
      </c>
      <c r="BH779" s="7" t="s">
        <v>200</v>
      </c>
      <c r="BI779" s="7"/>
      <c r="BJ779" s="4">
        <v>30</v>
      </c>
      <c r="BK779" s="8">
        <v>398.32</v>
      </c>
      <c r="BL779" s="2" t="s">
        <v>4765</v>
      </c>
      <c r="BM779" s="7"/>
      <c r="BN779" s="7"/>
      <c r="BO779" s="4"/>
      <c r="BP779" s="8"/>
      <c r="BQ779" s="4"/>
      <c r="BR779" s="8"/>
      <c r="BS779" s="7"/>
      <c r="BT779" s="7"/>
      <c r="BU779" s="2" t="s">
        <v>4766</v>
      </c>
      <c r="BV779" s="2" t="s">
        <v>200</v>
      </c>
      <c r="BW779" s="2" t="s">
        <v>200</v>
      </c>
      <c r="BX779" s="2" t="s">
        <v>289</v>
      </c>
      <c r="BY779" s="2" t="s">
        <v>247</v>
      </c>
      <c r="BZ779" s="2" t="s">
        <v>212</v>
      </c>
      <c r="CA779" s="2" t="s">
        <v>265</v>
      </c>
      <c r="CB779" s="2" t="s">
        <v>4767</v>
      </c>
      <c r="CC779" s="2" t="s">
        <v>213</v>
      </c>
      <c r="CD779" s="2" t="s">
        <v>200</v>
      </c>
      <c r="CE779" s="4">
        <v>61</v>
      </c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</row>
    <row r="780">
      <c r="A780" s="2" t="s">
        <v>4768</v>
      </c>
      <c r="B780" s="2" t="s">
        <v>903</v>
      </c>
      <c r="C780" s="2" t="s">
        <v>231</v>
      </c>
      <c r="D780" s="2" t="s">
        <v>608</v>
      </c>
      <c r="E780" s="2" t="s">
        <v>609</v>
      </c>
      <c r="F780" s="2" t="s">
        <v>4760</v>
      </c>
      <c r="G780" s="2" t="s">
        <v>2770</v>
      </c>
      <c r="H780" s="2" t="s">
        <v>4769</v>
      </c>
      <c r="I780" s="2" t="s">
        <v>4770</v>
      </c>
      <c r="J780" s="2" t="s">
        <v>612</v>
      </c>
      <c r="K780" s="2" t="s">
        <v>4771</v>
      </c>
      <c r="L780" s="3">
        <v>47.61</v>
      </c>
      <c r="M780" s="3">
        <v>49.99</v>
      </c>
      <c r="N780" s="3">
        <v>99.99</v>
      </c>
      <c r="O780" s="2" t="s">
        <v>212</v>
      </c>
      <c r="P780" s="2" t="s">
        <v>285</v>
      </c>
      <c r="Q780" s="2" t="s">
        <v>206</v>
      </c>
      <c r="R780" s="2" t="s">
        <v>200</v>
      </c>
      <c r="S780" s="2" t="s">
        <v>4772</v>
      </c>
      <c r="T780" s="2" t="s">
        <v>200</v>
      </c>
      <c r="U780" s="2" t="s">
        <v>240</v>
      </c>
      <c r="V780" s="2" t="s">
        <v>940</v>
      </c>
      <c r="W780" s="2" t="s">
        <v>1271</v>
      </c>
      <c r="X780" s="2" t="s">
        <v>1399</v>
      </c>
      <c r="Y780" s="2" t="s">
        <v>4773</v>
      </c>
      <c r="Z780" s="4">
        <v>94</v>
      </c>
      <c r="AA780" s="4">
        <f>=ROUNDDOWN(15.6666666666667,0)</f>
      </c>
      <c r="AB780" s="5">
        <v>6</v>
      </c>
      <c r="AC780" s="2" t="s">
        <v>200</v>
      </c>
      <c r="AD780" s="4"/>
      <c r="AE780" s="4"/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200</v>
      </c>
      <c r="AM780" s="4"/>
      <c r="AN780" s="4"/>
      <c r="AO780" s="7"/>
      <c r="AP780" s="4"/>
      <c r="AQ780" s="8"/>
      <c r="AR780" s="4"/>
      <c r="AS780" s="8"/>
      <c r="AT780" s="7"/>
      <c r="AU780" s="7"/>
      <c r="AV780" s="4" t="s">
        <v>200</v>
      </c>
      <c r="AW780" s="8" t="s">
        <v>200</v>
      </c>
      <c r="AX780" s="4" t="s">
        <v>200</v>
      </c>
      <c r="AY780" s="8" t="s">
        <v>200</v>
      </c>
      <c r="AZ780" s="7" t="s">
        <v>200</v>
      </c>
      <c r="BA780" s="7" t="s">
        <v>200</v>
      </c>
      <c r="BB780" s="7"/>
      <c r="BC780" s="4" t="s">
        <v>200</v>
      </c>
      <c r="BD780" s="8" t="s">
        <v>200</v>
      </c>
      <c r="BE780" s="4" t="s">
        <v>200</v>
      </c>
      <c r="BF780" s="8" t="s">
        <v>200</v>
      </c>
      <c r="BG780" s="7" t="s">
        <v>200</v>
      </c>
      <c r="BH780" s="7" t="s">
        <v>200</v>
      </c>
      <c r="BI780" s="7"/>
      <c r="BJ780" s="4">
        <v>23</v>
      </c>
      <c r="BK780" s="8">
        <v>1222.08</v>
      </c>
      <c r="BL780" s="2" t="s">
        <v>4774</v>
      </c>
      <c r="BM780" s="7"/>
      <c r="BN780" s="7"/>
      <c r="BO780" s="4"/>
      <c r="BP780" s="8"/>
      <c r="BQ780" s="4"/>
      <c r="BR780" s="8"/>
      <c r="BS780" s="7"/>
      <c r="BT780" s="7"/>
      <c r="BU780" s="2" t="s">
        <v>4775</v>
      </c>
      <c r="BV780" s="2" t="s">
        <v>200</v>
      </c>
      <c r="BW780" s="2" t="s">
        <v>200</v>
      </c>
      <c r="BX780" s="2" t="s">
        <v>289</v>
      </c>
      <c r="BY780" s="2" t="s">
        <v>247</v>
      </c>
      <c r="BZ780" s="2" t="s">
        <v>212</v>
      </c>
      <c r="CA780" s="2" t="s">
        <v>4776</v>
      </c>
      <c r="CB780" s="2" t="s">
        <v>840</v>
      </c>
      <c r="CC780" s="2" t="s">
        <v>213</v>
      </c>
      <c r="CD780" s="2" t="s">
        <v>200</v>
      </c>
      <c r="CE780" s="4">
        <v>94</v>
      </c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</row>
    <row r="781">
      <c r="A781" s="2" t="s">
        <v>4777</v>
      </c>
      <c r="B781" s="2" t="s">
        <v>903</v>
      </c>
      <c r="C781" s="2" t="s">
        <v>231</v>
      </c>
      <c r="D781" s="2" t="s">
        <v>918</v>
      </c>
      <c r="E781" s="2" t="s">
        <v>919</v>
      </c>
      <c r="F781" s="2" t="s">
        <v>4760</v>
      </c>
      <c r="G781" s="2" t="s">
        <v>2770</v>
      </c>
      <c r="H781" s="2" t="s">
        <v>4769</v>
      </c>
      <c r="I781" s="2" t="s">
        <v>4778</v>
      </c>
      <c r="J781" s="2" t="s">
        <v>924</v>
      </c>
      <c r="K781" s="2" t="s">
        <v>4771</v>
      </c>
      <c r="L781" s="3">
        <v>38.09</v>
      </c>
      <c r="M781" s="3">
        <v>39.99</v>
      </c>
      <c r="N781" s="3">
        <v>79.99</v>
      </c>
      <c r="O781" s="2" t="s">
        <v>212</v>
      </c>
      <c r="P781" s="2" t="s">
        <v>285</v>
      </c>
      <c r="Q781" s="2" t="s">
        <v>206</v>
      </c>
      <c r="R781" s="2" t="s">
        <v>200</v>
      </c>
      <c r="S781" s="2" t="s">
        <v>4772</v>
      </c>
      <c r="T781" s="2" t="s">
        <v>200</v>
      </c>
      <c r="U781" s="2" t="s">
        <v>454</v>
      </c>
      <c r="V781" s="2" t="s">
        <v>940</v>
      </c>
      <c r="W781" s="2" t="s">
        <v>1271</v>
      </c>
      <c r="X781" s="2" t="s">
        <v>1399</v>
      </c>
      <c r="Y781" s="2" t="s">
        <v>4277</v>
      </c>
      <c r="Z781" s="4">
        <v>4</v>
      </c>
      <c r="AA781" s="4">
        <f>=ROUNDDOWN(2,0)</f>
      </c>
      <c r="AB781" s="5">
        <v>2</v>
      </c>
      <c r="AC781" s="2" t="s">
        <v>200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200</v>
      </c>
      <c r="AM781" s="4"/>
      <c r="AN781" s="4"/>
      <c r="AO781" s="7"/>
      <c r="AP781" s="4"/>
      <c r="AQ781" s="8"/>
      <c r="AR781" s="4"/>
      <c r="AS781" s="8"/>
      <c r="AT781" s="7"/>
      <c r="AU781" s="7"/>
      <c r="AV781" s="4" t="s">
        <v>200</v>
      </c>
      <c r="AW781" s="8" t="s">
        <v>200</v>
      </c>
      <c r="AX781" s="4" t="s">
        <v>200</v>
      </c>
      <c r="AY781" s="8" t="s">
        <v>200</v>
      </c>
      <c r="AZ781" s="7" t="s">
        <v>200</v>
      </c>
      <c r="BA781" s="7" t="s">
        <v>200</v>
      </c>
      <c r="BB781" s="7"/>
      <c r="BC781" s="4" t="s">
        <v>200</v>
      </c>
      <c r="BD781" s="8" t="s">
        <v>200</v>
      </c>
      <c r="BE781" s="4" t="s">
        <v>200</v>
      </c>
      <c r="BF781" s="8" t="s">
        <v>200</v>
      </c>
      <c r="BG781" s="7" t="s">
        <v>200</v>
      </c>
      <c r="BH781" s="7" t="s">
        <v>200</v>
      </c>
      <c r="BI781" s="7"/>
      <c r="BJ781" s="4">
        <v>7</v>
      </c>
      <c r="BK781" s="8">
        <v>301.93</v>
      </c>
      <c r="BL781" s="2" t="s">
        <v>293</v>
      </c>
      <c r="BM781" s="7"/>
      <c r="BN781" s="7"/>
      <c r="BO781" s="4"/>
      <c r="BP781" s="8"/>
      <c r="BQ781" s="4"/>
      <c r="BR781" s="8"/>
      <c r="BS781" s="7"/>
      <c r="BT781" s="7"/>
      <c r="BU781" s="2" t="s">
        <v>4779</v>
      </c>
      <c r="BV781" s="2" t="s">
        <v>200</v>
      </c>
      <c r="BW781" s="2" t="s">
        <v>200</v>
      </c>
      <c r="BX781" s="2" t="s">
        <v>289</v>
      </c>
      <c r="BY781" s="2" t="s">
        <v>247</v>
      </c>
      <c r="BZ781" s="2" t="s">
        <v>212</v>
      </c>
      <c r="CA781" s="2" t="s">
        <v>4391</v>
      </c>
      <c r="CB781" s="2" t="s">
        <v>2381</v>
      </c>
      <c r="CC781" s="2" t="s">
        <v>213</v>
      </c>
      <c r="CD781" s="2" t="s">
        <v>200</v>
      </c>
      <c r="CE781" s="4">
        <v>4</v>
      </c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</row>
    <row r="782">
      <c r="A782" s="2" t="s">
        <v>4780</v>
      </c>
      <c r="B782" s="2" t="s">
        <v>945</v>
      </c>
      <c r="C782" s="2" t="s">
        <v>946</v>
      </c>
      <c r="D782" s="2" t="s">
        <v>947</v>
      </c>
      <c r="E782" s="2" t="s">
        <v>948</v>
      </c>
      <c r="F782" s="2" t="s">
        <v>4781</v>
      </c>
      <c r="G782" s="2" t="s">
        <v>4781</v>
      </c>
      <c r="H782" s="2" t="s">
        <v>4781</v>
      </c>
      <c r="I782" s="2" t="s">
        <v>4782</v>
      </c>
      <c r="J782" s="2" t="s">
        <v>711</v>
      </c>
      <c r="K782" s="2" t="s">
        <v>4783</v>
      </c>
      <c r="L782" s="3">
        <v>20.81</v>
      </c>
      <c r="M782" s="3">
        <v>21.85</v>
      </c>
      <c r="N782" s="3">
        <v>29.99</v>
      </c>
      <c r="O782" s="2" t="s">
        <v>212</v>
      </c>
      <c r="P782" s="2" t="s">
        <v>258</v>
      </c>
      <c r="Q782" s="2" t="s">
        <v>206</v>
      </c>
      <c r="R782" s="2" t="s">
        <v>200</v>
      </c>
      <c r="S782" s="2" t="s">
        <v>200</v>
      </c>
      <c r="T782" s="2" t="s">
        <v>200</v>
      </c>
      <c r="U782" s="2" t="s">
        <v>270</v>
      </c>
      <c r="V782" s="2" t="s">
        <v>616</v>
      </c>
      <c r="W782" s="2" t="s">
        <v>241</v>
      </c>
      <c r="X782" s="2" t="s">
        <v>200</v>
      </c>
      <c r="Y782" s="2" t="s">
        <v>4784</v>
      </c>
      <c r="Z782" s="4">
        <v>592</v>
      </c>
      <c r="AA782" s="4">
        <f>=ROUNDDOWN(296,0)</f>
      </c>
      <c r="AB782" s="5">
        <v>2</v>
      </c>
      <c r="AC782" s="2" t="s">
        <v>200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200</v>
      </c>
      <c r="AM782" s="4"/>
      <c r="AN782" s="4"/>
      <c r="AO782" s="7"/>
      <c r="AP782" s="4"/>
      <c r="AQ782" s="8"/>
      <c r="AR782" s="4"/>
      <c r="AS782" s="8"/>
      <c r="AT782" s="7"/>
      <c r="AU782" s="7"/>
      <c r="AV782" s="4"/>
      <c r="AW782" s="8"/>
      <c r="AX782" s="4"/>
      <c r="AY782" s="8"/>
      <c r="AZ782" s="7"/>
      <c r="BA782" s="7"/>
      <c r="BB782" s="7"/>
      <c r="BC782" s="4"/>
      <c r="BD782" s="8"/>
      <c r="BE782" s="4"/>
      <c r="BF782" s="8"/>
      <c r="BG782" s="7"/>
      <c r="BH782" s="7"/>
      <c r="BI782" s="7"/>
      <c r="BJ782" s="4"/>
      <c r="BK782" s="8"/>
      <c r="BL782" s="2" t="s">
        <v>200</v>
      </c>
      <c r="BM782" s="7"/>
      <c r="BN782" s="7"/>
      <c r="BO782" s="4"/>
      <c r="BP782" s="8"/>
      <c r="BQ782" s="4"/>
      <c r="BR782" s="8"/>
      <c r="BS782" s="7"/>
      <c r="BT782" s="7"/>
      <c r="BU782" s="2" t="s">
        <v>4785</v>
      </c>
      <c r="BV782" s="2" t="s">
        <v>200</v>
      </c>
      <c r="BW782" s="2" t="s">
        <v>200</v>
      </c>
      <c r="BX782" s="2" t="s">
        <v>264</v>
      </c>
      <c r="BY782" s="2" t="s">
        <v>247</v>
      </c>
      <c r="BZ782" s="2" t="s">
        <v>212</v>
      </c>
      <c r="CA782" s="2" t="s">
        <v>3183</v>
      </c>
      <c r="CB782" s="2" t="s">
        <v>200</v>
      </c>
      <c r="CC782" s="2" t="s">
        <v>213</v>
      </c>
      <c r="CD782" s="2" t="s">
        <v>200</v>
      </c>
      <c r="CE782" s="4"/>
      <c r="CF782" s="4">
        <v>293</v>
      </c>
      <c r="CG782" s="4"/>
      <c r="CH782" s="4">
        <v>299</v>
      </c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</row>
    <row r="783">
      <c r="A783" s="2" t="s">
        <v>4786</v>
      </c>
      <c r="B783" s="2" t="s">
        <v>195</v>
      </c>
      <c r="C783" s="2" t="s">
        <v>231</v>
      </c>
      <c r="D783" s="2" t="s">
        <v>608</v>
      </c>
      <c r="E783" s="2" t="s">
        <v>1324</v>
      </c>
      <c r="F783" s="2" t="s">
        <v>4787</v>
      </c>
      <c r="G783" s="2" t="s">
        <v>4788</v>
      </c>
      <c r="H783" s="2" t="s">
        <v>4788</v>
      </c>
      <c r="I783" s="2" t="s">
        <v>4789</v>
      </c>
      <c r="J783" s="2" t="s">
        <v>924</v>
      </c>
      <c r="K783" s="2" t="s">
        <v>237</v>
      </c>
      <c r="L783" s="3">
        <v>45</v>
      </c>
      <c r="M783" s="3">
        <v>47.25</v>
      </c>
      <c r="N783" s="3">
        <v>89.99</v>
      </c>
      <c r="O783" s="2" t="s">
        <v>212</v>
      </c>
      <c r="P783" s="2" t="s">
        <v>205</v>
      </c>
      <c r="Q783" s="2" t="s">
        <v>206</v>
      </c>
      <c r="R783" s="2" t="s">
        <v>200</v>
      </c>
      <c r="S783" s="2" t="s">
        <v>4790</v>
      </c>
      <c r="T783" s="2" t="s">
        <v>1899</v>
      </c>
      <c r="U783" s="2" t="s">
        <v>454</v>
      </c>
      <c r="V783" s="2" t="s">
        <v>208</v>
      </c>
      <c r="W783" s="2" t="s">
        <v>242</v>
      </c>
      <c r="X783" s="2" t="s">
        <v>419</v>
      </c>
      <c r="Y783" s="2" t="s">
        <v>3302</v>
      </c>
      <c r="Z783" s="4">
        <v>219</v>
      </c>
      <c r="AA783" s="4">
        <f>=ROUNDDOWN(4.62025316455696,0)</f>
      </c>
      <c r="AB783" s="5">
        <v>47.4</v>
      </c>
      <c r="AC783" s="2" t="s">
        <v>116</v>
      </c>
      <c r="AD783" s="4">
        <v>610</v>
      </c>
      <c r="AE783" s="4">
        <v>610</v>
      </c>
      <c r="AF783" s="6">
        <v>66</v>
      </c>
      <c r="AG783" s="6"/>
      <c r="AH783" s="7">
        <v>1</v>
      </c>
      <c r="AI783" s="4"/>
      <c r="AJ783" s="4">
        <f>=ROUNDDOWN({0},0)</f>
      </c>
      <c r="AK783" s="5"/>
      <c r="AL783" s="2" t="s">
        <v>200</v>
      </c>
      <c r="AM783" s="4"/>
      <c r="AN783" s="4"/>
      <c r="AO783" s="7"/>
      <c r="AP783" s="4"/>
      <c r="AQ783" s="8"/>
      <c r="AR783" s="4"/>
      <c r="AS783" s="8"/>
      <c r="AT783" s="7"/>
      <c r="AU783" s="7"/>
      <c r="AV783" s="4"/>
      <c r="AW783" s="8"/>
      <c r="AX783" s="4"/>
      <c r="AY783" s="8"/>
      <c r="AZ783" s="7"/>
      <c r="BA783" s="7"/>
      <c r="BB783" s="7"/>
      <c r="BC783" s="4" t="s">
        <v>200</v>
      </c>
      <c r="BD783" s="8" t="s">
        <v>200</v>
      </c>
      <c r="BE783" s="4" t="s">
        <v>200</v>
      </c>
      <c r="BF783" s="8" t="s">
        <v>200</v>
      </c>
      <c r="BG783" s="7" t="s">
        <v>200</v>
      </c>
      <c r="BH783" s="7" t="s">
        <v>200</v>
      </c>
      <c r="BI783" s="7"/>
      <c r="BJ783" s="4">
        <v>205</v>
      </c>
      <c r="BK783" s="8">
        <v>9500.34</v>
      </c>
      <c r="BL783" s="2" t="s">
        <v>4791</v>
      </c>
      <c r="BM783" s="7"/>
      <c r="BN783" s="7"/>
      <c r="BO783" s="4"/>
      <c r="BP783" s="8"/>
      <c r="BQ783" s="4"/>
      <c r="BR783" s="8"/>
      <c r="BS783" s="7"/>
      <c r="BT783" s="7"/>
      <c r="BU783" s="2" t="s">
        <v>4792</v>
      </c>
      <c r="BV783" s="2" t="s">
        <v>200</v>
      </c>
      <c r="BW783" s="2" t="s">
        <v>200</v>
      </c>
      <c r="BX783" s="2" t="s">
        <v>210</v>
      </c>
      <c r="BY783" s="2" t="s">
        <v>247</v>
      </c>
      <c r="BZ783" s="2" t="s">
        <v>212</v>
      </c>
      <c r="CA783" s="2" t="s">
        <v>632</v>
      </c>
      <c r="CB783" s="2" t="s">
        <v>200</v>
      </c>
      <c r="CC783" s="2" t="s">
        <v>213</v>
      </c>
      <c r="CD783" s="2" t="s">
        <v>200</v>
      </c>
      <c r="CE783" s="4">
        <v>30</v>
      </c>
      <c r="CF783" s="4"/>
      <c r="CG783" s="4"/>
      <c r="CH783" s="4">
        <v>189</v>
      </c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>
        <v>610</v>
      </c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</row>
    <row r="784">
      <c r="A784" s="2" t="s">
        <v>4793</v>
      </c>
      <c r="B784" s="2" t="s">
        <v>195</v>
      </c>
      <c r="C784" s="2" t="s">
        <v>231</v>
      </c>
      <c r="D784" s="2" t="s">
        <v>608</v>
      </c>
      <c r="E784" s="2" t="s">
        <v>1324</v>
      </c>
      <c r="F784" s="2" t="s">
        <v>4787</v>
      </c>
      <c r="G784" s="2" t="s">
        <v>4788</v>
      </c>
      <c r="H784" s="2" t="s">
        <v>4788</v>
      </c>
      <c r="I784" s="2" t="s">
        <v>4789</v>
      </c>
      <c r="J784" s="2" t="s">
        <v>924</v>
      </c>
      <c r="K784" s="2" t="s">
        <v>203</v>
      </c>
      <c r="L784" s="3">
        <v>45</v>
      </c>
      <c r="M784" s="3">
        <v>47.25</v>
      </c>
      <c r="N784" s="3">
        <v>89.99</v>
      </c>
      <c r="O784" s="2" t="s">
        <v>212</v>
      </c>
      <c r="P784" s="2" t="s">
        <v>205</v>
      </c>
      <c r="Q784" s="2" t="s">
        <v>206</v>
      </c>
      <c r="R784" s="2" t="s">
        <v>200</v>
      </c>
      <c r="S784" s="2" t="s">
        <v>4794</v>
      </c>
      <c r="T784" s="2" t="s">
        <v>1899</v>
      </c>
      <c r="U784" s="2" t="s">
        <v>454</v>
      </c>
      <c r="V784" s="2" t="s">
        <v>208</v>
      </c>
      <c r="W784" s="2" t="s">
        <v>242</v>
      </c>
      <c r="X784" s="2" t="s">
        <v>419</v>
      </c>
      <c r="Y784" s="2" t="s">
        <v>3302</v>
      </c>
      <c r="Z784" s="4">
        <v>4</v>
      </c>
      <c r="AA784" s="4">
        <f>=ROUNDDOWN(0.039177277179236,0)</f>
      </c>
      <c r="AB784" s="5">
        <v>102.1</v>
      </c>
      <c r="AC784" s="2" t="s">
        <v>116</v>
      </c>
      <c r="AD784" s="4">
        <v>610</v>
      </c>
      <c r="AE784" s="4">
        <v>610</v>
      </c>
      <c r="AF784" s="6">
        <v>66</v>
      </c>
      <c r="AG784" s="6"/>
      <c r="AH784" s="7">
        <v>0.9667</v>
      </c>
      <c r="AI784" s="4"/>
      <c r="AJ784" s="4">
        <f>=ROUNDDOWN({0},0)</f>
      </c>
      <c r="AK784" s="5"/>
      <c r="AL784" s="2" t="s">
        <v>200</v>
      </c>
      <c r="AM784" s="4"/>
      <c r="AN784" s="4"/>
      <c r="AO784" s="7"/>
      <c r="AP784" s="4"/>
      <c r="AQ784" s="8"/>
      <c r="AR784" s="4"/>
      <c r="AS784" s="8"/>
      <c r="AT784" s="7"/>
      <c r="AU784" s="7"/>
      <c r="AV784" s="4"/>
      <c r="AW784" s="8"/>
      <c r="AX784" s="4"/>
      <c r="AY784" s="8"/>
      <c r="AZ784" s="7"/>
      <c r="BA784" s="7"/>
      <c r="BB784" s="7"/>
      <c r="BC784" s="4" t="s">
        <v>200</v>
      </c>
      <c r="BD784" s="8" t="s">
        <v>200</v>
      </c>
      <c r="BE784" s="4" t="s">
        <v>200</v>
      </c>
      <c r="BF784" s="8" t="s">
        <v>200</v>
      </c>
      <c r="BG784" s="7" t="s">
        <v>200</v>
      </c>
      <c r="BH784" s="7" t="s">
        <v>200</v>
      </c>
      <c r="BI784" s="7"/>
      <c r="BJ784" s="4">
        <v>434</v>
      </c>
      <c r="BK784" s="8">
        <v>20045.58</v>
      </c>
      <c r="BL784" s="2" t="s">
        <v>2202</v>
      </c>
      <c r="BM784" s="7"/>
      <c r="BN784" s="7"/>
      <c r="BO784" s="4"/>
      <c r="BP784" s="8"/>
      <c r="BQ784" s="4"/>
      <c r="BR784" s="8"/>
      <c r="BS784" s="7"/>
      <c r="BT784" s="7"/>
      <c r="BU784" s="2" t="s">
        <v>4795</v>
      </c>
      <c r="BV784" s="2" t="s">
        <v>200</v>
      </c>
      <c r="BW784" s="2" t="s">
        <v>200</v>
      </c>
      <c r="BX784" s="2" t="s">
        <v>210</v>
      </c>
      <c r="BY784" s="2" t="s">
        <v>247</v>
      </c>
      <c r="BZ784" s="2" t="s">
        <v>212</v>
      </c>
      <c r="CA784" s="2" t="s">
        <v>632</v>
      </c>
      <c r="CB784" s="2" t="s">
        <v>200</v>
      </c>
      <c r="CC784" s="2" t="s">
        <v>213</v>
      </c>
      <c r="CD784" s="2" t="s">
        <v>200</v>
      </c>
      <c r="CE784" s="4">
        <v>2</v>
      </c>
      <c r="CF784" s="4"/>
      <c r="CG784" s="4"/>
      <c r="CH784" s="4">
        <v>2</v>
      </c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>
        <v>610</v>
      </c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  <c r="GH784" s="4"/>
    </row>
    <row r="785">
      <c r="A785" s="2" t="s">
        <v>4796</v>
      </c>
      <c r="B785" s="2" t="s">
        <v>719</v>
      </c>
      <c r="C785" s="2" t="s">
        <v>1839</v>
      </c>
      <c r="D785" s="2" t="s">
        <v>1554</v>
      </c>
      <c r="E785" s="2" t="s">
        <v>721</v>
      </c>
      <c r="F785" s="2" t="s">
        <v>4797</v>
      </c>
      <c r="G785" s="2" t="s">
        <v>4797</v>
      </c>
      <c r="H785" s="2" t="s">
        <v>4797</v>
      </c>
      <c r="I785" s="2" t="s">
        <v>4798</v>
      </c>
      <c r="J785" s="2" t="s">
        <v>711</v>
      </c>
      <c r="K785" s="2" t="s">
        <v>890</v>
      </c>
      <c r="L785" s="3">
        <v>44.05</v>
      </c>
      <c r="M785" s="3">
        <v>46.25</v>
      </c>
      <c r="N785" s="3">
        <v>84.99</v>
      </c>
      <c r="O785" s="2" t="s">
        <v>212</v>
      </c>
      <c r="P785" s="2" t="s">
        <v>750</v>
      </c>
      <c r="Q785" s="2" t="s">
        <v>206</v>
      </c>
      <c r="R785" s="2" t="s">
        <v>200</v>
      </c>
      <c r="S785" s="2" t="s">
        <v>4799</v>
      </c>
      <c r="T785" s="2" t="s">
        <v>200</v>
      </c>
      <c r="U785" s="2" t="s">
        <v>677</v>
      </c>
      <c r="V785" s="2" t="s">
        <v>3675</v>
      </c>
      <c r="W785" s="2" t="s">
        <v>1975</v>
      </c>
      <c r="X785" s="2" t="s">
        <v>200</v>
      </c>
      <c r="Y785" s="2" t="s">
        <v>261</v>
      </c>
      <c r="Z785" s="4">
        <v>4</v>
      </c>
      <c r="AA785" s="4">
        <f>=ROUNDDOWN(1.33333333333333,0)</f>
      </c>
      <c r="AB785" s="5">
        <v>3</v>
      </c>
      <c r="AC785" s="2" t="s">
        <v>1568</v>
      </c>
      <c r="AD785" s="4">
        <v>60</v>
      </c>
      <c r="AE785" s="4">
        <v>60</v>
      </c>
      <c r="AF785" s="6">
        <v>61</v>
      </c>
      <c r="AG785" s="6"/>
      <c r="AH785" s="7">
        <v>1</v>
      </c>
      <c r="AI785" s="4"/>
      <c r="AJ785" s="4">
        <f>=ROUNDDOWN({0},0)</f>
      </c>
      <c r="AK785" s="5"/>
      <c r="AL785" s="2" t="s">
        <v>200</v>
      </c>
      <c r="AM785" s="4"/>
      <c r="AN785" s="4"/>
      <c r="AO785" s="7"/>
      <c r="AP785" s="4"/>
      <c r="AQ785" s="8"/>
      <c r="AR785" s="4"/>
      <c r="AS785" s="8"/>
      <c r="AT785" s="7"/>
      <c r="AU785" s="7"/>
      <c r="AV785" s="4"/>
      <c r="AW785" s="8"/>
      <c r="AX785" s="4"/>
      <c r="AY785" s="8"/>
      <c r="AZ785" s="7"/>
      <c r="BA785" s="7"/>
      <c r="BB785" s="7"/>
      <c r="BC785" s="4"/>
      <c r="BD785" s="8"/>
      <c r="BE785" s="4"/>
      <c r="BF785" s="8"/>
      <c r="BG785" s="7"/>
      <c r="BH785" s="7"/>
      <c r="BI785" s="7"/>
      <c r="BJ785" s="4">
        <v>13</v>
      </c>
      <c r="BK785" s="8">
        <v>681.79</v>
      </c>
      <c r="BL785" s="2" t="s">
        <v>4800</v>
      </c>
      <c r="BM785" s="7"/>
      <c r="BN785" s="7"/>
      <c r="BO785" s="4"/>
      <c r="BP785" s="8"/>
      <c r="BQ785" s="4"/>
      <c r="BR785" s="8"/>
      <c r="BS785" s="7"/>
      <c r="BT785" s="7"/>
      <c r="BU785" s="2" t="s">
        <v>4801</v>
      </c>
      <c r="BV785" s="2" t="s">
        <v>200</v>
      </c>
      <c r="BW785" s="2" t="s">
        <v>200</v>
      </c>
      <c r="BX785" s="2" t="s">
        <v>264</v>
      </c>
      <c r="BY785" s="2" t="s">
        <v>247</v>
      </c>
      <c r="BZ785" s="2" t="s">
        <v>212</v>
      </c>
      <c r="CA785" s="2" t="s">
        <v>4802</v>
      </c>
      <c r="CB785" s="2" t="s">
        <v>4803</v>
      </c>
      <c r="CC785" s="2" t="s">
        <v>213</v>
      </c>
      <c r="CD785" s="2" t="s">
        <v>200</v>
      </c>
      <c r="CE785" s="4"/>
      <c r="CF785" s="4">
        <v>4</v>
      </c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>
        <v>60</v>
      </c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</row>
    <row r="786">
      <c r="A786" s="2" t="s">
        <v>4804</v>
      </c>
      <c r="B786" s="2" t="s">
        <v>719</v>
      </c>
      <c r="C786" s="2" t="s">
        <v>730</v>
      </c>
      <c r="D786" s="2" t="s">
        <v>720</v>
      </c>
      <c r="E786" s="2" t="s">
        <v>721</v>
      </c>
      <c r="F786" s="2" t="s">
        <v>4805</v>
      </c>
      <c r="G786" s="2" t="s">
        <v>4805</v>
      </c>
      <c r="H786" s="2" t="s">
        <v>4805</v>
      </c>
      <c r="I786" s="2" t="s">
        <v>4806</v>
      </c>
      <c r="J786" s="2" t="s">
        <v>711</v>
      </c>
      <c r="K786" s="2" t="s">
        <v>4807</v>
      </c>
      <c r="L786" s="3">
        <v>41.9</v>
      </c>
      <c r="M786" s="3">
        <v>44</v>
      </c>
      <c r="N786" s="3">
        <v>87.99</v>
      </c>
      <c r="O786" s="2" t="s">
        <v>212</v>
      </c>
      <c r="P786" s="2" t="s">
        <v>750</v>
      </c>
      <c r="Q786" s="2" t="s">
        <v>206</v>
      </c>
      <c r="R786" s="2" t="s">
        <v>200</v>
      </c>
      <c r="S786" s="2" t="s">
        <v>200</v>
      </c>
      <c r="T786" s="2" t="s">
        <v>200</v>
      </c>
      <c r="U786" s="2" t="s">
        <v>454</v>
      </c>
      <c r="V786" s="2" t="s">
        <v>1594</v>
      </c>
      <c r="W786" s="2" t="s">
        <v>4808</v>
      </c>
      <c r="X786" s="2" t="s">
        <v>736</v>
      </c>
      <c r="Y786" s="2" t="s">
        <v>4809</v>
      </c>
      <c r="Z786" s="4">
        <v>63</v>
      </c>
      <c r="AA786" s="4">
        <f>=ROUNDDOWN(31.5,0)</f>
      </c>
      <c r="AB786" s="5">
        <v>2</v>
      </c>
      <c r="AC786" s="2" t="s">
        <v>200</v>
      </c>
      <c r="AD786" s="4"/>
      <c r="AE786" s="4"/>
      <c r="AF786" s="6">
        <v>61</v>
      </c>
      <c r="AG786" s="6"/>
      <c r="AH786" s="7">
        <v>1</v>
      </c>
      <c r="AI786" s="4"/>
      <c r="AJ786" s="4">
        <f>=ROUNDDOWN({0},0)</f>
      </c>
      <c r="AK786" s="5"/>
      <c r="AL786" s="2" t="s">
        <v>200</v>
      </c>
      <c r="AM786" s="4"/>
      <c r="AN786" s="4"/>
      <c r="AO786" s="7"/>
      <c r="AP786" s="4"/>
      <c r="AQ786" s="8"/>
      <c r="AR786" s="4"/>
      <c r="AS786" s="8"/>
      <c r="AT786" s="7"/>
      <c r="AU786" s="7"/>
      <c r="AV786" s="4"/>
      <c r="AW786" s="8"/>
      <c r="AX786" s="4"/>
      <c r="AY786" s="8"/>
      <c r="AZ786" s="7"/>
      <c r="BA786" s="7"/>
      <c r="BB786" s="7"/>
      <c r="BC786" s="4"/>
      <c r="BD786" s="8"/>
      <c r="BE786" s="4"/>
      <c r="BF786" s="8"/>
      <c r="BG786" s="7"/>
      <c r="BH786" s="7"/>
      <c r="BI786" s="7"/>
      <c r="BJ786" s="4">
        <v>9</v>
      </c>
      <c r="BK786" s="8">
        <v>407.82</v>
      </c>
      <c r="BL786" s="2" t="s">
        <v>1483</v>
      </c>
      <c r="BM786" s="7"/>
      <c r="BN786" s="7"/>
      <c r="BO786" s="4"/>
      <c r="BP786" s="8"/>
      <c r="BQ786" s="4"/>
      <c r="BR786" s="8"/>
      <c r="BS786" s="7"/>
      <c r="BT786" s="7"/>
      <c r="BU786" s="2" t="s">
        <v>4810</v>
      </c>
      <c r="BV786" s="2" t="s">
        <v>200</v>
      </c>
      <c r="BW786" s="2" t="s">
        <v>200</v>
      </c>
      <c r="BX786" s="2" t="s">
        <v>264</v>
      </c>
      <c r="BY786" s="2" t="s">
        <v>247</v>
      </c>
      <c r="BZ786" s="2" t="s">
        <v>212</v>
      </c>
      <c r="CA786" s="2" t="s">
        <v>4811</v>
      </c>
      <c r="CB786" s="2" t="s">
        <v>2406</v>
      </c>
      <c r="CC786" s="2" t="s">
        <v>213</v>
      </c>
      <c r="CD786" s="2" t="s">
        <v>200</v>
      </c>
      <c r="CE786" s="4"/>
      <c r="CF786" s="4">
        <v>63</v>
      </c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</row>
    <row r="787">
      <c r="A787" s="2" t="s">
        <v>4812</v>
      </c>
      <c r="B787" s="2" t="s">
        <v>719</v>
      </c>
      <c r="C787" s="2" t="s">
        <v>730</v>
      </c>
      <c r="D787" s="2" t="s">
        <v>720</v>
      </c>
      <c r="E787" s="2" t="s">
        <v>2060</v>
      </c>
      <c r="F787" s="2" t="s">
        <v>4813</v>
      </c>
      <c r="G787" s="2" t="s">
        <v>4813</v>
      </c>
      <c r="H787" s="2" t="s">
        <v>4813</v>
      </c>
      <c r="I787" s="2" t="s">
        <v>4814</v>
      </c>
      <c r="J787" s="2" t="s">
        <v>711</v>
      </c>
      <c r="K787" s="2" t="s">
        <v>4807</v>
      </c>
      <c r="L787" s="3">
        <v>25.71</v>
      </c>
      <c r="M787" s="3">
        <v>27</v>
      </c>
      <c r="N787" s="3">
        <v>59.99</v>
      </c>
      <c r="O787" s="2" t="s">
        <v>212</v>
      </c>
      <c r="P787" s="2" t="s">
        <v>750</v>
      </c>
      <c r="Q787" s="2" t="s">
        <v>206</v>
      </c>
      <c r="R787" s="2" t="s">
        <v>200</v>
      </c>
      <c r="S787" s="2" t="s">
        <v>200</v>
      </c>
      <c r="T787" s="2" t="s">
        <v>200</v>
      </c>
      <c r="U787" s="2" t="s">
        <v>454</v>
      </c>
      <c r="V787" s="2" t="s">
        <v>1594</v>
      </c>
      <c r="W787" s="2" t="s">
        <v>4808</v>
      </c>
      <c r="X787" s="2" t="s">
        <v>736</v>
      </c>
      <c r="Y787" s="2" t="s">
        <v>4809</v>
      </c>
      <c r="Z787" s="4">
        <v>49</v>
      </c>
      <c r="AA787" s="4">
        <f>=ROUNDDOWN(24.5,0)</f>
      </c>
      <c r="AB787" s="5">
        <v>2</v>
      </c>
      <c r="AC787" s="2" t="s">
        <v>200</v>
      </c>
      <c r="AD787" s="4"/>
      <c r="AE787" s="4"/>
      <c r="AF787" s="6">
        <v>61</v>
      </c>
      <c r="AG787" s="6"/>
      <c r="AH787" s="7">
        <v>1</v>
      </c>
      <c r="AI787" s="4"/>
      <c r="AJ787" s="4">
        <f>=ROUNDDOWN({0},0)</f>
      </c>
      <c r="AK787" s="5"/>
      <c r="AL787" s="2" t="s">
        <v>200</v>
      </c>
      <c r="AM787" s="4"/>
      <c r="AN787" s="4"/>
      <c r="AO787" s="7"/>
      <c r="AP787" s="4"/>
      <c r="AQ787" s="8"/>
      <c r="AR787" s="4"/>
      <c r="AS787" s="8"/>
      <c r="AT787" s="7"/>
      <c r="AU787" s="7"/>
      <c r="AV787" s="4"/>
      <c r="AW787" s="8"/>
      <c r="AX787" s="4"/>
      <c r="AY787" s="8"/>
      <c r="AZ787" s="7"/>
      <c r="BA787" s="7"/>
      <c r="BB787" s="7"/>
      <c r="BC787" s="4"/>
      <c r="BD787" s="8"/>
      <c r="BE787" s="4"/>
      <c r="BF787" s="8"/>
      <c r="BG787" s="7"/>
      <c r="BH787" s="7"/>
      <c r="BI787" s="7"/>
      <c r="BJ787" s="4">
        <v>8</v>
      </c>
      <c r="BK787" s="8">
        <v>222.83</v>
      </c>
      <c r="BL787" s="2" t="s">
        <v>1483</v>
      </c>
      <c r="BM787" s="7"/>
      <c r="BN787" s="7"/>
      <c r="BO787" s="4"/>
      <c r="BP787" s="8"/>
      <c r="BQ787" s="4"/>
      <c r="BR787" s="8"/>
      <c r="BS787" s="7"/>
      <c r="BT787" s="7"/>
      <c r="BU787" s="2" t="s">
        <v>4815</v>
      </c>
      <c r="BV787" s="2" t="s">
        <v>200</v>
      </c>
      <c r="BW787" s="2" t="s">
        <v>200</v>
      </c>
      <c r="BX787" s="2" t="s">
        <v>264</v>
      </c>
      <c r="BY787" s="2" t="s">
        <v>247</v>
      </c>
      <c r="BZ787" s="2" t="s">
        <v>212</v>
      </c>
      <c r="CA787" s="2" t="s">
        <v>4811</v>
      </c>
      <c r="CB787" s="2" t="s">
        <v>200</v>
      </c>
      <c r="CC787" s="2" t="s">
        <v>213</v>
      </c>
      <c r="CD787" s="2" t="s">
        <v>200</v>
      </c>
      <c r="CE787" s="4"/>
      <c r="CF787" s="4">
        <v>49</v>
      </c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</row>
    <row r="788">
      <c r="A788" s="2" t="s">
        <v>4816</v>
      </c>
      <c r="B788" s="2" t="s">
        <v>992</v>
      </c>
      <c r="C788" s="2" t="s">
        <v>231</v>
      </c>
      <c r="D788" s="2" t="s">
        <v>992</v>
      </c>
      <c r="E788" s="2" t="s">
        <v>992</v>
      </c>
      <c r="F788" s="2" t="s">
        <v>4248</v>
      </c>
      <c r="G788" s="2" t="s">
        <v>4817</v>
      </c>
      <c r="H788" s="2" t="s">
        <v>4818</v>
      </c>
      <c r="I788" s="2" t="s">
        <v>4819</v>
      </c>
      <c r="J788" s="2" t="s">
        <v>997</v>
      </c>
      <c r="K788" s="2" t="s">
        <v>387</v>
      </c>
      <c r="L788" s="3">
        <v>60.49</v>
      </c>
      <c r="M788" s="3">
        <v>63.51</v>
      </c>
      <c r="N788" s="3">
        <v>134.99</v>
      </c>
      <c r="O788" s="2" t="s">
        <v>460</v>
      </c>
      <c r="P788" s="2" t="s">
        <v>285</v>
      </c>
      <c r="Q788" s="2" t="s">
        <v>206</v>
      </c>
      <c r="R788" s="2" t="s">
        <v>200</v>
      </c>
      <c r="S788" s="2" t="s">
        <v>200</v>
      </c>
      <c r="T788" s="2" t="s">
        <v>200</v>
      </c>
      <c r="U788" s="2" t="s">
        <v>270</v>
      </c>
      <c r="V788" s="2" t="s">
        <v>724</v>
      </c>
      <c r="W788" s="2" t="s">
        <v>419</v>
      </c>
      <c r="X788" s="2" t="s">
        <v>200</v>
      </c>
      <c r="Y788" s="2" t="s">
        <v>4820</v>
      </c>
      <c r="Z788" s="4">
        <v>302</v>
      </c>
      <c r="AA788" s="4">
        <f>=ROUNDDOWN(143.809523809524,0)</f>
      </c>
      <c r="AB788" s="5">
        <v>2.1</v>
      </c>
      <c r="AC788" s="2" t="s">
        <v>200</v>
      </c>
      <c r="AD788" s="4"/>
      <c r="AE788" s="4"/>
      <c r="AF788" s="6">
        <v>63</v>
      </c>
      <c r="AG788" s="6"/>
      <c r="AH788" s="7">
        <v>1</v>
      </c>
      <c r="AI788" s="4"/>
      <c r="AJ788" s="4">
        <f>=ROUNDDOWN({0},0)</f>
      </c>
      <c r="AK788" s="5"/>
      <c r="AL788" s="2" t="s">
        <v>200</v>
      </c>
      <c r="AM788" s="4"/>
      <c r="AN788" s="4"/>
      <c r="AO788" s="7"/>
      <c r="AP788" s="4"/>
      <c r="AQ788" s="8"/>
      <c r="AR788" s="4"/>
      <c r="AS788" s="8"/>
      <c r="AT788" s="7"/>
      <c r="AU788" s="7"/>
      <c r="AV788" s="4" t="s">
        <v>200</v>
      </c>
      <c r="AW788" s="8" t="s">
        <v>200</v>
      </c>
      <c r="AX788" s="4" t="s">
        <v>200</v>
      </c>
      <c r="AY788" s="8" t="s">
        <v>200</v>
      </c>
      <c r="AZ788" s="7" t="s">
        <v>200</v>
      </c>
      <c r="BA788" s="7" t="s">
        <v>200</v>
      </c>
      <c r="BB788" s="7"/>
      <c r="BC788" s="4" t="s">
        <v>200</v>
      </c>
      <c r="BD788" s="8" t="s">
        <v>200</v>
      </c>
      <c r="BE788" s="4" t="s">
        <v>200</v>
      </c>
      <c r="BF788" s="8" t="s">
        <v>200</v>
      </c>
      <c r="BG788" s="7" t="s">
        <v>200</v>
      </c>
      <c r="BH788" s="7" t="s">
        <v>200</v>
      </c>
      <c r="BI788" s="7"/>
      <c r="BJ788" s="4">
        <v>7</v>
      </c>
      <c r="BK788" s="8">
        <v>263.56</v>
      </c>
      <c r="BL788" s="2" t="s">
        <v>4821</v>
      </c>
      <c r="BM788" s="7"/>
      <c r="BN788" s="7"/>
      <c r="BO788" s="4"/>
      <c r="BP788" s="8"/>
      <c r="BQ788" s="4"/>
      <c r="BR788" s="8"/>
      <c r="BS788" s="7"/>
      <c r="BT788" s="7"/>
      <c r="BU788" s="2" t="s">
        <v>4822</v>
      </c>
      <c r="BV788" s="2" t="s">
        <v>200</v>
      </c>
      <c r="BW788" s="2" t="s">
        <v>200</v>
      </c>
      <c r="BX788" s="2" t="s">
        <v>289</v>
      </c>
      <c r="BY788" s="2" t="s">
        <v>247</v>
      </c>
      <c r="BZ788" s="2" t="s">
        <v>212</v>
      </c>
      <c r="CA788" s="2" t="s">
        <v>1008</v>
      </c>
      <c r="CB788" s="2" t="s">
        <v>4823</v>
      </c>
      <c r="CC788" s="2" t="s">
        <v>213</v>
      </c>
      <c r="CD788" s="2" t="s">
        <v>200</v>
      </c>
      <c r="CE788" s="4"/>
      <c r="CF788" s="4">
        <v>302</v>
      </c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</row>
    <row r="789">
      <c r="A789" s="2" t="s">
        <v>4824</v>
      </c>
      <c r="B789" s="2" t="s">
        <v>992</v>
      </c>
      <c r="C789" s="2" t="s">
        <v>231</v>
      </c>
      <c r="D789" s="2" t="s">
        <v>992</v>
      </c>
      <c r="E789" s="2" t="s">
        <v>992</v>
      </c>
      <c r="F789" s="2" t="s">
        <v>4248</v>
      </c>
      <c r="G789" s="2" t="s">
        <v>4817</v>
      </c>
      <c r="H789" s="2" t="s">
        <v>4818</v>
      </c>
      <c r="I789" s="2" t="s">
        <v>4819</v>
      </c>
      <c r="J789" s="2" t="s">
        <v>1005</v>
      </c>
      <c r="K789" s="2" t="s">
        <v>387</v>
      </c>
      <c r="L789" s="3">
        <v>94.67</v>
      </c>
      <c r="M789" s="3">
        <v>99.4</v>
      </c>
      <c r="N789" s="3">
        <v>214.99</v>
      </c>
      <c r="O789" s="2" t="s">
        <v>417</v>
      </c>
      <c r="P789" s="2" t="s">
        <v>285</v>
      </c>
      <c r="Q789" s="2" t="s">
        <v>206</v>
      </c>
      <c r="R789" s="2" t="s">
        <v>200</v>
      </c>
      <c r="S789" s="2" t="s">
        <v>200</v>
      </c>
      <c r="T789" s="2" t="s">
        <v>200</v>
      </c>
      <c r="U789" s="2" t="s">
        <v>270</v>
      </c>
      <c r="V789" s="2" t="s">
        <v>724</v>
      </c>
      <c r="W789" s="2" t="s">
        <v>419</v>
      </c>
      <c r="X789" s="2" t="s">
        <v>200</v>
      </c>
      <c r="Y789" s="2" t="s">
        <v>4820</v>
      </c>
      <c r="Z789" s="4">
        <v>12</v>
      </c>
      <c r="AA789" s="4">
        <f>=ROUNDDOWN(40,0)</f>
      </c>
      <c r="AB789" s="5">
        <v>0.3</v>
      </c>
      <c r="AC789" s="2" t="s">
        <v>200</v>
      </c>
      <c r="AD789" s="4"/>
      <c r="AE789" s="4"/>
      <c r="AF789" s="6">
        <v>63</v>
      </c>
      <c r="AG789" s="6"/>
      <c r="AH789" s="7">
        <v>0.9</v>
      </c>
      <c r="AI789" s="4"/>
      <c r="AJ789" s="4">
        <f>=ROUNDDOWN({0},0)</f>
      </c>
      <c r="AK789" s="5"/>
      <c r="AL789" s="2" t="s">
        <v>200</v>
      </c>
      <c r="AM789" s="4"/>
      <c r="AN789" s="4"/>
      <c r="AO789" s="7"/>
      <c r="AP789" s="4"/>
      <c r="AQ789" s="8"/>
      <c r="AR789" s="4"/>
      <c r="AS789" s="8"/>
      <c r="AT789" s="7"/>
      <c r="AU789" s="7"/>
      <c r="AV789" s="4" t="s">
        <v>200</v>
      </c>
      <c r="AW789" s="8" t="s">
        <v>200</v>
      </c>
      <c r="AX789" s="4" t="s">
        <v>200</v>
      </c>
      <c r="AY789" s="8" t="s">
        <v>200</v>
      </c>
      <c r="AZ789" s="7" t="s">
        <v>200</v>
      </c>
      <c r="BA789" s="7" t="s">
        <v>200</v>
      </c>
      <c r="BB789" s="7"/>
      <c r="BC789" s="4" t="s">
        <v>200</v>
      </c>
      <c r="BD789" s="8" t="s">
        <v>200</v>
      </c>
      <c r="BE789" s="4" t="s">
        <v>200</v>
      </c>
      <c r="BF789" s="8" t="s">
        <v>200</v>
      </c>
      <c r="BG789" s="7" t="s">
        <v>200</v>
      </c>
      <c r="BH789" s="7" t="s">
        <v>200</v>
      </c>
      <c r="BI789" s="7"/>
      <c r="BJ789" s="4"/>
      <c r="BK789" s="8"/>
      <c r="BL789" s="2" t="s">
        <v>4825</v>
      </c>
      <c r="BM789" s="7"/>
      <c r="BN789" s="7"/>
      <c r="BO789" s="4"/>
      <c r="BP789" s="8"/>
      <c r="BQ789" s="4"/>
      <c r="BR789" s="8"/>
      <c r="BS789" s="7"/>
      <c r="BT789" s="7"/>
      <c r="BU789" s="2" t="s">
        <v>4826</v>
      </c>
      <c r="BV789" s="2" t="s">
        <v>200</v>
      </c>
      <c r="BW789" s="2" t="s">
        <v>200</v>
      </c>
      <c r="BX789" s="2" t="s">
        <v>289</v>
      </c>
      <c r="BY789" s="2" t="s">
        <v>247</v>
      </c>
      <c r="BZ789" s="2" t="s">
        <v>212</v>
      </c>
      <c r="CA789" s="2" t="s">
        <v>1008</v>
      </c>
      <c r="CB789" s="2" t="s">
        <v>4827</v>
      </c>
      <c r="CC789" s="2" t="s">
        <v>213</v>
      </c>
      <c r="CD789" s="2" t="s">
        <v>200</v>
      </c>
      <c r="CE789" s="4"/>
      <c r="CF789" s="4">
        <v>12</v>
      </c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</row>
    <row r="790">
      <c r="A790" s="2" t="s">
        <v>4828</v>
      </c>
      <c r="B790" s="2" t="s">
        <v>992</v>
      </c>
      <c r="C790" s="2" t="s">
        <v>231</v>
      </c>
      <c r="D790" s="2" t="s">
        <v>992</v>
      </c>
      <c r="E790" s="2" t="s">
        <v>992</v>
      </c>
      <c r="F790" s="2" t="s">
        <v>4248</v>
      </c>
      <c r="G790" s="2" t="s">
        <v>4817</v>
      </c>
      <c r="H790" s="2" t="s">
        <v>4818</v>
      </c>
      <c r="I790" s="2" t="s">
        <v>4819</v>
      </c>
      <c r="J790" s="2" t="s">
        <v>1585</v>
      </c>
      <c r="K790" s="2" t="s">
        <v>387</v>
      </c>
      <c r="L790" s="3">
        <v>130.14</v>
      </c>
      <c r="M790" s="3">
        <v>136.65</v>
      </c>
      <c r="N790" s="3">
        <v>289.99</v>
      </c>
      <c r="O790" s="2" t="s">
        <v>460</v>
      </c>
      <c r="P790" s="2" t="s">
        <v>285</v>
      </c>
      <c r="Q790" s="2" t="s">
        <v>206</v>
      </c>
      <c r="R790" s="2" t="s">
        <v>200</v>
      </c>
      <c r="S790" s="2" t="s">
        <v>200</v>
      </c>
      <c r="T790" s="2" t="s">
        <v>200</v>
      </c>
      <c r="U790" s="2" t="s">
        <v>270</v>
      </c>
      <c r="V790" s="2" t="s">
        <v>724</v>
      </c>
      <c r="W790" s="2" t="s">
        <v>419</v>
      </c>
      <c r="X790" s="2" t="s">
        <v>200</v>
      </c>
      <c r="Y790" s="2" t="s">
        <v>4820</v>
      </c>
      <c r="Z790" s="4">
        <v>115</v>
      </c>
      <c r="AA790" s="4">
        <f>=ROUNDDOWN(52.2727272727273,0)</f>
      </c>
      <c r="AB790" s="5">
        <v>2.2</v>
      </c>
      <c r="AC790" s="2" t="s">
        <v>200</v>
      </c>
      <c r="AD790" s="4"/>
      <c r="AE790" s="4"/>
      <c r="AF790" s="6">
        <v>63</v>
      </c>
      <c r="AG790" s="6"/>
      <c r="AH790" s="7">
        <v>1</v>
      </c>
      <c r="AI790" s="4"/>
      <c r="AJ790" s="4">
        <f>=ROUNDDOWN({0},0)</f>
      </c>
      <c r="AK790" s="5"/>
      <c r="AL790" s="2" t="s">
        <v>200</v>
      </c>
      <c r="AM790" s="4"/>
      <c r="AN790" s="4"/>
      <c r="AO790" s="7"/>
      <c r="AP790" s="4"/>
      <c r="AQ790" s="8"/>
      <c r="AR790" s="4"/>
      <c r="AS790" s="8"/>
      <c r="AT790" s="7"/>
      <c r="AU790" s="7"/>
      <c r="AV790" s="4" t="s">
        <v>200</v>
      </c>
      <c r="AW790" s="8" t="s">
        <v>200</v>
      </c>
      <c r="AX790" s="4" t="s">
        <v>200</v>
      </c>
      <c r="AY790" s="8" t="s">
        <v>200</v>
      </c>
      <c r="AZ790" s="7" t="s">
        <v>200</v>
      </c>
      <c r="BA790" s="7" t="s">
        <v>200</v>
      </c>
      <c r="BB790" s="7"/>
      <c r="BC790" s="4" t="s">
        <v>200</v>
      </c>
      <c r="BD790" s="8" t="s">
        <v>200</v>
      </c>
      <c r="BE790" s="4" t="s">
        <v>200</v>
      </c>
      <c r="BF790" s="8" t="s">
        <v>200</v>
      </c>
      <c r="BG790" s="7" t="s">
        <v>200</v>
      </c>
      <c r="BH790" s="7" t="s">
        <v>200</v>
      </c>
      <c r="BI790" s="7"/>
      <c r="BJ790" s="4">
        <v>6</v>
      </c>
      <c r="BK790" s="8">
        <v>435.22</v>
      </c>
      <c r="BL790" s="2" t="s">
        <v>4829</v>
      </c>
      <c r="BM790" s="7"/>
      <c r="BN790" s="7"/>
      <c r="BO790" s="4"/>
      <c r="BP790" s="8"/>
      <c r="BQ790" s="4"/>
      <c r="BR790" s="8"/>
      <c r="BS790" s="7"/>
      <c r="BT790" s="7"/>
      <c r="BU790" s="2" t="s">
        <v>4830</v>
      </c>
      <c r="BV790" s="2" t="s">
        <v>200</v>
      </c>
      <c r="BW790" s="2" t="s">
        <v>200</v>
      </c>
      <c r="BX790" s="2" t="s">
        <v>289</v>
      </c>
      <c r="BY790" s="2" t="s">
        <v>247</v>
      </c>
      <c r="BZ790" s="2" t="s">
        <v>212</v>
      </c>
      <c r="CA790" s="2" t="s">
        <v>1008</v>
      </c>
      <c r="CB790" s="2" t="s">
        <v>1710</v>
      </c>
      <c r="CC790" s="2" t="s">
        <v>213</v>
      </c>
      <c r="CD790" s="2" t="s">
        <v>200</v>
      </c>
      <c r="CE790" s="4"/>
      <c r="CF790" s="4">
        <v>115</v>
      </c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</row>
    <row r="791">
      <c r="A791" s="2" t="s">
        <v>4831</v>
      </c>
      <c r="B791" s="2" t="s">
        <v>705</v>
      </c>
      <c r="C791" s="2" t="s">
        <v>745</v>
      </c>
      <c r="D791" s="2" t="s">
        <v>817</v>
      </c>
      <c r="E791" s="2" t="s">
        <v>818</v>
      </c>
      <c r="F791" s="2" t="s">
        <v>4832</v>
      </c>
      <c r="G791" s="2" t="s">
        <v>4832</v>
      </c>
      <c r="H791" s="2" t="s">
        <v>4832</v>
      </c>
      <c r="I791" s="2" t="s">
        <v>4833</v>
      </c>
      <c r="J791" s="2" t="s">
        <v>711</v>
      </c>
      <c r="K791" s="2" t="s">
        <v>2110</v>
      </c>
      <c r="L791" s="3">
        <v>43.2</v>
      </c>
      <c r="M791" s="3">
        <v>45.36</v>
      </c>
      <c r="N791" s="3">
        <v>99.99</v>
      </c>
      <c r="O791" s="2" t="s">
        <v>212</v>
      </c>
      <c r="P791" s="2" t="s">
        <v>1075</v>
      </c>
      <c r="Q791" s="2" t="s">
        <v>206</v>
      </c>
      <c r="R791" s="2" t="s">
        <v>200</v>
      </c>
      <c r="S791" s="2" t="s">
        <v>200</v>
      </c>
      <c r="T791" s="2" t="s">
        <v>200</v>
      </c>
      <c r="U791" s="2" t="s">
        <v>270</v>
      </c>
      <c r="V791" s="2" t="s">
        <v>616</v>
      </c>
      <c r="W791" s="2" t="s">
        <v>419</v>
      </c>
      <c r="X791" s="2" t="s">
        <v>200</v>
      </c>
      <c r="Y791" s="2" t="s">
        <v>4834</v>
      </c>
      <c r="Z791" s="4">
        <v>96</v>
      </c>
      <c r="AA791" s="4">
        <f>=ROUNDDOWN(12,0)</f>
      </c>
      <c r="AB791" s="5">
        <v>8</v>
      </c>
      <c r="AC791" s="2" t="s">
        <v>553</v>
      </c>
      <c r="AD791" s="4">
        <v>160</v>
      </c>
      <c r="AE791" s="4">
        <v>160</v>
      </c>
      <c r="AF791" s="6">
        <v>63</v>
      </c>
      <c r="AG791" s="6"/>
      <c r="AH791" s="7">
        <v>1</v>
      </c>
      <c r="AI791" s="4"/>
      <c r="AJ791" s="4">
        <f>=ROUNDDOWN({0},0)</f>
      </c>
      <c r="AK791" s="5"/>
      <c r="AL791" s="2" t="s">
        <v>200</v>
      </c>
      <c r="AM791" s="4"/>
      <c r="AN791" s="4"/>
      <c r="AO791" s="7"/>
      <c r="AP791" s="4"/>
      <c r="AQ791" s="8"/>
      <c r="AR791" s="4"/>
      <c r="AS791" s="8"/>
      <c r="AT791" s="7"/>
      <c r="AU791" s="7"/>
      <c r="AV791" s="4"/>
      <c r="AW791" s="8"/>
      <c r="AX791" s="4"/>
      <c r="AY791" s="8"/>
      <c r="AZ791" s="7"/>
      <c r="BA791" s="7"/>
      <c r="BB791" s="7"/>
      <c r="BC791" s="4"/>
      <c r="BD791" s="8"/>
      <c r="BE791" s="4"/>
      <c r="BF791" s="8"/>
      <c r="BG791" s="7"/>
      <c r="BH791" s="7"/>
      <c r="BI791" s="7"/>
      <c r="BJ791" s="4">
        <v>40</v>
      </c>
      <c r="BK791" s="8">
        <v>2144.61</v>
      </c>
      <c r="BL791" s="2" t="s">
        <v>4835</v>
      </c>
      <c r="BM791" s="7"/>
      <c r="BN791" s="7"/>
      <c r="BO791" s="4"/>
      <c r="BP791" s="8"/>
      <c r="BQ791" s="4"/>
      <c r="BR791" s="8"/>
      <c r="BS791" s="7"/>
      <c r="BT791" s="7"/>
      <c r="BU791" s="2" t="s">
        <v>4836</v>
      </c>
      <c r="BV791" s="2" t="s">
        <v>200</v>
      </c>
      <c r="BW791" s="2" t="s">
        <v>200</v>
      </c>
      <c r="BX791" s="2" t="s">
        <v>264</v>
      </c>
      <c r="BY791" s="2" t="s">
        <v>247</v>
      </c>
      <c r="BZ791" s="2" t="s">
        <v>212</v>
      </c>
      <c r="CA791" s="2" t="s">
        <v>4837</v>
      </c>
      <c r="CB791" s="2" t="s">
        <v>4838</v>
      </c>
      <c r="CC791" s="2" t="s">
        <v>213</v>
      </c>
      <c r="CD791" s="2" t="s">
        <v>200</v>
      </c>
      <c r="CE791" s="4"/>
      <c r="CF791" s="4">
        <v>96</v>
      </c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>
        <v>160</v>
      </c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</row>
    <row r="792">
      <c r="A792" s="2" t="s">
        <v>4839</v>
      </c>
      <c r="B792" s="2" t="s">
        <v>903</v>
      </c>
      <c r="C792" s="2" t="s">
        <v>231</v>
      </c>
      <c r="D792" s="2" t="s">
        <v>1818</v>
      </c>
      <c r="E792" s="2" t="s">
        <v>2000</v>
      </c>
      <c r="F792" s="2" t="s">
        <v>4840</v>
      </c>
      <c r="G792" s="2" t="s">
        <v>1171</v>
      </c>
      <c r="H792" s="2" t="s">
        <v>4841</v>
      </c>
      <c r="I792" s="2" t="s">
        <v>4842</v>
      </c>
      <c r="J792" s="2" t="s">
        <v>612</v>
      </c>
      <c r="K792" s="2" t="s">
        <v>387</v>
      </c>
      <c r="L792" s="3">
        <v>52.8</v>
      </c>
      <c r="M792" s="3">
        <v>55.44</v>
      </c>
      <c r="N792" s="3">
        <v>109.99</v>
      </c>
      <c r="O792" s="2" t="s">
        <v>460</v>
      </c>
      <c r="P792" s="2" t="s">
        <v>285</v>
      </c>
      <c r="Q792" s="2" t="s">
        <v>206</v>
      </c>
      <c r="R792" s="2" t="s">
        <v>200</v>
      </c>
      <c r="S792" s="2" t="s">
        <v>4843</v>
      </c>
      <c r="T792" s="2" t="s">
        <v>200</v>
      </c>
      <c r="U792" s="2" t="s">
        <v>454</v>
      </c>
      <c r="V792" s="2" t="s">
        <v>4716</v>
      </c>
      <c r="W792" s="2" t="s">
        <v>241</v>
      </c>
      <c r="X792" s="2" t="s">
        <v>1399</v>
      </c>
      <c r="Y792" s="2" t="s">
        <v>2753</v>
      </c>
      <c r="Z792" s="4">
        <v>245</v>
      </c>
      <c r="AA792" s="4">
        <f>=ROUNDDOWN(94.2307692307692,0)</f>
      </c>
      <c r="AB792" s="5">
        <v>2.6</v>
      </c>
      <c r="AC792" s="2" t="s">
        <v>200</v>
      </c>
      <c r="AD792" s="4"/>
      <c r="AE792" s="4"/>
      <c r="AF792" s="6">
        <v>67</v>
      </c>
      <c r="AG792" s="6"/>
      <c r="AH792" s="7">
        <v>1</v>
      </c>
      <c r="AI792" s="4"/>
      <c r="AJ792" s="4">
        <f>=ROUNDDOWN({0},0)</f>
      </c>
      <c r="AK792" s="5"/>
      <c r="AL792" s="2" t="s">
        <v>200</v>
      </c>
      <c r="AM792" s="4"/>
      <c r="AN792" s="4"/>
      <c r="AO792" s="7"/>
      <c r="AP792" s="4"/>
      <c r="AQ792" s="8"/>
      <c r="AR792" s="4"/>
      <c r="AS792" s="8"/>
      <c r="AT792" s="7"/>
      <c r="AU792" s="7"/>
      <c r="AV792" s="4"/>
      <c r="AW792" s="8"/>
      <c r="AX792" s="4"/>
      <c r="AY792" s="8"/>
      <c r="AZ792" s="7"/>
      <c r="BA792" s="7"/>
      <c r="BB792" s="7"/>
      <c r="BC792" s="4"/>
      <c r="BD792" s="8"/>
      <c r="BE792" s="4"/>
      <c r="BF792" s="8"/>
      <c r="BG792" s="7"/>
      <c r="BH792" s="7"/>
      <c r="BI792" s="7"/>
      <c r="BJ792" s="4">
        <v>28</v>
      </c>
      <c r="BK792" s="8">
        <v>1022.88</v>
      </c>
      <c r="BL792" s="2" t="s">
        <v>843</v>
      </c>
      <c r="BM792" s="7"/>
      <c r="BN792" s="7"/>
      <c r="BO792" s="4"/>
      <c r="BP792" s="8"/>
      <c r="BQ792" s="4"/>
      <c r="BR792" s="8"/>
      <c r="BS792" s="7"/>
      <c r="BT792" s="7"/>
      <c r="BU792" s="2" t="s">
        <v>4844</v>
      </c>
      <c r="BV792" s="2" t="s">
        <v>200</v>
      </c>
      <c r="BW792" s="2" t="s">
        <v>200</v>
      </c>
      <c r="BX792" s="2" t="s">
        <v>289</v>
      </c>
      <c r="BY792" s="2" t="s">
        <v>247</v>
      </c>
      <c r="BZ792" s="2" t="s">
        <v>212</v>
      </c>
      <c r="CA792" s="2" t="s">
        <v>4845</v>
      </c>
      <c r="CB792" s="2" t="s">
        <v>4846</v>
      </c>
      <c r="CC792" s="2" t="s">
        <v>213</v>
      </c>
      <c r="CD792" s="2" t="s">
        <v>200</v>
      </c>
      <c r="CE792" s="4">
        <v>245</v>
      </c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</row>
    <row r="793">
      <c r="A793" s="2" t="s">
        <v>4847</v>
      </c>
      <c r="B793" s="2" t="s">
        <v>827</v>
      </c>
      <c r="C793" s="2" t="s">
        <v>1252</v>
      </c>
      <c r="D793" s="2" t="s">
        <v>828</v>
      </c>
      <c r="E793" s="2" t="s">
        <v>1011</v>
      </c>
      <c r="F793" s="2" t="s">
        <v>4848</v>
      </c>
      <c r="G793" s="2" t="s">
        <v>200</v>
      </c>
      <c r="H793" s="2" t="s">
        <v>200</v>
      </c>
      <c r="I793" s="2" t="s">
        <v>4849</v>
      </c>
      <c r="J793" s="2" t="s">
        <v>4850</v>
      </c>
      <c r="K793" s="2" t="s">
        <v>221</v>
      </c>
      <c r="L793" s="3">
        <v>19.53</v>
      </c>
      <c r="M793" s="3">
        <v>20.51</v>
      </c>
      <c r="N793" s="3">
        <v>34.99</v>
      </c>
      <c r="O793" s="2" t="s">
        <v>417</v>
      </c>
      <c r="P793" s="2" t="s">
        <v>1258</v>
      </c>
      <c r="Q793" s="2" t="s">
        <v>206</v>
      </c>
      <c r="R793" s="2" t="s">
        <v>1259</v>
      </c>
      <c r="S793" s="2" t="s">
        <v>200</v>
      </c>
      <c r="T793" s="2" t="s">
        <v>200</v>
      </c>
      <c r="U793" s="2" t="s">
        <v>200</v>
      </c>
      <c r="V793" s="2" t="s">
        <v>616</v>
      </c>
      <c r="W793" s="2" t="s">
        <v>200</v>
      </c>
      <c r="X793" s="2" t="s">
        <v>200</v>
      </c>
      <c r="Y793" s="2" t="s">
        <v>4851</v>
      </c>
      <c r="Z793" s="4">
        <v>108</v>
      </c>
      <c r="AA793" s="4">
        <f>=ROUNDDOWN(360,0)</f>
      </c>
      <c r="AB793" s="5">
        <v>0.3</v>
      </c>
      <c r="AC793" s="2" t="s">
        <v>200</v>
      </c>
      <c r="AD793" s="4"/>
      <c r="AE793" s="4"/>
      <c r="AF793" s="6">
        <v>64</v>
      </c>
      <c r="AG793" s="6"/>
      <c r="AH793" s="7">
        <v>1</v>
      </c>
      <c r="AI793" s="4"/>
      <c r="AJ793" s="4">
        <f>=ROUNDDOWN({0},0)</f>
      </c>
      <c r="AK793" s="5"/>
      <c r="AL793" s="2" t="s">
        <v>200</v>
      </c>
      <c r="AM793" s="4"/>
      <c r="AN793" s="4"/>
      <c r="AO793" s="7"/>
      <c r="AP793" s="4"/>
      <c r="AQ793" s="8"/>
      <c r="AR793" s="4"/>
      <c r="AS793" s="8"/>
      <c r="AT793" s="7"/>
      <c r="AU793" s="7"/>
      <c r="AV793" s="4"/>
      <c r="AW793" s="8"/>
      <c r="AX793" s="4"/>
      <c r="AY793" s="8"/>
      <c r="AZ793" s="7"/>
      <c r="BA793" s="7"/>
      <c r="BB793" s="7"/>
      <c r="BC793" s="4"/>
      <c r="BD793" s="8"/>
      <c r="BE793" s="4"/>
      <c r="BF793" s="8"/>
      <c r="BG793" s="7"/>
      <c r="BH793" s="7"/>
      <c r="BI793" s="7"/>
      <c r="BJ793" s="4"/>
      <c r="BK793" s="8"/>
      <c r="BL793" s="2" t="s">
        <v>200</v>
      </c>
      <c r="BM793" s="7"/>
      <c r="BN793" s="7"/>
      <c r="BO793" s="4"/>
      <c r="BP793" s="8"/>
      <c r="BQ793" s="4"/>
      <c r="BR793" s="8"/>
      <c r="BS793" s="7"/>
      <c r="BT793" s="7"/>
      <c r="BU793" s="2" t="s">
        <v>4852</v>
      </c>
      <c r="BV793" s="2" t="s">
        <v>200</v>
      </c>
      <c r="BW793" s="2" t="s">
        <v>200</v>
      </c>
      <c r="BX793" s="2" t="s">
        <v>264</v>
      </c>
      <c r="BY793" s="2" t="s">
        <v>247</v>
      </c>
      <c r="BZ793" s="2" t="s">
        <v>212</v>
      </c>
      <c r="CA793" s="2" t="s">
        <v>4853</v>
      </c>
      <c r="CB793" s="2" t="s">
        <v>200</v>
      </c>
      <c r="CC793" s="2" t="s">
        <v>213</v>
      </c>
      <c r="CD793" s="2" t="s">
        <v>200</v>
      </c>
      <c r="CE793" s="4">
        <v>108</v>
      </c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</row>
    <row r="794">
      <c r="A794" s="2" t="s">
        <v>4854</v>
      </c>
      <c r="B794" s="2" t="s">
        <v>744</v>
      </c>
      <c r="C794" s="2" t="s">
        <v>231</v>
      </c>
      <c r="D794" s="2" t="s">
        <v>2677</v>
      </c>
      <c r="E794" s="2" t="s">
        <v>4855</v>
      </c>
      <c r="F794" s="2" t="s">
        <v>4856</v>
      </c>
      <c r="G794" s="2" t="s">
        <v>4857</v>
      </c>
      <c r="H794" s="2" t="s">
        <v>4858</v>
      </c>
      <c r="I794" s="2" t="s">
        <v>4859</v>
      </c>
      <c r="J794" s="2" t="s">
        <v>711</v>
      </c>
      <c r="K794" s="2" t="s">
        <v>436</v>
      </c>
      <c r="L794" s="3">
        <v>148.5</v>
      </c>
      <c r="M794" s="3">
        <v>155.92</v>
      </c>
      <c r="N794" s="3">
        <v>309</v>
      </c>
      <c r="O794" s="2" t="s">
        <v>212</v>
      </c>
      <c r="P794" s="2" t="s">
        <v>285</v>
      </c>
      <c r="Q794" s="2" t="s">
        <v>206</v>
      </c>
      <c r="R794" s="2" t="s">
        <v>200</v>
      </c>
      <c r="S794" s="2" t="s">
        <v>200</v>
      </c>
      <c r="T794" s="2" t="s">
        <v>200</v>
      </c>
      <c r="U794" s="2" t="s">
        <v>270</v>
      </c>
      <c r="V794" s="2" t="s">
        <v>616</v>
      </c>
      <c r="W794" s="2" t="s">
        <v>379</v>
      </c>
      <c r="X794" s="2" t="s">
        <v>200</v>
      </c>
      <c r="Y794" s="2" t="s">
        <v>4860</v>
      </c>
      <c r="Z794" s="4">
        <v>49</v>
      </c>
      <c r="AA794" s="4">
        <f>=ROUNDDOWN(30.625,0)</f>
      </c>
      <c r="AB794" s="5">
        <v>1.6</v>
      </c>
      <c r="AC794" s="2" t="s">
        <v>200</v>
      </c>
      <c r="AD794" s="4"/>
      <c r="AE794" s="4"/>
      <c r="AF794" s="6">
        <v>66</v>
      </c>
      <c r="AG794" s="6"/>
      <c r="AH794" s="7">
        <v>1</v>
      </c>
      <c r="AI794" s="4"/>
      <c r="AJ794" s="4">
        <f>=ROUNDDOWN({0},0)</f>
      </c>
      <c r="AK794" s="5"/>
      <c r="AL794" s="2" t="s">
        <v>200</v>
      </c>
      <c r="AM794" s="4"/>
      <c r="AN794" s="4"/>
      <c r="AO794" s="7"/>
      <c r="AP794" s="4"/>
      <c r="AQ794" s="8"/>
      <c r="AR794" s="4"/>
      <c r="AS794" s="8"/>
      <c r="AT794" s="7"/>
      <c r="AU794" s="7"/>
      <c r="AV794" s="4"/>
      <c r="AW794" s="8"/>
      <c r="AX794" s="4"/>
      <c r="AY794" s="8"/>
      <c r="AZ794" s="7"/>
      <c r="BA794" s="7"/>
      <c r="BB794" s="7"/>
      <c r="BC794" s="4"/>
      <c r="BD794" s="8"/>
      <c r="BE794" s="4"/>
      <c r="BF794" s="8"/>
      <c r="BG794" s="7"/>
      <c r="BH794" s="7"/>
      <c r="BI794" s="7"/>
      <c r="BJ794" s="4">
        <v>15</v>
      </c>
      <c r="BK794" s="8">
        <v>1348.26</v>
      </c>
      <c r="BL794" s="2" t="s">
        <v>4861</v>
      </c>
      <c r="BM794" s="7"/>
      <c r="BN794" s="7"/>
      <c r="BO794" s="4"/>
      <c r="BP794" s="8"/>
      <c r="BQ794" s="4"/>
      <c r="BR794" s="8"/>
      <c r="BS794" s="7"/>
      <c r="BT794" s="7"/>
      <c r="BU794" s="2" t="s">
        <v>4862</v>
      </c>
      <c r="BV794" s="2" t="s">
        <v>200</v>
      </c>
      <c r="BW794" s="2" t="s">
        <v>200</v>
      </c>
      <c r="BX794" s="2" t="s">
        <v>289</v>
      </c>
      <c r="BY794" s="2" t="s">
        <v>247</v>
      </c>
      <c r="BZ794" s="2" t="s">
        <v>212</v>
      </c>
      <c r="CA794" s="2" t="s">
        <v>4863</v>
      </c>
      <c r="CB794" s="2" t="s">
        <v>2573</v>
      </c>
      <c r="CC794" s="2" t="s">
        <v>213</v>
      </c>
      <c r="CD794" s="2" t="s">
        <v>200</v>
      </c>
      <c r="CE794" s="4"/>
      <c r="CF794" s="4">
        <v>49</v>
      </c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</row>
    <row r="795">
      <c r="A795" s="2" t="s">
        <v>4864</v>
      </c>
      <c r="B795" s="2" t="s">
        <v>719</v>
      </c>
      <c r="C795" s="2" t="s">
        <v>1839</v>
      </c>
      <c r="D795" s="2" t="s">
        <v>1554</v>
      </c>
      <c r="E795" s="2" t="s">
        <v>721</v>
      </c>
      <c r="F795" s="2" t="s">
        <v>4865</v>
      </c>
      <c r="G795" s="2" t="s">
        <v>4865</v>
      </c>
      <c r="H795" s="2" t="s">
        <v>4865</v>
      </c>
      <c r="I795" s="2" t="s">
        <v>4866</v>
      </c>
      <c r="J795" s="2" t="s">
        <v>711</v>
      </c>
      <c r="K795" s="2" t="s">
        <v>733</v>
      </c>
      <c r="L795" s="3">
        <v>22.66</v>
      </c>
      <c r="M795" s="3">
        <v>23.79</v>
      </c>
      <c r="N795" s="3">
        <v>52.99</v>
      </c>
      <c r="O795" s="2" t="s">
        <v>417</v>
      </c>
      <c r="P795" s="2" t="s">
        <v>285</v>
      </c>
      <c r="Q795" s="2" t="s">
        <v>206</v>
      </c>
      <c r="R795" s="2" t="s">
        <v>200</v>
      </c>
      <c r="S795" s="2" t="s">
        <v>4867</v>
      </c>
      <c r="T795" s="2" t="s">
        <v>200</v>
      </c>
      <c r="U795" s="2" t="s">
        <v>677</v>
      </c>
      <c r="V795" s="2" t="s">
        <v>724</v>
      </c>
      <c r="W795" s="2" t="s">
        <v>379</v>
      </c>
      <c r="X795" s="2" t="s">
        <v>200</v>
      </c>
      <c r="Y795" s="2" t="s">
        <v>4868</v>
      </c>
      <c r="Z795" s="4">
        <v>65</v>
      </c>
      <c r="AA795" s="4">
        <f>=ROUNDDOWN(130,0)</f>
      </c>
      <c r="AB795" s="5">
        <v>0.5</v>
      </c>
      <c r="AC795" s="2" t="s">
        <v>200</v>
      </c>
      <c r="AD795" s="4"/>
      <c r="AE795" s="4"/>
      <c r="AF795" s="6">
        <v>63</v>
      </c>
      <c r="AG795" s="6"/>
      <c r="AH795" s="7">
        <v>1</v>
      </c>
      <c r="AI795" s="4"/>
      <c r="AJ795" s="4">
        <f>=ROUNDDOWN({0},0)</f>
      </c>
      <c r="AK795" s="5"/>
      <c r="AL795" s="2" t="s">
        <v>200</v>
      </c>
      <c r="AM795" s="4"/>
      <c r="AN795" s="4"/>
      <c r="AO795" s="7"/>
      <c r="AP795" s="4"/>
      <c r="AQ795" s="8"/>
      <c r="AR795" s="4"/>
      <c r="AS795" s="8"/>
      <c r="AT795" s="7"/>
      <c r="AU795" s="7"/>
      <c r="AV795" s="4"/>
      <c r="AW795" s="8"/>
      <c r="AX795" s="4"/>
      <c r="AY795" s="8"/>
      <c r="AZ795" s="7"/>
      <c r="BA795" s="7"/>
      <c r="BB795" s="7"/>
      <c r="BC795" s="4"/>
      <c r="BD795" s="8"/>
      <c r="BE795" s="4"/>
      <c r="BF795" s="8"/>
      <c r="BG795" s="7"/>
      <c r="BH795" s="7"/>
      <c r="BI795" s="7"/>
      <c r="BJ795" s="4">
        <v>5</v>
      </c>
      <c r="BK795" s="8">
        <v>138.79</v>
      </c>
      <c r="BL795" s="2" t="s">
        <v>2196</v>
      </c>
      <c r="BM795" s="7"/>
      <c r="BN795" s="7"/>
      <c r="BO795" s="4"/>
      <c r="BP795" s="8"/>
      <c r="BQ795" s="4"/>
      <c r="BR795" s="8"/>
      <c r="BS795" s="7"/>
      <c r="BT795" s="7"/>
      <c r="BU795" s="2" t="s">
        <v>4869</v>
      </c>
      <c r="BV795" s="2" t="s">
        <v>200</v>
      </c>
      <c r="BW795" s="2" t="s">
        <v>200</v>
      </c>
      <c r="BX795" s="2" t="s">
        <v>289</v>
      </c>
      <c r="BY795" s="2" t="s">
        <v>247</v>
      </c>
      <c r="BZ795" s="2" t="s">
        <v>212</v>
      </c>
      <c r="CA795" s="2" t="s">
        <v>4870</v>
      </c>
      <c r="CB795" s="2" t="s">
        <v>4871</v>
      </c>
      <c r="CC795" s="2" t="s">
        <v>213</v>
      </c>
      <c r="CD795" s="2" t="s">
        <v>200</v>
      </c>
      <c r="CE795" s="4"/>
      <c r="CF795" s="4">
        <v>65</v>
      </c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</row>
    <row r="796">
      <c r="A796" s="2" t="s">
        <v>4872</v>
      </c>
      <c r="B796" s="2" t="s">
        <v>719</v>
      </c>
      <c r="C796" s="2" t="s">
        <v>231</v>
      </c>
      <c r="D796" s="2" t="s">
        <v>1554</v>
      </c>
      <c r="E796" s="2" t="s">
        <v>1555</v>
      </c>
      <c r="F796" s="2" t="s">
        <v>4873</v>
      </c>
      <c r="G796" s="2" t="s">
        <v>4873</v>
      </c>
      <c r="H796" s="2" t="s">
        <v>4873</v>
      </c>
      <c r="I796" s="2" t="s">
        <v>4874</v>
      </c>
      <c r="J796" s="2" t="s">
        <v>711</v>
      </c>
      <c r="K796" s="2" t="s">
        <v>4875</v>
      </c>
      <c r="L796" s="3">
        <v>6.66</v>
      </c>
      <c r="M796" s="3">
        <v>6.99</v>
      </c>
      <c r="N796" s="3">
        <v>19.99</v>
      </c>
      <c r="O796" s="2" t="s">
        <v>212</v>
      </c>
      <c r="P796" s="2" t="s">
        <v>285</v>
      </c>
      <c r="Q796" s="2" t="s">
        <v>206</v>
      </c>
      <c r="R796" s="2" t="s">
        <v>200</v>
      </c>
      <c r="S796" s="2" t="s">
        <v>200</v>
      </c>
      <c r="T796" s="2" t="s">
        <v>200</v>
      </c>
      <c r="U796" s="2" t="s">
        <v>270</v>
      </c>
      <c r="V796" s="2" t="s">
        <v>1726</v>
      </c>
      <c r="W796" s="2" t="s">
        <v>379</v>
      </c>
      <c r="X796" s="2" t="s">
        <v>241</v>
      </c>
      <c r="Y796" s="2" t="s">
        <v>4876</v>
      </c>
      <c r="Z796" s="4">
        <v>17</v>
      </c>
      <c r="AA796" s="4">
        <f>=ROUNDDOWN(17,0)</f>
      </c>
      <c r="AB796" s="5">
        <v>1</v>
      </c>
      <c r="AC796" s="2" t="s">
        <v>200</v>
      </c>
      <c r="AD796" s="4"/>
      <c r="AE796" s="4"/>
      <c r="AF796" s="6">
        <v>63</v>
      </c>
      <c r="AG796" s="6"/>
      <c r="AH796" s="7">
        <v>1</v>
      </c>
      <c r="AI796" s="4"/>
      <c r="AJ796" s="4">
        <f>=ROUNDDOWN({0},0)</f>
      </c>
      <c r="AK796" s="5"/>
      <c r="AL796" s="2" t="s">
        <v>200</v>
      </c>
      <c r="AM796" s="4"/>
      <c r="AN796" s="4"/>
      <c r="AO796" s="7"/>
      <c r="AP796" s="4"/>
      <c r="AQ796" s="8"/>
      <c r="AR796" s="4"/>
      <c r="AS796" s="8"/>
      <c r="AT796" s="7"/>
      <c r="AU796" s="7"/>
      <c r="AV796" s="4"/>
      <c r="AW796" s="8"/>
      <c r="AX796" s="4"/>
      <c r="AY796" s="8"/>
      <c r="AZ796" s="7"/>
      <c r="BA796" s="7"/>
      <c r="BB796" s="7"/>
      <c r="BC796" s="4" t="s">
        <v>200</v>
      </c>
      <c r="BD796" s="8" t="s">
        <v>200</v>
      </c>
      <c r="BE796" s="4" t="s">
        <v>200</v>
      </c>
      <c r="BF796" s="8" t="s">
        <v>200</v>
      </c>
      <c r="BG796" s="7" t="s">
        <v>200</v>
      </c>
      <c r="BH796" s="7" t="s">
        <v>200</v>
      </c>
      <c r="BI796" s="7"/>
      <c r="BJ796" s="4">
        <v>3</v>
      </c>
      <c r="BK796" s="8">
        <v>24.09</v>
      </c>
      <c r="BL796" s="2" t="s">
        <v>2202</v>
      </c>
      <c r="BM796" s="7"/>
      <c r="BN796" s="7"/>
      <c r="BO796" s="4"/>
      <c r="BP796" s="8"/>
      <c r="BQ796" s="4"/>
      <c r="BR796" s="8"/>
      <c r="BS796" s="7"/>
      <c r="BT796" s="7"/>
      <c r="BU796" s="2" t="s">
        <v>4877</v>
      </c>
      <c r="BV796" s="2" t="s">
        <v>200</v>
      </c>
      <c r="BW796" s="2" t="s">
        <v>200</v>
      </c>
      <c r="BX796" s="2" t="s">
        <v>289</v>
      </c>
      <c r="BY796" s="2" t="s">
        <v>247</v>
      </c>
      <c r="BZ796" s="2" t="s">
        <v>212</v>
      </c>
      <c r="CA796" s="2" t="s">
        <v>3701</v>
      </c>
      <c r="CB796" s="2" t="s">
        <v>200</v>
      </c>
      <c r="CC796" s="2" t="s">
        <v>213</v>
      </c>
      <c r="CD796" s="2" t="s">
        <v>200</v>
      </c>
      <c r="CE796" s="4"/>
      <c r="CF796" s="4">
        <v>17</v>
      </c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</row>
    <row r="797">
      <c r="A797" s="2" t="s">
        <v>4878</v>
      </c>
      <c r="B797" s="2" t="s">
        <v>719</v>
      </c>
      <c r="C797" s="2" t="s">
        <v>231</v>
      </c>
      <c r="D797" s="2" t="s">
        <v>1554</v>
      </c>
      <c r="E797" s="2" t="s">
        <v>1555</v>
      </c>
      <c r="F797" s="2" t="s">
        <v>4873</v>
      </c>
      <c r="G797" s="2" t="s">
        <v>4873</v>
      </c>
      <c r="H797" s="2" t="s">
        <v>4873</v>
      </c>
      <c r="I797" s="2" t="s">
        <v>4879</v>
      </c>
      <c r="J797" s="2" t="s">
        <v>711</v>
      </c>
      <c r="K797" s="2" t="s">
        <v>4880</v>
      </c>
      <c r="L797" s="3">
        <v>6.66</v>
      </c>
      <c r="M797" s="3">
        <v>6.99</v>
      </c>
      <c r="N797" s="3">
        <v>19.99</v>
      </c>
      <c r="O797" s="2" t="s">
        <v>212</v>
      </c>
      <c r="P797" s="2" t="s">
        <v>285</v>
      </c>
      <c r="Q797" s="2" t="s">
        <v>206</v>
      </c>
      <c r="R797" s="2" t="s">
        <v>200</v>
      </c>
      <c r="S797" s="2" t="s">
        <v>200</v>
      </c>
      <c r="T797" s="2" t="s">
        <v>200</v>
      </c>
      <c r="U797" s="2" t="s">
        <v>270</v>
      </c>
      <c r="V797" s="2" t="s">
        <v>1726</v>
      </c>
      <c r="W797" s="2" t="s">
        <v>379</v>
      </c>
      <c r="X797" s="2" t="s">
        <v>241</v>
      </c>
      <c r="Y797" s="2" t="s">
        <v>4876</v>
      </c>
      <c r="Z797" s="4">
        <v>62</v>
      </c>
      <c r="AA797" s="4">
        <f>=ROUNDDOWN(29.5238095238095,0)</f>
      </c>
      <c r="AB797" s="5">
        <v>2.1</v>
      </c>
      <c r="AC797" s="2" t="s">
        <v>200</v>
      </c>
      <c r="AD797" s="4"/>
      <c r="AE797" s="4"/>
      <c r="AF797" s="6">
        <v>63</v>
      </c>
      <c r="AG797" s="6"/>
      <c r="AH797" s="7">
        <v>1</v>
      </c>
      <c r="AI797" s="4"/>
      <c r="AJ797" s="4">
        <f>=ROUNDDOWN({0},0)</f>
      </c>
      <c r="AK797" s="5"/>
      <c r="AL797" s="2" t="s">
        <v>200</v>
      </c>
      <c r="AM797" s="4"/>
      <c r="AN797" s="4"/>
      <c r="AO797" s="7"/>
      <c r="AP797" s="4"/>
      <c r="AQ797" s="8"/>
      <c r="AR797" s="4"/>
      <c r="AS797" s="8"/>
      <c r="AT797" s="7"/>
      <c r="AU797" s="7"/>
      <c r="AV797" s="4"/>
      <c r="AW797" s="8"/>
      <c r="AX797" s="4"/>
      <c r="AY797" s="8"/>
      <c r="AZ797" s="7"/>
      <c r="BA797" s="7"/>
      <c r="BB797" s="7"/>
      <c r="BC797" s="4" t="s">
        <v>200</v>
      </c>
      <c r="BD797" s="8" t="s">
        <v>200</v>
      </c>
      <c r="BE797" s="4" t="s">
        <v>200</v>
      </c>
      <c r="BF797" s="8" t="s">
        <v>200</v>
      </c>
      <c r="BG797" s="7" t="s">
        <v>200</v>
      </c>
      <c r="BH797" s="7" t="s">
        <v>200</v>
      </c>
      <c r="BI797" s="7"/>
      <c r="BJ797" s="4">
        <v>5</v>
      </c>
      <c r="BK797" s="8">
        <v>38.17</v>
      </c>
      <c r="BL797" s="2" t="s">
        <v>2509</v>
      </c>
      <c r="BM797" s="7"/>
      <c r="BN797" s="7"/>
      <c r="BO797" s="4"/>
      <c r="BP797" s="8"/>
      <c r="BQ797" s="4"/>
      <c r="BR797" s="8"/>
      <c r="BS797" s="7"/>
      <c r="BT797" s="7"/>
      <c r="BU797" s="2" t="s">
        <v>4881</v>
      </c>
      <c r="BV797" s="2" t="s">
        <v>200</v>
      </c>
      <c r="BW797" s="2" t="s">
        <v>200</v>
      </c>
      <c r="BX797" s="2" t="s">
        <v>289</v>
      </c>
      <c r="BY797" s="2" t="s">
        <v>247</v>
      </c>
      <c r="BZ797" s="2" t="s">
        <v>212</v>
      </c>
      <c r="CA797" s="2" t="s">
        <v>3701</v>
      </c>
      <c r="CB797" s="2" t="s">
        <v>200</v>
      </c>
      <c r="CC797" s="2" t="s">
        <v>213</v>
      </c>
      <c r="CD797" s="2" t="s">
        <v>200</v>
      </c>
      <c r="CE797" s="4"/>
      <c r="CF797" s="4">
        <v>62</v>
      </c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  <c r="GH797" s="4"/>
    </row>
    <row r="798">
      <c r="A798" s="2" t="s">
        <v>4882</v>
      </c>
      <c r="B798" s="2" t="s">
        <v>719</v>
      </c>
      <c r="C798" s="2" t="s">
        <v>231</v>
      </c>
      <c r="D798" s="2" t="s">
        <v>1554</v>
      </c>
      <c r="E798" s="2" t="s">
        <v>1555</v>
      </c>
      <c r="F798" s="2" t="s">
        <v>4873</v>
      </c>
      <c r="G798" s="2" t="s">
        <v>4873</v>
      </c>
      <c r="H798" s="2" t="s">
        <v>4873</v>
      </c>
      <c r="I798" s="2" t="s">
        <v>4883</v>
      </c>
      <c r="J798" s="2" t="s">
        <v>711</v>
      </c>
      <c r="K798" s="2" t="s">
        <v>4884</v>
      </c>
      <c r="L798" s="3">
        <v>6.66</v>
      </c>
      <c r="M798" s="3">
        <v>6.99</v>
      </c>
      <c r="N798" s="3">
        <v>19.99</v>
      </c>
      <c r="O798" s="2" t="s">
        <v>212</v>
      </c>
      <c r="P798" s="2" t="s">
        <v>285</v>
      </c>
      <c r="Q798" s="2" t="s">
        <v>206</v>
      </c>
      <c r="R798" s="2" t="s">
        <v>200</v>
      </c>
      <c r="S798" s="2" t="s">
        <v>200</v>
      </c>
      <c r="T798" s="2" t="s">
        <v>200</v>
      </c>
      <c r="U798" s="2" t="s">
        <v>270</v>
      </c>
      <c r="V798" s="2" t="s">
        <v>1726</v>
      </c>
      <c r="W798" s="2" t="s">
        <v>379</v>
      </c>
      <c r="X798" s="2" t="s">
        <v>241</v>
      </c>
      <c r="Y798" s="2" t="s">
        <v>4876</v>
      </c>
      <c r="Z798" s="4">
        <v>34</v>
      </c>
      <c r="AA798" s="4">
        <f>=ROUNDDOWN(34,0)</f>
      </c>
      <c r="AB798" s="5">
        <v>1</v>
      </c>
      <c r="AC798" s="2" t="s">
        <v>200</v>
      </c>
      <c r="AD798" s="4"/>
      <c r="AE798" s="4"/>
      <c r="AF798" s="6">
        <v>63</v>
      </c>
      <c r="AG798" s="6"/>
      <c r="AH798" s="7">
        <v>1</v>
      </c>
      <c r="AI798" s="4"/>
      <c r="AJ798" s="4">
        <f>=ROUNDDOWN({0},0)</f>
      </c>
      <c r="AK798" s="5"/>
      <c r="AL798" s="2" t="s">
        <v>200</v>
      </c>
      <c r="AM798" s="4"/>
      <c r="AN798" s="4"/>
      <c r="AO798" s="7"/>
      <c r="AP798" s="4"/>
      <c r="AQ798" s="8"/>
      <c r="AR798" s="4"/>
      <c r="AS798" s="8"/>
      <c r="AT798" s="7"/>
      <c r="AU798" s="7"/>
      <c r="AV798" s="4"/>
      <c r="AW798" s="8"/>
      <c r="AX798" s="4"/>
      <c r="AY798" s="8"/>
      <c r="AZ798" s="7"/>
      <c r="BA798" s="7"/>
      <c r="BB798" s="7"/>
      <c r="BC798" s="4" t="s">
        <v>200</v>
      </c>
      <c r="BD798" s="8" t="s">
        <v>200</v>
      </c>
      <c r="BE798" s="4" t="s">
        <v>200</v>
      </c>
      <c r="BF798" s="8" t="s">
        <v>200</v>
      </c>
      <c r="BG798" s="7" t="s">
        <v>200</v>
      </c>
      <c r="BH798" s="7" t="s">
        <v>200</v>
      </c>
      <c r="BI798" s="7"/>
      <c r="BJ798" s="4">
        <v>4</v>
      </c>
      <c r="BK798" s="8">
        <v>30.34</v>
      </c>
      <c r="BL798" s="2" t="s">
        <v>2509</v>
      </c>
      <c r="BM798" s="7"/>
      <c r="BN798" s="7"/>
      <c r="BO798" s="4"/>
      <c r="BP798" s="8"/>
      <c r="BQ798" s="4"/>
      <c r="BR798" s="8"/>
      <c r="BS798" s="7"/>
      <c r="BT798" s="7"/>
      <c r="BU798" s="2" t="s">
        <v>4885</v>
      </c>
      <c r="BV798" s="2" t="s">
        <v>200</v>
      </c>
      <c r="BW798" s="2" t="s">
        <v>200</v>
      </c>
      <c r="BX798" s="2" t="s">
        <v>289</v>
      </c>
      <c r="BY798" s="2" t="s">
        <v>247</v>
      </c>
      <c r="BZ798" s="2" t="s">
        <v>212</v>
      </c>
      <c r="CA798" s="2" t="s">
        <v>3701</v>
      </c>
      <c r="CB798" s="2" t="s">
        <v>200</v>
      </c>
      <c r="CC798" s="2" t="s">
        <v>213</v>
      </c>
      <c r="CD798" s="2" t="s">
        <v>200</v>
      </c>
      <c r="CE798" s="4"/>
      <c r="CF798" s="4">
        <v>34</v>
      </c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</row>
    <row r="799">
      <c r="A799" s="2" t="s">
        <v>4886</v>
      </c>
      <c r="B799" s="2" t="s">
        <v>719</v>
      </c>
      <c r="C799" s="2" t="s">
        <v>231</v>
      </c>
      <c r="D799" s="2" t="s">
        <v>1554</v>
      </c>
      <c r="E799" s="2" t="s">
        <v>1555</v>
      </c>
      <c r="F799" s="2" t="s">
        <v>4873</v>
      </c>
      <c r="G799" s="2" t="s">
        <v>4873</v>
      </c>
      <c r="H799" s="2" t="s">
        <v>4873</v>
      </c>
      <c r="I799" s="2" t="s">
        <v>4887</v>
      </c>
      <c r="J799" s="2" t="s">
        <v>711</v>
      </c>
      <c r="K799" s="2" t="s">
        <v>4888</v>
      </c>
      <c r="L799" s="3">
        <v>6.66</v>
      </c>
      <c r="M799" s="3">
        <v>6.99</v>
      </c>
      <c r="N799" s="3">
        <v>19.99</v>
      </c>
      <c r="O799" s="2" t="s">
        <v>212</v>
      </c>
      <c r="P799" s="2" t="s">
        <v>285</v>
      </c>
      <c r="Q799" s="2" t="s">
        <v>206</v>
      </c>
      <c r="R799" s="2" t="s">
        <v>200</v>
      </c>
      <c r="S799" s="2" t="s">
        <v>200</v>
      </c>
      <c r="T799" s="2" t="s">
        <v>200</v>
      </c>
      <c r="U799" s="2" t="s">
        <v>270</v>
      </c>
      <c r="V799" s="2" t="s">
        <v>1726</v>
      </c>
      <c r="W799" s="2" t="s">
        <v>379</v>
      </c>
      <c r="X799" s="2" t="s">
        <v>241</v>
      </c>
      <c r="Y799" s="2" t="s">
        <v>4876</v>
      </c>
      <c r="Z799" s="4">
        <v>48</v>
      </c>
      <c r="AA799" s="4">
        <f>=ROUNDDOWN(48,0)</f>
      </c>
      <c r="AB799" s="5">
        <v>1</v>
      </c>
      <c r="AC799" s="2" t="s">
        <v>200</v>
      </c>
      <c r="AD799" s="4"/>
      <c r="AE799" s="4"/>
      <c r="AF799" s="6">
        <v>63</v>
      </c>
      <c r="AG799" s="6"/>
      <c r="AH799" s="7">
        <v>1</v>
      </c>
      <c r="AI799" s="4"/>
      <c r="AJ799" s="4">
        <f>=ROUNDDOWN({0},0)</f>
      </c>
      <c r="AK799" s="5"/>
      <c r="AL799" s="2" t="s">
        <v>200</v>
      </c>
      <c r="AM799" s="4"/>
      <c r="AN799" s="4"/>
      <c r="AO799" s="7"/>
      <c r="AP799" s="4"/>
      <c r="AQ799" s="8"/>
      <c r="AR799" s="4"/>
      <c r="AS799" s="8"/>
      <c r="AT799" s="7"/>
      <c r="AU799" s="7"/>
      <c r="AV799" s="4"/>
      <c r="AW799" s="8"/>
      <c r="AX799" s="4"/>
      <c r="AY799" s="8"/>
      <c r="AZ799" s="7"/>
      <c r="BA799" s="7"/>
      <c r="BB799" s="7"/>
      <c r="BC799" s="4" t="s">
        <v>200</v>
      </c>
      <c r="BD799" s="8" t="s">
        <v>200</v>
      </c>
      <c r="BE799" s="4" t="s">
        <v>200</v>
      </c>
      <c r="BF799" s="8" t="s">
        <v>200</v>
      </c>
      <c r="BG799" s="7" t="s">
        <v>200</v>
      </c>
      <c r="BH799" s="7" t="s">
        <v>200</v>
      </c>
      <c r="BI799" s="7"/>
      <c r="BJ799" s="4">
        <v>5</v>
      </c>
      <c r="BK799" s="8">
        <v>41.2</v>
      </c>
      <c r="BL799" s="2" t="s">
        <v>278</v>
      </c>
      <c r="BM799" s="7"/>
      <c r="BN799" s="7"/>
      <c r="BO799" s="4"/>
      <c r="BP799" s="8"/>
      <c r="BQ799" s="4"/>
      <c r="BR799" s="8"/>
      <c r="BS799" s="7"/>
      <c r="BT799" s="7"/>
      <c r="BU799" s="2" t="s">
        <v>4889</v>
      </c>
      <c r="BV799" s="2" t="s">
        <v>200</v>
      </c>
      <c r="BW799" s="2" t="s">
        <v>200</v>
      </c>
      <c r="BX799" s="2" t="s">
        <v>289</v>
      </c>
      <c r="BY799" s="2" t="s">
        <v>247</v>
      </c>
      <c r="BZ799" s="2" t="s">
        <v>212</v>
      </c>
      <c r="CA799" s="2" t="s">
        <v>3701</v>
      </c>
      <c r="CB799" s="2" t="s">
        <v>200</v>
      </c>
      <c r="CC799" s="2" t="s">
        <v>213</v>
      </c>
      <c r="CD799" s="2" t="s">
        <v>200</v>
      </c>
      <c r="CE799" s="4"/>
      <c r="CF799" s="4">
        <v>48</v>
      </c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</row>
    <row r="800">
      <c r="A800" s="2" t="s">
        <v>4890</v>
      </c>
      <c r="B800" s="2" t="s">
        <v>719</v>
      </c>
      <c r="C800" s="2" t="s">
        <v>231</v>
      </c>
      <c r="D800" s="2" t="s">
        <v>1554</v>
      </c>
      <c r="E800" s="2" t="s">
        <v>1555</v>
      </c>
      <c r="F800" s="2" t="s">
        <v>4873</v>
      </c>
      <c r="G800" s="2" t="s">
        <v>4873</v>
      </c>
      <c r="H800" s="2" t="s">
        <v>4873</v>
      </c>
      <c r="I800" s="2" t="s">
        <v>4891</v>
      </c>
      <c r="J800" s="2" t="s">
        <v>711</v>
      </c>
      <c r="K800" s="2" t="s">
        <v>4892</v>
      </c>
      <c r="L800" s="3">
        <v>6.66</v>
      </c>
      <c r="M800" s="3">
        <v>6.99</v>
      </c>
      <c r="N800" s="3">
        <v>19.99</v>
      </c>
      <c r="O800" s="2" t="s">
        <v>212</v>
      </c>
      <c r="P800" s="2" t="s">
        <v>285</v>
      </c>
      <c r="Q800" s="2" t="s">
        <v>206</v>
      </c>
      <c r="R800" s="2" t="s">
        <v>200</v>
      </c>
      <c r="S800" s="2" t="s">
        <v>200</v>
      </c>
      <c r="T800" s="2" t="s">
        <v>200</v>
      </c>
      <c r="U800" s="2" t="s">
        <v>270</v>
      </c>
      <c r="V800" s="2" t="s">
        <v>1726</v>
      </c>
      <c r="W800" s="2" t="s">
        <v>379</v>
      </c>
      <c r="X800" s="2" t="s">
        <v>241</v>
      </c>
      <c r="Y800" s="2" t="s">
        <v>4876</v>
      </c>
      <c r="Z800" s="4">
        <v>72</v>
      </c>
      <c r="AA800" s="4">
        <f>=ROUNDDOWN(31.304347826087,0)</f>
      </c>
      <c r="AB800" s="5">
        <v>2.3</v>
      </c>
      <c r="AC800" s="2" t="s">
        <v>200</v>
      </c>
      <c r="AD800" s="4"/>
      <c r="AE800" s="4"/>
      <c r="AF800" s="6">
        <v>63</v>
      </c>
      <c r="AG800" s="6"/>
      <c r="AH800" s="7">
        <v>1</v>
      </c>
      <c r="AI800" s="4"/>
      <c r="AJ800" s="4">
        <f>=ROUNDDOWN({0},0)</f>
      </c>
      <c r="AK800" s="5"/>
      <c r="AL800" s="2" t="s">
        <v>200</v>
      </c>
      <c r="AM800" s="4"/>
      <c r="AN800" s="4"/>
      <c r="AO800" s="7"/>
      <c r="AP800" s="4"/>
      <c r="AQ800" s="8"/>
      <c r="AR800" s="4"/>
      <c r="AS800" s="8"/>
      <c r="AT800" s="7"/>
      <c r="AU800" s="7"/>
      <c r="AV800" s="4"/>
      <c r="AW800" s="8"/>
      <c r="AX800" s="4"/>
      <c r="AY800" s="8"/>
      <c r="AZ800" s="7"/>
      <c r="BA800" s="7"/>
      <c r="BB800" s="7"/>
      <c r="BC800" s="4" t="s">
        <v>200</v>
      </c>
      <c r="BD800" s="8" t="s">
        <v>200</v>
      </c>
      <c r="BE800" s="4" t="s">
        <v>200</v>
      </c>
      <c r="BF800" s="8" t="s">
        <v>200</v>
      </c>
      <c r="BG800" s="7" t="s">
        <v>200</v>
      </c>
      <c r="BH800" s="7" t="s">
        <v>200</v>
      </c>
      <c r="BI800" s="7"/>
      <c r="BJ800" s="4">
        <v>8</v>
      </c>
      <c r="BK800" s="8">
        <v>61.28</v>
      </c>
      <c r="BL800" s="2" t="s">
        <v>2207</v>
      </c>
      <c r="BM800" s="7"/>
      <c r="BN800" s="7"/>
      <c r="BO800" s="4"/>
      <c r="BP800" s="8"/>
      <c r="BQ800" s="4"/>
      <c r="BR800" s="8"/>
      <c r="BS800" s="7"/>
      <c r="BT800" s="7"/>
      <c r="BU800" s="2" t="s">
        <v>4893</v>
      </c>
      <c r="BV800" s="2" t="s">
        <v>200</v>
      </c>
      <c r="BW800" s="2" t="s">
        <v>200</v>
      </c>
      <c r="BX800" s="2" t="s">
        <v>289</v>
      </c>
      <c r="BY800" s="2" t="s">
        <v>247</v>
      </c>
      <c r="BZ800" s="2" t="s">
        <v>212</v>
      </c>
      <c r="CA800" s="2" t="s">
        <v>3701</v>
      </c>
      <c r="CB800" s="2" t="s">
        <v>200</v>
      </c>
      <c r="CC800" s="2" t="s">
        <v>213</v>
      </c>
      <c r="CD800" s="2" t="s">
        <v>200</v>
      </c>
      <c r="CE800" s="4"/>
      <c r="CF800" s="4">
        <v>72</v>
      </c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</row>
    <row r="801">
      <c r="A801" s="2" t="s">
        <v>4894</v>
      </c>
      <c r="B801" s="2" t="s">
        <v>719</v>
      </c>
      <c r="C801" s="2" t="s">
        <v>231</v>
      </c>
      <c r="D801" s="2" t="s">
        <v>1554</v>
      </c>
      <c r="E801" s="2" t="s">
        <v>1555</v>
      </c>
      <c r="F801" s="2" t="s">
        <v>4873</v>
      </c>
      <c r="G801" s="2" t="s">
        <v>4873</v>
      </c>
      <c r="H801" s="2" t="s">
        <v>4873</v>
      </c>
      <c r="I801" s="2" t="s">
        <v>4895</v>
      </c>
      <c r="J801" s="2" t="s">
        <v>711</v>
      </c>
      <c r="K801" s="2" t="s">
        <v>4896</v>
      </c>
      <c r="L801" s="3">
        <v>6.66</v>
      </c>
      <c r="M801" s="3">
        <v>6.99</v>
      </c>
      <c r="N801" s="3">
        <v>19.99</v>
      </c>
      <c r="O801" s="2" t="s">
        <v>212</v>
      </c>
      <c r="P801" s="2" t="s">
        <v>285</v>
      </c>
      <c r="Q801" s="2" t="s">
        <v>206</v>
      </c>
      <c r="R801" s="2" t="s">
        <v>200</v>
      </c>
      <c r="S801" s="2" t="s">
        <v>200</v>
      </c>
      <c r="T801" s="2" t="s">
        <v>200</v>
      </c>
      <c r="U801" s="2" t="s">
        <v>270</v>
      </c>
      <c r="V801" s="2" t="s">
        <v>1726</v>
      </c>
      <c r="W801" s="2" t="s">
        <v>379</v>
      </c>
      <c r="X801" s="2" t="s">
        <v>241</v>
      </c>
      <c r="Y801" s="2" t="s">
        <v>4876</v>
      </c>
      <c r="Z801" s="4">
        <v>40</v>
      </c>
      <c r="AA801" s="4">
        <f>=ROUNDDOWN(40,0)</f>
      </c>
      <c r="AB801" s="5">
        <v>1</v>
      </c>
      <c r="AC801" s="2" t="s">
        <v>200</v>
      </c>
      <c r="AD801" s="4"/>
      <c r="AE801" s="4"/>
      <c r="AF801" s="6">
        <v>63</v>
      </c>
      <c r="AG801" s="6"/>
      <c r="AH801" s="7">
        <v>1</v>
      </c>
      <c r="AI801" s="4"/>
      <c r="AJ801" s="4">
        <f>=ROUNDDOWN({0},0)</f>
      </c>
      <c r="AK801" s="5"/>
      <c r="AL801" s="2" t="s">
        <v>200</v>
      </c>
      <c r="AM801" s="4"/>
      <c r="AN801" s="4"/>
      <c r="AO801" s="7"/>
      <c r="AP801" s="4"/>
      <c r="AQ801" s="8"/>
      <c r="AR801" s="4"/>
      <c r="AS801" s="8"/>
      <c r="AT801" s="7"/>
      <c r="AU801" s="7"/>
      <c r="AV801" s="4"/>
      <c r="AW801" s="8"/>
      <c r="AX801" s="4"/>
      <c r="AY801" s="8"/>
      <c r="AZ801" s="7"/>
      <c r="BA801" s="7"/>
      <c r="BB801" s="7"/>
      <c r="BC801" s="4" t="s">
        <v>200</v>
      </c>
      <c r="BD801" s="8" t="s">
        <v>200</v>
      </c>
      <c r="BE801" s="4" t="s">
        <v>200</v>
      </c>
      <c r="BF801" s="8" t="s">
        <v>200</v>
      </c>
      <c r="BG801" s="7" t="s">
        <v>200</v>
      </c>
      <c r="BH801" s="7" t="s">
        <v>200</v>
      </c>
      <c r="BI801" s="7"/>
      <c r="BJ801" s="4">
        <v>3</v>
      </c>
      <c r="BK801" s="8">
        <v>23</v>
      </c>
      <c r="BL801" s="2" t="s">
        <v>2509</v>
      </c>
      <c r="BM801" s="7"/>
      <c r="BN801" s="7"/>
      <c r="BO801" s="4"/>
      <c r="BP801" s="8"/>
      <c r="BQ801" s="4"/>
      <c r="BR801" s="8"/>
      <c r="BS801" s="7"/>
      <c r="BT801" s="7"/>
      <c r="BU801" s="2" t="s">
        <v>4897</v>
      </c>
      <c r="BV801" s="2" t="s">
        <v>200</v>
      </c>
      <c r="BW801" s="2" t="s">
        <v>200</v>
      </c>
      <c r="BX801" s="2" t="s">
        <v>289</v>
      </c>
      <c r="BY801" s="2" t="s">
        <v>247</v>
      </c>
      <c r="BZ801" s="2" t="s">
        <v>212</v>
      </c>
      <c r="CA801" s="2" t="s">
        <v>3701</v>
      </c>
      <c r="CB801" s="2" t="s">
        <v>200</v>
      </c>
      <c r="CC801" s="2" t="s">
        <v>213</v>
      </c>
      <c r="CD801" s="2" t="s">
        <v>200</v>
      </c>
      <c r="CE801" s="4"/>
      <c r="CF801" s="4">
        <v>40</v>
      </c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</row>
    <row r="802">
      <c r="A802" s="2" t="s">
        <v>4898</v>
      </c>
      <c r="B802" s="2" t="s">
        <v>719</v>
      </c>
      <c r="C802" s="2" t="s">
        <v>231</v>
      </c>
      <c r="D802" s="2" t="s">
        <v>1554</v>
      </c>
      <c r="E802" s="2" t="s">
        <v>1555</v>
      </c>
      <c r="F802" s="2" t="s">
        <v>4873</v>
      </c>
      <c r="G802" s="2" t="s">
        <v>4873</v>
      </c>
      <c r="H802" s="2" t="s">
        <v>4873</v>
      </c>
      <c r="I802" s="2" t="s">
        <v>4899</v>
      </c>
      <c r="J802" s="2" t="s">
        <v>711</v>
      </c>
      <c r="K802" s="2" t="s">
        <v>4900</v>
      </c>
      <c r="L802" s="3">
        <v>6.66</v>
      </c>
      <c r="M802" s="3">
        <v>6.99</v>
      </c>
      <c r="N802" s="3">
        <v>19.99</v>
      </c>
      <c r="O802" s="2" t="s">
        <v>212</v>
      </c>
      <c r="P802" s="2" t="s">
        <v>285</v>
      </c>
      <c r="Q802" s="2" t="s">
        <v>206</v>
      </c>
      <c r="R802" s="2" t="s">
        <v>200</v>
      </c>
      <c r="S802" s="2" t="s">
        <v>200</v>
      </c>
      <c r="T802" s="2" t="s">
        <v>200</v>
      </c>
      <c r="U802" s="2" t="s">
        <v>270</v>
      </c>
      <c r="V802" s="2" t="s">
        <v>1726</v>
      </c>
      <c r="W802" s="2" t="s">
        <v>379</v>
      </c>
      <c r="X802" s="2" t="s">
        <v>241</v>
      </c>
      <c r="Y802" s="2" t="s">
        <v>4876</v>
      </c>
      <c r="Z802" s="4">
        <v>60</v>
      </c>
      <c r="AA802" s="4">
        <f>=ROUNDDOWN(60,0)</f>
      </c>
      <c r="AB802" s="5">
        <v>1</v>
      </c>
      <c r="AC802" s="2" t="s">
        <v>200</v>
      </c>
      <c r="AD802" s="4"/>
      <c r="AE802" s="4"/>
      <c r="AF802" s="6">
        <v>63</v>
      </c>
      <c r="AG802" s="6"/>
      <c r="AH802" s="7">
        <v>1</v>
      </c>
      <c r="AI802" s="4"/>
      <c r="AJ802" s="4">
        <f>=ROUNDDOWN({0},0)</f>
      </c>
      <c r="AK802" s="5"/>
      <c r="AL802" s="2" t="s">
        <v>200</v>
      </c>
      <c r="AM802" s="4"/>
      <c r="AN802" s="4"/>
      <c r="AO802" s="7"/>
      <c r="AP802" s="4"/>
      <c r="AQ802" s="8"/>
      <c r="AR802" s="4"/>
      <c r="AS802" s="8"/>
      <c r="AT802" s="7"/>
      <c r="AU802" s="7"/>
      <c r="AV802" s="4"/>
      <c r="AW802" s="8"/>
      <c r="AX802" s="4"/>
      <c r="AY802" s="8"/>
      <c r="AZ802" s="7"/>
      <c r="BA802" s="7"/>
      <c r="BB802" s="7"/>
      <c r="BC802" s="4" t="s">
        <v>200</v>
      </c>
      <c r="BD802" s="8" t="s">
        <v>200</v>
      </c>
      <c r="BE802" s="4" t="s">
        <v>200</v>
      </c>
      <c r="BF802" s="8" t="s">
        <v>200</v>
      </c>
      <c r="BG802" s="7" t="s">
        <v>200</v>
      </c>
      <c r="BH802" s="7" t="s">
        <v>200</v>
      </c>
      <c r="BI802" s="7"/>
      <c r="BJ802" s="4">
        <v>3</v>
      </c>
      <c r="BK802" s="8">
        <v>22.51</v>
      </c>
      <c r="BL802" s="2" t="s">
        <v>2509</v>
      </c>
      <c r="BM802" s="7"/>
      <c r="BN802" s="7"/>
      <c r="BO802" s="4"/>
      <c r="BP802" s="8"/>
      <c r="BQ802" s="4"/>
      <c r="BR802" s="8"/>
      <c r="BS802" s="7"/>
      <c r="BT802" s="7"/>
      <c r="BU802" s="2" t="s">
        <v>4901</v>
      </c>
      <c r="BV802" s="2" t="s">
        <v>200</v>
      </c>
      <c r="BW802" s="2" t="s">
        <v>200</v>
      </c>
      <c r="BX802" s="2" t="s">
        <v>289</v>
      </c>
      <c r="BY802" s="2" t="s">
        <v>247</v>
      </c>
      <c r="BZ802" s="2" t="s">
        <v>212</v>
      </c>
      <c r="CA802" s="2" t="s">
        <v>3701</v>
      </c>
      <c r="CB802" s="2" t="s">
        <v>200</v>
      </c>
      <c r="CC802" s="2" t="s">
        <v>213</v>
      </c>
      <c r="CD802" s="2" t="s">
        <v>200</v>
      </c>
      <c r="CE802" s="4"/>
      <c r="CF802" s="4">
        <v>60</v>
      </c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</row>
    <row r="803">
      <c r="A803" s="2" t="s">
        <v>4902</v>
      </c>
      <c r="B803" s="2" t="s">
        <v>903</v>
      </c>
      <c r="C803" s="2" t="s">
        <v>624</v>
      </c>
      <c r="D803" s="2" t="s">
        <v>1818</v>
      </c>
      <c r="E803" s="2" t="s">
        <v>2000</v>
      </c>
      <c r="F803" s="2" t="s">
        <v>4903</v>
      </c>
      <c r="G803" s="2" t="s">
        <v>4903</v>
      </c>
      <c r="H803" s="2" t="s">
        <v>4903</v>
      </c>
      <c r="I803" s="2" t="s">
        <v>4904</v>
      </c>
      <c r="J803" s="2" t="s">
        <v>612</v>
      </c>
      <c r="K803" s="2" t="s">
        <v>387</v>
      </c>
      <c r="L803" s="3">
        <v>41.14</v>
      </c>
      <c r="M803" s="3">
        <v>43.2</v>
      </c>
      <c r="N803" s="3">
        <v>89.99</v>
      </c>
      <c r="O803" s="2" t="s">
        <v>460</v>
      </c>
      <c r="P803" s="2" t="s">
        <v>285</v>
      </c>
      <c r="Q803" s="2" t="s">
        <v>206</v>
      </c>
      <c r="R803" s="2" t="s">
        <v>200</v>
      </c>
      <c r="S803" s="2" t="s">
        <v>4905</v>
      </c>
      <c r="T803" s="2" t="s">
        <v>200</v>
      </c>
      <c r="U803" s="2" t="s">
        <v>454</v>
      </c>
      <c r="V803" s="2" t="s">
        <v>208</v>
      </c>
      <c r="W803" s="2" t="s">
        <v>241</v>
      </c>
      <c r="X803" s="2" t="s">
        <v>200</v>
      </c>
      <c r="Y803" s="2" t="s">
        <v>4906</v>
      </c>
      <c r="Z803" s="4">
        <v>184</v>
      </c>
      <c r="AA803" s="4">
        <f>=ROUNDDOWN(141.538461538462,0)</f>
      </c>
      <c r="AB803" s="5">
        <v>1.3</v>
      </c>
      <c r="AC803" s="2" t="s">
        <v>200</v>
      </c>
      <c r="AD803" s="4"/>
      <c r="AE803" s="4"/>
      <c r="AF803" s="6">
        <v>65</v>
      </c>
      <c r="AG803" s="6"/>
      <c r="AH803" s="7">
        <v>0.8667</v>
      </c>
      <c r="AI803" s="4"/>
      <c r="AJ803" s="4">
        <f>=ROUNDDOWN({0},0)</f>
      </c>
      <c r="AK803" s="5"/>
      <c r="AL803" s="2" t="s">
        <v>200</v>
      </c>
      <c r="AM803" s="4"/>
      <c r="AN803" s="4"/>
      <c r="AO803" s="7"/>
      <c r="AP803" s="4"/>
      <c r="AQ803" s="8"/>
      <c r="AR803" s="4"/>
      <c r="AS803" s="8"/>
      <c r="AT803" s="7"/>
      <c r="AU803" s="7"/>
      <c r="AV803" s="4"/>
      <c r="AW803" s="8"/>
      <c r="AX803" s="4"/>
      <c r="AY803" s="8"/>
      <c r="AZ803" s="7"/>
      <c r="BA803" s="7"/>
      <c r="BB803" s="7"/>
      <c r="BC803" s="4" t="s">
        <v>200</v>
      </c>
      <c r="BD803" s="8" t="s">
        <v>200</v>
      </c>
      <c r="BE803" s="4" t="s">
        <v>200</v>
      </c>
      <c r="BF803" s="8" t="s">
        <v>200</v>
      </c>
      <c r="BG803" s="7" t="s">
        <v>200</v>
      </c>
      <c r="BH803" s="7" t="s">
        <v>200</v>
      </c>
      <c r="BI803" s="7"/>
      <c r="BJ803" s="4">
        <v>2</v>
      </c>
      <c r="BK803" s="8">
        <v>74.64</v>
      </c>
      <c r="BL803" s="2" t="s">
        <v>4209</v>
      </c>
      <c r="BM803" s="7"/>
      <c r="BN803" s="7"/>
      <c r="BO803" s="4"/>
      <c r="BP803" s="8"/>
      <c r="BQ803" s="4"/>
      <c r="BR803" s="8"/>
      <c r="BS803" s="7"/>
      <c r="BT803" s="7"/>
      <c r="BU803" s="2" t="s">
        <v>4907</v>
      </c>
      <c r="BV803" s="2" t="s">
        <v>200</v>
      </c>
      <c r="BW803" s="2" t="s">
        <v>200</v>
      </c>
      <c r="BX803" s="2" t="s">
        <v>289</v>
      </c>
      <c r="BY803" s="2" t="s">
        <v>247</v>
      </c>
      <c r="BZ803" s="2" t="s">
        <v>212</v>
      </c>
      <c r="CA803" s="2" t="s">
        <v>4908</v>
      </c>
      <c r="CB803" s="2" t="s">
        <v>4909</v>
      </c>
      <c r="CC803" s="2" t="s">
        <v>213</v>
      </c>
      <c r="CD803" s="2" t="s">
        <v>200</v>
      </c>
      <c r="CE803" s="4">
        <v>184</v>
      </c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</row>
    <row r="804">
      <c r="A804" s="2" t="s">
        <v>4910</v>
      </c>
      <c r="B804" s="2" t="s">
        <v>903</v>
      </c>
      <c r="C804" s="2" t="s">
        <v>624</v>
      </c>
      <c r="D804" s="2" t="s">
        <v>1818</v>
      </c>
      <c r="E804" s="2" t="s">
        <v>2000</v>
      </c>
      <c r="F804" s="2" t="s">
        <v>4903</v>
      </c>
      <c r="G804" s="2" t="s">
        <v>4903</v>
      </c>
      <c r="H804" s="2" t="s">
        <v>4903</v>
      </c>
      <c r="I804" s="2" t="s">
        <v>4904</v>
      </c>
      <c r="J804" s="2" t="s">
        <v>612</v>
      </c>
      <c r="K804" s="2" t="s">
        <v>1135</v>
      </c>
      <c r="L804" s="3">
        <v>41.14</v>
      </c>
      <c r="M804" s="3">
        <v>43.2</v>
      </c>
      <c r="N804" s="3">
        <v>89.99</v>
      </c>
      <c r="O804" s="2" t="s">
        <v>460</v>
      </c>
      <c r="P804" s="2" t="s">
        <v>285</v>
      </c>
      <c r="Q804" s="2" t="s">
        <v>206</v>
      </c>
      <c r="R804" s="2" t="s">
        <v>200</v>
      </c>
      <c r="S804" s="2" t="s">
        <v>4911</v>
      </c>
      <c r="T804" s="2" t="s">
        <v>200</v>
      </c>
      <c r="U804" s="2" t="s">
        <v>454</v>
      </c>
      <c r="V804" s="2" t="s">
        <v>208</v>
      </c>
      <c r="W804" s="2" t="s">
        <v>241</v>
      </c>
      <c r="X804" s="2" t="s">
        <v>200</v>
      </c>
      <c r="Y804" s="2" t="s">
        <v>4906</v>
      </c>
      <c r="Z804" s="4">
        <v>1</v>
      </c>
      <c r="AA804" s="4">
        <f>=ROUNDDOWN(0.285714285714286,0)</f>
      </c>
      <c r="AB804" s="5">
        <v>3.5</v>
      </c>
      <c r="AC804" s="2" t="s">
        <v>200</v>
      </c>
      <c r="AD804" s="4"/>
      <c r="AE804" s="4"/>
      <c r="AF804" s="6">
        <v>65</v>
      </c>
      <c r="AG804" s="6"/>
      <c r="AH804" s="7">
        <v>0.9</v>
      </c>
      <c r="AI804" s="4"/>
      <c r="AJ804" s="4">
        <f>=ROUNDDOWN({0},0)</f>
      </c>
      <c r="AK804" s="5"/>
      <c r="AL804" s="2" t="s">
        <v>200</v>
      </c>
      <c r="AM804" s="4"/>
      <c r="AN804" s="4"/>
      <c r="AO804" s="7"/>
      <c r="AP804" s="4"/>
      <c r="AQ804" s="8"/>
      <c r="AR804" s="4"/>
      <c r="AS804" s="8"/>
      <c r="AT804" s="7"/>
      <c r="AU804" s="7"/>
      <c r="AV804" s="4"/>
      <c r="AW804" s="8"/>
      <c r="AX804" s="4"/>
      <c r="AY804" s="8"/>
      <c r="AZ804" s="7"/>
      <c r="BA804" s="7"/>
      <c r="BB804" s="7"/>
      <c r="BC804" s="4" t="s">
        <v>200</v>
      </c>
      <c r="BD804" s="8" t="s">
        <v>200</v>
      </c>
      <c r="BE804" s="4" t="s">
        <v>200</v>
      </c>
      <c r="BF804" s="8" t="s">
        <v>200</v>
      </c>
      <c r="BG804" s="7" t="s">
        <v>200</v>
      </c>
      <c r="BH804" s="7" t="s">
        <v>200</v>
      </c>
      <c r="BI804" s="7"/>
      <c r="BJ804" s="4">
        <v>7</v>
      </c>
      <c r="BK804" s="8">
        <v>261.09</v>
      </c>
      <c r="BL804" s="2" t="s">
        <v>272</v>
      </c>
      <c r="BM804" s="7"/>
      <c r="BN804" s="7"/>
      <c r="BO804" s="4"/>
      <c r="BP804" s="8"/>
      <c r="BQ804" s="4"/>
      <c r="BR804" s="8"/>
      <c r="BS804" s="7"/>
      <c r="BT804" s="7"/>
      <c r="BU804" s="2" t="s">
        <v>4912</v>
      </c>
      <c r="BV804" s="2" t="s">
        <v>200</v>
      </c>
      <c r="BW804" s="2" t="s">
        <v>200</v>
      </c>
      <c r="BX804" s="2" t="s">
        <v>289</v>
      </c>
      <c r="BY804" s="2" t="s">
        <v>247</v>
      </c>
      <c r="BZ804" s="2" t="s">
        <v>212</v>
      </c>
      <c r="CA804" s="2" t="s">
        <v>4908</v>
      </c>
      <c r="CB804" s="2" t="s">
        <v>4913</v>
      </c>
      <c r="CC804" s="2" t="s">
        <v>213</v>
      </c>
      <c r="CD804" s="2" t="s">
        <v>200</v>
      </c>
      <c r="CE804" s="4">
        <v>1</v>
      </c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</row>
    <row r="805">
      <c r="A805" s="2" t="s">
        <v>4914</v>
      </c>
      <c r="B805" s="2" t="s">
        <v>705</v>
      </c>
      <c r="C805" s="2" t="s">
        <v>1375</v>
      </c>
      <c r="D805" s="2" t="s">
        <v>817</v>
      </c>
      <c r="E805" s="2" t="s">
        <v>818</v>
      </c>
      <c r="F805" s="2" t="s">
        <v>4915</v>
      </c>
      <c r="G805" s="2" t="s">
        <v>4915</v>
      </c>
      <c r="H805" s="2" t="s">
        <v>4915</v>
      </c>
      <c r="I805" s="2" t="s">
        <v>4916</v>
      </c>
      <c r="J805" s="2" t="s">
        <v>711</v>
      </c>
      <c r="K805" s="2" t="s">
        <v>257</v>
      </c>
      <c r="L805" s="3">
        <v>26.46</v>
      </c>
      <c r="M805" s="3">
        <v>27.78</v>
      </c>
      <c r="N805" s="3">
        <v>59.99</v>
      </c>
      <c r="O805" s="2" t="s">
        <v>212</v>
      </c>
      <c r="P805" s="2" t="s">
        <v>258</v>
      </c>
      <c r="Q805" s="2" t="s">
        <v>206</v>
      </c>
      <c r="R805" s="2" t="s">
        <v>200</v>
      </c>
      <c r="S805" s="2" t="s">
        <v>200</v>
      </c>
      <c r="T805" s="2" t="s">
        <v>200</v>
      </c>
      <c r="U805" s="2" t="s">
        <v>200</v>
      </c>
      <c r="V805" s="2" t="s">
        <v>208</v>
      </c>
      <c r="W805" s="2" t="s">
        <v>241</v>
      </c>
      <c r="X805" s="2" t="s">
        <v>200</v>
      </c>
      <c r="Y805" s="2" t="s">
        <v>4917</v>
      </c>
      <c r="Z805" s="4">
        <v>146</v>
      </c>
      <c r="AA805" s="4">
        <f>=ROUNDDOWN(29.2,0)</f>
      </c>
      <c r="AB805" s="5">
        <v>5</v>
      </c>
      <c r="AC805" s="2" t="s">
        <v>200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200</v>
      </c>
      <c r="AM805" s="4"/>
      <c r="AN805" s="4"/>
      <c r="AO805" s="7"/>
      <c r="AP805" s="4"/>
      <c r="AQ805" s="8"/>
      <c r="AR805" s="4"/>
      <c r="AS805" s="8"/>
      <c r="AT805" s="7"/>
      <c r="AU805" s="7"/>
      <c r="AV805" s="4"/>
      <c r="AW805" s="8"/>
      <c r="AX805" s="4"/>
      <c r="AY805" s="8"/>
      <c r="AZ805" s="7"/>
      <c r="BA805" s="7"/>
      <c r="BB805" s="7"/>
      <c r="BC805" s="4"/>
      <c r="BD805" s="8"/>
      <c r="BE805" s="4"/>
      <c r="BF805" s="8"/>
      <c r="BG805" s="7"/>
      <c r="BH805" s="7"/>
      <c r="BI805" s="7"/>
      <c r="BJ805" s="4">
        <v>19</v>
      </c>
      <c r="BK805" s="8">
        <v>550.87</v>
      </c>
      <c r="BL805" s="2" t="s">
        <v>4918</v>
      </c>
      <c r="BM805" s="7"/>
      <c r="BN805" s="7"/>
      <c r="BO805" s="4"/>
      <c r="BP805" s="8"/>
      <c r="BQ805" s="4"/>
      <c r="BR805" s="8"/>
      <c r="BS805" s="7"/>
      <c r="BT805" s="7"/>
      <c r="BU805" s="2" t="s">
        <v>4919</v>
      </c>
      <c r="BV805" s="2" t="s">
        <v>200</v>
      </c>
      <c r="BW805" s="2" t="s">
        <v>200</v>
      </c>
      <c r="BX805" s="2" t="s">
        <v>264</v>
      </c>
      <c r="BY805" s="2" t="s">
        <v>247</v>
      </c>
      <c r="BZ805" s="2" t="s">
        <v>212</v>
      </c>
      <c r="CA805" s="2" t="s">
        <v>4920</v>
      </c>
      <c r="CB805" s="2" t="s">
        <v>4921</v>
      </c>
      <c r="CC805" s="2" t="s">
        <v>213</v>
      </c>
      <c r="CD805" s="2" t="s">
        <v>200</v>
      </c>
      <c r="CE805" s="4"/>
      <c r="CF805" s="4">
        <v>146</v>
      </c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</row>
    <row r="806">
      <c r="A806" s="2" t="s">
        <v>4922</v>
      </c>
      <c r="B806" s="2" t="s">
        <v>992</v>
      </c>
      <c r="C806" s="2" t="s">
        <v>231</v>
      </c>
      <c r="D806" s="2" t="s">
        <v>992</v>
      </c>
      <c r="E806" s="2" t="s">
        <v>992</v>
      </c>
      <c r="F806" s="2" t="s">
        <v>4923</v>
      </c>
      <c r="G806" s="2" t="s">
        <v>4924</v>
      </c>
      <c r="H806" s="2" t="s">
        <v>4925</v>
      </c>
      <c r="I806" s="2" t="s">
        <v>4926</v>
      </c>
      <c r="J806" s="2" t="s">
        <v>997</v>
      </c>
      <c r="K806" s="2" t="s">
        <v>4927</v>
      </c>
      <c r="L806" s="3">
        <v>65.45</v>
      </c>
      <c r="M806" s="3">
        <v>68.72</v>
      </c>
      <c r="N806" s="3">
        <v>149.99</v>
      </c>
      <c r="O806" s="2" t="s">
        <v>460</v>
      </c>
      <c r="P806" s="2" t="s">
        <v>285</v>
      </c>
      <c r="Q806" s="2" t="s">
        <v>206</v>
      </c>
      <c r="R806" s="2" t="s">
        <v>200</v>
      </c>
      <c r="S806" s="2" t="s">
        <v>200</v>
      </c>
      <c r="T806" s="2" t="s">
        <v>200</v>
      </c>
      <c r="U806" s="2" t="s">
        <v>270</v>
      </c>
      <c r="V806" s="2" t="s">
        <v>724</v>
      </c>
      <c r="W806" s="2" t="s">
        <v>379</v>
      </c>
      <c r="X806" s="2" t="s">
        <v>200</v>
      </c>
      <c r="Y806" s="2" t="s">
        <v>4928</v>
      </c>
      <c r="Z806" s="4">
        <v>299</v>
      </c>
      <c r="AA806" s="4">
        <f>=ROUNDDOWN(96.4516129032258,0)</f>
      </c>
      <c r="AB806" s="5">
        <v>3.1</v>
      </c>
      <c r="AC806" s="2" t="s">
        <v>200</v>
      </c>
      <c r="AD806" s="4"/>
      <c r="AE806" s="4"/>
      <c r="AF806" s="6">
        <v>63</v>
      </c>
      <c r="AG806" s="6"/>
      <c r="AH806" s="7">
        <v>1</v>
      </c>
      <c r="AI806" s="4"/>
      <c r="AJ806" s="4">
        <f>=ROUNDDOWN({0},0)</f>
      </c>
      <c r="AK806" s="5"/>
      <c r="AL806" s="2" t="s">
        <v>200</v>
      </c>
      <c r="AM806" s="4"/>
      <c r="AN806" s="4"/>
      <c r="AO806" s="7"/>
      <c r="AP806" s="4"/>
      <c r="AQ806" s="8"/>
      <c r="AR806" s="4"/>
      <c r="AS806" s="8"/>
      <c r="AT806" s="7"/>
      <c r="AU806" s="7"/>
      <c r="AV806" s="4" t="s">
        <v>200</v>
      </c>
      <c r="AW806" s="8" t="s">
        <v>200</v>
      </c>
      <c r="AX806" s="4" t="s">
        <v>200</v>
      </c>
      <c r="AY806" s="8" t="s">
        <v>200</v>
      </c>
      <c r="AZ806" s="7" t="s">
        <v>200</v>
      </c>
      <c r="BA806" s="7" t="s">
        <v>200</v>
      </c>
      <c r="BB806" s="7"/>
      <c r="BC806" s="4" t="s">
        <v>200</v>
      </c>
      <c r="BD806" s="8" t="s">
        <v>200</v>
      </c>
      <c r="BE806" s="4" t="s">
        <v>200</v>
      </c>
      <c r="BF806" s="8" t="s">
        <v>200</v>
      </c>
      <c r="BG806" s="7" t="s">
        <v>200</v>
      </c>
      <c r="BH806" s="7" t="s">
        <v>200</v>
      </c>
      <c r="BI806" s="7"/>
      <c r="BJ806" s="4">
        <v>4</v>
      </c>
      <c r="BK806" s="8">
        <v>173.28</v>
      </c>
      <c r="BL806" s="2" t="s">
        <v>752</v>
      </c>
      <c r="BM806" s="7"/>
      <c r="BN806" s="7"/>
      <c r="BO806" s="4"/>
      <c r="BP806" s="8"/>
      <c r="BQ806" s="4"/>
      <c r="BR806" s="8"/>
      <c r="BS806" s="7"/>
      <c r="BT806" s="7"/>
      <c r="BU806" s="2" t="s">
        <v>4929</v>
      </c>
      <c r="BV806" s="2" t="s">
        <v>200</v>
      </c>
      <c r="BW806" s="2" t="s">
        <v>200</v>
      </c>
      <c r="BX806" s="2" t="s">
        <v>289</v>
      </c>
      <c r="BY806" s="2" t="s">
        <v>247</v>
      </c>
      <c r="BZ806" s="2" t="s">
        <v>212</v>
      </c>
      <c r="CA806" s="2" t="s">
        <v>2487</v>
      </c>
      <c r="CB806" s="2" t="s">
        <v>4930</v>
      </c>
      <c r="CC806" s="2" t="s">
        <v>213</v>
      </c>
      <c r="CD806" s="2" t="s">
        <v>200</v>
      </c>
      <c r="CE806" s="4"/>
      <c r="CF806" s="4">
        <v>299</v>
      </c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</row>
    <row r="807">
      <c r="A807" s="2" t="s">
        <v>4931</v>
      </c>
      <c r="B807" s="2" t="s">
        <v>992</v>
      </c>
      <c r="C807" s="2" t="s">
        <v>231</v>
      </c>
      <c r="D807" s="2" t="s">
        <v>992</v>
      </c>
      <c r="E807" s="2" t="s">
        <v>992</v>
      </c>
      <c r="F807" s="2" t="s">
        <v>4923</v>
      </c>
      <c r="G807" s="2" t="s">
        <v>4924</v>
      </c>
      <c r="H807" s="2" t="s">
        <v>4925</v>
      </c>
      <c r="I807" s="2" t="s">
        <v>4926</v>
      </c>
      <c r="J807" s="2" t="s">
        <v>4932</v>
      </c>
      <c r="K807" s="2" t="s">
        <v>4927</v>
      </c>
      <c r="L807" s="3">
        <v>37.65</v>
      </c>
      <c r="M807" s="3">
        <v>39.53</v>
      </c>
      <c r="N807" s="3">
        <v>84.99</v>
      </c>
      <c r="O807" s="2" t="s">
        <v>460</v>
      </c>
      <c r="P807" s="2" t="s">
        <v>285</v>
      </c>
      <c r="Q807" s="2" t="s">
        <v>206</v>
      </c>
      <c r="R807" s="2" t="s">
        <v>200</v>
      </c>
      <c r="S807" s="2" t="s">
        <v>200</v>
      </c>
      <c r="T807" s="2" t="s">
        <v>200</v>
      </c>
      <c r="U807" s="2" t="s">
        <v>270</v>
      </c>
      <c r="V807" s="2" t="s">
        <v>724</v>
      </c>
      <c r="W807" s="2" t="s">
        <v>379</v>
      </c>
      <c r="X807" s="2" t="s">
        <v>200</v>
      </c>
      <c r="Y807" s="2" t="s">
        <v>4928</v>
      </c>
      <c r="Z807" s="4">
        <v>25</v>
      </c>
      <c r="AA807" s="4">
        <f>=ROUNDDOWN(5.68181818181818,0)</f>
      </c>
      <c r="AB807" s="5">
        <v>4.4</v>
      </c>
      <c r="AC807" s="2" t="s">
        <v>200</v>
      </c>
      <c r="AD807" s="4"/>
      <c r="AE807" s="4"/>
      <c r="AF807" s="6">
        <v>63</v>
      </c>
      <c r="AG807" s="6"/>
      <c r="AH807" s="7">
        <v>0.9</v>
      </c>
      <c r="AI807" s="4"/>
      <c r="AJ807" s="4">
        <f>=ROUNDDOWN({0},0)</f>
      </c>
      <c r="AK807" s="5"/>
      <c r="AL807" s="2" t="s">
        <v>200</v>
      </c>
      <c r="AM807" s="4"/>
      <c r="AN807" s="4"/>
      <c r="AO807" s="7"/>
      <c r="AP807" s="4"/>
      <c r="AQ807" s="8"/>
      <c r="AR807" s="4"/>
      <c r="AS807" s="8"/>
      <c r="AT807" s="7"/>
      <c r="AU807" s="7"/>
      <c r="AV807" s="4" t="s">
        <v>200</v>
      </c>
      <c r="AW807" s="8" t="s">
        <v>200</v>
      </c>
      <c r="AX807" s="4" t="s">
        <v>200</v>
      </c>
      <c r="AY807" s="8" t="s">
        <v>200</v>
      </c>
      <c r="AZ807" s="7" t="s">
        <v>200</v>
      </c>
      <c r="BA807" s="7" t="s">
        <v>200</v>
      </c>
      <c r="BB807" s="7"/>
      <c r="BC807" s="4" t="s">
        <v>200</v>
      </c>
      <c r="BD807" s="8" t="s">
        <v>200</v>
      </c>
      <c r="BE807" s="4" t="s">
        <v>200</v>
      </c>
      <c r="BF807" s="8" t="s">
        <v>200</v>
      </c>
      <c r="BG807" s="7" t="s">
        <v>200</v>
      </c>
      <c r="BH807" s="7" t="s">
        <v>200</v>
      </c>
      <c r="BI807" s="7"/>
      <c r="BJ807" s="4">
        <v>1</v>
      </c>
      <c r="BK807" s="8">
        <v>24.91</v>
      </c>
      <c r="BL807" s="2" t="s">
        <v>1675</v>
      </c>
      <c r="BM807" s="7"/>
      <c r="BN807" s="7"/>
      <c r="BO807" s="4"/>
      <c r="BP807" s="8"/>
      <c r="BQ807" s="4"/>
      <c r="BR807" s="8"/>
      <c r="BS807" s="7"/>
      <c r="BT807" s="7"/>
      <c r="BU807" s="2" t="s">
        <v>4933</v>
      </c>
      <c r="BV807" s="2" t="s">
        <v>200</v>
      </c>
      <c r="BW807" s="2" t="s">
        <v>200</v>
      </c>
      <c r="BX807" s="2" t="s">
        <v>289</v>
      </c>
      <c r="BY807" s="2" t="s">
        <v>247</v>
      </c>
      <c r="BZ807" s="2" t="s">
        <v>212</v>
      </c>
      <c r="CA807" s="2" t="s">
        <v>2487</v>
      </c>
      <c r="CB807" s="2" t="s">
        <v>4934</v>
      </c>
      <c r="CC807" s="2" t="s">
        <v>213</v>
      </c>
      <c r="CD807" s="2" t="s">
        <v>200</v>
      </c>
      <c r="CE807" s="4"/>
      <c r="CF807" s="4">
        <v>25</v>
      </c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</row>
    <row r="808">
      <c r="A808" s="2" t="s">
        <v>4935</v>
      </c>
      <c r="B808" s="2" t="s">
        <v>744</v>
      </c>
      <c r="C808" s="2" t="s">
        <v>231</v>
      </c>
      <c r="D808" s="2" t="s">
        <v>746</v>
      </c>
      <c r="E808" s="2" t="s">
        <v>747</v>
      </c>
      <c r="F808" s="2" t="s">
        <v>4936</v>
      </c>
      <c r="G808" s="2" t="s">
        <v>4937</v>
      </c>
      <c r="H808" s="2" t="s">
        <v>4938</v>
      </c>
      <c r="I808" s="2" t="s">
        <v>4939</v>
      </c>
      <c r="J808" s="2" t="s">
        <v>711</v>
      </c>
      <c r="K808" s="2" t="s">
        <v>2119</v>
      </c>
      <c r="L808" s="3">
        <v>153</v>
      </c>
      <c r="M808" s="3">
        <v>160.65</v>
      </c>
      <c r="N808" s="3">
        <v>319</v>
      </c>
      <c r="O808" s="2" t="s">
        <v>212</v>
      </c>
      <c r="P808" s="2" t="s">
        <v>285</v>
      </c>
      <c r="Q808" s="2" t="s">
        <v>206</v>
      </c>
      <c r="R808" s="2" t="s">
        <v>200</v>
      </c>
      <c r="S808" s="2" t="s">
        <v>200</v>
      </c>
      <c r="T808" s="2" t="s">
        <v>200</v>
      </c>
      <c r="U808" s="2" t="s">
        <v>200</v>
      </c>
      <c r="V808" s="2" t="s">
        <v>208</v>
      </c>
      <c r="W808" s="2" t="s">
        <v>419</v>
      </c>
      <c r="X808" s="2" t="s">
        <v>379</v>
      </c>
      <c r="Y808" s="2" t="s">
        <v>4940</v>
      </c>
      <c r="Z808" s="4">
        <v>47</v>
      </c>
      <c r="AA808" s="4">
        <f>=ROUNDDOWN(15.6666666666667,0)</f>
      </c>
      <c r="AB808" s="5">
        <v>3</v>
      </c>
      <c r="AC808" s="2" t="s">
        <v>200</v>
      </c>
      <c r="AD808" s="4"/>
      <c r="AE808" s="4"/>
      <c r="AF808" s="6">
        <v>65</v>
      </c>
      <c r="AG808" s="6">
        <v>48</v>
      </c>
      <c r="AH808" s="7">
        <v>1</v>
      </c>
      <c r="AI808" s="4"/>
      <c r="AJ808" s="4">
        <f>=ROUNDDOWN({0},0)</f>
      </c>
      <c r="AK808" s="5"/>
      <c r="AL808" s="2" t="s">
        <v>200</v>
      </c>
      <c r="AM808" s="4"/>
      <c r="AN808" s="4"/>
      <c r="AO808" s="7"/>
      <c r="AP808" s="4"/>
      <c r="AQ808" s="8"/>
      <c r="AR808" s="4"/>
      <c r="AS808" s="8"/>
      <c r="AT808" s="7"/>
      <c r="AU808" s="7"/>
      <c r="AV808" s="4"/>
      <c r="AW808" s="8"/>
      <c r="AX808" s="4"/>
      <c r="AY808" s="8"/>
      <c r="AZ808" s="7"/>
      <c r="BA808" s="7"/>
      <c r="BB808" s="7"/>
      <c r="BC808" s="4"/>
      <c r="BD808" s="8"/>
      <c r="BE808" s="4"/>
      <c r="BF808" s="8"/>
      <c r="BG808" s="7"/>
      <c r="BH808" s="7"/>
      <c r="BI808" s="7"/>
      <c r="BJ808" s="4">
        <v>1</v>
      </c>
      <c r="BK808" s="8">
        <v>161.6</v>
      </c>
      <c r="BL808" s="2" t="s">
        <v>4941</v>
      </c>
      <c r="BM808" s="7"/>
      <c r="BN808" s="7"/>
      <c r="BO808" s="4"/>
      <c r="BP808" s="8"/>
      <c r="BQ808" s="4"/>
      <c r="BR808" s="8"/>
      <c r="BS808" s="7"/>
      <c r="BT808" s="7"/>
      <c r="BU808" s="2" t="s">
        <v>4942</v>
      </c>
      <c r="BV808" s="2" t="s">
        <v>200</v>
      </c>
      <c r="BW808" s="2" t="s">
        <v>200</v>
      </c>
      <c r="BX808" s="2" t="s">
        <v>289</v>
      </c>
      <c r="BY808" s="2" t="s">
        <v>247</v>
      </c>
      <c r="BZ808" s="2" t="s">
        <v>212</v>
      </c>
      <c r="CA808" s="2" t="s">
        <v>4943</v>
      </c>
      <c r="CB808" s="2" t="s">
        <v>1627</v>
      </c>
      <c r="CC808" s="2" t="s">
        <v>213</v>
      </c>
      <c r="CD808" s="2" t="s">
        <v>200</v>
      </c>
      <c r="CE808" s="4"/>
      <c r="CF808" s="4">
        <v>47</v>
      </c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</row>
    <row r="809">
      <c r="A809" s="2" t="s">
        <v>4944</v>
      </c>
      <c r="B809" s="2" t="s">
        <v>992</v>
      </c>
      <c r="C809" s="2" t="s">
        <v>231</v>
      </c>
      <c r="D809" s="2" t="s">
        <v>992</v>
      </c>
      <c r="E809" s="2" t="s">
        <v>992</v>
      </c>
      <c r="F809" s="2" t="s">
        <v>1357</v>
      </c>
      <c r="G809" s="2" t="s">
        <v>4945</v>
      </c>
      <c r="H809" s="2" t="s">
        <v>4946</v>
      </c>
      <c r="I809" s="2" t="s">
        <v>4947</v>
      </c>
      <c r="J809" s="2" t="s">
        <v>2507</v>
      </c>
      <c r="K809" s="2" t="s">
        <v>3664</v>
      </c>
      <c r="L809" s="3">
        <v>32.66</v>
      </c>
      <c r="M809" s="3">
        <v>34.29</v>
      </c>
      <c r="N809" s="3">
        <v>74.99</v>
      </c>
      <c r="O809" s="2" t="s">
        <v>460</v>
      </c>
      <c r="P809" s="2" t="s">
        <v>285</v>
      </c>
      <c r="Q809" s="2" t="s">
        <v>206</v>
      </c>
      <c r="R809" s="2" t="s">
        <v>200</v>
      </c>
      <c r="S809" s="2" t="s">
        <v>200</v>
      </c>
      <c r="T809" s="2" t="s">
        <v>200</v>
      </c>
      <c r="U809" s="2" t="s">
        <v>270</v>
      </c>
      <c r="V809" s="2" t="s">
        <v>3675</v>
      </c>
      <c r="W809" s="2" t="s">
        <v>1975</v>
      </c>
      <c r="X809" s="2" t="s">
        <v>200</v>
      </c>
      <c r="Y809" s="2" t="s">
        <v>2508</v>
      </c>
      <c r="Z809" s="4">
        <v>41</v>
      </c>
      <c r="AA809" s="4">
        <f>=ROUNDDOWN(17.0833333333333,0)</f>
      </c>
      <c r="AB809" s="5">
        <v>2.4</v>
      </c>
      <c r="AC809" s="2" t="s">
        <v>200</v>
      </c>
      <c r="AD809" s="4"/>
      <c r="AE809" s="4"/>
      <c r="AF809" s="6">
        <v>63</v>
      </c>
      <c r="AG809" s="6"/>
      <c r="AH809" s="7">
        <v>0.9</v>
      </c>
      <c r="AI809" s="4"/>
      <c r="AJ809" s="4">
        <f>=ROUNDDOWN({0},0)</f>
      </c>
      <c r="AK809" s="5"/>
      <c r="AL809" s="2" t="s">
        <v>200</v>
      </c>
      <c r="AM809" s="4"/>
      <c r="AN809" s="4"/>
      <c r="AO809" s="7"/>
      <c r="AP809" s="4"/>
      <c r="AQ809" s="8"/>
      <c r="AR809" s="4"/>
      <c r="AS809" s="8"/>
      <c r="AT809" s="7"/>
      <c r="AU809" s="7"/>
      <c r="AV809" s="4" t="s">
        <v>200</v>
      </c>
      <c r="AW809" s="8" t="s">
        <v>200</v>
      </c>
      <c r="AX809" s="4" t="s">
        <v>200</v>
      </c>
      <c r="AY809" s="8" t="s">
        <v>200</v>
      </c>
      <c r="AZ809" s="7" t="s">
        <v>200</v>
      </c>
      <c r="BA809" s="7" t="s">
        <v>200</v>
      </c>
      <c r="BB809" s="7"/>
      <c r="BC809" s="4" t="s">
        <v>200</v>
      </c>
      <c r="BD809" s="8" t="s">
        <v>200</v>
      </c>
      <c r="BE809" s="4" t="s">
        <v>200</v>
      </c>
      <c r="BF809" s="8" t="s">
        <v>200</v>
      </c>
      <c r="BG809" s="7" t="s">
        <v>200</v>
      </c>
      <c r="BH809" s="7" t="s">
        <v>200</v>
      </c>
      <c r="BI809" s="7"/>
      <c r="BJ809" s="4">
        <v>1</v>
      </c>
      <c r="BK809" s="8">
        <v>36.01</v>
      </c>
      <c r="BL809" s="2" t="s">
        <v>1302</v>
      </c>
      <c r="BM809" s="7"/>
      <c r="BN809" s="7"/>
      <c r="BO809" s="4"/>
      <c r="BP809" s="8"/>
      <c r="BQ809" s="4"/>
      <c r="BR809" s="8"/>
      <c r="BS809" s="7"/>
      <c r="BT809" s="7"/>
      <c r="BU809" s="2" t="s">
        <v>4948</v>
      </c>
      <c r="BV809" s="2" t="s">
        <v>200</v>
      </c>
      <c r="BW809" s="2" t="s">
        <v>200</v>
      </c>
      <c r="BX809" s="2" t="s">
        <v>289</v>
      </c>
      <c r="BY809" s="2" t="s">
        <v>247</v>
      </c>
      <c r="BZ809" s="2" t="s">
        <v>212</v>
      </c>
      <c r="CA809" s="2" t="s">
        <v>1002</v>
      </c>
      <c r="CB809" s="2" t="s">
        <v>200</v>
      </c>
      <c r="CC809" s="2" t="s">
        <v>213</v>
      </c>
      <c r="CD809" s="2" t="s">
        <v>200</v>
      </c>
      <c r="CE809" s="4"/>
      <c r="CF809" s="4">
        <v>41</v>
      </c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</row>
    <row r="810">
      <c r="A810" s="2" t="s">
        <v>4949</v>
      </c>
      <c r="B810" s="2" t="s">
        <v>992</v>
      </c>
      <c r="C810" s="2" t="s">
        <v>231</v>
      </c>
      <c r="D810" s="2" t="s">
        <v>992</v>
      </c>
      <c r="E810" s="2" t="s">
        <v>992</v>
      </c>
      <c r="F810" s="2" t="s">
        <v>1357</v>
      </c>
      <c r="G810" s="2" t="s">
        <v>4945</v>
      </c>
      <c r="H810" s="2" t="s">
        <v>4946</v>
      </c>
      <c r="I810" s="2" t="s">
        <v>4947</v>
      </c>
      <c r="J810" s="2" t="s">
        <v>997</v>
      </c>
      <c r="K810" s="2" t="s">
        <v>3664</v>
      </c>
      <c r="L810" s="3">
        <v>49.11</v>
      </c>
      <c r="M810" s="3">
        <v>51.57</v>
      </c>
      <c r="N810" s="3">
        <v>109.99</v>
      </c>
      <c r="O810" s="2" t="s">
        <v>460</v>
      </c>
      <c r="P810" s="2" t="s">
        <v>285</v>
      </c>
      <c r="Q810" s="2" t="s">
        <v>206</v>
      </c>
      <c r="R810" s="2" t="s">
        <v>200</v>
      </c>
      <c r="S810" s="2" t="s">
        <v>200</v>
      </c>
      <c r="T810" s="2" t="s">
        <v>200</v>
      </c>
      <c r="U810" s="2" t="s">
        <v>270</v>
      </c>
      <c r="V810" s="2" t="s">
        <v>3675</v>
      </c>
      <c r="W810" s="2" t="s">
        <v>1975</v>
      </c>
      <c r="X810" s="2" t="s">
        <v>200</v>
      </c>
      <c r="Y810" s="2" t="s">
        <v>2508</v>
      </c>
      <c r="Z810" s="4">
        <v>194</v>
      </c>
      <c r="AA810" s="4">
        <f>=ROUNDDOWN(77.6,0)</f>
      </c>
      <c r="AB810" s="5">
        <v>2.5</v>
      </c>
      <c r="AC810" s="2" t="s">
        <v>200</v>
      </c>
      <c r="AD810" s="4"/>
      <c r="AE810" s="4"/>
      <c r="AF810" s="6">
        <v>63</v>
      </c>
      <c r="AG810" s="6"/>
      <c r="AH810" s="7">
        <v>1</v>
      </c>
      <c r="AI810" s="4"/>
      <c r="AJ810" s="4">
        <f>=ROUNDDOWN({0},0)</f>
      </c>
      <c r="AK810" s="5"/>
      <c r="AL810" s="2" t="s">
        <v>200</v>
      </c>
      <c r="AM810" s="4"/>
      <c r="AN810" s="4"/>
      <c r="AO810" s="7"/>
      <c r="AP810" s="4"/>
      <c r="AQ810" s="8"/>
      <c r="AR810" s="4"/>
      <c r="AS810" s="8"/>
      <c r="AT810" s="7"/>
      <c r="AU810" s="7"/>
      <c r="AV810" s="4" t="s">
        <v>200</v>
      </c>
      <c r="AW810" s="8" t="s">
        <v>200</v>
      </c>
      <c r="AX810" s="4" t="s">
        <v>200</v>
      </c>
      <c r="AY810" s="8" t="s">
        <v>200</v>
      </c>
      <c r="AZ810" s="7" t="s">
        <v>200</v>
      </c>
      <c r="BA810" s="7" t="s">
        <v>200</v>
      </c>
      <c r="BB810" s="7"/>
      <c r="BC810" s="4" t="s">
        <v>200</v>
      </c>
      <c r="BD810" s="8" t="s">
        <v>200</v>
      </c>
      <c r="BE810" s="4" t="s">
        <v>200</v>
      </c>
      <c r="BF810" s="8" t="s">
        <v>200</v>
      </c>
      <c r="BG810" s="7" t="s">
        <v>200</v>
      </c>
      <c r="BH810" s="7" t="s">
        <v>200</v>
      </c>
      <c r="BI810" s="7"/>
      <c r="BJ810" s="4">
        <v>1</v>
      </c>
      <c r="BK810" s="8">
        <v>27.07</v>
      </c>
      <c r="BL810" s="2" t="s">
        <v>4950</v>
      </c>
      <c r="BM810" s="7"/>
      <c r="BN810" s="7"/>
      <c r="BO810" s="4"/>
      <c r="BP810" s="8"/>
      <c r="BQ810" s="4"/>
      <c r="BR810" s="8"/>
      <c r="BS810" s="7"/>
      <c r="BT810" s="7"/>
      <c r="BU810" s="2" t="s">
        <v>4951</v>
      </c>
      <c r="BV810" s="2" t="s">
        <v>200</v>
      </c>
      <c r="BW810" s="2" t="s">
        <v>200</v>
      </c>
      <c r="BX810" s="2" t="s">
        <v>289</v>
      </c>
      <c r="BY810" s="2" t="s">
        <v>247</v>
      </c>
      <c r="BZ810" s="2" t="s">
        <v>212</v>
      </c>
      <c r="CA810" s="2" t="s">
        <v>1002</v>
      </c>
      <c r="CB810" s="2" t="s">
        <v>4952</v>
      </c>
      <c r="CC810" s="2" t="s">
        <v>213</v>
      </c>
      <c r="CD810" s="2" t="s">
        <v>200</v>
      </c>
      <c r="CE810" s="4"/>
      <c r="CF810" s="4">
        <v>194</v>
      </c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</row>
    <row r="811">
      <c r="A811" s="2" t="s">
        <v>4953</v>
      </c>
      <c r="B811" s="2" t="s">
        <v>992</v>
      </c>
      <c r="C811" s="2" t="s">
        <v>231</v>
      </c>
      <c r="D811" s="2" t="s">
        <v>992</v>
      </c>
      <c r="E811" s="2" t="s">
        <v>992</v>
      </c>
      <c r="F811" s="2" t="s">
        <v>1357</v>
      </c>
      <c r="G811" s="2" t="s">
        <v>4945</v>
      </c>
      <c r="H811" s="2" t="s">
        <v>4946</v>
      </c>
      <c r="I811" s="2" t="s">
        <v>4947</v>
      </c>
      <c r="J811" s="2" t="s">
        <v>1005</v>
      </c>
      <c r="K811" s="2" t="s">
        <v>3664</v>
      </c>
      <c r="L811" s="3">
        <v>71.5</v>
      </c>
      <c r="M811" s="3">
        <v>75.08</v>
      </c>
      <c r="N811" s="3">
        <v>159.99</v>
      </c>
      <c r="O811" s="2" t="s">
        <v>460</v>
      </c>
      <c r="P811" s="2" t="s">
        <v>285</v>
      </c>
      <c r="Q811" s="2" t="s">
        <v>206</v>
      </c>
      <c r="R811" s="2" t="s">
        <v>200</v>
      </c>
      <c r="S811" s="2" t="s">
        <v>200</v>
      </c>
      <c r="T811" s="2" t="s">
        <v>200</v>
      </c>
      <c r="U811" s="2" t="s">
        <v>270</v>
      </c>
      <c r="V811" s="2" t="s">
        <v>3675</v>
      </c>
      <c r="W811" s="2" t="s">
        <v>1975</v>
      </c>
      <c r="X811" s="2" t="s">
        <v>200</v>
      </c>
      <c r="Y811" s="2" t="s">
        <v>2508</v>
      </c>
      <c r="Z811" s="4">
        <v>71</v>
      </c>
      <c r="AA811" s="4">
        <f>=ROUNDDOWN(10.5970149253731,0)</f>
      </c>
      <c r="AB811" s="5">
        <v>6.7</v>
      </c>
      <c r="AC811" s="2" t="s">
        <v>200</v>
      </c>
      <c r="AD811" s="4"/>
      <c r="AE811" s="4"/>
      <c r="AF811" s="6">
        <v>63</v>
      </c>
      <c r="AG811" s="6"/>
      <c r="AH811" s="7">
        <v>1</v>
      </c>
      <c r="AI811" s="4"/>
      <c r="AJ811" s="4">
        <f>=ROUNDDOWN({0},0)</f>
      </c>
      <c r="AK811" s="5"/>
      <c r="AL811" s="2" t="s">
        <v>200</v>
      </c>
      <c r="AM811" s="4"/>
      <c r="AN811" s="4"/>
      <c r="AO811" s="7"/>
      <c r="AP811" s="4"/>
      <c r="AQ811" s="8"/>
      <c r="AR811" s="4"/>
      <c r="AS811" s="8"/>
      <c r="AT811" s="7"/>
      <c r="AU811" s="7"/>
      <c r="AV811" s="4" t="s">
        <v>200</v>
      </c>
      <c r="AW811" s="8" t="s">
        <v>200</v>
      </c>
      <c r="AX811" s="4" t="s">
        <v>200</v>
      </c>
      <c r="AY811" s="8" t="s">
        <v>200</v>
      </c>
      <c r="AZ811" s="7" t="s">
        <v>200</v>
      </c>
      <c r="BA811" s="7" t="s">
        <v>200</v>
      </c>
      <c r="BB811" s="7"/>
      <c r="BC811" s="4" t="s">
        <v>200</v>
      </c>
      <c r="BD811" s="8" t="s">
        <v>200</v>
      </c>
      <c r="BE811" s="4" t="s">
        <v>200</v>
      </c>
      <c r="BF811" s="8" t="s">
        <v>200</v>
      </c>
      <c r="BG811" s="7" t="s">
        <v>200</v>
      </c>
      <c r="BH811" s="7" t="s">
        <v>200</v>
      </c>
      <c r="BI811" s="7"/>
      <c r="BJ811" s="4">
        <v>11</v>
      </c>
      <c r="BK811" s="8">
        <v>950.63</v>
      </c>
      <c r="BL811" s="2" t="s">
        <v>4954</v>
      </c>
      <c r="BM811" s="7"/>
      <c r="BN811" s="7"/>
      <c r="BO811" s="4"/>
      <c r="BP811" s="8"/>
      <c r="BQ811" s="4"/>
      <c r="BR811" s="8"/>
      <c r="BS811" s="7"/>
      <c r="BT811" s="7"/>
      <c r="BU811" s="2" t="s">
        <v>4955</v>
      </c>
      <c r="BV811" s="2" t="s">
        <v>200</v>
      </c>
      <c r="BW811" s="2" t="s">
        <v>200</v>
      </c>
      <c r="BX811" s="2" t="s">
        <v>289</v>
      </c>
      <c r="BY811" s="2" t="s">
        <v>247</v>
      </c>
      <c r="BZ811" s="2" t="s">
        <v>212</v>
      </c>
      <c r="CA811" s="2" t="s">
        <v>1002</v>
      </c>
      <c r="CB811" s="2" t="s">
        <v>4956</v>
      </c>
      <c r="CC811" s="2" t="s">
        <v>213</v>
      </c>
      <c r="CD811" s="2" t="s">
        <v>200</v>
      </c>
      <c r="CE811" s="4"/>
      <c r="CF811" s="4">
        <v>71</v>
      </c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</row>
    <row r="812">
      <c r="A812" s="2" t="s">
        <v>4957</v>
      </c>
      <c r="B812" s="2" t="s">
        <v>992</v>
      </c>
      <c r="C812" s="2" t="s">
        <v>231</v>
      </c>
      <c r="D812" s="2" t="s">
        <v>992</v>
      </c>
      <c r="E812" s="2" t="s">
        <v>992</v>
      </c>
      <c r="F812" s="2" t="s">
        <v>1357</v>
      </c>
      <c r="G812" s="2" t="s">
        <v>4945</v>
      </c>
      <c r="H812" s="2" t="s">
        <v>4946</v>
      </c>
      <c r="I812" s="2" t="s">
        <v>4947</v>
      </c>
      <c r="J812" s="2" t="s">
        <v>2507</v>
      </c>
      <c r="K812" s="2" t="s">
        <v>1214</v>
      </c>
      <c r="L812" s="3">
        <v>32.66</v>
      </c>
      <c r="M812" s="3">
        <v>34.29</v>
      </c>
      <c r="N812" s="3">
        <v>74.99</v>
      </c>
      <c r="O812" s="2" t="s">
        <v>417</v>
      </c>
      <c r="P812" s="2" t="s">
        <v>285</v>
      </c>
      <c r="Q812" s="2" t="s">
        <v>206</v>
      </c>
      <c r="R812" s="2" t="s">
        <v>200</v>
      </c>
      <c r="S812" s="2" t="s">
        <v>4958</v>
      </c>
      <c r="T812" s="2" t="s">
        <v>200</v>
      </c>
      <c r="U812" s="2" t="s">
        <v>270</v>
      </c>
      <c r="V812" s="2" t="s">
        <v>3675</v>
      </c>
      <c r="W812" s="2" t="s">
        <v>1975</v>
      </c>
      <c r="X812" s="2" t="s">
        <v>200</v>
      </c>
      <c r="Y812" s="2" t="s">
        <v>1349</v>
      </c>
      <c r="Z812" s="4">
        <v>23</v>
      </c>
      <c r="AA812" s="4">
        <f>=ROUNDDOWN(115,0)</f>
      </c>
      <c r="AB812" s="5">
        <v>0.2</v>
      </c>
      <c r="AC812" s="2" t="s">
        <v>200</v>
      </c>
      <c r="AD812" s="4"/>
      <c r="AE812" s="4"/>
      <c r="AF812" s="6">
        <v>63</v>
      </c>
      <c r="AG812" s="6"/>
      <c r="AH812" s="7">
        <v>0.9</v>
      </c>
      <c r="AI812" s="4"/>
      <c r="AJ812" s="4">
        <f>=ROUNDDOWN({0},0)</f>
      </c>
      <c r="AK812" s="5"/>
      <c r="AL812" s="2" t="s">
        <v>200</v>
      </c>
      <c r="AM812" s="4"/>
      <c r="AN812" s="4"/>
      <c r="AO812" s="7"/>
      <c r="AP812" s="4"/>
      <c r="AQ812" s="8"/>
      <c r="AR812" s="4"/>
      <c r="AS812" s="8"/>
      <c r="AT812" s="7"/>
      <c r="AU812" s="7"/>
      <c r="AV812" s="4" t="s">
        <v>200</v>
      </c>
      <c r="AW812" s="8" t="s">
        <v>200</v>
      </c>
      <c r="AX812" s="4" t="s">
        <v>200</v>
      </c>
      <c r="AY812" s="8" t="s">
        <v>200</v>
      </c>
      <c r="AZ812" s="7" t="s">
        <v>200</v>
      </c>
      <c r="BA812" s="7" t="s">
        <v>200</v>
      </c>
      <c r="BB812" s="7"/>
      <c r="BC812" s="4" t="s">
        <v>200</v>
      </c>
      <c r="BD812" s="8" t="s">
        <v>200</v>
      </c>
      <c r="BE812" s="4" t="s">
        <v>200</v>
      </c>
      <c r="BF812" s="8" t="s">
        <v>200</v>
      </c>
      <c r="BG812" s="7" t="s">
        <v>200</v>
      </c>
      <c r="BH812" s="7" t="s">
        <v>200</v>
      </c>
      <c r="BI812" s="7"/>
      <c r="BJ812" s="4">
        <v>1</v>
      </c>
      <c r="BK812" s="8">
        <v>36.01</v>
      </c>
      <c r="BL812" s="2" t="s">
        <v>4183</v>
      </c>
      <c r="BM812" s="7"/>
      <c r="BN812" s="7"/>
      <c r="BO812" s="4"/>
      <c r="BP812" s="8"/>
      <c r="BQ812" s="4"/>
      <c r="BR812" s="8"/>
      <c r="BS812" s="7"/>
      <c r="BT812" s="7"/>
      <c r="BU812" s="2" t="s">
        <v>4959</v>
      </c>
      <c r="BV812" s="2" t="s">
        <v>200</v>
      </c>
      <c r="BW812" s="2" t="s">
        <v>200</v>
      </c>
      <c r="BX812" s="2" t="s">
        <v>289</v>
      </c>
      <c r="BY812" s="2" t="s">
        <v>247</v>
      </c>
      <c r="BZ812" s="2" t="s">
        <v>212</v>
      </c>
      <c r="CA812" s="2" t="s">
        <v>4438</v>
      </c>
      <c r="CB812" s="2" t="s">
        <v>1353</v>
      </c>
      <c r="CC812" s="2" t="s">
        <v>213</v>
      </c>
      <c r="CD812" s="2" t="s">
        <v>200</v>
      </c>
      <c r="CE812" s="4"/>
      <c r="CF812" s="4">
        <v>23</v>
      </c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</row>
    <row r="813">
      <c r="A813" s="2" t="s">
        <v>4960</v>
      </c>
      <c r="B813" s="2" t="s">
        <v>992</v>
      </c>
      <c r="C813" s="2" t="s">
        <v>231</v>
      </c>
      <c r="D813" s="2" t="s">
        <v>992</v>
      </c>
      <c r="E813" s="2" t="s">
        <v>992</v>
      </c>
      <c r="F813" s="2" t="s">
        <v>1357</v>
      </c>
      <c r="G813" s="2" t="s">
        <v>4945</v>
      </c>
      <c r="H813" s="2" t="s">
        <v>4946</v>
      </c>
      <c r="I813" s="2" t="s">
        <v>4947</v>
      </c>
      <c r="J813" s="2" t="s">
        <v>997</v>
      </c>
      <c r="K813" s="2" t="s">
        <v>1214</v>
      </c>
      <c r="L813" s="3">
        <v>49.11</v>
      </c>
      <c r="M813" s="3">
        <v>51.57</v>
      </c>
      <c r="N813" s="3">
        <v>109.99</v>
      </c>
      <c r="O813" s="2" t="s">
        <v>417</v>
      </c>
      <c r="P813" s="2" t="s">
        <v>285</v>
      </c>
      <c r="Q813" s="2" t="s">
        <v>206</v>
      </c>
      <c r="R813" s="2" t="s">
        <v>200</v>
      </c>
      <c r="S813" s="2" t="s">
        <v>4958</v>
      </c>
      <c r="T813" s="2" t="s">
        <v>200</v>
      </c>
      <c r="U813" s="2" t="s">
        <v>270</v>
      </c>
      <c r="V813" s="2" t="s">
        <v>3675</v>
      </c>
      <c r="W813" s="2" t="s">
        <v>1975</v>
      </c>
      <c r="X813" s="2" t="s">
        <v>200</v>
      </c>
      <c r="Y813" s="2" t="s">
        <v>1349</v>
      </c>
      <c r="Z813" s="4">
        <v>39</v>
      </c>
      <c r="AA813" s="4">
        <f>=ROUNDDOWN(43.3333333333333,0)</f>
      </c>
      <c r="AB813" s="5">
        <v>0.9</v>
      </c>
      <c r="AC813" s="2" t="s">
        <v>200</v>
      </c>
      <c r="AD813" s="4"/>
      <c r="AE813" s="4"/>
      <c r="AF813" s="6">
        <v>63</v>
      </c>
      <c r="AG813" s="6"/>
      <c r="AH813" s="7">
        <v>1</v>
      </c>
      <c r="AI813" s="4"/>
      <c r="AJ813" s="4">
        <f>=ROUNDDOWN({0},0)</f>
      </c>
      <c r="AK813" s="5"/>
      <c r="AL813" s="2" t="s">
        <v>200</v>
      </c>
      <c r="AM813" s="4"/>
      <c r="AN813" s="4"/>
      <c r="AO813" s="7"/>
      <c r="AP813" s="4"/>
      <c r="AQ813" s="8"/>
      <c r="AR813" s="4"/>
      <c r="AS813" s="8"/>
      <c r="AT813" s="7"/>
      <c r="AU813" s="7"/>
      <c r="AV813" s="4" t="s">
        <v>200</v>
      </c>
      <c r="AW813" s="8" t="s">
        <v>200</v>
      </c>
      <c r="AX813" s="4" t="s">
        <v>200</v>
      </c>
      <c r="AY813" s="8" t="s">
        <v>200</v>
      </c>
      <c r="AZ813" s="7" t="s">
        <v>200</v>
      </c>
      <c r="BA813" s="7" t="s">
        <v>200</v>
      </c>
      <c r="BB813" s="7"/>
      <c r="BC813" s="4" t="s">
        <v>200</v>
      </c>
      <c r="BD813" s="8" t="s">
        <v>200</v>
      </c>
      <c r="BE813" s="4" t="s">
        <v>200</v>
      </c>
      <c r="BF813" s="8" t="s">
        <v>200</v>
      </c>
      <c r="BG813" s="7" t="s">
        <v>200</v>
      </c>
      <c r="BH813" s="7" t="s">
        <v>200</v>
      </c>
      <c r="BI813" s="7"/>
      <c r="BJ813" s="4">
        <v>1</v>
      </c>
      <c r="BK813" s="8">
        <v>27.07</v>
      </c>
      <c r="BL813" s="2" t="s">
        <v>4961</v>
      </c>
      <c r="BM813" s="7"/>
      <c r="BN813" s="7"/>
      <c r="BO813" s="4"/>
      <c r="BP813" s="8"/>
      <c r="BQ813" s="4"/>
      <c r="BR813" s="8"/>
      <c r="BS813" s="7"/>
      <c r="BT813" s="7"/>
      <c r="BU813" s="2" t="s">
        <v>4962</v>
      </c>
      <c r="BV813" s="2" t="s">
        <v>200</v>
      </c>
      <c r="BW813" s="2" t="s">
        <v>200</v>
      </c>
      <c r="BX813" s="2" t="s">
        <v>289</v>
      </c>
      <c r="BY813" s="2" t="s">
        <v>247</v>
      </c>
      <c r="BZ813" s="2" t="s">
        <v>212</v>
      </c>
      <c r="CA813" s="2" t="s">
        <v>4438</v>
      </c>
      <c r="CB813" s="2" t="s">
        <v>1353</v>
      </c>
      <c r="CC813" s="2" t="s">
        <v>213</v>
      </c>
      <c r="CD813" s="2" t="s">
        <v>200</v>
      </c>
      <c r="CE813" s="4"/>
      <c r="CF813" s="4">
        <v>39</v>
      </c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</row>
    <row r="814">
      <c r="A814" s="2" t="s">
        <v>4963</v>
      </c>
      <c r="B814" s="2" t="s">
        <v>992</v>
      </c>
      <c r="C814" s="2" t="s">
        <v>231</v>
      </c>
      <c r="D814" s="2" t="s">
        <v>992</v>
      </c>
      <c r="E814" s="2" t="s">
        <v>992</v>
      </c>
      <c r="F814" s="2" t="s">
        <v>1357</v>
      </c>
      <c r="G814" s="2" t="s">
        <v>4945</v>
      </c>
      <c r="H814" s="2" t="s">
        <v>4946</v>
      </c>
      <c r="I814" s="2" t="s">
        <v>4947</v>
      </c>
      <c r="J814" s="2" t="s">
        <v>1585</v>
      </c>
      <c r="K814" s="2" t="s">
        <v>1214</v>
      </c>
      <c r="L814" s="3">
        <v>103.08</v>
      </c>
      <c r="M814" s="3">
        <v>108.23</v>
      </c>
      <c r="N814" s="3">
        <v>229.99</v>
      </c>
      <c r="O814" s="2" t="s">
        <v>417</v>
      </c>
      <c r="P814" s="2" t="s">
        <v>285</v>
      </c>
      <c r="Q814" s="2" t="s">
        <v>206</v>
      </c>
      <c r="R814" s="2" t="s">
        <v>200</v>
      </c>
      <c r="S814" s="2" t="s">
        <v>4958</v>
      </c>
      <c r="T814" s="2" t="s">
        <v>200</v>
      </c>
      <c r="U814" s="2" t="s">
        <v>270</v>
      </c>
      <c r="V814" s="2" t="s">
        <v>3675</v>
      </c>
      <c r="W814" s="2" t="s">
        <v>1975</v>
      </c>
      <c r="X814" s="2" t="s">
        <v>200</v>
      </c>
      <c r="Y814" s="2" t="s">
        <v>1349</v>
      </c>
      <c r="Z814" s="4">
        <v>11</v>
      </c>
      <c r="AA814" s="4">
        <f>=ROUNDDOWN(2.34042553191489,0)</f>
      </c>
      <c r="AB814" s="5">
        <v>4.7</v>
      </c>
      <c r="AC814" s="2" t="s">
        <v>200</v>
      </c>
      <c r="AD814" s="4"/>
      <c r="AE814" s="4"/>
      <c r="AF814" s="6">
        <v>63</v>
      </c>
      <c r="AG814" s="6"/>
      <c r="AH814" s="7">
        <v>1</v>
      </c>
      <c r="AI814" s="4"/>
      <c r="AJ814" s="4">
        <f>=ROUNDDOWN({0},0)</f>
      </c>
      <c r="AK814" s="5"/>
      <c r="AL814" s="2" t="s">
        <v>200</v>
      </c>
      <c r="AM814" s="4"/>
      <c r="AN814" s="4"/>
      <c r="AO814" s="7"/>
      <c r="AP814" s="4"/>
      <c r="AQ814" s="8"/>
      <c r="AR814" s="4"/>
      <c r="AS814" s="8"/>
      <c r="AT814" s="7"/>
      <c r="AU814" s="7"/>
      <c r="AV814" s="4" t="s">
        <v>200</v>
      </c>
      <c r="AW814" s="8" t="s">
        <v>200</v>
      </c>
      <c r="AX814" s="4" t="s">
        <v>200</v>
      </c>
      <c r="AY814" s="8" t="s">
        <v>200</v>
      </c>
      <c r="AZ814" s="7" t="s">
        <v>200</v>
      </c>
      <c r="BA814" s="7" t="s">
        <v>200</v>
      </c>
      <c r="BB814" s="7"/>
      <c r="BC814" s="4" t="s">
        <v>200</v>
      </c>
      <c r="BD814" s="8" t="s">
        <v>200</v>
      </c>
      <c r="BE814" s="4" t="s">
        <v>200</v>
      </c>
      <c r="BF814" s="8" t="s">
        <v>200</v>
      </c>
      <c r="BG814" s="7" t="s">
        <v>200</v>
      </c>
      <c r="BH814" s="7" t="s">
        <v>200</v>
      </c>
      <c r="BI814" s="7"/>
      <c r="BJ814" s="4">
        <v>2</v>
      </c>
      <c r="BK814" s="8">
        <v>227.3</v>
      </c>
      <c r="BL814" s="2" t="s">
        <v>4964</v>
      </c>
      <c r="BM814" s="7"/>
      <c r="BN814" s="7"/>
      <c r="BO814" s="4"/>
      <c r="BP814" s="8"/>
      <c r="BQ814" s="4"/>
      <c r="BR814" s="8"/>
      <c r="BS814" s="7"/>
      <c r="BT814" s="7"/>
      <c r="BU814" s="2" t="s">
        <v>4965</v>
      </c>
      <c r="BV814" s="2" t="s">
        <v>200</v>
      </c>
      <c r="BW814" s="2" t="s">
        <v>200</v>
      </c>
      <c r="BX814" s="2" t="s">
        <v>289</v>
      </c>
      <c r="BY814" s="2" t="s">
        <v>247</v>
      </c>
      <c r="BZ814" s="2" t="s">
        <v>212</v>
      </c>
      <c r="CA814" s="2" t="s">
        <v>4438</v>
      </c>
      <c r="CB814" s="2" t="s">
        <v>4966</v>
      </c>
      <c r="CC814" s="2" t="s">
        <v>213</v>
      </c>
      <c r="CD814" s="2" t="s">
        <v>200</v>
      </c>
      <c r="CE814" s="4"/>
      <c r="CF814" s="4">
        <v>11</v>
      </c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</row>
    <row r="815">
      <c r="A815" s="2" t="s">
        <v>4967</v>
      </c>
      <c r="B815" s="2" t="s">
        <v>744</v>
      </c>
      <c r="C815" s="2" t="s">
        <v>231</v>
      </c>
      <c r="D815" s="2" t="s">
        <v>1275</v>
      </c>
      <c r="E815" s="2" t="s">
        <v>1276</v>
      </c>
      <c r="F815" s="2" t="s">
        <v>1357</v>
      </c>
      <c r="G815" s="2" t="s">
        <v>4968</v>
      </c>
      <c r="H815" s="2" t="s">
        <v>4969</v>
      </c>
      <c r="I815" s="2" t="s">
        <v>4970</v>
      </c>
      <c r="J815" s="2" t="s">
        <v>711</v>
      </c>
      <c r="K815" s="2" t="s">
        <v>565</v>
      </c>
      <c r="L815" s="3">
        <v>204.25</v>
      </c>
      <c r="M815" s="3">
        <v>214.46</v>
      </c>
      <c r="N815" s="3">
        <v>429</v>
      </c>
      <c r="O815" s="2" t="s">
        <v>212</v>
      </c>
      <c r="P815" s="2" t="s">
        <v>258</v>
      </c>
      <c r="Q815" s="2" t="s">
        <v>206</v>
      </c>
      <c r="R815" s="2" t="s">
        <v>200</v>
      </c>
      <c r="S815" s="2" t="s">
        <v>4971</v>
      </c>
      <c r="T815" s="2" t="s">
        <v>200</v>
      </c>
      <c r="U815" s="2" t="s">
        <v>200</v>
      </c>
      <c r="V815" s="2" t="s">
        <v>208</v>
      </c>
      <c r="W815" s="2" t="s">
        <v>419</v>
      </c>
      <c r="X815" s="2" t="s">
        <v>200</v>
      </c>
      <c r="Y815" s="2" t="s">
        <v>261</v>
      </c>
      <c r="Z815" s="4">
        <v>94</v>
      </c>
      <c r="AA815" s="4">
        <f>=ROUNDDOWN(47,0)</f>
      </c>
      <c r="AB815" s="5">
        <v>2</v>
      </c>
      <c r="AC815" s="2" t="s">
        <v>200</v>
      </c>
      <c r="AD815" s="4"/>
      <c r="AE815" s="4"/>
      <c r="AF815" s="6">
        <v>74</v>
      </c>
      <c r="AG815" s="6"/>
      <c r="AH815" s="7">
        <v>1</v>
      </c>
      <c r="AI815" s="4"/>
      <c r="AJ815" s="4">
        <f>=ROUNDDOWN({0},0)</f>
      </c>
      <c r="AK815" s="5"/>
      <c r="AL815" s="2" t="s">
        <v>200</v>
      </c>
      <c r="AM815" s="4"/>
      <c r="AN815" s="4"/>
      <c r="AO815" s="7"/>
      <c r="AP815" s="4"/>
      <c r="AQ815" s="8"/>
      <c r="AR815" s="4"/>
      <c r="AS815" s="8"/>
      <c r="AT815" s="7"/>
      <c r="AU815" s="7"/>
      <c r="AV815" s="4"/>
      <c r="AW815" s="8"/>
      <c r="AX815" s="4"/>
      <c r="AY815" s="8"/>
      <c r="AZ815" s="7"/>
      <c r="BA815" s="7"/>
      <c r="BB815" s="7"/>
      <c r="BC815" s="4" t="s">
        <v>200</v>
      </c>
      <c r="BD815" s="8" t="s">
        <v>200</v>
      </c>
      <c r="BE815" s="4" t="s">
        <v>200</v>
      </c>
      <c r="BF815" s="8" t="s">
        <v>200</v>
      </c>
      <c r="BG815" s="7" t="s">
        <v>200</v>
      </c>
      <c r="BH815" s="7" t="s">
        <v>200</v>
      </c>
      <c r="BI815" s="7"/>
      <c r="BJ815" s="4">
        <v>11</v>
      </c>
      <c r="BK815" s="8">
        <v>2327.33</v>
      </c>
      <c r="BL815" s="2" t="s">
        <v>4972</v>
      </c>
      <c r="BM815" s="7"/>
      <c r="BN815" s="7"/>
      <c r="BO815" s="4"/>
      <c r="BP815" s="8"/>
      <c r="BQ815" s="4"/>
      <c r="BR815" s="8"/>
      <c r="BS815" s="7"/>
      <c r="BT815" s="7"/>
      <c r="BU815" s="2" t="s">
        <v>4973</v>
      </c>
      <c r="BV815" s="2" t="s">
        <v>200</v>
      </c>
      <c r="BW815" s="2" t="s">
        <v>200</v>
      </c>
      <c r="BX815" s="2" t="s">
        <v>264</v>
      </c>
      <c r="BY815" s="2" t="s">
        <v>247</v>
      </c>
      <c r="BZ815" s="2" t="s">
        <v>212</v>
      </c>
      <c r="CA815" s="2" t="s">
        <v>265</v>
      </c>
      <c r="CB815" s="2" t="s">
        <v>1072</v>
      </c>
      <c r="CC815" s="2" t="s">
        <v>213</v>
      </c>
      <c r="CD815" s="2" t="s">
        <v>200</v>
      </c>
      <c r="CE815" s="4"/>
      <c r="CF815" s="4">
        <v>94</v>
      </c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</row>
    <row r="816">
      <c r="A816" s="2" t="s">
        <v>4974</v>
      </c>
      <c r="B816" s="2" t="s">
        <v>903</v>
      </c>
      <c r="C816" s="2" t="s">
        <v>231</v>
      </c>
      <c r="D816" s="2" t="s">
        <v>1818</v>
      </c>
      <c r="E816" s="2" t="s">
        <v>2000</v>
      </c>
      <c r="F816" s="2" t="s">
        <v>4975</v>
      </c>
      <c r="G816" s="2" t="s">
        <v>4976</v>
      </c>
      <c r="H816" s="2" t="s">
        <v>4977</v>
      </c>
      <c r="I816" s="2" t="s">
        <v>4978</v>
      </c>
      <c r="J816" s="2" t="s">
        <v>612</v>
      </c>
      <c r="K816" s="2" t="s">
        <v>221</v>
      </c>
      <c r="L816" s="3">
        <v>36.57</v>
      </c>
      <c r="M816" s="3">
        <v>38.4</v>
      </c>
      <c r="N816" s="3">
        <v>79.99</v>
      </c>
      <c r="O816" s="2" t="s">
        <v>212</v>
      </c>
      <c r="P816" s="2" t="s">
        <v>285</v>
      </c>
      <c r="Q816" s="2" t="s">
        <v>206</v>
      </c>
      <c r="R816" s="2" t="s">
        <v>200</v>
      </c>
      <c r="S816" s="2" t="s">
        <v>4979</v>
      </c>
      <c r="T816" s="2" t="s">
        <v>1176</v>
      </c>
      <c r="U816" s="2" t="s">
        <v>454</v>
      </c>
      <c r="V816" s="2" t="s">
        <v>885</v>
      </c>
      <c r="W816" s="2" t="s">
        <v>379</v>
      </c>
      <c r="X816" s="2" t="s">
        <v>200</v>
      </c>
      <c r="Y816" s="2" t="s">
        <v>1395</v>
      </c>
      <c r="Z816" s="4">
        <v>310</v>
      </c>
      <c r="AA816" s="4">
        <f>=ROUNDDOWN(155,0)</f>
      </c>
      <c r="AB816" s="5">
        <v>2</v>
      </c>
      <c r="AC816" s="2" t="s">
        <v>200</v>
      </c>
      <c r="AD816" s="4"/>
      <c r="AE816" s="4"/>
      <c r="AF816" s="6">
        <v>64</v>
      </c>
      <c r="AG816" s="6"/>
      <c r="AH816" s="7">
        <v>1</v>
      </c>
      <c r="AI816" s="4"/>
      <c r="AJ816" s="4">
        <f>=ROUNDDOWN({0},0)</f>
      </c>
      <c r="AK816" s="5"/>
      <c r="AL816" s="2" t="s">
        <v>200</v>
      </c>
      <c r="AM816" s="4"/>
      <c r="AN816" s="4"/>
      <c r="AO816" s="7"/>
      <c r="AP816" s="4"/>
      <c r="AQ816" s="8"/>
      <c r="AR816" s="4"/>
      <c r="AS816" s="8"/>
      <c r="AT816" s="7"/>
      <c r="AU816" s="7"/>
      <c r="AV816" s="4"/>
      <c r="AW816" s="8"/>
      <c r="AX816" s="4"/>
      <c r="AY816" s="8"/>
      <c r="AZ816" s="7"/>
      <c r="BA816" s="7"/>
      <c r="BB816" s="7"/>
      <c r="BC816" s="4" t="s">
        <v>200</v>
      </c>
      <c r="BD816" s="8" t="s">
        <v>200</v>
      </c>
      <c r="BE816" s="4" t="s">
        <v>200</v>
      </c>
      <c r="BF816" s="8" t="s">
        <v>200</v>
      </c>
      <c r="BG816" s="7" t="s">
        <v>200</v>
      </c>
      <c r="BH816" s="7" t="s">
        <v>200</v>
      </c>
      <c r="BI816" s="7"/>
      <c r="BJ816" s="4">
        <v>7</v>
      </c>
      <c r="BK816" s="8">
        <v>289.14</v>
      </c>
      <c r="BL816" s="2" t="s">
        <v>2207</v>
      </c>
      <c r="BM816" s="7"/>
      <c r="BN816" s="7"/>
      <c r="BO816" s="4"/>
      <c r="BP816" s="8"/>
      <c r="BQ816" s="4"/>
      <c r="BR816" s="8"/>
      <c r="BS816" s="7"/>
      <c r="BT816" s="7"/>
      <c r="BU816" s="2" t="s">
        <v>4980</v>
      </c>
      <c r="BV816" s="2" t="s">
        <v>200</v>
      </c>
      <c r="BW816" s="2" t="s">
        <v>200</v>
      </c>
      <c r="BX816" s="2" t="s">
        <v>289</v>
      </c>
      <c r="BY816" s="2" t="s">
        <v>247</v>
      </c>
      <c r="BZ816" s="2" t="s">
        <v>212</v>
      </c>
      <c r="CA816" s="2" t="s">
        <v>4391</v>
      </c>
      <c r="CB816" s="2" t="s">
        <v>451</v>
      </c>
      <c r="CC816" s="2" t="s">
        <v>213</v>
      </c>
      <c r="CD816" s="2" t="s">
        <v>200</v>
      </c>
      <c r="CE816" s="4">
        <v>310</v>
      </c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</row>
    <row r="817">
      <c r="A817" s="2" t="s">
        <v>4981</v>
      </c>
      <c r="B817" s="2" t="s">
        <v>903</v>
      </c>
      <c r="C817" s="2" t="s">
        <v>231</v>
      </c>
      <c r="D817" s="2" t="s">
        <v>1818</v>
      </c>
      <c r="E817" s="2" t="s">
        <v>2000</v>
      </c>
      <c r="F817" s="2" t="s">
        <v>4975</v>
      </c>
      <c r="G817" s="2" t="s">
        <v>4976</v>
      </c>
      <c r="H817" s="2" t="s">
        <v>4977</v>
      </c>
      <c r="I817" s="2" t="s">
        <v>4978</v>
      </c>
      <c r="J817" s="2" t="s">
        <v>612</v>
      </c>
      <c r="K817" s="2" t="s">
        <v>4982</v>
      </c>
      <c r="L817" s="3">
        <v>36.57</v>
      </c>
      <c r="M817" s="3">
        <v>38.4</v>
      </c>
      <c r="N817" s="3">
        <v>79.99</v>
      </c>
      <c r="O817" s="2" t="s">
        <v>212</v>
      </c>
      <c r="P817" s="2" t="s">
        <v>285</v>
      </c>
      <c r="Q817" s="2" t="s">
        <v>206</v>
      </c>
      <c r="R817" s="2" t="s">
        <v>200</v>
      </c>
      <c r="S817" s="2" t="s">
        <v>4983</v>
      </c>
      <c r="T817" s="2" t="s">
        <v>1176</v>
      </c>
      <c r="U817" s="2" t="s">
        <v>454</v>
      </c>
      <c r="V817" s="2" t="s">
        <v>885</v>
      </c>
      <c r="W817" s="2" t="s">
        <v>379</v>
      </c>
      <c r="X817" s="2" t="s">
        <v>200</v>
      </c>
      <c r="Y817" s="2" t="s">
        <v>4984</v>
      </c>
      <c r="Z817" s="4">
        <v>285</v>
      </c>
      <c r="AA817" s="4">
        <f>=ROUNDDOWN(47.5,0)</f>
      </c>
      <c r="AB817" s="5">
        <v>6</v>
      </c>
      <c r="AC817" s="2" t="s">
        <v>200</v>
      </c>
      <c r="AD817" s="4"/>
      <c r="AE817" s="4"/>
      <c r="AF817" s="6">
        <v>64</v>
      </c>
      <c r="AG817" s="6"/>
      <c r="AH817" s="7">
        <v>1</v>
      </c>
      <c r="AI817" s="4"/>
      <c r="AJ817" s="4">
        <f>=ROUNDDOWN({0},0)</f>
      </c>
      <c r="AK817" s="5"/>
      <c r="AL817" s="2" t="s">
        <v>200</v>
      </c>
      <c r="AM817" s="4"/>
      <c r="AN817" s="4"/>
      <c r="AO817" s="7"/>
      <c r="AP817" s="4"/>
      <c r="AQ817" s="8"/>
      <c r="AR817" s="4"/>
      <c r="AS817" s="8"/>
      <c r="AT817" s="7"/>
      <c r="AU817" s="7"/>
      <c r="AV817" s="4" t="s">
        <v>200</v>
      </c>
      <c r="AW817" s="8" t="s">
        <v>200</v>
      </c>
      <c r="AX817" s="4" t="s">
        <v>200</v>
      </c>
      <c r="AY817" s="8" t="s">
        <v>200</v>
      </c>
      <c r="AZ817" s="7" t="s">
        <v>200</v>
      </c>
      <c r="BA817" s="7" t="s">
        <v>200</v>
      </c>
      <c r="BB817" s="7"/>
      <c r="BC817" s="4" t="s">
        <v>200</v>
      </c>
      <c r="BD817" s="8" t="s">
        <v>200</v>
      </c>
      <c r="BE817" s="4" t="s">
        <v>200</v>
      </c>
      <c r="BF817" s="8" t="s">
        <v>200</v>
      </c>
      <c r="BG817" s="7" t="s">
        <v>200</v>
      </c>
      <c r="BH817" s="7" t="s">
        <v>200</v>
      </c>
      <c r="BI817" s="7"/>
      <c r="BJ817" s="4">
        <v>2</v>
      </c>
      <c r="BK817" s="8">
        <v>81.79</v>
      </c>
      <c r="BL817" s="2" t="s">
        <v>4985</v>
      </c>
      <c r="BM817" s="7"/>
      <c r="BN817" s="7"/>
      <c r="BO817" s="4"/>
      <c r="BP817" s="8"/>
      <c r="BQ817" s="4"/>
      <c r="BR817" s="8"/>
      <c r="BS817" s="7"/>
      <c r="BT817" s="7"/>
      <c r="BU817" s="2" t="s">
        <v>4986</v>
      </c>
      <c r="BV817" s="2" t="s">
        <v>200</v>
      </c>
      <c r="BW817" s="2" t="s">
        <v>200</v>
      </c>
      <c r="BX817" s="2" t="s">
        <v>289</v>
      </c>
      <c r="BY817" s="2" t="s">
        <v>247</v>
      </c>
      <c r="BZ817" s="2" t="s">
        <v>212</v>
      </c>
      <c r="CA817" s="2" t="s">
        <v>4391</v>
      </c>
      <c r="CB817" s="2" t="s">
        <v>4987</v>
      </c>
      <c r="CC817" s="2" t="s">
        <v>213</v>
      </c>
      <c r="CD817" s="2" t="s">
        <v>200</v>
      </c>
      <c r="CE817" s="4">
        <v>285</v>
      </c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</row>
    <row r="818">
      <c r="A818" s="2" t="s">
        <v>4988</v>
      </c>
      <c r="B818" s="2" t="s">
        <v>903</v>
      </c>
      <c r="C818" s="2" t="s">
        <v>231</v>
      </c>
      <c r="D818" s="2" t="s">
        <v>1818</v>
      </c>
      <c r="E818" s="2" t="s">
        <v>2000</v>
      </c>
      <c r="F818" s="2" t="s">
        <v>4975</v>
      </c>
      <c r="G818" s="2" t="s">
        <v>4976</v>
      </c>
      <c r="H818" s="2" t="s">
        <v>4977</v>
      </c>
      <c r="I818" s="2" t="s">
        <v>4978</v>
      </c>
      <c r="J818" s="2" t="s">
        <v>924</v>
      </c>
      <c r="K818" s="2" t="s">
        <v>4982</v>
      </c>
      <c r="L818" s="3">
        <v>41.14</v>
      </c>
      <c r="M818" s="3">
        <v>43.2</v>
      </c>
      <c r="N818" s="3">
        <v>89.99</v>
      </c>
      <c r="O818" s="2" t="s">
        <v>212</v>
      </c>
      <c r="P818" s="2" t="s">
        <v>285</v>
      </c>
      <c r="Q818" s="2" t="s">
        <v>206</v>
      </c>
      <c r="R818" s="2" t="s">
        <v>200</v>
      </c>
      <c r="S818" s="2" t="s">
        <v>4983</v>
      </c>
      <c r="T818" s="2" t="s">
        <v>1176</v>
      </c>
      <c r="U818" s="2" t="s">
        <v>454</v>
      </c>
      <c r="V818" s="2" t="s">
        <v>885</v>
      </c>
      <c r="W818" s="2" t="s">
        <v>379</v>
      </c>
      <c r="X818" s="2" t="s">
        <v>200</v>
      </c>
      <c r="Y818" s="2" t="s">
        <v>4984</v>
      </c>
      <c r="Z818" s="4">
        <v>368</v>
      </c>
      <c r="AA818" s="4">
        <f>=ROUNDDOWN(92,0)</f>
      </c>
      <c r="AB818" s="5">
        <v>4</v>
      </c>
      <c r="AC818" s="2" t="s">
        <v>200</v>
      </c>
      <c r="AD818" s="4"/>
      <c r="AE818" s="4"/>
      <c r="AF818" s="6">
        <v>64</v>
      </c>
      <c r="AG818" s="6"/>
      <c r="AH818" s="7">
        <v>1</v>
      </c>
      <c r="AI818" s="4"/>
      <c r="AJ818" s="4">
        <f>=ROUNDDOWN({0},0)</f>
      </c>
      <c r="AK818" s="5"/>
      <c r="AL818" s="2" t="s">
        <v>200</v>
      </c>
      <c r="AM818" s="4"/>
      <c r="AN818" s="4"/>
      <c r="AO818" s="7"/>
      <c r="AP818" s="4"/>
      <c r="AQ818" s="8"/>
      <c r="AR818" s="4"/>
      <c r="AS818" s="8"/>
      <c r="AT818" s="7"/>
      <c r="AU818" s="7"/>
      <c r="AV818" s="4" t="s">
        <v>200</v>
      </c>
      <c r="AW818" s="8" t="s">
        <v>200</v>
      </c>
      <c r="AX818" s="4" t="s">
        <v>200</v>
      </c>
      <c r="AY818" s="8" t="s">
        <v>200</v>
      </c>
      <c r="AZ818" s="7" t="s">
        <v>200</v>
      </c>
      <c r="BA818" s="7" t="s">
        <v>200</v>
      </c>
      <c r="BB818" s="7"/>
      <c r="BC818" s="4" t="s">
        <v>200</v>
      </c>
      <c r="BD818" s="8" t="s">
        <v>200</v>
      </c>
      <c r="BE818" s="4" t="s">
        <v>200</v>
      </c>
      <c r="BF818" s="8" t="s">
        <v>200</v>
      </c>
      <c r="BG818" s="7" t="s">
        <v>200</v>
      </c>
      <c r="BH818" s="7" t="s">
        <v>200</v>
      </c>
      <c r="BI818" s="7"/>
      <c r="BJ818" s="4">
        <v>3</v>
      </c>
      <c r="BK818" s="8">
        <v>129.59</v>
      </c>
      <c r="BL818" s="2" t="s">
        <v>2883</v>
      </c>
      <c r="BM818" s="7"/>
      <c r="BN818" s="7"/>
      <c r="BO818" s="4"/>
      <c r="BP818" s="8"/>
      <c r="BQ818" s="4"/>
      <c r="BR818" s="8"/>
      <c r="BS818" s="7"/>
      <c r="BT818" s="7"/>
      <c r="BU818" s="2" t="s">
        <v>4989</v>
      </c>
      <c r="BV818" s="2" t="s">
        <v>200</v>
      </c>
      <c r="BW818" s="2" t="s">
        <v>200</v>
      </c>
      <c r="BX818" s="2" t="s">
        <v>289</v>
      </c>
      <c r="BY818" s="2" t="s">
        <v>247</v>
      </c>
      <c r="BZ818" s="2" t="s">
        <v>212</v>
      </c>
      <c r="CA818" s="2" t="s">
        <v>4391</v>
      </c>
      <c r="CB818" s="2" t="s">
        <v>200</v>
      </c>
      <c r="CC818" s="2" t="s">
        <v>213</v>
      </c>
      <c r="CD818" s="2" t="s">
        <v>200</v>
      </c>
      <c r="CE818" s="4">
        <v>368</v>
      </c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</row>
    <row r="819">
      <c r="A819" s="2" t="s">
        <v>4990</v>
      </c>
      <c r="B819" s="2" t="s">
        <v>827</v>
      </c>
      <c r="C819" s="2" t="s">
        <v>231</v>
      </c>
      <c r="D819" s="2" t="s">
        <v>828</v>
      </c>
      <c r="E819" s="2" t="s">
        <v>829</v>
      </c>
      <c r="F819" s="2" t="s">
        <v>4991</v>
      </c>
      <c r="G819" s="2" t="s">
        <v>4992</v>
      </c>
      <c r="H819" s="2" t="s">
        <v>2870</v>
      </c>
      <c r="I819" s="2" t="s">
        <v>4993</v>
      </c>
      <c r="J819" s="2" t="s">
        <v>883</v>
      </c>
      <c r="K819" s="2" t="s">
        <v>660</v>
      </c>
      <c r="L819" s="3">
        <v>17.6</v>
      </c>
      <c r="M819" s="3">
        <v>18.48</v>
      </c>
      <c r="N819" s="3">
        <v>39.99</v>
      </c>
      <c r="O819" s="2" t="s">
        <v>212</v>
      </c>
      <c r="P819" s="2" t="s">
        <v>285</v>
      </c>
      <c r="Q819" s="2" t="s">
        <v>206</v>
      </c>
      <c r="R819" s="2" t="s">
        <v>200</v>
      </c>
      <c r="S819" s="2" t="s">
        <v>4994</v>
      </c>
      <c r="T819" s="2" t="s">
        <v>200</v>
      </c>
      <c r="U819" s="2" t="s">
        <v>200</v>
      </c>
      <c r="V819" s="2" t="s">
        <v>208</v>
      </c>
      <c r="W819" s="2" t="s">
        <v>379</v>
      </c>
      <c r="X819" s="2" t="s">
        <v>200</v>
      </c>
      <c r="Y819" s="2" t="s">
        <v>4995</v>
      </c>
      <c r="Z819" s="4"/>
      <c r="AA819" s="4">
        <f>=ROUNDDOWN({0},0)</f>
      </c>
      <c r="AB819" s="5">
        <v>5.3</v>
      </c>
      <c r="AC819" s="2" t="s">
        <v>200</v>
      </c>
      <c r="AD819" s="4"/>
      <c r="AE819" s="4"/>
      <c r="AF819" s="6">
        <v>65</v>
      </c>
      <c r="AG819" s="6"/>
      <c r="AH819" s="7">
        <v>0.8667</v>
      </c>
      <c r="AI819" s="4"/>
      <c r="AJ819" s="4">
        <f>=ROUNDDOWN({0},0)</f>
      </c>
      <c r="AK819" s="5"/>
      <c r="AL819" s="2" t="s">
        <v>200</v>
      </c>
      <c r="AM819" s="4"/>
      <c r="AN819" s="4"/>
      <c r="AO819" s="7"/>
      <c r="AP819" s="4"/>
      <c r="AQ819" s="8"/>
      <c r="AR819" s="4"/>
      <c r="AS819" s="8"/>
      <c r="AT819" s="7"/>
      <c r="AU819" s="7"/>
      <c r="AV819" s="4"/>
      <c r="AW819" s="8"/>
      <c r="AX819" s="4"/>
      <c r="AY819" s="8"/>
      <c r="AZ819" s="7"/>
      <c r="BA819" s="7"/>
      <c r="BB819" s="7"/>
      <c r="BC819" s="4" t="s">
        <v>200</v>
      </c>
      <c r="BD819" s="8" t="s">
        <v>200</v>
      </c>
      <c r="BE819" s="4" t="s">
        <v>200</v>
      </c>
      <c r="BF819" s="8" t="s">
        <v>200</v>
      </c>
      <c r="BG819" s="7" t="s">
        <v>200</v>
      </c>
      <c r="BH819" s="7" t="s">
        <v>200</v>
      </c>
      <c r="BI819" s="7"/>
      <c r="BJ819" s="4">
        <v>16</v>
      </c>
      <c r="BK819" s="8">
        <v>299.3</v>
      </c>
      <c r="BL819" s="2" t="s">
        <v>4996</v>
      </c>
      <c r="BM819" s="7"/>
      <c r="BN819" s="7"/>
      <c r="BO819" s="4"/>
      <c r="BP819" s="8"/>
      <c r="BQ819" s="4"/>
      <c r="BR819" s="8"/>
      <c r="BS819" s="7"/>
      <c r="BT819" s="7"/>
      <c r="BU819" s="2" t="s">
        <v>4997</v>
      </c>
      <c r="BV819" s="2" t="s">
        <v>200</v>
      </c>
      <c r="BW819" s="2" t="s">
        <v>200</v>
      </c>
      <c r="BX819" s="2" t="s">
        <v>289</v>
      </c>
      <c r="BY819" s="2" t="s">
        <v>247</v>
      </c>
      <c r="BZ819" s="2" t="s">
        <v>212</v>
      </c>
      <c r="CA819" s="2" t="s">
        <v>4998</v>
      </c>
      <c r="CB819" s="2" t="s">
        <v>4999</v>
      </c>
      <c r="CC819" s="2" t="s">
        <v>213</v>
      </c>
      <c r="CD819" s="2" t="s">
        <v>200</v>
      </c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</row>
    <row r="820">
      <c r="A820" s="2" t="s">
        <v>5000</v>
      </c>
      <c r="B820" s="2" t="s">
        <v>827</v>
      </c>
      <c r="C820" s="2" t="s">
        <v>231</v>
      </c>
      <c r="D820" s="2" t="s">
        <v>828</v>
      </c>
      <c r="E820" s="2" t="s">
        <v>829</v>
      </c>
      <c r="F820" s="2" t="s">
        <v>4991</v>
      </c>
      <c r="G820" s="2" t="s">
        <v>4992</v>
      </c>
      <c r="H820" s="2" t="s">
        <v>2870</v>
      </c>
      <c r="I820" s="2" t="s">
        <v>4993</v>
      </c>
      <c r="J820" s="2" t="s">
        <v>883</v>
      </c>
      <c r="K820" s="2" t="s">
        <v>857</v>
      </c>
      <c r="L820" s="3">
        <v>17.6</v>
      </c>
      <c r="M820" s="3">
        <v>18.48</v>
      </c>
      <c r="N820" s="3">
        <v>39.99</v>
      </c>
      <c r="O820" s="2" t="s">
        <v>212</v>
      </c>
      <c r="P820" s="2" t="s">
        <v>1247</v>
      </c>
      <c r="Q820" s="2" t="s">
        <v>206</v>
      </c>
      <c r="R820" s="2" t="s">
        <v>200</v>
      </c>
      <c r="S820" s="2" t="s">
        <v>5001</v>
      </c>
      <c r="T820" s="2" t="s">
        <v>200</v>
      </c>
      <c r="U820" s="2" t="s">
        <v>200</v>
      </c>
      <c r="V820" s="2" t="s">
        <v>208</v>
      </c>
      <c r="W820" s="2" t="s">
        <v>379</v>
      </c>
      <c r="X820" s="2" t="s">
        <v>1588</v>
      </c>
      <c r="Y820" s="2" t="s">
        <v>4995</v>
      </c>
      <c r="Z820" s="4">
        <v>273</v>
      </c>
      <c r="AA820" s="4">
        <f>=ROUNDDOWN(19.5,0)</f>
      </c>
      <c r="AB820" s="5">
        <v>14</v>
      </c>
      <c r="AC820" s="2" t="s">
        <v>119</v>
      </c>
      <c r="AD820" s="4">
        <v>120</v>
      </c>
      <c r="AE820" s="4">
        <v>212</v>
      </c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200</v>
      </c>
      <c r="AM820" s="4"/>
      <c r="AN820" s="4"/>
      <c r="AO820" s="7"/>
      <c r="AP820" s="4"/>
      <c r="AQ820" s="8"/>
      <c r="AR820" s="4"/>
      <c r="AS820" s="8"/>
      <c r="AT820" s="7"/>
      <c r="AU820" s="7"/>
      <c r="AV820" s="4"/>
      <c r="AW820" s="8"/>
      <c r="AX820" s="4"/>
      <c r="AY820" s="8"/>
      <c r="AZ820" s="7"/>
      <c r="BA820" s="7"/>
      <c r="BB820" s="7"/>
      <c r="BC820" s="4" t="s">
        <v>200</v>
      </c>
      <c r="BD820" s="8" t="s">
        <v>200</v>
      </c>
      <c r="BE820" s="4" t="s">
        <v>200</v>
      </c>
      <c r="BF820" s="8" t="s">
        <v>200</v>
      </c>
      <c r="BG820" s="7" t="s">
        <v>200</v>
      </c>
      <c r="BH820" s="7" t="s">
        <v>200</v>
      </c>
      <c r="BI820" s="7"/>
      <c r="BJ820" s="4">
        <v>40</v>
      </c>
      <c r="BK820" s="8">
        <v>1006.48</v>
      </c>
      <c r="BL820" s="2" t="s">
        <v>5002</v>
      </c>
      <c r="BM820" s="7"/>
      <c r="BN820" s="7"/>
      <c r="BO820" s="4"/>
      <c r="BP820" s="8"/>
      <c r="BQ820" s="4"/>
      <c r="BR820" s="8"/>
      <c r="BS820" s="7"/>
      <c r="BT820" s="7"/>
      <c r="BU820" s="2" t="s">
        <v>5003</v>
      </c>
      <c r="BV820" s="2" t="s">
        <v>200</v>
      </c>
      <c r="BW820" s="2" t="s">
        <v>200</v>
      </c>
      <c r="BX820" s="2" t="s">
        <v>264</v>
      </c>
      <c r="BY820" s="2" t="s">
        <v>247</v>
      </c>
      <c r="BZ820" s="2" t="s">
        <v>212</v>
      </c>
      <c r="CA820" s="2" t="s">
        <v>4998</v>
      </c>
      <c r="CB820" s="2" t="s">
        <v>5004</v>
      </c>
      <c r="CC820" s="2" t="s">
        <v>213</v>
      </c>
      <c r="CD820" s="2" t="s">
        <v>200</v>
      </c>
      <c r="CE820" s="4">
        <v>273</v>
      </c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>
        <v>120</v>
      </c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>
        <v>92</v>
      </c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</row>
    <row r="821">
      <c r="A821" s="2" t="s">
        <v>5005</v>
      </c>
      <c r="B821" s="2" t="s">
        <v>827</v>
      </c>
      <c r="C821" s="2" t="s">
        <v>231</v>
      </c>
      <c r="D821" s="2" t="s">
        <v>828</v>
      </c>
      <c r="E821" s="2" t="s">
        <v>829</v>
      </c>
      <c r="F821" s="2" t="s">
        <v>4991</v>
      </c>
      <c r="G821" s="2" t="s">
        <v>4992</v>
      </c>
      <c r="H821" s="2" t="s">
        <v>2870</v>
      </c>
      <c r="I821" s="2" t="s">
        <v>4993</v>
      </c>
      <c r="J821" s="2" t="s">
        <v>883</v>
      </c>
      <c r="K821" s="2" t="s">
        <v>221</v>
      </c>
      <c r="L821" s="3">
        <v>17.6</v>
      </c>
      <c r="M821" s="3">
        <v>18.48</v>
      </c>
      <c r="N821" s="3">
        <v>39.99</v>
      </c>
      <c r="O821" s="2" t="s">
        <v>212</v>
      </c>
      <c r="P821" s="2" t="s">
        <v>258</v>
      </c>
      <c r="Q821" s="2" t="s">
        <v>206</v>
      </c>
      <c r="R821" s="2" t="s">
        <v>200</v>
      </c>
      <c r="S821" s="2" t="s">
        <v>5006</v>
      </c>
      <c r="T821" s="2" t="s">
        <v>200</v>
      </c>
      <c r="U821" s="2" t="s">
        <v>200</v>
      </c>
      <c r="V821" s="2" t="s">
        <v>208</v>
      </c>
      <c r="W821" s="2" t="s">
        <v>379</v>
      </c>
      <c r="X821" s="2" t="s">
        <v>1588</v>
      </c>
      <c r="Y821" s="2" t="s">
        <v>4995</v>
      </c>
      <c r="Z821" s="4">
        <v>120</v>
      </c>
      <c r="AA821" s="4">
        <f>=ROUNDDOWN(20,0)</f>
      </c>
      <c r="AB821" s="5">
        <v>6</v>
      </c>
      <c r="AC821" s="2" t="s">
        <v>119</v>
      </c>
      <c r="AD821" s="4">
        <v>60</v>
      </c>
      <c r="AE821" s="4">
        <v>60</v>
      </c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200</v>
      </c>
      <c r="AM821" s="4"/>
      <c r="AN821" s="4"/>
      <c r="AO821" s="7"/>
      <c r="AP821" s="4"/>
      <c r="AQ821" s="8"/>
      <c r="AR821" s="4"/>
      <c r="AS821" s="8"/>
      <c r="AT821" s="7"/>
      <c r="AU821" s="7"/>
      <c r="AV821" s="4" t="s">
        <v>200</v>
      </c>
      <c r="AW821" s="8" t="s">
        <v>200</v>
      </c>
      <c r="AX821" s="4" t="s">
        <v>200</v>
      </c>
      <c r="AY821" s="8" t="s">
        <v>200</v>
      </c>
      <c r="AZ821" s="7" t="s">
        <v>200</v>
      </c>
      <c r="BA821" s="7" t="s">
        <v>200</v>
      </c>
      <c r="BB821" s="7"/>
      <c r="BC821" s="4" t="s">
        <v>200</v>
      </c>
      <c r="BD821" s="8" t="s">
        <v>200</v>
      </c>
      <c r="BE821" s="4" t="s">
        <v>200</v>
      </c>
      <c r="BF821" s="8" t="s">
        <v>200</v>
      </c>
      <c r="BG821" s="7" t="s">
        <v>200</v>
      </c>
      <c r="BH821" s="7" t="s">
        <v>200</v>
      </c>
      <c r="BI821" s="7"/>
      <c r="BJ821" s="4">
        <v>25</v>
      </c>
      <c r="BK821" s="8">
        <v>655.13</v>
      </c>
      <c r="BL821" s="2" t="s">
        <v>2046</v>
      </c>
      <c r="BM821" s="7"/>
      <c r="BN821" s="7"/>
      <c r="BO821" s="4"/>
      <c r="BP821" s="8"/>
      <c r="BQ821" s="4"/>
      <c r="BR821" s="8"/>
      <c r="BS821" s="7"/>
      <c r="BT821" s="7"/>
      <c r="BU821" s="2" t="s">
        <v>5007</v>
      </c>
      <c r="BV821" s="2" t="s">
        <v>200</v>
      </c>
      <c r="BW821" s="2" t="s">
        <v>200</v>
      </c>
      <c r="BX821" s="2" t="s">
        <v>264</v>
      </c>
      <c r="BY821" s="2" t="s">
        <v>247</v>
      </c>
      <c r="BZ821" s="2" t="s">
        <v>212</v>
      </c>
      <c r="CA821" s="2" t="s">
        <v>4998</v>
      </c>
      <c r="CB821" s="2" t="s">
        <v>5008</v>
      </c>
      <c r="CC821" s="2" t="s">
        <v>213</v>
      </c>
      <c r="CD821" s="2" t="s">
        <v>200</v>
      </c>
      <c r="CE821" s="4">
        <v>120</v>
      </c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>
        <v>60</v>
      </c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</row>
    <row r="822">
      <c r="A822" s="2" t="s">
        <v>5009</v>
      </c>
      <c r="B822" s="2" t="s">
        <v>827</v>
      </c>
      <c r="C822" s="2" t="s">
        <v>231</v>
      </c>
      <c r="D822" s="2" t="s">
        <v>828</v>
      </c>
      <c r="E822" s="2" t="s">
        <v>829</v>
      </c>
      <c r="F822" s="2" t="s">
        <v>4991</v>
      </c>
      <c r="G822" s="2" t="s">
        <v>4992</v>
      </c>
      <c r="H822" s="2" t="s">
        <v>2870</v>
      </c>
      <c r="I822" s="2" t="s">
        <v>4993</v>
      </c>
      <c r="J822" s="2" t="s">
        <v>3045</v>
      </c>
      <c r="K822" s="2" t="s">
        <v>221</v>
      </c>
      <c r="L822" s="3">
        <v>20.25</v>
      </c>
      <c r="M822" s="3">
        <v>21.26</v>
      </c>
      <c r="N822" s="3">
        <v>44.99</v>
      </c>
      <c r="O822" s="2" t="s">
        <v>212</v>
      </c>
      <c r="P822" s="2" t="s">
        <v>258</v>
      </c>
      <c r="Q822" s="2" t="s">
        <v>206</v>
      </c>
      <c r="R822" s="2" t="s">
        <v>200</v>
      </c>
      <c r="S822" s="2" t="s">
        <v>5006</v>
      </c>
      <c r="T822" s="2" t="s">
        <v>200</v>
      </c>
      <c r="U822" s="2" t="s">
        <v>200</v>
      </c>
      <c r="V822" s="2" t="s">
        <v>208</v>
      </c>
      <c r="W822" s="2" t="s">
        <v>379</v>
      </c>
      <c r="X822" s="2" t="s">
        <v>1588</v>
      </c>
      <c r="Y822" s="2" t="s">
        <v>4995</v>
      </c>
      <c r="Z822" s="4">
        <v>44</v>
      </c>
      <c r="AA822" s="4">
        <f>=ROUNDDOWN(11,0)</f>
      </c>
      <c r="AB822" s="5">
        <v>4</v>
      </c>
      <c r="AC822" s="2" t="s">
        <v>119</v>
      </c>
      <c r="AD822" s="4">
        <v>60</v>
      </c>
      <c r="AE822" s="4">
        <v>60</v>
      </c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200</v>
      </c>
      <c r="AM822" s="4"/>
      <c r="AN822" s="4"/>
      <c r="AO822" s="7"/>
      <c r="AP822" s="4"/>
      <c r="AQ822" s="8"/>
      <c r="AR822" s="4"/>
      <c r="AS822" s="8"/>
      <c r="AT822" s="7"/>
      <c r="AU822" s="7"/>
      <c r="AV822" s="4" t="s">
        <v>200</v>
      </c>
      <c r="AW822" s="8" t="s">
        <v>200</v>
      </c>
      <c r="AX822" s="4" t="s">
        <v>200</v>
      </c>
      <c r="AY822" s="8" t="s">
        <v>200</v>
      </c>
      <c r="AZ822" s="7" t="s">
        <v>200</v>
      </c>
      <c r="BA822" s="7" t="s">
        <v>200</v>
      </c>
      <c r="BB822" s="7"/>
      <c r="BC822" s="4" t="s">
        <v>200</v>
      </c>
      <c r="BD822" s="8" t="s">
        <v>200</v>
      </c>
      <c r="BE822" s="4" t="s">
        <v>200</v>
      </c>
      <c r="BF822" s="8" t="s">
        <v>200</v>
      </c>
      <c r="BG822" s="7" t="s">
        <v>200</v>
      </c>
      <c r="BH822" s="7" t="s">
        <v>200</v>
      </c>
      <c r="BI822" s="7"/>
      <c r="BJ822" s="4">
        <v>15</v>
      </c>
      <c r="BK822" s="8">
        <v>631.9</v>
      </c>
      <c r="BL822" s="2" t="s">
        <v>5010</v>
      </c>
      <c r="BM822" s="7"/>
      <c r="BN822" s="7"/>
      <c r="BO822" s="4"/>
      <c r="BP822" s="8"/>
      <c r="BQ822" s="4"/>
      <c r="BR822" s="8"/>
      <c r="BS822" s="7"/>
      <c r="BT822" s="7"/>
      <c r="BU822" s="2" t="s">
        <v>5011</v>
      </c>
      <c r="BV822" s="2" t="s">
        <v>200</v>
      </c>
      <c r="BW822" s="2" t="s">
        <v>200</v>
      </c>
      <c r="BX822" s="2" t="s">
        <v>264</v>
      </c>
      <c r="BY822" s="2" t="s">
        <v>247</v>
      </c>
      <c r="BZ822" s="2" t="s">
        <v>212</v>
      </c>
      <c r="CA822" s="2" t="s">
        <v>4998</v>
      </c>
      <c r="CB822" s="2" t="s">
        <v>5012</v>
      </c>
      <c r="CC822" s="2" t="s">
        <v>213</v>
      </c>
      <c r="CD822" s="2" t="s">
        <v>200</v>
      </c>
      <c r="CE822" s="4">
        <v>44</v>
      </c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>
        <v>60</v>
      </c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</row>
    <row r="823">
      <c r="A823" s="2" t="s">
        <v>5013</v>
      </c>
      <c r="B823" s="2" t="s">
        <v>903</v>
      </c>
      <c r="C823" s="2" t="s">
        <v>1323</v>
      </c>
      <c r="D823" s="2" t="s">
        <v>608</v>
      </c>
      <c r="E823" s="2" t="s">
        <v>1324</v>
      </c>
      <c r="F823" s="2" t="s">
        <v>4991</v>
      </c>
      <c r="G823" s="2" t="s">
        <v>4991</v>
      </c>
      <c r="H823" s="2" t="s">
        <v>4991</v>
      </c>
      <c r="I823" s="2" t="s">
        <v>5014</v>
      </c>
      <c r="J823" s="2" t="s">
        <v>612</v>
      </c>
      <c r="K823" s="2" t="s">
        <v>1135</v>
      </c>
      <c r="L823" s="3">
        <v>102.14</v>
      </c>
      <c r="M823" s="3">
        <v>107.25</v>
      </c>
      <c r="N823" s="3">
        <v>299.99</v>
      </c>
      <c r="O823" s="2" t="s">
        <v>212</v>
      </c>
      <c r="P823" s="2" t="s">
        <v>205</v>
      </c>
      <c r="Q823" s="2" t="s">
        <v>206</v>
      </c>
      <c r="R823" s="2" t="s">
        <v>200</v>
      </c>
      <c r="S823" s="2" t="s">
        <v>5015</v>
      </c>
      <c r="T823" s="2" t="s">
        <v>312</v>
      </c>
      <c r="U823" s="2" t="s">
        <v>454</v>
      </c>
      <c r="V823" s="2" t="s">
        <v>885</v>
      </c>
      <c r="W823" s="2" t="s">
        <v>379</v>
      </c>
      <c r="X823" s="2" t="s">
        <v>241</v>
      </c>
      <c r="Y823" s="2" t="s">
        <v>5016</v>
      </c>
      <c r="Z823" s="4">
        <v>265</v>
      </c>
      <c r="AA823" s="4">
        <f>=ROUNDDOWN(294.444444444444,0)</f>
      </c>
      <c r="AB823" s="5">
        <v>0.9</v>
      </c>
      <c r="AC823" s="2" t="s">
        <v>200</v>
      </c>
      <c r="AD823" s="4"/>
      <c r="AE823" s="4"/>
      <c r="AF823" s="6">
        <v>69</v>
      </c>
      <c r="AG823" s="6"/>
      <c r="AH823" s="7">
        <v>1</v>
      </c>
      <c r="AI823" s="4"/>
      <c r="AJ823" s="4">
        <f>=ROUNDDOWN({0},0)</f>
      </c>
      <c r="AK823" s="5"/>
      <c r="AL823" s="2" t="s">
        <v>200</v>
      </c>
      <c r="AM823" s="4"/>
      <c r="AN823" s="4"/>
      <c r="AO823" s="7"/>
      <c r="AP823" s="4"/>
      <c r="AQ823" s="8"/>
      <c r="AR823" s="4"/>
      <c r="AS823" s="8"/>
      <c r="AT823" s="7"/>
      <c r="AU823" s="7"/>
      <c r="AV823" s="4" t="s">
        <v>200</v>
      </c>
      <c r="AW823" s="8" t="s">
        <v>200</v>
      </c>
      <c r="AX823" s="4" t="s">
        <v>200</v>
      </c>
      <c r="AY823" s="8" t="s">
        <v>200</v>
      </c>
      <c r="AZ823" s="7" t="s">
        <v>200</v>
      </c>
      <c r="BA823" s="7" t="s">
        <v>200</v>
      </c>
      <c r="BB823" s="7"/>
      <c r="BC823" s="4" t="s">
        <v>200</v>
      </c>
      <c r="BD823" s="8" t="s">
        <v>200</v>
      </c>
      <c r="BE823" s="4" t="s">
        <v>200</v>
      </c>
      <c r="BF823" s="8" t="s">
        <v>200</v>
      </c>
      <c r="BG823" s="7" t="s">
        <v>200</v>
      </c>
      <c r="BH823" s="7" t="s">
        <v>200</v>
      </c>
      <c r="BI823" s="7"/>
      <c r="BJ823" s="4">
        <v>4</v>
      </c>
      <c r="BK823" s="8">
        <v>572</v>
      </c>
      <c r="BL823" s="2" t="s">
        <v>813</v>
      </c>
      <c r="BM823" s="7"/>
      <c r="BN823" s="7"/>
      <c r="BO823" s="4"/>
      <c r="BP823" s="8"/>
      <c r="BQ823" s="4"/>
      <c r="BR823" s="8"/>
      <c r="BS823" s="7"/>
      <c r="BT823" s="7"/>
      <c r="BU823" s="2" t="s">
        <v>210</v>
      </c>
      <c r="BV823" s="2" t="s">
        <v>200</v>
      </c>
      <c r="BW823" s="2" t="s">
        <v>200</v>
      </c>
      <c r="BX823" s="2" t="s">
        <v>210</v>
      </c>
      <c r="BY823" s="2" t="s">
        <v>1329</v>
      </c>
      <c r="BZ823" s="2" t="s">
        <v>212</v>
      </c>
      <c r="CA823" s="2" t="s">
        <v>200</v>
      </c>
      <c r="CB823" s="2" t="s">
        <v>200</v>
      </c>
      <c r="CC823" s="2" t="s">
        <v>213</v>
      </c>
      <c r="CD823" s="2" t="s">
        <v>200</v>
      </c>
      <c r="CE823" s="4">
        <v>265</v>
      </c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</row>
    <row r="824">
      <c r="A824" s="2" t="s">
        <v>5017</v>
      </c>
      <c r="B824" s="2" t="s">
        <v>903</v>
      </c>
      <c r="C824" s="2" t="s">
        <v>1323</v>
      </c>
      <c r="D824" s="2" t="s">
        <v>608</v>
      </c>
      <c r="E824" s="2" t="s">
        <v>1324</v>
      </c>
      <c r="F824" s="2" t="s">
        <v>4991</v>
      </c>
      <c r="G824" s="2" t="s">
        <v>4991</v>
      </c>
      <c r="H824" s="2" t="s">
        <v>4991</v>
      </c>
      <c r="I824" s="2" t="s">
        <v>5014</v>
      </c>
      <c r="J824" s="2" t="s">
        <v>924</v>
      </c>
      <c r="K824" s="2" t="s">
        <v>1135</v>
      </c>
      <c r="L824" s="3">
        <v>119.16</v>
      </c>
      <c r="M824" s="3">
        <v>125.12</v>
      </c>
      <c r="N824" s="3">
        <v>349.99</v>
      </c>
      <c r="O824" s="2" t="s">
        <v>212</v>
      </c>
      <c r="P824" s="2" t="s">
        <v>205</v>
      </c>
      <c r="Q824" s="2" t="s">
        <v>206</v>
      </c>
      <c r="R824" s="2" t="s">
        <v>200</v>
      </c>
      <c r="S824" s="2" t="s">
        <v>5015</v>
      </c>
      <c r="T824" s="2" t="s">
        <v>312</v>
      </c>
      <c r="U824" s="2" t="s">
        <v>454</v>
      </c>
      <c r="V824" s="2" t="s">
        <v>885</v>
      </c>
      <c r="W824" s="2" t="s">
        <v>419</v>
      </c>
      <c r="X824" s="2" t="s">
        <v>241</v>
      </c>
      <c r="Y824" s="2" t="s">
        <v>5016</v>
      </c>
      <c r="Z824" s="4">
        <v>244</v>
      </c>
      <c r="AA824" s="4">
        <f>=ROUNDDOWN(1220,0)</f>
      </c>
      <c r="AB824" s="5">
        <v>0.2</v>
      </c>
      <c r="AC824" s="2" t="s">
        <v>200</v>
      </c>
      <c r="AD824" s="4"/>
      <c r="AE824" s="4"/>
      <c r="AF824" s="6">
        <v>69</v>
      </c>
      <c r="AG824" s="6"/>
      <c r="AH824" s="7">
        <v>1</v>
      </c>
      <c r="AI824" s="4"/>
      <c r="AJ824" s="4">
        <f>=ROUNDDOWN({0},0)</f>
      </c>
      <c r="AK824" s="5"/>
      <c r="AL824" s="2" t="s">
        <v>200</v>
      </c>
      <c r="AM824" s="4"/>
      <c r="AN824" s="4"/>
      <c r="AO824" s="7"/>
      <c r="AP824" s="4"/>
      <c r="AQ824" s="8"/>
      <c r="AR824" s="4"/>
      <c r="AS824" s="8"/>
      <c r="AT824" s="7"/>
      <c r="AU824" s="7"/>
      <c r="AV824" s="4" t="s">
        <v>200</v>
      </c>
      <c r="AW824" s="8" t="s">
        <v>200</v>
      </c>
      <c r="AX824" s="4" t="s">
        <v>200</v>
      </c>
      <c r="AY824" s="8" t="s">
        <v>200</v>
      </c>
      <c r="AZ824" s="7" t="s">
        <v>200</v>
      </c>
      <c r="BA824" s="7" t="s">
        <v>200</v>
      </c>
      <c r="BB824" s="7"/>
      <c r="BC824" s="4" t="s">
        <v>200</v>
      </c>
      <c r="BD824" s="8" t="s">
        <v>200</v>
      </c>
      <c r="BE824" s="4" t="s">
        <v>200</v>
      </c>
      <c r="BF824" s="8" t="s">
        <v>200</v>
      </c>
      <c r="BG824" s="7" t="s">
        <v>200</v>
      </c>
      <c r="BH824" s="7" t="s">
        <v>200</v>
      </c>
      <c r="BI824" s="7"/>
      <c r="BJ824" s="4"/>
      <c r="BK824" s="8"/>
      <c r="BL824" s="2" t="s">
        <v>200</v>
      </c>
      <c r="BM824" s="7"/>
      <c r="BN824" s="7"/>
      <c r="BO824" s="4"/>
      <c r="BP824" s="8"/>
      <c r="BQ824" s="4"/>
      <c r="BR824" s="8"/>
      <c r="BS824" s="7"/>
      <c r="BT824" s="7"/>
      <c r="BU824" s="2" t="s">
        <v>210</v>
      </c>
      <c r="BV824" s="2" t="s">
        <v>200</v>
      </c>
      <c r="BW824" s="2" t="s">
        <v>200</v>
      </c>
      <c r="BX824" s="2" t="s">
        <v>210</v>
      </c>
      <c r="BY824" s="2" t="s">
        <v>1329</v>
      </c>
      <c r="BZ824" s="2" t="s">
        <v>212</v>
      </c>
      <c r="CA824" s="2" t="s">
        <v>200</v>
      </c>
      <c r="CB824" s="2" t="s">
        <v>200</v>
      </c>
      <c r="CC824" s="2" t="s">
        <v>213</v>
      </c>
      <c r="CD824" s="2" t="s">
        <v>200</v>
      </c>
      <c r="CE824" s="4">
        <v>244</v>
      </c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</row>
    <row r="825">
      <c r="A825" s="2" t="s">
        <v>5018</v>
      </c>
      <c r="B825" s="2" t="s">
        <v>827</v>
      </c>
      <c r="C825" s="2" t="s">
        <v>231</v>
      </c>
      <c r="D825" s="2" t="s">
        <v>828</v>
      </c>
      <c r="E825" s="2" t="s">
        <v>829</v>
      </c>
      <c r="F825" s="2" t="s">
        <v>4991</v>
      </c>
      <c r="G825" s="2" t="s">
        <v>4992</v>
      </c>
      <c r="H825" s="2" t="s">
        <v>2870</v>
      </c>
      <c r="I825" s="2" t="s">
        <v>4993</v>
      </c>
      <c r="J825" s="2" t="s">
        <v>883</v>
      </c>
      <c r="K825" s="2" t="s">
        <v>1700</v>
      </c>
      <c r="L825" s="3">
        <v>17.6</v>
      </c>
      <c r="M825" s="3">
        <v>18.48</v>
      </c>
      <c r="N825" s="3">
        <v>39.99</v>
      </c>
      <c r="O825" s="2" t="s">
        <v>212</v>
      </c>
      <c r="P825" s="2" t="s">
        <v>258</v>
      </c>
      <c r="Q825" s="2" t="s">
        <v>206</v>
      </c>
      <c r="R825" s="2" t="s">
        <v>200</v>
      </c>
      <c r="S825" s="2" t="s">
        <v>5019</v>
      </c>
      <c r="T825" s="2" t="s">
        <v>200</v>
      </c>
      <c r="U825" s="2" t="s">
        <v>200</v>
      </c>
      <c r="V825" s="2" t="s">
        <v>208</v>
      </c>
      <c r="W825" s="2" t="s">
        <v>379</v>
      </c>
      <c r="X825" s="2" t="s">
        <v>1588</v>
      </c>
      <c r="Y825" s="2" t="s">
        <v>4995</v>
      </c>
      <c r="Z825" s="4">
        <v>177</v>
      </c>
      <c r="AA825" s="4">
        <f>=ROUNDDOWN(14.75,0)</f>
      </c>
      <c r="AB825" s="5">
        <v>12</v>
      </c>
      <c r="AC825" s="2" t="s">
        <v>120</v>
      </c>
      <c r="AD825" s="4">
        <v>100</v>
      </c>
      <c r="AE825" s="4">
        <v>328</v>
      </c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200</v>
      </c>
      <c r="AM825" s="4"/>
      <c r="AN825" s="4"/>
      <c r="AO825" s="7"/>
      <c r="AP825" s="4"/>
      <c r="AQ825" s="8"/>
      <c r="AR825" s="4"/>
      <c r="AS825" s="8"/>
      <c r="AT825" s="7"/>
      <c r="AU825" s="7"/>
      <c r="AV825" s="4" t="s">
        <v>200</v>
      </c>
      <c r="AW825" s="8" t="s">
        <v>200</v>
      </c>
      <c r="AX825" s="4" t="s">
        <v>200</v>
      </c>
      <c r="AY825" s="8" t="s">
        <v>200</v>
      </c>
      <c r="AZ825" s="7" t="s">
        <v>200</v>
      </c>
      <c r="BA825" s="7" t="s">
        <v>200</v>
      </c>
      <c r="BB825" s="7"/>
      <c r="BC825" s="4" t="s">
        <v>200</v>
      </c>
      <c r="BD825" s="8" t="s">
        <v>200</v>
      </c>
      <c r="BE825" s="4" t="s">
        <v>200</v>
      </c>
      <c r="BF825" s="8" t="s">
        <v>200</v>
      </c>
      <c r="BG825" s="7" t="s">
        <v>200</v>
      </c>
      <c r="BH825" s="7" t="s">
        <v>200</v>
      </c>
      <c r="BI825" s="7"/>
      <c r="BJ825" s="4">
        <v>44</v>
      </c>
      <c r="BK825" s="8">
        <v>1018.29</v>
      </c>
      <c r="BL825" s="2" t="s">
        <v>5020</v>
      </c>
      <c r="BM825" s="7"/>
      <c r="BN825" s="7"/>
      <c r="BO825" s="4"/>
      <c r="BP825" s="8"/>
      <c r="BQ825" s="4"/>
      <c r="BR825" s="8"/>
      <c r="BS825" s="7"/>
      <c r="BT825" s="7"/>
      <c r="BU825" s="2" t="s">
        <v>5021</v>
      </c>
      <c r="BV825" s="2" t="s">
        <v>200</v>
      </c>
      <c r="BW825" s="2" t="s">
        <v>200</v>
      </c>
      <c r="BX825" s="2" t="s">
        <v>264</v>
      </c>
      <c r="BY825" s="2" t="s">
        <v>247</v>
      </c>
      <c r="BZ825" s="2" t="s">
        <v>212</v>
      </c>
      <c r="CA825" s="2" t="s">
        <v>4998</v>
      </c>
      <c r="CB825" s="2" t="s">
        <v>1130</v>
      </c>
      <c r="CC825" s="2" t="s">
        <v>213</v>
      </c>
      <c r="CD825" s="2" t="s">
        <v>200</v>
      </c>
      <c r="CE825" s="4">
        <v>177</v>
      </c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>
        <v>100</v>
      </c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>
        <v>228</v>
      </c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</row>
    <row r="826">
      <c r="A826" s="2" t="s">
        <v>5022</v>
      </c>
      <c r="B826" s="2" t="s">
        <v>827</v>
      </c>
      <c r="C826" s="2" t="s">
        <v>231</v>
      </c>
      <c r="D826" s="2" t="s">
        <v>828</v>
      </c>
      <c r="E826" s="2" t="s">
        <v>829</v>
      </c>
      <c r="F826" s="2" t="s">
        <v>4991</v>
      </c>
      <c r="G826" s="2" t="s">
        <v>4992</v>
      </c>
      <c r="H826" s="2" t="s">
        <v>2870</v>
      </c>
      <c r="I826" s="2" t="s">
        <v>4993</v>
      </c>
      <c r="J826" s="2" t="s">
        <v>3045</v>
      </c>
      <c r="K826" s="2" t="s">
        <v>1700</v>
      </c>
      <c r="L826" s="3">
        <v>20.25</v>
      </c>
      <c r="M826" s="3">
        <v>21.26</v>
      </c>
      <c r="N826" s="3">
        <v>44.99</v>
      </c>
      <c r="O826" s="2" t="s">
        <v>212</v>
      </c>
      <c r="P826" s="2" t="s">
        <v>258</v>
      </c>
      <c r="Q826" s="2" t="s">
        <v>206</v>
      </c>
      <c r="R826" s="2" t="s">
        <v>200</v>
      </c>
      <c r="S826" s="2" t="s">
        <v>5019</v>
      </c>
      <c r="T826" s="2" t="s">
        <v>200</v>
      </c>
      <c r="U826" s="2" t="s">
        <v>200</v>
      </c>
      <c r="V826" s="2" t="s">
        <v>208</v>
      </c>
      <c r="W826" s="2" t="s">
        <v>379</v>
      </c>
      <c r="X826" s="2" t="s">
        <v>1588</v>
      </c>
      <c r="Y826" s="2" t="s">
        <v>4995</v>
      </c>
      <c r="Z826" s="4">
        <v>226</v>
      </c>
      <c r="AA826" s="4">
        <f>=ROUNDDOWN(32.2857142857143,0)</f>
      </c>
      <c r="AB826" s="5">
        <v>7</v>
      </c>
      <c r="AC826" s="2" t="s">
        <v>1147</v>
      </c>
      <c r="AD826" s="4">
        <v>52</v>
      </c>
      <c r="AE826" s="4">
        <v>52</v>
      </c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200</v>
      </c>
      <c r="AM826" s="4"/>
      <c r="AN826" s="4"/>
      <c r="AO826" s="7"/>
      <c r="AP826" s="4"/>
      <c r="AQ826" s="8"/>
      <c r="AR826" s="4"/>
      <c r="AS826" s="8"/>
      <c r="AT826" s="7"/>
      <c r="AU826" s="7"/>
      <c r="AV826" s="4" t="s">
        <v>200</v>
      </c>
      <c r="AW826" s="8" t="s">
        <v>200</v>
      </c>
      <c r="AX826" s="4" t="s">
        <v>200</v>
      </c>
      <c r="AY826" s="8" t="s">
        <v>200</v>
      </c>
      <c r="AZ826" s="7" t="s">
        <v>200</v>
      </c>
      <c r="BA826" s="7" t="s">
        <v>200</v>
      </c>
      <c r="BB826" s="7"/>
      <c r="BC826" s="4" t="s">
        <v>200</v>
      </c>
      <c r="BD826" s="8" t="s">
        <v>200</v>
      </c>
      <c r="BE826" s="4" t="s">
        <v>200</v>
      </c>
      <c r="BF826" s="8" t="s">
        <v>200</v>
      </c>
      <c r="BG826" s="7" t="s">
        <v>200</v>
      </c>
      <c r="BH826" s="7" t="s">
        <v>200</v>
      </c>
      <c r="BI826" s="7"/>
      <c r="BJ826" s="4">
        <v>6</v>
      </c>
      <c r="BK826" s="8">
        <v>310.44</v>
      </c>
      <c r="BL826" s="2" t="s">
        <v>5023</v>
      </c>
      <c r="BM826" s="7"/>
      <c r="BN826" s="7"/>
      <c r="BO826" s="4"/>
      <c r="BP826" s="8"/>
      <c r="BQ826" s="4"/>
      <c r="BR826" s="8"/>
      <c r="BS826" s="7"/>
      <c r="BT826" s="7"/>
      <c r="BU826" s="2" t="s">
        <v>5024</v>
      </c>
      <c r="BV826" s="2" t="s">
        <v>200</v>
      </c>
      <c r="BW826" s="2" t="s">
        <v>200</v>
      </c>
      <c r="BX826" s="2" t="s">
        <v>264</v>
      </c>
      <c r="BY826" s="2" t="s">
        <v>247</v>
      </c>
      <c r="BZ826" s="2" t="s">
        <v>212</v>
      </c>
      <c r="CA826" s="2" t="s">
        <v>4998</v>
      </c>
      <c r="CB826" s="2" t="s">
        <v>3582</v>
      </c>
      <c r="CC826" s="2" t="s">
        <v>213</v>
      </c>
      <c r="CD826" s="2" t="s">
        <v>200</v>
      </c>
      <c r="CE826" s="4">
        <v>226</v>
      </c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>
        <v>52</v>
      </c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</row>
    <row r="827">
      <c r="A827" s="2" t="s">
        <v>5025</v>
      </c>
      <c r="B827" s="2" t="s">
        <v>195</v>
      </c>
      <c r="C827" s="2" t="s">
        <v>231</v>
      </c>
      <c r="D827" s="2" t="s">
        <v>2254</v>
      </c>
      <c r="E827" s="2" t="s">
        <v>2255</v>
      </c>
      <c r="F827" s="2" t="s">
        <v>5026</v>
      </c>
      <c r="G827" s="2" t="s">
        <v>5027</v>
      </c>
      <c r="H827" s="2" t="s">
        <v>5027</v>
      </c>
      <c r="I827" s="2" t="s">
        <v>5028</v>
      </c>
      <c r="J827" s="2" t="s">
        <v>1173</v>
      </c>
      <c r="K827" s="2" t="s">
        <v>221</v>
      </c>
      <c r="L827" s="3">
        <v>15.85</v>
      </c>
      <c r="M827" s="3">
        <v>16.64</v>
      </c>
      <c r="N827" s="3">
        <v>36.99</v>
      </c>
      <c r="O827" s="2" t="s">
        <v>212</v>
      </c>
      <c r="P827" s="2" t="s">
        <v>285</v>
      </c>
      <c r="Q827" s="2" t="s">
        <v>206</v>
      </c>
      <c r="R827" s="2" t="s">
        <v>200</v>
      </c>
      <c r="S827" s="2" t="s">
        <v>5029</v>
      </c>
      <c r="T827" s="2" t="s">
        <v>1899</v>
      </c>
      <c r="U827" s="2" t="s">
        <v>270</v>
      </c>
      <c r="V827" s="2" t="s">
        <v>208</v>
      </c>
      <c r="W827" s="2" t="s">
        <v>242</v>
      </c>
      <c r="X827" s="2" t="s">
        <v>200</v>
      </c>
      <c r="Y827" s="2" t="s">
        <v>5030</v>
      </c>
      <c r="Z827" s="4">
        <v>280</v>
      </c>
      <c r="AA827" s="4">
        <f>=ROUNDDOWN(84.8484848484848,0)</f>
      </c>
      <c r="AB827" s="5">
        <v>3.3</v>
      </c>
      <c r="AC827" s="2" t="s">
        <v>200</v>
      </c>
      <c r="AD827" s="4"/>
      <c r="AE827" s="4"/>
      <c r="AF827" s="6">
        <v>64</v>
      </c>
      <c r="AG827" s="6"/>
      <c r="AH827" s="7">
        <v>1</v>
      </c>
      <c r="AI827" s="4"/>
      <c r="AJ827" s="4">
        <f>=ROUNDDOWN({0},0)</f>
      </c>
      <c r="AK827" s="5"/>
      <c r="AL827" s="2" t="s">
        <v>200</v>
      </c>
      <c r="AM827" s="4"/>
      <c r="AN827" s="4"/>
      <c r="AO827" s="7"/>
      <c r="AP827" s="4"/>
      <c r="AQ827" s="8"/>
      <c r="AR827" s="4"/>
      <c r="AS827" s="8"/>
      <c r="AT827" s="7"/>
      <c r="AU827" s="7"/>
      <c r="AV827" s="4"/>
      <c r="AW827" s="8"/>
      <c r="AX827" s="4"/>
      <c r="AY827" s="8"/>
      <c r="AZ827" s="7"/>
      <c r="BA827" s="7"/>
      <c r="BB827" s="7"/>
      <c r="BC827" s="4"/>
      <c r="BD827" s="8"/>
      <c r="BE827" s="4"/>
      <c r="BF827" s="8"/>
      <c r="BG827" s="7"/>
      <c r="BH827" s="7"/>
      <c r="BI827" s="7"/>
      <c r="BJ827" s="4">
        <v>31</v>
      </c>
      <c r="BK827" s="8">
        <v>520.63</v>
      </c>
      <c r="BL827" s="2" t="s">
        <v>5031</v>
      </c>
      <c r="BM827" s="7"/>
      <c r="BN827" s="7"/>
      <c r="BO827" s="4"/>
      <c r="BP827" s="8"/>
      <c r="BQ827" s="4"/>
      <c r="BR827" s="8"/>
      <c r="BS827" s="7"/>
      <c r="BT827" s="7"/>
      <c r="BU827" s="2" t="s">
        <v>5032</v>
      </c>
      <c r="BV827" s="2" t="s">
        <v>200</v>
      </c>
      <c r="BW827" s="2" t="s">
        <v>200</v>
      </c>
      <c r="BX827" s="2" t="s">
        <v>289</v>
      </c>
      <c r="BY827" s="2" t="s">
        <v>247</v>
      </c>
      <c r="BZ827" s="2" t="s">
        <v>212</v>
      </c>
      <c r="CA827" s="2" t="s">
        <v>5033</v>
      </c>
      <c r="CB827" s="2" t="s">
        <v>5034</v>
      </c>
      <c r="CC827" s="2" t="s">
        <v>213</v>
      </c>
      <c r="CD827" s="2" t="s">
        <v>200</v>
      </c>
      <c r="CE827" s="4">
        <v>280</v>
      </c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</row>
    <row r="828">
      <c r="A828" s="2" t="s">
        <v>5035</v>
      </c>
      <c r="B828" s="2" t="s">
        <v>827</v>
      </c>
      <c r="C828" s="2" t="s">
        <v>231</v>
      </c>
      <c r="D828" s="2" t="s">
        <v>828</v>
      </c>
      <c r="E828" s="2" t="s">
        <v>1588</v>
      </c>
      <c r="F828" s="2" t="s">
        <v>5036</v>
      </c>
      <c r="G828" s="2" t="s">
        <v>5037</v>
      </c>
      <c r="H828" s="2" t="s">
        <v>5038</v>
      </c>
      <c r="I828" s="2" t="s">
        <v>5039</v>
      </c>
      <c r="J828" s="2" t="s">
        <v>1016</v>
      </c>
      <c r="K828" s="2" t="s">
        <v>5040</v>
      </c>
      <c r="L828" s="3">
        <v>11.07</v>
      </c>
      <c r="M828" s="3">
        <v>11.62</v>
      </c>
      <c r="N828" s="3">
        <v>26.99</v>
      </c>
      <c r="O828" s="2" t="s">
        <v>212</v>
      </c>
      <c r="P828" s="2" t="s">
        <v>760</v>
      </c>
      <c r="Q828" s="2" t="s">
        <v>206</v>
      </c>
      <c r="R828" s="2" t="s">
        <v>200</v>
      </c>
      <c r="S828" s="2" t="s">
        <v>5041</v>
      </c>
      <c r="T828" s="2" t="s">
        <v>378</v>
      </c>
      <c r="U828" s="2" t="s">
        <v>270</v>
      </c>
      <c r="V828" s="2" t="s">
        <v>339</v>
      </c>
      <c r="W828" s="2" t="s">
        <v>379</v>
      </c>
      <c r="X828" s="2" t="s">
        <v>200</v>
      </c>
      <c r="Y828" s="2" t="s">
        <v>5042</v>
      </c>
      <c r="Z828" s="4">
        <v>95</v>
      </c>
      <c r="AA828" s="4">
        <f>=ROUNDDOWN(4.52380952380952,0)</f>
      </c>
      <c r="AB828" s="5">
        <v>21</v>
      </c>
      <c r="AC828" s="2" t="s">
        <v>200</v>
      </c>
      <c r="AD828" s="4"/>
      <c r="AE828" s="4"/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200</v>
      </c>
      <c r="AM828" s="4"/>
      <c r="AN828" s="4"/>
      <c r="AO828" s="7"/>
      <c r="AP828" s="4"/>
      <c r="AQ828" s="8"/>
      <c r="AR828" s="4"/>
      <c r="AS828" s="8"/>
      <c r="AT828" s="7"/>
      <c r="AU828" s="7"/>
      <c r="AV828" s="4"/>
      <c r="AW828" s="8"/>
      <c r="AX828" s="4"/>
      <c r="AY828" s="8"/>
      <c r="AZ828" s="7"/>
      <c r="BA828" s="7"/>
      <c r="BB828" s="7"/>
      <c r="BC828" s="4"/>
      <c r="BD828" s="8"/>
      <c r="BE828" s="4"/>
      <c r="BF828" s="8"/>
      <c r="BG828" s="7"/>
      <c r="BH828" s="7"/>
      <c r="BI828" s="7"/>
      <c r="BJ828" s="4">
        <v>69</v>
      </c>
      <c r="BK828" s="8">
        <v>670.14</v>
      </c>
      <c r="BL828" s="2" t="s">
        <v>5043</v>
      </c>
      <c r="BM828" s="7"/>
      <c r="BN828" s="7"/>
      <c r="BO828" s="4"/>
      <c r="BP828" s="8"/>
      <c r="BQ828" s="4"/>
      <c r="BR828" s="8"/>
      <c r="BS828" s="7"/>
      <c r="BT828" s="7"/>
      <c r="BU828" s="2" t="s">
        <v>5044</v>
      </c>
      <c r="BV828" s="2" t="s">
        <v>200</v>
      </c>
      <c r="BW828" s="2" t="s">
        <v>200</v>
      </c>
      <c r="BX828" s="2" t="s">
        <v>289</v>
      </c>
      <c r="BY828" s="2" t="s">
        <v>247</v>
      </c>
      <c r="BZ828" s="2" t="s">
        <v>212</v>
      </c>
      <c r="CA828" s="2" t="s">
        <v>4943</v>
      </c>
      <c r="CB828" s="2" t="s">
        <v>5045</v>
      </c>
      <c r="CC828" s="2" t="s">
        <v>213</v>
      </c>
      <c r="CD828" s="2" t="s">
        <v>200</v>
      </c>
      <c r="CE828" s="4">
        <v>95</v>
      </c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</row>
    <row r="829">
      <c r="A829" s="2" t="s">
        <v>5046</v>
      </c>
      <c r="B829" s="2" t="s">
        <v>195</v>
      </c>
      <c r="C829" s="2" t="s">
        <v>624</v>
      </c>
      <c r="D829" s="2" t="s">
        <v>1168</v>
      </c>
      <c r="E829" s="2" t="s">
        <v>5047</v>
      </c>
      <c r="F829" s="2" t="s">
        <v>5048</v>
      </c>
      <c r="G829" s="2" t="s">
        <v>200</v>
      </c>
      <c r="H829" s="2" t="s">
        <v>200</v>
      </c>
      <c r="I829" s="2" t="s">
        <v>5049</v>
      </c>
      <c r="J829" s="2" t="s">
        <v>5050</v>
      </c>
      <c r="K829" s="2" t="s">
        <v>1257</v>
      </c>
      <c r="L829" s="3">
        <v>35.42</v>
      </c>
      <c r="M829" s="3">
        <v>18.97</v>
      </c>
      <c r="N829" s="3"/>
      <c r="O829" s="2" t="s">
        <v>212</v>
      </c>
      <c r="P829" s="2" t="s">
        <v>205</v>
      </c>
      <c r="Q829" s="2" t="s">
        <v>206</v>
      </c>
      <c r="R829" s="2" t="s">
        <v>207</v>
      </c>
      <c r="S829" s="2" t="s">
        <v>200</v>
      </c>
      <c r="T829" s="2" t="s">
        <v>200</v>
      </c>
      <c r="U829" s="2" t="s">
        <v>270</v>
      </c>
      <c r="V829" s="2" t="s">
        <v>885</v>
      </c>
      <c r="W829" s="2" t="s">
        <v>200</v>
      </c>
      <c r="X829" s="2" t="s">
        <v>200</v>
      </c>
      <c r="Y829" s="2" t="s">
        <v>5051</v>
      </c>
      <c r="Z829" s="4">
        <v>1307</v>
      </c>
      <c r="AA829" s="4">
        <f>=ROUNDDOWN(93.3571428571428,0)</f>
      </c>
      <c r="AB829" s="5">
        <v>14</v>
      </c>
      <c r="AC829" s="2" t="s">
        <v>200</v>
      </c>
      <c r="AD829" s="4"/>
      <c r="AE829" s="4"/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200</v>
      </c>
      <c r="AM829" s="4"/>
      <c r="AN829" s="4"/>
      <c r="AO829" s="7"/>
      <c r="AP829" s="4"/>
      <c r="AQ829" s="8"/>
      <c r="AR829" s="4"/>
      <c r="AS829" s="8"/>
      <c r="AT829" s="7"/>
      <c r="AU829" s="7"/>
      <c r="AV829" s="4"/>
      <c r="AW829" s="8"/>
      <c r="AX829" s="4"/>
      <c r="AY829" s="8"/>
      <c r="AZ829" s="7"/>
      <c r="BA829" s="7"/>
      <c r="BB829" s="7"/>
      <c r="BC829" s="4"/>
      <c r="BD829" s="8"/>
      <c r="BE829" s="4"/>
      <c r="BF829" s="8"/>
      <c r="BG829" s="7"/>
      <c r="BH829" s="7"/>
      <c r="BI829" s="7"/>
      <c r="BJ829" s="4">
        <v>45</v>
      </c>
      <c r="BK829" s="8">
        <v>1593.9</v>
      </c>
      <c r="BL829" s="2" t="s">
        <v>1029</v>
      </c>
      <c r="BM829" s="7"/>
      <c r="BN829" s="7"/>
      <c r="BO829" s="4"/>
      <c r="BP829" s="8"/>
      <c r="BQ829" s="4"/>
      <c r="BR829" s="8"/>
      <c r="BS829" s="7"/>
      <c r="BT829" s="7"/>
      <c r="BU829" s="2" t="s">
        <v>210</v>
      </c>
      <c r="BV829" s="2" t="s">
        <v>200</v>
      </c>
      <c r="BW829" s="2" t="s">
        <v>200</v>
      </c>
      <c r="BX829" s="2" t="s">
        <v>200</v>
      </c>
      <c r="BY829" s="2" t="s">
        <v>211</v>
      </c>
      <c r="BZ829" s="2" t="s">
        <v>212</v>
      </c>
      <c r="CA829" s="2" t="s">
        <v>200</v>
      </c>
      <c r="CB829" s="2" t="s">
        <v>200</v>
      </c>
      <c r="CC829" s="2" t="s">
        <v>213</v>
      </c>
      <c r="CD829" s="2" t="s">
        <v>200</v>
      </c>
      <c r="CE829" s="4">
        <v>3</v>
      </c>
      <c r="CF829" s="4">
        <v>314</v>
      </c>
      <c r="CG829" s="4"/>
      <c r="CH829" s="4">
        <v>990</v>
      </c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</row>
    <row r="830">
      <c r="A830" s="2" t="s">
        <v>5052</v>
      </c>
      <c r="B830" s="2" t="s">
        <v>195</v>
      </c>
      <c r="C830" s="2" t="s">
        <v>624</v>
      </c>
      <c r="D830" s="2" t="s">
        <v>1168</v>
      </c>
      <c r="E830" s="2" t="s">
        <v>3205</v>
      </c>
      <c r="F830" s="2" t="s">
        <v>5053</v>
      </c>
      <c r="G830" s="2" t="s">
        <v>5053</v>
      </c>
      <c r="H830" s="2" t="s">
        <v>200</v>
      </c>
      <c r="I830" s="2" t="s">
        <v>198</v>
      </c>
      <c r="J830" s="2" t="s">
        <v>256</v>
      </c>
      <c r="K830" s="2" t="s">
        <v>1153</v>
      </c>
      <c r="L830" s="3">
        <v>54.64</v>
      </c>
      <c r="M830" s="3">
        <v>57.37</v>
      </c>
      <c r="N830" s="3">
        <v>104.99</v>
      </c>
      <c r="O830" s="2" t="s">
        <v>460</v>
      </c>
      <c r="P830" s="2" t="s">
        <v>285</v>
      </c>
      <c r="Q830" s="2" t="s">
        <v>206</v>
      </c>
      <c r="R830" s="2" t="s">
        <v>200</v>
      </c>
      <c r="S830" s="2" t="s">
        <v>5054</v>
      </c>
      <c r="T830" s="2" t="s">
        <v>5055</v>
      </c>
      <c r="U830" s="2" t="s">
        <v>200</v>
      </c>
      <c r="V830" s="2" t="s">
        <v>208</v>
      </c>
      <c r="W830" s="2" t="s">
        <v>241</v>
      </c>
      <c r="X830" s="2" t="s">
        <v>200</v>
      </c>
      <c r="Y830" s="2" t="s">
        <v>1237</v>
      </c>
      <c r="Z830" s="4">
        <v>12</v>
      </c>
      <c r="AA830" s="4">
        <f>=ROUNDDOWN(2.4,0)</f>
      </c>
      <c r="AB830" s="5">
        <v>5</v>
      </c>
      <c r="AC830" s="2" t="s">
        <v>200</v>
      </c>
      <c r="AD830" s="4"/>
      <c r="AE830" s="4"/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200</v>
      </c>
      <c r="AM830" s="4"/>
      <c r="AN830" s="4"/>
      <c r="AO830" s="7"/>
      <c r="AP830" s="4"/>
      <c r="AQ830" s="8"/>
      <c r="AR830" s="4"/>
      <c r="AS830" s="8"/>
      <c r="AT830" s="7"/>
      <c r="AU830" s="7"/>
      <c r="AV830" s="4"/>
      <c r="AW830" s="8"/>
      <c r="AX830" s="4"/>
      <c r="AY830" s="8"/>
      <c r="AZ830" s="7"/>
      <c r="BA830" s="7"/>
      <c r="BB830" s="7"/>
      <c r="BC830" s="4"/>
      <c r="BD830" s="8"/>
      <c r="BE830" s="4"/>
      <c r="BF830" s="8"/>
      <c r="BG830" s="7"/>
      <c r="BH830" s="7"/>
      <c r="BI830" s="7"/>
      <c r="BJ830" s="4">
        <v>116</v>
      </c>
      <c r="BK830" s="8">
        <v>5181.97</v>
      </c>
      <c r="BL830" s="2" t="s">
        <v>5056</v>
      </c>
      <c r="BM830" s="7"/>
      <c r="BN830" s="7"/>
      <c r="BO830" s="4"/>
      <c r="BP830" s="8"/>
      <c r="BQ830" s="4"/>
      <c r="BR830" s="8"/>
      <c r="BS830" s="7"/>
      <c r="BT830" s="7"/>
      <c r="BU830" s="2" t="s">
        <v>5057</v>
      </c>
      <c r="BV830" s="2" t="s">
        <v>200</v>
      </c>
      <c r="BW830" s="2" t="s">
        <v>200</v>
      </c>
      <c r="BX830" s="2" t="s">
        <v>289</v>
      </c>
      <c r="BY830" s="2" t="s">
        <v>247</v>
      </c>
      <c r="BZ830" s="2" t="s">
        <v>212</v>
      </c>
      <c r="CA830" s="2" t="s">
        <v>2812</v>
      </c>
      <c r="CB830" s="2" t="s">
        <v>1108</v>
      </c>
      <c r="CC830" s="2" t="s">
        <v>213</v>
      </c>
      <c r="CD830" s="2" t="s">
        <v>200</v>
      </c>
      <c r="CE830" s="4"/>
      <c r="CF830" s="4"/>
      <c r="CG830" s="4"/>
      <c r="CH830" s="4">
        <v>12</v>
      </c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</row>
    <row r="831">
      <c r="A831" s="2" t="s">
        <v>5058</v>
      </c>
      <c r="B831" s="2" t="s">
        <v>195</v>
      </c>
      <c r="C831" s="2" t="s">
        <v>1252</v>
      </c>
      <c r="D831" s="2" t="s">
        <v>1168</v>
      </c>
      <c r="E831" s="2" t="s">
        <v>5059</v>
      </c>
      <c r="F831" s="2" t="s">
        <v>5060</v>
      </c>
      <c r="G831" s="2" t="s">
        <v>5060</v>
      </c>
      <c r="H831" s="2" t="s">
        <v>5060</v>
      </c>
      <c r="I831" s="2" t="s">
        <v>5061</v>
      </c>
      <c r="J831" s="2" t="s">
        <v>5050</v>
      </c>
      <c r="K831" s="2" t="s">
        <v>221</v>
      </c>
      <c r="L831" s="3">
        <v>31.67</v>
      </c>
      <c r="M831" s="3">
        <v>33.25</v>
      </c>
      <c r="N831" s="3">
        <v>54.99</v>
      </c>
      <c r="O831" s="2" t="s">
        <v>460</v>
      </c>
      <c r="P831" s="2" t="s">
        <v>1258</v>
      </c>
      <c r="Q831" s="2" t="s">
        <v>206</v>
      </c>
      <c r="R831" s="2" t="s">
        <v>1259</v>
      </c>
      <c r="S831" s="2" t="s">
        <v>5062</v>
      </c>
      <c r="T831" s="2" t="s">
        <v>5055</v>
      </c>
      <c r="U831" s="2" t="s">
        <v>677</v>
      </c>
      <c r="V831" s="2" t="s">
        <v>208</v>
      </c>
      <c r="W831" s="2" t="s">
        <v>241</v>
      </c>
      <c r="X831" s="2" t="s">
        <v>1271</v>
      </c>
      <c r="Y831" s="2" t="s">
        <v>2975</v>
      </c>
      <c r="Z831" s="4">
        <v>7</v>
      </c>
      <c r="AA831" s="4">
        <f>=ROUNDDOWN(0.206489675516224,0)</f>
      </c>
      <c r="AB831" s="5">
        <v>33.9</v>
      </c>
      <c r="AC831" s="2" t="s">
        <v>200</v>
      </c>
      <c r="AD831" s="4"/>
      <c r="AE831" s="4"/>
      <c r="AF831" s="6">
        <v>65</v>
      </c>
      <c r="AG831" s="6"/>
      <c r="AH831" s="7">
        <v>0.9667</v>
      </c>
      <c r="AI831" s="4"/>
      <c r="AJ831" s="4">
        <f>=ROUNDDOWN({0},0)</f>
      </c>
      <c r="AK831" s="5"/>
      <c r="AL831" s="2" t="s">
        <v>200</v>
      </c>
      <c r="AM831" s="4"/>
      <c r="AN831" s="4"/>
      <c r="AO831" s="7"/>
      <c r="AP831" s="4"/>
      <c r="AQ831" s="8"/>
      <c r="AR831" s="4"/>
      <c r="AS831" s="8"/>
      <c r="AT831" s="7"/>
      <c r="AU831" s="7"/>
      <c r="AV831" s="4"/>
      <c r="AW831" s="8"/>
      <c r="AX831" s="4"/>
      <c r="AY831" s="8"/>
      <c r="AZ831" s="7"/>
      <c r="BA831" s="7"/>
      <c r="BB831" s="7"/>
      <c r="BC831" s="4"/>
      <c r="BD831" s="8"/>
      <c r="BE831" s="4"/>
      <c r="BF831" s="8"/>
      <c r="BG831" s="7"/>
      <c r="BH831" s="7"/>
      <c r="BI831" s="7"/>
      <c r="BJ831" s="4"/>
      <c r="BK831" s="8"/>
      <c r="BL831" s="2" t="s">
        <v>1029</v>
      </c>
      <c r="BM831" s="7"/>
      <c r="BN831" s="7"/>
      <c r="BO831" s="4"/>
      <c r="BP831" s="8"/>
      <c r="BQ831" s="4"/>
      <c r="BR831" s="8"/>
      <c r="BS831" s="7"/>
      <c r="BT831" s="7"/>
      <c r="BU831" s="2" t="s">
        <v>5063</v>
      </c>
      <c r="BV831" s="2" t="s">
        <v>200</v>
      </c>
      <c r="BW831" s="2" t="s">
        <v>200</v>
      </c>
      <c r="BX831" s="2" t="s">
        <v>264</v>
      </c>
      <c r="BY831" s="2" t="s">
        <v>247</v>
      </c>
      <c r="BZ831" s="2" t="s">
        <v>212</v>
      </c>
      <c r="CA831" s="2" t="s">
        <v>5064</v>
      </c>
      <c r="CB831" s="2" t="s">
        <v>1934</v>
      </c>
      <c r="CC831" s="2" t="s">
        <v>213</v>
      </c>
      <c r="CD831" s="2" t="s">
        <v>200</v>
      </c>
      <c r="CE831" s="4">
        <v>7</v>
      </c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</row>
    <row r="832">
      <c r="A832" s="2" t="s">
        <v>5065</v>
      </c>
      <c r="B832" s="2" t="s">
        <v>250</v>
      </c>
      <c r="C832" s="2" t="s">
        <v>3397</v>
      </c>
      <c r="D832" s="2" t="s">
        <v>608</v>
      </c>
      <c r="E832" s="2" t="s">
        <v>5066</v>
      </c>
      <c r="F832" s="2" t="s">
        <v>5067</v>
      </c>
      <c r="G832" s="2" t="s">
        <v>5067</v>
      </c>
      <c r="H832" s="2" t="s">
        <v>5067</v>
      </c>
      <c r="I832" s="2" t="s">
        <v>5068</v>
      </c>
      <c r="J832" s="2" t="s">
        <v>1390</v>
      </c>
      <c r="K832" s="2" t="s">
        <v>857</v>
      </c>
      <c r="L832" s="3">
        <v>35.71</v>
      </c>
      <c r="M832" s="3">
        <v>37.5</v>
      </c>
      <c r="N832" s="3">
        <v>74.99</v>
      </c>
      <c r="O832" s="2" t="s">
        <v>212</v>
      </c>
      <c r="P832" s="2" t="s">
        <v>258</v>
      </c>
      <c r="Q832" s="2" t="s">
        <v>206</v>
      </c>
      <c r="R832" s="2" t="s">
        <v>200</v>
      </c>
      <c r="S832" s="2" t="s">
        <v>5069</v>
      </c>
      <c r="T832" s="2" t="s">
        <v>378</v>
      </c>
      <c r="U832" s="2" t="s">
        <v>270</v>
      </c>
      <c r="V832" s="2" t="s">
        <v>208</v>
      </c>
      <c r="W832" s="2" t="s">
        <v>241</v>
      </c>
      <c r="X832" s="2" t="s">
        <v>200</v>
      </c>
      <c r="Y832" s="2" t="s">
        <v>5070</v>
      </c>
      <c r="Z832" s="4">
        <v>196</v>
      </c>
      <c r="AA832" s="4">
        <f>=ROUNDDOWN(39.2,0)</f>
      </c>
      <c r="AB832" s="5">
        <v>5</v>
      </c>
      <c r="AC832" s="2" t="s">
        <v>200</v>
      </c>
      <c r="AD832" s="4"/>
      <c r="AE832" s="4"/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200</v>
      </c>
      <c r="AM832" s="4"/>
      <c r="AN832" s="4"/>
      <c r="AO832" s="7"/>
      <c r="AP832" s="4"/>
      <c r="AQ832" s="8"/>
      <c r="AR832" s="4"/>
      <c r="AS832" s="8"/>
      <c r="AT832" s="7"/>
      <c r="AU832" s="7"/>
      <c r="AV832" s="4"/>
      <c r="AW832" s="8"/>
      <c r="AX832" s="4"/>
      <c r="AY832" s="8"/>
      <c r="AZ832" s="7"/>
      <c r="BA832" s="7"/>
      <c r="BB832" s="7"/>
      <c r="BC832" s="4" t="s">
        <v>200</v>
      </c>
      <c r="BD832" s="8" t="s">
        <v>200</v>
      </c>
      <c r="BE832" s="4" t="s">
        <v>200</v>
      </c>
      <c r="BF832" s="8" t="s">
        <v>200</v>
      </c>
      <c r="BG832" s="7" t="s">
        <v>200</v>
      </c>
      <c r="BH832" s="7" t="s">
        <v>200</v>
      </c>
      <c r="BI832" s="7"/>
      <c r="BJ832" s="4">
        <v>71</v>
      </c>
      <c r="BK832" s="8">
        <v>2866.46</v>
      </c>
      <c r="BL832" s="2" t="s">
        <v>245</v>
      </c>
      <c r="BM832" s="7"/>
      <c r="BN832" s="7"/>
      <c r="BO832" s="4"/>
      <c r="BP832" s="8"/>
      <c r="BQ832" s="4"/>
      <c r="BR832" s="8"/>
      <c r="BS832" s="7"/>
      <c r="BT832" s="7"/>
      <c r="BU832" s="2" t="s">
        <v>5071</v>
      </c>
      <c r="BV832" s="2" t="s">
        <v>200</v>
      </c>
      <c r="BW832" s="2" t="s">
        <v>200</v>
      </c>
      <c r="BX832" s="2" t="s">
        <v>620</v>
      </c>
      <c r="BY832" s="2" t="s">
        <v>247</v>
      </c>
      <c r="BZ832" s="2" t="s">
        <v>212</v>
      </c>
      <c r="CA832" s="2" t="s">
        <v>5072</v>
      </c>
      <c r="CB832" s="2" t="s">
        <v>458</v>
      </c>
      <c r="CC832" s="2" t="s">
        <v>213</v>
      </c>
      <c r="CD832" s="2" t="s">
        <v>200</v>
      </c>
      <c r="CE832" s="4">
        <v>196</v>
      </c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</row>
    <row r="833">
      <c r="A833" s="2" t="s">
        <v>5073</v>
      </c>
      <c r="B833" s="2" t="s">
        <v>250</v>
      </c>
      <c r="C833" s="2" t="s">
        <v>3397</v>
      </c>
      <c r="D833" s="2" t="s">
        <v>608</v>
      </c>
      <c r="E833" s="2" t="s">
        <v>5066</v>
      </c>
      <c r="F833" s="2" t="s">
        <v>5067</v>
      </c>
      <c r="G833" s="2" t="s">
        <v>5067</v>
      </c>
      <c r="H833" s="2" t="s">
        <v>5067</v>
      </c>
      <c r="I833" s="2" t="s">
        <v>5068</v>
      </c>
      <c r="J833" s="2" t="s">
        <v>612</v>
      </c>
      <c r="K833" s="2" t="s">
        <v>2589</v>
      </c>
      <c r="L833" s="3">
        <v>45.23</v>
      </c>
      <c r="M833" s="3">
        <v>47.49</v>
      </c>
      <c r="N833" s="3">
        <v>94.99</v>
      </c>
      <c r="O833" s="2" t="s">
        <v>212</v>
      </c>
      <c r="P833" s="2" t="s">
        <v>258</v>
      </c>
      <c r="Q833" s="2" t="s">
        <v>206</v>
      </c>
      <c r="R833" s="2" t="s">
        <v>200</v>
      </c>
      <c r="S833" s="2" t="s">
        <v>5074</v>
      </c>
      <c r="T833" s="2" t="s">
        <v>378</v>
      </c>
      <c r="U833" s="2" t="s">
        <v>270</v>
      </c>
      <c r="V833" s="2" t="s">
        <v>208</v>
      </c>
      <c r="W833" s="2" t="s">
        <v>241</v>
      </c>
      <c r="X833" s="2" t="s">
        <v>200</v>
      </c>
      <c r="Y833" s="2" t="s">
        <v>5070</v>
      </c>
      <c r="Z833" s="4">
        <v>9</v>
      </c>
      <c r="AA833" s="4">
        <f>=ROUNDDOWN(1,0)</f>
      </c>
      <c r="AB833" s="5">
        <v>9</v>
      </c>
      <c r="AC833" s="2" t="s">
        <v>853</v>
      </c>
      <c r="AD833" s="4">
        <v>140</v>
      </c>
      <c r="AE833" s="4">
        <v>140</v>
      </c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200</v>
      </c>
      <c r="AM833" s="4"/>
      <c r="AN833" s="4"/>
      <c r="AO833" s="7"/>
      <c r="AP833" s="4"/>
      <c r="AQ833" s="8"/>
      <c r="AR833" s="4"/>
      <c r="AS833" s="8"/>
      <c r="AT833" s="7"/>
      <c r="AU833" s="7"/>
      <c r="AV833" s="4"/>
      <c r="AW833" s="8"/>
      <c r="AX833" s="4"/>
      <c r="AY833" s="8"/>
      <c r="AZ833" s="7"/>
      <c r="BA833" s="7"/>
      <c r="BB833" s="7"/>
      <c r="BC833" s="4" t="s">
        <v>200</v>
      </c>
      <c r="BD833" s="8" t="s">
        <v>200</v>
      </c>
      <c r="BE833" s="4" t="s">
        <v>200</v>
      </c>
      <c r="BF833" s="8" t="s">
        <v>200</v>
      </c>
      <c r="BG833" s="7" t="s">
        <v>200</v>
      </c>
      <c r="BH833" s="7" t="s">
        <v>200</v>
      </c>
      <c r="BI833" s="7"/>
      <c r="BJ833" s="4">
        <v>216</v>
      </c>
      <c r="BK833" s="8">
        <v>11056.84</v>
      </c>
      <c r="BL833" s="2" t="s">
        <v>515</v>
      </c>
      <c r="BM833" s="7"/>
      <c r="BN833" s="7"/>
      <c r="BO833" s="4"/>
      <c r="BP833" s="8"/>
      <c r="BQ833" s="4"/>
      <c r="BR833" s="8"/>
      <c r="BS833" s="7"/>
      <c r="BT833" s="7"/>
      <c r="BU833" s="2" t="s">
        <v>5075</v>
      </c>
      <c r="BV833" s="2" t="s">
        <v>200</v>
      </c>
      <c r="BW833" s="2" t="s">
        <v>200</v>
      </c>
      <c r="BX833" s="2" t="s">
        <v>620</v>
      </c>
      <c r="BY833" s="2" t="s">
        <v>247</v>
      </c>
      <c r="BZ833" s="2" t="s">
        <v>212</v>
      </c>
      <c r="CA833" s="2" t="s">
        <v>5072</v>
      </c>
      <c r="CB833" s="2" t="s">
        <v>5076</v>
      </c>
      <c r="CC833" s="2" t="s">
        <v>213</v>
      </c>
      <c r="CD833" s="2" t="s">
        <v>200</v>
      </c>
      <c r="CE833" s="4">
        <v>9</v>
      </c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>
        <v>140</v>
      </c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</row>
    <row r="834">
      <c r="A834" s="2" t="s">
        <v>5077</v>
      </c>
      <c r="B834" s="2" t="s">
        <v>744</v>
      </c>
      <c r="C834" s="2" t="s">
        <v>607</v>
      </c>
      <c r="D834" s="2" t="s">
        <v>746</v>
      </c>
      <c r="E834" s="2" t="s">
        <v>1422</v>
      </c>
      <c r="F834" s="2" t="s">
        <v>5078</v>
      </c>
      <c r="G834" s="2" t="s">
        <v>5078</v>
      </c>
      <c r="H834" s="2" t="s">
        <v>5078</v>
      </c>
      <c r="I834" s="2" t="s">
        <v>5079</v>
      </c>
      <c r="J834" s="2" t="s">
        <v>711</v>
      </c>
      <c r="K834" s="2" t="s">
        <v>857</v>
      </c>
      <c r="L834" s="3">
        <v>143</v>
      </c>
      <c r="M834" s="3">
        <v>150.15</v>
      </c>
      <c r="N834" s="3">
        <v>299</v>
      </c>
      <c r="O834" s="2" t="s">
        <v>460</v>
      </c>
      <c r="P834" s="2" t="s">
        <v>285</v>
      </c>
      <c r="Q834" s="2" t="s">
        <v>206</v>
      </c>
      <c r="R834" s="2" t="s">
        <v>200</v>
      </c>
      <c r="S834" s="2" t="s">
        <v>200</v>
      </c>
      <c r="T834" s="2" t="s">
        <v>200</v>
      </c>
      <c r="U834" s="2" t="s">
        <v>200</v>
      </c>
      <c r="V834" s="2" t="s">
        <v>616</v>
      </c>
      <c r="W834" s="2" t="s">
        <v>419</v>
      </c>
      <c r="X834" s="2" t="s">
        <v>200</v>
      </c>
      <c r="Y834" s="2" t="s">
        <v>4295</v>
      </c>
      <c r="Z834" s="4">
        <v>545</v>
      </c>
      <c r="AA834" s="4">
        <f>=ROUNDDOWN(545,0)</f>
      </c>
      <c r="AB834" s="5">
        <v>1</v>
      </c>
      <c r="AC834" s="2" t="s">
        <v>200</v>
      </c>
      <c r="AD834" s="4"/>
      <c r="AE834" s="4"/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200</v>
      </c>
      <c r="AM834" s="4"/>
      <c r="AN834" s="4"/>
      <c r="AO834" s="7"/>
      <c r="AP834" s="4"/>
      <c r="AQ834" s="8"/>
      <c r="AR834" s="4"/>
      <c r="AS834" s="8"/>
      <c r="AT834" s="7"/>
      <c r="AU834" s="7"/>
      <c r="AV834" s="4"/>
      <c r="AW834" s="8"/>
      <c r="AX834" s="4"/>
      <c r="AY834" s="8"/>
      <c r="AZ834" s="7"/>
      <c r="BA834" s="7"/>
      <c r="BB834" s="7"/>
      <c r="BC834" s="4"/>
      <c r="BD834" s="8"/>
      <c r="BE834" s="4"/>
      <c r="BF834" s="8"/>
      <c r="BG834" s="7"/>
      <c r="BH834" s="7"/>
      <c r="BI834" s="7"/>
      <c r="BJ834" s="4"/>
      <c r="BK834" s="8"/>
      <c r="BL834" s="2" t="s">
        <v>200</v>
      </c>
      <c r="BM834" s="7"/>
      <c r="BN834" s="7"/>
      <c r="BO834" s="4"/>
      <c r="BP834" s="8"/>
      <c r="BQ834" s="4"/>
      <c r="BR834" s="8"/>
      <c r="BS834" s="7"/>
      <c r="BT834" s="7"/>
      <c r="BU834" s="2" t="s">
        <v>5080</v>
      </c>
      <c r="BV834" s="2" t="s">
        <v>200</v>
      </c>
      <c r="BW834" s="2" t="s">
        <v>200</v>
      </c>
      <c r="BX834" s="2" t="s">
        <v>289</v>
      </c>
      <c r="BY834" s="2" t="s">
        <v>247</v>
      </c>
      <c r="BZ834" s="2" t="s">
        <v>212</v>
      </c>
      <c r="CA834" s="2" t="s">
        <v>1043</v>
      </c>
      <c r="CB834" s="2" t="s">
        <v>5081</v>
      </c>
      <c r="CC834" s="2" t="s">
        <v>213</v>
      </c>
      <c r="CD834" s="2" t="s">
        <v>200</v>
      </c>
      <c r="CE834" s="4"/>
      <c r="CF834" s="4">
        <v>545</v>
      </c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</row>
    <row r="835">
      <c r="A835" s="2" t="s">
        <v>5082</v>
      </c>
      <c r="B835" s="2" t="s">
        <v>744</v>
      </c>
      <c r="C835" s="2" t="s">
        <v>745</v>
      </c>
      <c r="D835" s="2" t="s">
        <v>746</v>
      </c>
      <c r="E835" s="2" t="s">
        <v>1422</v>
      </c>
      <c r="F835" s="2" t="s">
        <v>5083</v>
      </c>
      <c r="G835" s="2" t="s">
        <v>5083</v>
      </c>
      <c r="H835" s="2" t="s">
        <v>5083</v>
      </c>
      <c r="I835" s="2" t="s">
        <v>1422</v>
      </c>
      <c r="J835" s="2" t="s">
        <v>711</v>
      </c>
      <c r="K835" s="2" t="s">
        <v>5084</v>
      </c>
      <c r="L835" s="3">
        <v>85</v>
      </c>
      <c r="M835" s="3">
        <v>89.25</v>
      </c>
      <c r="N835" s="3">
        <v>179</v>
      </c>
      <c r="O835" s="2" t="s">
        <v>460</v>
      </c>
      <c r="P835" s="2" t="s">
        <v>285</v>
      </c>
      <c r="Q835" s="2" t="s">
        <v>206</v>
      </c>
      <c r="R835" s="2" t="s">
        <v>200</v>
      </c>
      <c r="S835" s="2" t="s">
        <v>200</v>
      </c>
      <c r="T835" s="2" t="s">
        <v>200</v>
      </c>
      <c r="U835" s="2" t="s">
        <v>270</v>
      </c>
      <c r="V835" s="2" t="s">
        <v>616</v>
      </c>
      <c r="W835" s="2" t="s">
        <v>712</v>
      </c>
      <c r="X835" s="2" t="s">
        <v>2095</v>
      </c>
      <c r="Y835" s="2" t="s">
        <v>5085</v>
      </c>
      <c r="Z835" s="4">
        <v>172</v>
      </c>
      <c r="AA835" s="4">
        <f>=ROUNDDOWN(573.333333333333,0)</f>
      </c>
      <c r="AB835" s="5">
        <v>0.3</v>
      </c>
      <c r="AC835" s="2" t="s">
        <v>200</v>
      </c>
      <c r="AD835" s="4"/>
      <c r="AE835" s="4"/>
      <c r="AF835" s="6">
        <v>66</v>
      </c>
      <c r="AG835" s="6"/>
      <c r="AH835" s="7">
        <v>1</v>
      </c>
      <c r="AI835" s="4"/>
      <c r="AJ835" s="4">
        <f>=ROUNDDOWN({0},0)</f>
      </c>
      <c r="AK835" s="5"/>
      <c r="AL835" s="2" t="s">
        <v>200</v>
      </c>
      <c r="AM835" s="4"/>
      <c r="AN835" s="4"/>
      <c r="AO835" s="7"/>
      <c r="AP835" s="4"/>
      <c r="AQ835" s="8"/>
      <c r="AR835" s="4"/>
      <c r="AS835" s="8"/>
      <c r="AT835" s="7"/>
      <c r="AU835" s="7"/>
      <c r="AV835" s="4"/>
      <c r="AW835" s="8"/>
      <c r="AX835" s="4"/>
      <c r="AY835" s="8"/>
      <c r="AZ835" s="7"/>
      <c r="BA835" s="7"/>
      <c r="BB835" s="7"/>
      <c r="BC835" s="4"/>
      <c r="BD835" s="8"/>
      <c r="BE835" s="4"/>
      <c r="BF835" s="8"/>
      <c r="BG835" s="7"/>
      <c r="BH835" s="7"/>
      <c r="BI835" s="7"/>
      <c r="BJ835" s="4">
        <v>3</v>
      </c>
      <c r="BK835" s="8">
        <v>85.95</v>
      </c>
      <c r="BL835" s="2" t="s">
        <v>791</v>
      </c>
      <c r="BM835" s="7"/>
      <c r="BN835" s="7"/>
      <c r="BO835" s="4"/>
      <c r="BP835" s="8"/>
      <c r="BQ835" s="4"/>
      <c r="BR835" s="8"/>
      <c r="BS835" s="7"/>
      <c r="BT835" s="7"/>
      <c r="BU835" s="2" t="s">
        <v>5086</v>
      </c>
      <c r="BV835" s="2" t="s">
        <v>200</v>
      </c>
      <c r="BW835" s="2" t="s">
        <v>200</v>
      </c>
      <c r="BX835" s="2" t="s">
        <v>289</v>
      </c>
      <c r="BY835" s="2" t="s">
        <v>247</v>
      </c>
      <c r="BZ835" s="2" t="s">
        <v>212</v>
      </c>
      <c r="CA835" s="2" t="s">
        <v>1039</v>
      </c>
      <c r="CB835" s="2" t="s">
        <v>450</v>
      </c>
      <c r="CC835" s="2" t="s">
        <v>213</v>
      </c>
      <c r="CD835" s="2" t="s">
        <v>200</v>
      </c>
      <c r="CE835" s="4"/>
      <c r="CF835" s="4">
        <v>172</v>
      </c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</row>
    <row r="836">
      <c r="A836" s="2" t="s">
        <v>5087</v>
      </c>
      <c r="B836" s="2" t="s">
        <v>903</v>
      </c>
      <c r="C836" s="2" t="s">
        <v>1759</v>
      </c>
      <c r="D836" s="2" t="s">
        <v>918</v>
      </c>
      <c r="E836" s="2" t="s">
        <v>934</v>
      </c>
      <c r="F836" s="2" t="s">
        <v>5088</v>
      </c>
      <c r="G836" s="2" t="s">
        <v>5088</v>
      </c>
      <c r="H836" s="2" t="s">
        <v>5088</v>
      </c>
      <c r="I836" s="2" t="s">
        <v>5089</v>
      </c>
      <c r="J836" s="2" t="s">
        <v>612</v>
      </c>
      <c r="K836" s="2" t="s">
        <v>733</v>
      </c>
      <c r="L836" s="3">
        <v>68.57</v>
      </c>
      <c r="M836" s="3">
        <v>72</v>
      </c>
      <c r="N836" s="3">
        <v>149.99</v>
      </c>
      <c r="O836" s="2" t="s">
        <v>212</v>
      </c>
      <c r="P836" s="2" t="s">
        <v>205</v>
      </c>
      <c r="Q836" s="2" t="s">
        <v>206</v>
      </c>
      <c r="R836" s="2" t="s">
        <v>200</v>
      </c>
      <c r="S836" s="2" t="s">
        <v>200</v>
      </c>
      <c r="T836" s="2" t="s">
        <v>312</v>
      </c>
      <c r="U836" s="2" t="s">
        <v>615</v>
      </c>
      <c r="V836" s="2" t="s">
        <v>1695</v>
      </c>
      <c r="W836" s="2" t="s">
        <v>200</v>
      </c>
      <c r="X836" s="2" t="s">
        <v>200</v>
      </c>
      <c r="Y836" s="2" t="s">
        <v>200</v>
      </c>
      <c r="Z836" s="4"/>
      <c r="AA836" s="4">
        <f>=ROUNDDOWN({0},0)</f>
      </c>
      <c r="AB836" s="5"/>
      <c r="AC836" s="2" t="s">
        <v>5090</v>
      </c>
      <c r="AD836" s="4">
        <v>64</v>
      </c>
      <c r="AE836" s="4">
        <v>64</v>
      </c>
      <c r="AF836" s="6">
        <v>69</v>
      </c>
      <c r="AG836" s="6"/>
      <c r="AH836" s="7"/>
      <c r="AI836" s="4"/>
      <c r="AJ836" s="4">
        <f>=ROUNDDOWN({0},0)</f>
      </c>
      <c r="AK836" s="5"/>
      <c r="AL836" s="2" t="s">
        <v>200</v>
      </c>
      <c r="AM836" s="4"/>
      <c r="AN836" s="4"/>
      <c r="AO836" s="7"/>
      <c r="AP836" s="4"/>
      <c r="AQ836" s="8"/>
      <c r="AR836" s="4"/>
      <c r="AS836" s="8"/>
      <c r="AT836" s="7"/>
      <c r="AU836" s="7"/>
      <c r="AV836" s="4" t="s">
        <v>200</v>
      </c>
      <c r="AW836" s="8" t="s">
        <v>200</v>
      </c>
      <c r="AX836" s="4" t="s">
        <v>200</v>
      </c>
      <c r="AY836" s="8" t="s">
        <v>200</v>
      </c>
      <c r="AZ836" s="7" t="s">
        <v>200</v>
      </c>
      <c r="BA836" s="7" t="s">
        <v>200</v>
      </c>
      <c r="BB836" s="7"/>
      <c r="BC836" s="4" t="s">
        <v>200</v>
      </c>
      <c r="BD836" s="8" t="s">
        <v>200</v>
      </c>
      <c r="BE836" s="4" t="s">
        <v>200</v>
      </c>
      <c r="BF836" s="8" t="s">
        <v>200</v>
      </c>
      <c r="BG836" s="7" t="s">
        <v>200</v>
      </c>
      <c r="BH836" s="7" t="s">
        <v>200</v>
      </c>
      <c r="BI836" s="7"/>
      <c r="BJ836" s="4"/>
      <c r="BK836" s="8"/>
      <c r="BL836" s="2" t="s">
        <v>200</v>
      </c>
      <c r="BM836" s="7"/>
      <c r="BN836" s="7"/>
      <c r="BO836" s="4"/>
      <c r="BP836" s="8"/>
      <c r="BQ836" s="4"/>
      <c r="BR836" s="8"/>
      <c r="BS836" s="7"/>
      <c r="BT836" s="7"/>
      <c r="BU836" s="2" t="s">
        <v>210</v>
      </c>
      <c r="BV836" s="2" t="s">
        <v>200</v>
      </c>
      <c r="BW836" s="2" t="s">
        <v>200</v>
      </c>
      <c r="BX836" s="2" t="s">
        <v>210</v>
      </c>
      <c r="BY836" s="2" t="s">
        <v>211</v>
      </c>
      <c r="BZ836" s="2" t="s">
        <v>212</v>
      </c>
      <c r="CA836" s="2" t="s">
        <v>200</v>
      </c>
      <c r="CB836" s="2" t="s">
        <v>200</v>
      </c>
      <c r="CC836" s="2" t="s">
        <v>213</v>
      </c>
      <c r="CD836" s="2" t="s">
        <v>200</v>
      </c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>
        <v>64</v>
      </c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</row>
    <row r="837">
      <c r="A837" s="2" t="s">
        <v>5091</v>
      </c>
      <c r="B837" s="2" t="s">
        <v>903</v>
      </c>
      <c r="C837" s="2" t="s">
        <v>1759</v>
      </c>
      <c r="D837" s="2" t="s">
        <v>608</v>
      </c>
      <c r="E837" s="2" t="s">
        <v>609</v>
      </c>
      <c r="F837" s="2" t="s">
        <v>5088</v>
      </c>
      <c r="G837" s="2" t="s">
        <v>5088</v>
      </c>
      <c r="H837" s="2" t="s">
        <v>5088</v>
      </c>
      <c r="I837" s="2" t="s">
        <v>5092</v>
      </c>
      <c r="J837" s="2" t="s">
        <v>297</v>
      </c>
      <c r="K837" s="2" t="s">
        <v>733</v>
      </c>
      <c r="L837" s="3">
        <v>86.85</v>
      </c>
      <c r="M837" s="3">
        <v>91.19</v>
      </c>
      <c r="N837" s="3">
        <v>189.99</v>
      </c>
      <c r="O837" s="2" t="s">
        <v>212</v>
      </c>
      <c r="P837" s="2" t="s">
        <v>205</v>
      </c>
      <c r="Q837" s="2" t="s">
        <v>206</v>
      </c>
      <c r="R837" s="2" t="s">
        <v>200</v>
      </c>
      <c r="S837" s="2" t="s">
        <v>200</v>
      </c>
      <c r="T837" s="2" t="s">
        <v>312</v>
      </c>
      <c r="U837" s="2" t="s">
        <v>662</v>
      </c>
      <c r="V837" s="2" t="s">
        <v>1695</v>
      </c>
      <c r="W837" s="2" t="s">
        <v>200</v>
      </c>
      <c r="X837" s="2" t="s">
        <v>200</v>
      </c>
      <c r="Y837" s="2" t="s">
        <v>200</v>
      </c>
      <c r="Z837" s="4"/>
      <c r="AA837" s="4">
        <f>=ROUNDDOWN({0},0)</f>
      </c>
      <c r="AB837" s="5"/>
      <c r="AC837" s="2" t="s">
        <v>5090</v>
      </c>
      <c r="AD837" s="4">
        <v>108</v>
      </c>
      <c r="AE837" s="4">
        <v>108</v>
      </c>
      <c r="AF837" s="6">
        <v>69</v>
      </c>
      <c r="AG837" s="6"/>
      <c r="AH837" s="7"/>
      <c r="AI837" s="4"/>
      <c r="AJ837" s="4">
        <f>=ROUNDDOWN({0},0)</f>
      </c>
      <c r="AK837" s="5"/>
      <c r="AL837" s="2" t="s">
        <v>200</v>
      </c>
      <c r="AM837" s="4"/>
      <c r="AN837" s="4"/>
      <c r="AO837" s="7"/>
      <c r="AP837" s="4"/>
      <c r="AQ837" s="8"/>
      <c r="AR837" s="4"/>
      <c r="AS837" s="8"/>
      <c r="AT837" s="7"/>
      <c r="AU837" s="7"/>
      <c r="AV837" s="4" t="s">
        <v>200</v>
      </c>
      <c r="AW837" s="8" t="s">
        <v>200</v>
      </c>
      <c r="AX837" s="4" t="s">
        <v>200</v>
      </c>
      <c r="AY837" s="8" t="s">
        <v>200</v>
      </c>
      <c r="AZ837" s="7" t="s">
        <v>200</v>
      </c>
      <c r="BA837" s="7" t="s">
        <v>200</v>
      </c>
      <c r="BB837" s="7"/>
      <c r="BC837" s="4" t="s">
        <v>200</v>
      </c>
      <c r="BD837" s="8" t="s">
        <v>200</v>
      </c>
      <c r="BE837" s="4" t="s">
        <v>200</v>
      </c>
      <c r="BF837" s="8" t="s">
        <v>200</v>
      </c>
      <c r="BG837" s="7" t="s">
        <v>200</v>
      </c>
      <c r="BH837" s="7" t="s">
        <v>200</v>
      </c>
      <c r="BI837" s="7"/>
      <c r="BJ837" s="4"/>
      <c r="BK837" s="8"/>
      <c r="BL837" s="2" t="s">
        <v>200</v>
      </c>
      <c r="BM837" s="7"/>
      <c r="BN837" s="7"/>
      <c r="BO837" s="4"/>
      <c r="BP837" s="8"/>
      <c r="BQ837" s="4"/>
      <c r="BR837" s="8"/>
      <c r="BS837" s="7"/>
      <c r="BT837" s="7"/>
      <c r="BU837" s="2" t="s">
        <v>210</v>
      </c>
      <c r="BV837" s="2" t="s">
        <v>200</v>
      </c>
      <c r="BW837" s="2" t="s">
        <v>200</v>
      </c>
      <c r="BX837" s="2" t="s">
        <v>210</v>
      </c>
      <c r="BY837" s="2" t="s">
        <v>211</v>
      </c>
      <c r="BZ837" s="2" t="s">
        <v>212</v>
      </c>
      <c r="CA837" s="2" t="s">
        <v>200</v>
      </c>
      <c r="CB837" s="2" t="s">
        <v>200</v>
      </c>
      <c r="CC837" s="2" t="s">
        <v>213</v>
      </c>
      <c r="CD837" s="2" t="s">
        <v>200</v>
      </c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>
        <v>108</v>
      </c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</row>
    <row r="838">
      <c r="A838" s="2" t="s">
        <v>5093</v>
      </c>
      <c r="B838" s="2" t="s">
        <v>903</v>
      </c>
      <c r="C838" s="2" t="s">
        <v>1759</v>
      </c>
      <c r="D838" s="2" t="s">
        <v>608</v>
      </c>
      <c r="E838" s="2" t="s">
        <v>609</v>
      </c>
      <c r="F838" s="2" t="s">
        <v>5088</v>
      </c>
      <c r="G838" s="2" t="s">
        <v>5088</v>
      </c>
      <c r="H838" s="2" t="s">
        <v>5088</v>
      </c>
      <c r="I838" s="2" t="s">
        <v>5092</v>
      </c>
      <c r="J838" s="2" t="s">
        <v>302</v>
      </c>
      <c r="K838" s="2" t="s">
        <v>733</v>
      </c>
      <c r="L838" s="3">
        <v>96</v>
      </c>
      <c r="M838" s="3">
        <v>100.8</v>
      </c>
      <c r="N838" s="3">
        <v>209.99</v>
      </c>
      <c r="O838" s="2" t="s">
        <v>212</v>
      </c>
      <c r="P838" s="2" t="s">
        <v>205</v>
      </c>
      <c r="Q838" s="2" t="s">
        <v>206</v>
      </c>
      <c r="R838" s="2" t="s">
        <v>200</v>
      </c>
      <c r="S838" s="2" t="s">
        <v>200</v>
      </c>
      <c r="T838" s="2" t="s">
        <v>312</v>
      </c>
      <c r="U838" s="2" t="s">
        <v>662</v>
      </c>
      <c r="V838" s="2" t="s">
        <v>1695</v>
      </c>
      <c r="W838" s="2" t="s">
        <v>200</v>
      </c>
      <c r="X838" s="2" t="s">
        <v>200</v>
      </c>
      <c r="Y838" s="2" t="s">
        <v>200</v>
      </c>
      <c r="Z838" s="4"/>
      <c r="AA838" s="4">
        <f>=ROUNDDOWN({0},0)</f>
      </c>
      <c r="AB838" s="5"/>
      <c r="AC838" s="2" t="s">
        <v>5090</v>
      </c>
      <c r="AD838" s="4">
        <v>112</v>
      </c>
      <c r="AE838" s="4">
        <v>112</v>
      </c>
      <c r="AF838" s="6">
        <v>69</v>
      </c>
      <c r="AG838" s="6"/>
      <c r="AH838" s="7"/>
      <c r="AI838" s="4"/>
      <c r="AJ838" s="4">
        <f>=ROUNDDOWN({0},0)</f>
      </c>
      <c r="AK838" s="5"/>
      <c r="AL838" s="2" t="s">
        <v>200</v>
      </c>
      <c r="AM838" s="4"/>
      <c r="AN838" s="4"/>
      <c r="AO838" s="7"/>
      <c r="AP838" s="4"/>
      <c r="AQ838" s="8"/>
      <c r="AR838" s="4"/>
      <c r="AS838" s="8"/>
      <c r="AT838" s="7"/>
      <c r="AU838" s="7"/>
      <c r="AV838" s="4" t="s">
        <v>200</v>
      </c>
      <c r="AW838" s="8" t="s">
        <v>200</v>
      </c>
      <c r="AX838" s="4" t="s">
        <v>200</v>
      </c>
      <c r="AY838" s="8" t="s">
        <v>200</v>
      </c>
      <c r="AZ838" s="7" t="s">
        <v>200</v>
      </c>
      <c r="BA838" s="7" t="s">
        <v>200</v>
      </c>
      <c r="BB838" s="7"/>
      <c r="BC838" s="4" t="s">
        <v>200</v>
      </c>
      <c r="BD838" s="8" t="s">
        <v>200</v>
      </c>
      <c r="BE838" s="4" t="s">
        <v>200</v>
      </c>
      <c r="BF838" s="8" t="s">
        <v>200</v>
      </c>
      <c r="BG838" s="7" t="s">
        <v>200</v>
      </c>
      <c r="BH838" s="7" t="s">
        <v>200</v>
      </c>
      <c r="BI838" s="7"/>
      <c r="BJ838" s="4"/>
      <c r="BK838" s="8"/>
      <c r="BL838" s="2" t="s">
        <v>200</v>
      </c>
      <c r="BM838" s="7"/>
      <c r="BN838" s="7"/>
      <c r="BO838" s="4"/>
      <c r="BP838" s="8"/>
      <c r="BQ838" s="4"/>
      <c r="BR838" s="8"/>
      <c r="BS838" s="7"/>
      <c r="BT838" s="7"/>
      <c r="BU838" s="2" t="s">
        <v>210</v>
      </c>
      <c r="BV838" s="2" t="s">
        <v>200</v>
      </c>
      <c r="BW838" s="2" t="s">
        <v>200</v>
      </c>
      <c r="BX838" s="2" t="s">
        <v>210</v>
      </c>
      <c r="BY838" s="2" t="s">
        <v>211</v>
      </c>
      <c r="BZ838" s="2" t="s">
        <v>212</v>
      </c>
      <c r="CA838" s="2" t="s">
        <v>200</v>
      </c>
      <c r="CB838" s="2" t="s">
        <v>200</v>
      </c>
      <c r="CC838" s="2" t="s">
        <v>213</v>
      </c>
      <c r="CD838" s="2" t="s">
        <v>200</v>
      </c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>
        <v>112</v>
      </c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</row>
    <row r="839">
      <c r="A839" s="2" t="s">
        <v>5094</v>
      </c>
      <c r="B839" s="2" t="s">
        <v>903</v>
      </c>
      <c r="C839" s="2" t="s">
        <v>1759</v>
      </c>
      <c r="D839" s="2" t="s">
        <v>918</v>
      </c>
      <c r="E839" s="2" t="s">
        <v>934</v>
      </c>
      <c r="F839" s="2" t="s">
        <v>5088</v>
      </c>
      <c r="G839" s="2" t="s">
        <v>5088</v>
      </c>
      <c r="H839" s="2" t="s">
        <v>5088</v>
      </c>
      <c r="I839" s="2" t="s">
        <v>5089</v>
      </c>
      <c r="J839" s="2" t="s">
        <v>924</v>
      </c>
      <c r="K839" s="2" t="s">
        <v>733</v>
      </c>
      <c r="L839" s="3">
        <v>77.71</v>
      </c>
      <c r="M839" s="3">
        <v>81.6</v>
      </c>
      <c r="N839" s="3">
        <v>169.99</v>
      </c>
      <c r="O839" s="2" t="s">
        <v>212</v>
      </c>
      <c r="P839" s="2" t="s">
        <v>205</v>
      </c>
      <c r="Q839" s="2" t="s">
        <v>206</v>
      </c>
      <c r="R839" s="2" t="s">
        <v>200</v>
      </c>
      <c r="S839" s="2" t="s">
        <v>200</v>
      </c>
      <c r="T839" s="2" t="s">
        <v>312</v>
      </c>
      <c r="U839" s="2" t="s">
        <v>615</v>
      </c>
      <c r="V839" s="2" t="s">
        <v>1695</v>
      </c>
      <c r="W839" s="2" t="s">
        <v>200</v>
      </c>
      <c r="X839" s="2" t="s">
        <v>200</v>
      </c>
      <c r="Y839" s="2" t="s">
        <v>200</v>
      </c>
      <c r="Z839" s="4"/>
      <c r="AA839" s="4">
        <f>=ROUNDDOWN({0},0)</f>
      </c>
      <c r="AB839" s="5"/>
      <c r="AC839" s="2" t="s">
        <v>5090</v>
      </c>
      <c r="AD839" s="4">
        <v>82</v>
      </c>
      <c r="AE839" s="4">
        <v>82</v>
      </c>
      <c r="AF839" s="6">
        <v>69</v>
      </c>
      <c r="AG839" s="6"/>
      <c r="AH839" s="7"/>
      <c r="AI839" s="4"/>
      <c r="AJ839" s="4">
        <f>=ROUNDDOWN({0},0)</f>
      </c>
      <c r="AK839" s="5"/>
      <c r="AL839" s="2" t="s">
        <v>200</v>
      </c>
      <c r="AM839" s="4"/>
      <c r="AN839" s="4"/>
      <c r="AO839" s="7"/>
      <c r="AP839" s="4"/>
      <c r="AQ839" s="8"/>
      <c r="AR839" s="4"/>
      <c r="AS839" s="8"/>
      <c r="AT839" s="7"/>
      <c r="AU839" s="7"/>
      <c r="AV839" s="4" t="s">
        <v>200</v>
      </c>
      <c r="AW839" s="8" t="s">
        <v>200</v>
      </c>
      <c r="AX839" s="4" t="s">
        <v>200</v>
      </c>
      <c r="AY839" s="8" t="s">
        <v>200</v>
      </c>
      <c r="AZ839" s="7" t="s">
        <v>200</v>
      </c>
      <c r="BA839" s="7" t="s">
        <v>200</v>
      </c>
      <c r="BB839" s="7"/>
      <c r="BC839" s="4" t="s">
        <v>200</v>
      </c>
      <c r="BD839" s="8" t="s">
        <v>200</v>
      </c>
      <c r="BE839" s="4" t="s">
        <v>200</v>
      </c>
      <c r="BF839" s="8" t="s">
        <v>200</v>
      </c>
      <c r="BG839" s="7" t="s">
        <v>200</v>
      </c>
      <c r="BH839" s="7" t="s">
        <v>200</v>
      </c>
      <c r="BI839" s="7"/>
      <c r="BJ839" s="4"/>
      <c r="BK839" s="8"/>
      <c r="BL839" s="2" t="s">
        <v>200</v>
      </c>
      <c r="BM839" s="7"/>
      <c r="BN839" s="7"/>
      <c r="BO839" s="4"/>
      <c r="BP839" s="8"/>
      <c r="BQ839" s="4"/>
      <c r="BR839" s="8"/>
      <c r="BS839" s="7"/>
      <c r="BT839" s="7"/>
      <c r="BU839" s="2" t="s">
        <v>210</v>
      </c>
      <c r="BV839" s="2" t="s">
        <v>200</v>
      </c>
      <c r="BW839" s="2" t="s">
        <v>200</v>
      </c>
      <c r="BX839" s="2" t="s">
        <v>210</v>
      </c>
      <c r="BY839" s="2" t="s">
        <v>211</v>
      </c>
      <c r="BZ839" s="2" t="s">
        <v>212</v>
      </c>
      <c r="CA839" s="2" t="s">
        <v>200</v>
      </c>
      <c r="CB839" s="2" t="s">
        <v>200</v>
      </c>
      <c r="CC839" s="2" t="s">
        <v>213</v>
      </c>
      <c r="CD839" s="2" t="s">
        <v>200</v>
      </c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>
        <v>82</v>
      </c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</row>
    <row r="840">
      <c r="A840" s="2" t="s">
        <v>5095</v>
      </c>
      <c r="B840" s="2" t="s">
        <v>903</v>
      </c>
      <c r="C840" s="2" t="s">
        <v>1759</v>
      </c>
      <c r="D840" s="2" t="s">
        <v>608</v>
      </c>
      <c r="E840" s="2" t="s">
        <v>609</v>
      </c>
      <c r="F840" s="2" t="s">
        <v>5088</v>
      </c>
      <c r="G840" s="2" t="s">
        <v>5088</v>
      </c>
      <c r="H840" s="2" t="s">
        <v>5088</v>
      </c>
      <c r="I840" s="2" t="s">
        <v>5092</v>
      </c>
      <c r="J840" s="2" t="s">
        <v>236</v>
      </c>
      <c r="K840" s="2" t="s">
        <v>733</v>
      </c>
      <c r="L840" s="3">
        <v>96</v>
      </c>
      <c r="M840" s="3">
        <v>100.8</v>
      </c>
      <c r="N840" s="3">
        <v>209.99</v>
      </c>
      <c r="O840" s="2" t="s">
        <v>212</v>
      </c>
      <c r="P840" s="2" t="s">
        <v>205</v>
      </c>
      <c r="Q840" s="2" t="s">
        <v>206</v>
      </c>
      <c r="R840" s="2" t="s">
        <v>200</v>
      </c>
      <c r="S840" s="2" t="s">
        <v>200</v>
      </c>
      <c r="T840" s="2" t="s">
        <v>312</v>
      </c>
      <c r="U840" s="2" t="s">
        <v>662</v>
      </c>
      <c r="V840" s="2" t="s">
        <v>1695</v>
      </c>
      <c r="W840" s="2" t="s">
        <v>200</v>
      </c>
      <c r="X840" s="2" t="s">
        <v>200</v>
      </c>
      <c r="Y840" s="2" t="s">
        <v>200</v>
      </c>
      <c r="Z840" s="4"/>
      <c r="AA840" s="4">
        <f>=ROUNDDOWN({0},0)</f>
      </c>
      <c r="AB840" s="5"/>
      <c r="AC840" s="2" t="s">
        <v>5090</v>
      </c>
      <c r="AD840" s="4">
        <v>44</v>
      </c>
      <c r="AE840" s="4">
        <v>44</v>
      </c>
      <c r="AF840" s="6">
        <v>69</v>
      </c>
      <c r="AG840" s="6"/>
      <c r="AH840" s="7"/>
      <c r="AI840" s="4"/>
      <c r="AJ840" s="4">
        <f>=ROUNDDOWN({0},0)</f>
      </c>
      <c r="AK840" s="5"/>
      <c r="AL840" s="2" t="s">
        <v>200</v>
      </c>
      <c r="AM840" s="4"/>
      <c r="AN840" s="4"/>
      <c r="AO840" s="7"/>
      <c r="AP840" s="4"/>
      <c r="AQ840" s="8"/>
      <c r="AR840" s="4"/>
      <c r="AS840" s="8"/>
      <c r="AT840" s="7"/>
      <c r="AU840" s="7"/>
      <c r="AV840" s="4" t="s">
        <v>200</v>
      </c>
      <c r="AW840" s="8" t="s">
        <v>200</v>
      </c>
      <c r="AX840" s="4" t="s">
        <v>200</v>
      </c>
      <c r="AY840" s="8" t="s">
        <v>200</v>
      </c>
      <c r="AZ840" s="7" t="s">
        <v>200</v>
      </c>
      <c r="BA840" s="7" t="s">
        <v>200</v>
      </c>
      <c r="BB840" s="7"/>
      <c r="BC840" s="4" t="s">
        <v>200</v>
      </c>
      <c r="BD840" s="8" t="s">
        <v>200</v>
      </c>
      <c r="BE840" s="4" t="s">
        <v>200</v>
      </c>
      <c r="BF840" s="8" t="s">
        <v>200</v>
      </c>
      <c r="BG840" s="7" t="s">
        <v>200</v>
      </c>
      <c r="BH840" s="7" t="s">
        <v>200</v>
      </c>
      <c r="BI840" s="7"/>
      <c r="BJ840" s="4"/>
      <c r="BK840" s="8"/>
      <c r="BL840" s="2" t="s">
        <v>200</v>
      </c>
      <c r="BM840" s="7"/>
      <c r="BN840" s="7"/>
      <c r="BO840" s="4"/>
      <c r="BP840" s="8"/>
      <c r="BQ840" s="4"/>
      <c r="BR840" s="8"/>
      <c r="BS840" s="7"/>
      <c r="BT840" s="7"/>
      <c r="BU840" s="2" t="s">
        <v>210</v>
      </c>
      <c r="BV840" s="2" t="s">
        <v>200</v>
      </c>
      <c r="BW840" s="2" t="s">
        <v>200</v>
      </c>
      <c r="BX840" s="2" t="s">
        <v>210</v>
      </c>
      <c r="BY840" s="2" t="s">
        <v>211</v>
      </c>
      <c r="BZ840" s="2" t="s">
        <v>212</v>
      </c>
      <c r="CA840" s="2" t="s">
        <v>200</v>
      </c>
      <c r="CB840" s="2" t="s">
        <v>200</v>
      </c>
      <c r="CC840" s="2" t="s">
        <v>213</v>
      </c>
      <c r="CD840" s="2" t="s">
        <v>200</v>
      </c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>
        <v>44</v>
      </c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</row>
    <row r="841">
      <c r="A841" s="2" t="s">
        <v>5096</v>
      </c>
      <c r="B841" s="2" t="s">
        <v>744</v>
      </c>
      <c r="C841" s="2" t="s">
        <v>231</v>
      </c>
      <c r="D841" s="2" t="s">
        <v>746</v>
      </c>
      <c r="E841" s="2" t="s">
        <v>1422</v>
      </c>
      <c r="F841" s="2" t="s">
        <v>5097</v>
      </c>
      <c r="G841" s="2" t="s">
        <v>5098</v>
      </c>
      <c r="H841" s="2" t="s">
        <v>5099</v>
      </c>
      <c r="I841" s="2" t="s">
        <v>5100</v>
      </c>
      <c r="J841" s="2" t="s">
        <v>711</v>
      </c>
      <c r="K841" s="2" t="s">
        <v>1688</v>
      </c>
      <c r="L841" s="3">
        <v>150</v>
      </c>
      <c r="M841" s="3">
        <v>157.5</v>
      </c>
      <c r="N841" s="3">
        <v>319</v>
      </c>
      <c r="O841" s="2" t="s">
        <v>212</v>
      </c>
      <c r="P841" s="2" t="s">
        <v>285</v>
      </c>
      <c r="Q841" s="2" t="s">
        <v>206</v>
      </c>
      <c r="R841" s="2" t="s">
        <v>200</v>
      </c>
      <c r="S841" s="2" t="s">
        <v>200</v>
      </c>
      <c r="T841" s="2" t="s">
        <v>200</v>
      </c>
      <c r="U841" s="2" t="s">
        <v>270</v>
      </c>
      <c r="V841" s="2" t="s">
        <v>616</v>
      </c>
      <c r="W841" s="2" t="s">
        <v>313</v>
      </c>
      <c r="X841" s="2" t="s">
        <v>379</v>
      </c>
      <c r="Y841" s="2" t="s">
        <v>4908</v>
      </c>
      <c r="Z841" s="4">
        <v>308</v>
      </c>
      <c r="AA841" s="4">
        <f>=ROUNDDOWN(77,0)</f>
      </c>
      <c r="AB841" s="5">
        <v>4</v>
      </c>
      <c r="AC841" s="2" t="s">
        <v>200</v>
      </c>
      <c r="AD841" s="4"/>
      <c r="AE841" s="4"/>
      <c r="AF841" s="6">
        <v>69</v>
      </c>
      <c r="AG841" s="6">
        <v>52</v>
      </c>
      <c r="AH841" s="7">
        <v>1</v>
      </c>
      <c r="AI841" s="4"/>
      <c r="AJ841" s="4">
        <f>=ROUNDDOWN({0},0)</f>
      </c>
      <c r="AK841" s="5"/>
      <c r="AL841" s="2" t="s">
        <v>200</v>
      </c>
      <c r="AM841" s="4"/>
      <c r="AN841" s="4"/>
      <c r="AO841" s="7"/>
      <c r="AP841" s="4"/>
      <c r="AQ841" s="8"/>
      <c r="AR841" s="4"/>
      <c r="AS841" s="8"/>
      <c r="AT841" s="7"/>
      <c r="AU841" s="7"/>
      <c r="AV841" s="4"/>
      <c r="AW841" s="8"/>
      <c r="AX841" s="4"/>
      <c r="AY841" s="8"/>
      <c r="AZ841" s="7"/>
      <c r="BA841" s="7"/>
      <c r="BB841" s="7"/>
      <c r="BC841" s="4"/>
      <c r="BD841" s="8"/>
      <c r="BE841" s="4"/>
      <c r="BF841" s="8"/>
      <c r="BG841" s="7"/>
      <c r="BH841" s="7"/>
      <c r="BI841" s="7"/>
      <c r="BJ841" s="4">
        <v>14</v>
      </c>
      <c r="BK841" s="8">
        <v>1524.23</v>
      </c>
      <c r="BL841" s="2" t="s">
        <v>2196</v>
      </c>
      <c r="BM841" s="7"/>
      <c r="BN841" s="7"/>
      <c r="BO841" s="4"/>
      <c r="BP841" s="8"/>
      <c r="BQ841" s="4"/>
      <c r="BR841" s="8"/>
      <c r="BS841" s="7"/>
      <c r="BT841" s="7"/>
      <c r="BU841" s="2" t="s">
        <v>5101</v>
      </c>
      <c r="BV841" s="2" t="s">
        <v>200</v>
      </c>
      <c r="BW841" s="2" t="s">
        <v>200</v>
      </c>
      <c r="BX841" s="2" t="s">
        <v>289</v>
      </c>
      <c r="BY841" s="2" t="s">
        <v>247</v>
      </c>
      <c r="BZ841" s="2" t="s">
        <v>212</v>
      </c>
      <c r="CA841" s="2" t="s">
        <v>4659</v>
      </c>
      <c r="CB841" s="2" t="s">
        <v>5102</v>
      </c>
      <c r="CC841" s="2" t="s">
        <v>213</v>
      </c>
      <c r="CD841" s="2" t="s">
        <v>200</v>
      </c>
      <c r="CE841" s="4"/>
      <c r="CF841" s="4">
        <v>308</v>
      </c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</row>
    <row r="842">
      <c r="A842" s="2" t="s">
        <v>5103</v>
      </c>
      <c r="B842" s="2" t="s">
        <v>250</v>
      </c>
      <c r="C842" s="2" t="s">
        <v>251</v>
      </c>
      <c r="D842" s="2" t="s">
        <v>252</v>
      </c>
      <c r="E842" s="2" t="s">
        <v>374</v>
      </c>
      <c r="F842" s="2" t="s">
        <v>5104</v>
      </c>
      <c r="G842" s="2" t="s">
        <v>5105</v>
      </c>
      <c r="H842" s="2" t="s">
        <v>5105</v>
      </c>
      <c r="I842" s="2" t="s">
        <v>5106</v>
      </c>
      <c r="J842" s="2" t="s">
        <v>269</v>
      </c>
      <c r="K842" s="2" t="s">
        <v>257</v>
      </c>
      <c r="L842" s="3">
        <v>11.43</v>
      </c>
      <c r="M842" s="3">
        <v>12</v>
      </c>
      <c r="N842" s="3">
        <v>21.99</v>
      </c>
      <c r="O842" s="2" t="s">
        <v>212</v>
      </c>
      <c r="P842" s="2" t="s">
        <v>258</v>
      </c>
      <c r="Q842" s="2" t="s">
        <v>206</v>
      </c>
      <c r="R842" s="2" t="s">
        <v>200</v>
      </c>
      <c r="S842" s="2" t="s">
        <v>5107</v>
      </c>
      <c r="T842" s="2" t="s">
        <v>378</v>
      </c>
      <c r="U842" s="2" t="s">
        <v>200</v>
      </c>
      <c r="V842" s="2" t="s">
        <v>208</v>
      </c>
      <c r="W842" s="2" t="s">
        <v>241</v>
      </c>
      <c r="X842" s="2" t="s">
        <v>200</v>
      </c>
      <c r="Y842" s="2" t="s">
        <v>261</v>
      </c>
      <c r="Z842" s="4">
        <v>260</v>
      </c>
      <c r="AA842" s="4">
        <f>=ROUNDDOWN(5.41666666666667,0)</f>
      </c>
      <c r="AB842" s="5">
        <v>48</v>
      </c>
      <c r="AC842" s="2" t="s">
        <v>1674</v>
      </c>
      <c r="AD842" s="4">
        <v>210</v>
      </c>
      <c r="AE842" s="4">
        <v>880</v>
      </c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200</v>
      </c>
      <c r="AM842" s="4"/>
      <c r="AN842" s="4"/>
      <c r="AO842" s="7"/>
      <c r="AP842" s="4"/>
      <c r="AQ842" s="8"/>
      <c r="AR842" s="4"/>
      <c r="AS842" s="8"/>
      <c r="AT842" s="7"/>
      <c r="AU842" s="7"/>
      <c r="AV842" s="4"/>
      <c r="AW842" s="8"/>
      <c r="AX842" s="4"/>
      <c r="AY842" s="8"/>
      <c r="AZ842" s="7"/>
      <c r="BA842" s="7"/>
      <c r="BB842" s="7"/>
      <c r="BC842" s="4"/>
      <c r="BD842" s="8"/>
      <c r="BE842" s="4"/>
      <c r="BF842" s="8"/>
      <c r="BG842" s="7"/>
      <c r="BH842" s="7"/>
      <c r="BI842" s="7"/>
      <c r="BJ842" s="4">
        <v>284</v>
      </c>
      <c r="BK842" s="8">
        <v>4145.86</v>
      </c>
      <c r="BL842" s="2" t="s">
        <v>5108</v>
      </c>
      <c r="BM842" s="7"/>
      <c r="BN842" s="7"/>
      <c r="BO842" s="4"/>
      <c r="BP842" s="8"/>
      <c r="BQ842" s="4"/>
      <c r="BR842" s="8"/>
      <c r="BS842" s="7"/>
      <c r="BT842" s="7"/>
      <c r="BU842" s="2" t="s">
        <v>5109</v>
      </c>
      <c r="BV842" s="2" t="s">
        <v>200</v>
      </c>
      <c r="BW842" s="2" t="s">
        <v>200</v>
      </c>
      <c r="BX842" s="2" t="s">
        <v>264</v>
      </c>
      <c r="BY842" s="2" t="s">
        <v>247</v>
      </c>
      <c r="BZ842" s="2" t="s">
        <v>212</v>
      </c>
      <c r="CA842" s="2" t="s">
        <v>265</v>
      </c>
      <c r="CB842" s="2" t="s">
        <v>1139</v>
      </c>
      <c r="CC842" s="2" t="s">
        <v>213</v>
      </c>
      <c r="CD842" s="2" t="s">
        <v>200</v>
      </c>
      <c r="CE842" s="4">
        <v>214</v>
      </c>
      <c r="CF842" s="4"/>
      <c r="CG842" s="4"/>
      <c r="CH842" s="4">
        <v>46</v>
      </c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>
        <v>210</v>
      </c>
      <c r="DX842" s="4"/>
      <c r="DY842" s="4"/>
      <c r="DZ842" s="4">
        <v>140</v>
      </c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>
        <v>280</v>
      </c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>
        <v>250</v>
      </c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</row>
    <row r="843">
      <c r="A843" s="2" t="s">
        <v>5110</v>
      </c>
      <c r="B843" s="2" t="s">
        <v>744</v>
      </c>
      <c r="C843" s="2" t="s">
        <v>231</v>
      </c>
      <c r="D843" s="2" t="s">
        <v>795</v>
      </c>
      <c r="E843" s="2" t="s">
        <v>1403</v>
      </c>
      <c r="F843" s="2" t="s">
        <v>5111</v>
      </c>
      <c r="G843" s="2" t="s">
        <v>5112</v>
      </c>
      <c r="H843" s="2" t="s">
        <v>5113</v>
      </c>
      <c r="I843" s="2" t="s">
        <v>1407</v>
      </c>
      <c r="J843" s="2" t="s">
        <v>711</v>
      </c>
      <c r="K843" s="2" t="s">
        <v>5114</v>
      </c>
      <c r="L843" s="3">
        <v>270.75</v>
      </c>
      <c r="M843" s="3">
        <v>284.29</v>
      </c>
      <c r="N843" s="3">
        <v>569</v>
      </c>
      <c r="O843" s="2" t="s">
        <v>212</v>
      </c>
      <c r="P843" s="2" t="s">
        <v>750</v>
      </c>
      <c r="Q843" s="2" t="s">
        <v>206</v>
      </c>
      <c r="R843" s="2" t="s">
        <v>200</v>
      </c>
      <c r="S843" s="2" t="s">
        <v>5115</v>
      </c>
      <c r="T843" s="2" t="s">
        <v>200</v>
      </c>
      <c r="U843" s="2" t="s">
        <v>200</v>
      </c>
      <c r="V843" s="2" t="s">
        <v>208</v>
      </c>
      <c r="W843" s="2" t="s">
        <v>419</v>
      </c>
      <c r="X843" s="2" t="s">
        <v>200</v>
      </c>
      <c r="Y843" s="2" t="s">
        <v>5116</v>
      </c>
      <c r="Z843" s="4">
        <v>168</v>
      </c>
      <c r="AA843" s="4">
        <f>=ROUNDDOWN(24,0)</f>
      </c>
      <c r="AB843" s="5">
        <v>7</v>
      </c>
      <c r="AC843" s="2" t="s">
        <v>200</v>
      </c>
      <c r="AD843" s="4"/>
      <c r="AE843" s="4"/>
      <c r="AF843" s="6">
        <v>69</v>
      </c>
      <c r="AG843" s="6">
        <v>52</v>
      </c>
      <c r="AH843" s="7">
        <v>1</v>
      </c>
      <c r="AI843" s="4"/>
      <c r="AJ843" s="4">
        <f>=ROUNDDOWN({0},0)</f>
      </c>
      <c r="AK843" s="5"/>
      <c r="AL843" s="2" t="s">
        <v>200</v>
      </c>
      <c r="AM843" s="4"/>
      <c r="AN843" s="4"/>
      <c r="AO843" s="7"/>
      <c r="AP843" s="4"/>
      <c r="AQ843" s="8"/>
      <c r="AR843" s="4"/>
      <c r="AS843" s="8"/>
      <c r="AT843" s="7"/>
      <c r="AU843" s="7"/>
      <c r="AV843" s="4"/>
      <c r="AW843" s="8"/>
      <c r="AX843" s="4"/>
      <c r="AY843" s="8"/>
      <c r="AZ843" s="7"/>
      <c r="BA843" s="7"/>
      <c r="BB843" s="7"/>
      <c r="BC843" s="4"/>
      <c r="BD843" s="8"/>
      <c r="BE843" s="4"/>
      <c r="BF843" s="8"/>
      <c r="BG843" s="7"/>
      <c r="BH843" s="7"/>
      <c r="BI843" s="7"/>
      <c r="BJ843" s="4">
        <v>75</v>
      </c>
      <c r="BK843" s="8">
        <v>19314.39</v>
      </c>
      <c r="BL843" s="2" t="s">
        <v>5117</v>
      </c>
      <c r="BM843" s="7"/>
      <c r="BN843" s="7"/>
      <c r="BO843" s="4"/>
      <c r="BP843" s="8"/>
      <c r="BQ843" s="4"/>
      <c r="BR843" s="8"/>
      <c r="BS843" s="7"/>
      <c r="BT843" s="7"/>
      <c r="BU843" s="2" t="s">
        <v>5118</v>
      </c>
      <c r="BV843" s="2" t="s">
        <v>200</v>
      </c>
      <c r="BW843" s="2" t="s">
        <v>200</v>
      </c>
      <c r="BX843" s="2" t="s">
        <v>264</v>
      </c>
      <c r="BY843" s="2" t="s">
        <v>247</v>
      </c>
      <c r="BZ843" s="2" t="s">
        <v>212</v>
      </c>
      <c r="CA843" s="2" t="s">
        <v>5119</v>
      </c>
      <c r="CB843" s="2" t="s">
        <v>1079</v>
      </c>
      <c r="CC843" s="2" t="s">
        <v>213</v>
      </c>
      <c r="CD843" s="2" t="s">
        <v>200</v>
      </c>
      <c r="CE843" s="4"/>
      <c r="CF843" s="4">
        <v>168</v>
      </c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</row>
    <row r="844">
      <c r="A844" s="2" t="s">
        <v>5120</v>
      </c>
      <c r="B844" s="2" t="s">
        <v>705</v>
      </c>
      <c r="C844" s="2" t="s">
        <v>745</v>
      </c>
      <c r="D844" s="2" t="s">
        <v>1376</v>
      </c>
      <c r="E844" s="2" t="s">
        <v>1377</v>
      </c>
      <c r="F844" s="2" t="s">
        <v>5121</v>
      </c>
      <c r="G844" s="2" t="s">
        <v>5121</v>
      </c>
      <c r="H844" s="2" t="s">
        <v>5121</v>
      </c>
      <c r="I844" s="2" t="s">
        <v>5122</v>
      </c>
      <c r="J844" s="2" t="s">
        <v>711</v>
      </c>
      <c r="K844" s="2" t="s">
        <v>2110</v>
      </c>
      <c r="L844" s="3">
        <v>129.06</v>
      </c>
      <c r="M844" s="3">
        <v>135.51</v>
      </c>
      <c r="N844" s="3">
        <v>284.99</v>
      </c>
      <c r="O844" s="2" t="s">
        <v>212</v>
      </c>
      <c r="P844" s="2" t="s">
        <v>258</v>
      </c>
      <c r="Q844" s="2" t="s">
        <v>206</v>
      </c>
      <c r="R844" s="2" t="s">
        <v>200</v>
      </c>
      <c r="S844" s="2" t="s">
        <v>200</v>
      </c>
      <c r="T844" s="2" t="s">
        <v>200</v>
      </c>
      <c r="U844" s="2" t="s">
        <v>200</v>
      </c>
      <c r="V844" s="2" t="s">
        <v>616</v>
      </c>
      <c r="W844" s="2" t="s">
        <v>419</v>
      </c>
      <c r="X844" s="2" t="s">
        <v>200</v>
      </c>
      <c r="Y844" s="2" t="s">
        <v>3467</v>
      </c>
      <c r="Z844" s="4">
        <v>54</v>
      </c>
      <c r="AA844" s="4">
        <f>=ROUNDDOWN(27,0)</f>
      </c>
      <c r="AB844" s="5">
        <v>2</v>
      </c>
      <c r="AC844" s="2" t="s">
        <v>200</v>
      </c>
      <c r="AD844" s="4"/>
      <c r="AE844" s="4"/>
      <c r="AF844" s="6">
        <v>63</v>
      </c>
      <c r="AG844" s="6"/>
      <c r="AH844" s="7">
        <v>1</v>
      </c>
      <c r="AI844" s="4"/>
      <c r="AJ844" s="4">
        <f>=ROUNDDOWN({0},0)</f>
      </c>
      <c r="AK844" s="5"/>
      <c r="AL844" s="2" t="s">
        <v>200</v>
      </c>
      <c r="AM844" s="4"/>
      <c r="AN844" s="4"/>
      <c r="AO844" s="7"/>
      <c r="AP844" s="4"/>
      <c r="AQ844" s="8"/>
      <c r="AR844" s="4"/>
      <c r="AS844" s="8"/>
      <c r="AT844" s="7"/>
      <c r="AU844" s="7"/>
      <c r="AV844" s="4"/>
      <c r="AW844" s="8"/>
      <c r="AX844" s="4"/>
      <c r="AY844" s="8"/>
      <c r="AZ844" s="7"/>
      <c r="BA844" s="7"/>
      <c r="BB844" s="7"/>
      <c r="BC844" s="4"/>
      <c r="BD844" s="8"/>
      <c r="BE844" s="4"/>
      <c r="BF844" s="8"/>
      <c r="BG844" s="7"/>
      <c r="BH844" s="7"/>
      <c r="BI844" s="7"/>
      <c r="BJ844" s="4">
        <v>15</v>
      </c>
      <c r="BK844" s="8">
        <v>2103.82</v>
      </c>
      <c r="BL844" s="2" t="s">
        <v>5123</v>
      </c>
      <c r="BM844" s="7"/>
      <c r="BN844" s="7"/>
      <c r="BO844" s="4"/>
      <c r="BP844" s="8"/>
      <c r="BQ844" s="4"/>
      <c r="BR844" s="8"/>
      <c r="BS844" s="7"/>
      <c r="BT844" s="7"/>
      <c r="BU844" s="2" t="s">
        <v>5124</v>
      </c>
      <c r="BV844" s="2" t="s">
        <v>200</v>
      </c>
      <c r="BW844" s="2" t="s">
        <v>200</v>
      </c>
      <c r="BX844" s="2" t="s">
        <v>264</v>
      </c>
      <c r="BY844" s="2" t="s">
        <v>247</v>
      </c>
      <c r="BZ844" s="2" t="s">
        <v>212</v>
      </c>
      <c r="CA844" s="2" t="s">
        <v>3746</v>
      </c>
      <c r="CB844" s="2" t="s">
        <v>5125</v>
      </c>
      <c r="CC844" s="2" t="s">
        <v>213</v>
      </c>
      <c r="CD844" s="2" t="s">
        <v>200</v>
      </c>
      <c r="CE844" s="4"/>
      <c r="CF844" s="4">
        <v>54</v>
      </c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</row>
    <row r="845">
      <c r="A845" s="2" t="s">
        <v>5126</v>
      </c>
      <c r="B845" s="2" t="s">
        <v>932</v>
      </c>
      <c r="C845" s="2" t="s">
        <v>1252</v>
      </c>
      <c r="D845" s="2" t="s">
        <v>1818</v>
      </c>
      <c r="E845" s="2" t="s">
        <v>2000</v>
      </c>
      <c r="F845" s="2" t="s">
        <v>5127</v>
      </c>
      <c r="G845" s="2" t="s">
        <v>200</v>
      </c>
      <c r="H845" s="2" t="s">
        <v>200</v>
      </c>
      <c r="I845" s="2" t="s">
        <v>5128</v>
      </c>
      <c r="J845" s="2" t="s">
        <v>256</v>
      </c>
      <c r="K845" s="2" t="s">
        <v>2359</v>
      </c>
      <c r="L845" s="3">
        <v>21.64</v>
      </c>
      <c r="M845" s="3">
        <v>22.72</v>
      </c>
      <c r="N845" s="3">
        <v>39.99</v>
      </c>
      <c r="O845" s="2" t="s">
        <v>460</v>
      </c>
      <c r="P845" s="2" t="s">
        <v>1258</v>
      </c>
      <c r="Q845" s="2" t="s">
        <v>206</v>
      </c>
      <c r="R845" s="2" t="s">
        <v>1259</v>
      </c>
      <c r="S845" s="2" t="s">
        <v>200</v>
      </c>
      <c r="T845" s="2" t="s">
        <v>200</v>
      </c>
      <c r="U845" s="2" t="s">
        <v>677</v>
      </c>
      <c r="V845" s="2" t="s">
        <v>616</v>
      </c>
      <c r="W845" s="2" t="s">
        <v>200</v>
      </c>
      <c r="X845" s="2" t="s">
        <v>200</v>
      </c>
      <c r="Y845" s="2" t="s">
        <v>1225</v>
      </c>
      <c r="Z845" s="4">
        <v>28</v>
      </c>
      <c r="AA845" s="4">
        <f>=ROUNDDOWN(46.6666666666667,0)</f>
      </c>
      <c r="AB845" s="5">
        <v>0.6</v>
      </c>
      <c r="AC845" s="2" t="s">
        <v>200</v>
      </c>
      <c r="AD845" s="4"/>
      <c r="AE845" s="4"/>
      <c r="AF845" s="6">
        <v>64</v>
      </c>
      <c r="AG845" s="6"/>
      <c r="AH845" s="7">
        <v>0.9</v>
      </c>
      <c r="AI845" s="4"/>
      <c r="AJ845" s="4">
        <f>=ROUNDDOWN({0},0)</f>
      </c>
      <c r="AK845" s="5"/>
      <c r="AL845" s="2" t="s">
        <v>200</v>
      </c>
      <c r="AM845" s="4"/>
      <c r="AN845" s="4"/>
      <c r="AO845" s="7"/>
      <c r="AP845" s="4"/>
      <c r="AQ845" s="8"/>
      <c r="AR845" s="4"/>
      <c r="AS845" s="8"/>
      <c r="AT845" s="7"/>
      <c r="AU845" s="7"/>
      <c r="AV845" s="4" t="s">
        <v>200</v>
      </c>
      <c r="AW845" s="8" t="s">
        <v>200</v>
      </c>
      <c r="AX845" s="4" t="s">
        <v>200</v>
      </c>
      <c r="AY845" s="8" t="s">
        <v>200</v>
      </c>
      <c r="AZ845" s="7" t="s">
        <v>200</v>
      </c>
      <c r="BA845" s="7" t="s">
        <v>200</v>
      </c>
      <c r="BB845" s="7"/>
      <c r="BC845" s="4" t="s">
        <v>200</v>
      </c>
      <c r="BD845" s="8" t="s">
        <v>200</v>
      </c>
      <c r="BE845" s="4" t="s">
        <v>200</v>
      </c>
      <c r="BF845" s="8" t="s">
        <v>200</v>
      </c>
      <c r="BG845" s="7" t="s">
        <v>200</v>
      </c>
      <c r="BH845" s="7" t="s">
        <v>200</v>
      </c>
      <c r="BI845" s="7"/>
      <c r="BJ845" s="4"/>
      <c r="BK845" s="8"/>
      <c r="BL845" s="2" t="s">
        <v>1261</v>
      </c>
      <c r="BM845" s="7"/>
      <c r="BN845" s="7"/>
      <c r="BO845" s="4"/>
      <c r="BP845" s="8"/>
      <c r="BQ845" s="4"/>
      <c r="BR845" s="8"/>
      <c r="BS845" s="7"/>
      <c r="BT845" s="7"/>
      <c r="BU845" s="2" t="s">
        <v>5129</v>
      </c>
      <c r="BV845" s="2" t="s">
        <v>200</v>
      </c>
      <c r="BW845" s="2" t="s">
        <v>200</v>
      </c>
      <c r="BX845" s="2" t="s">
        <v>289</v>
      </c>
      <c r="BY845" s="2" t="s">
        <v>247</v>
      </c>
      <c r="BZ845" s="2" t="s">
        <v>212</v>
      </c>
      <c r="CA845" s="2" t="s">
        <v>1263</v>
      </c>
      <c r="CB845" s="2" t="s">
        <v>200</v>
      </c>
      <c r="CC845" s="2" t="s">
        <v>213</v>
      </c>
      <c r="CD845" s="2" t="s">
        <v>200</v>
      </c>
      <c r="CE845" s="4">
        <v>28</v>
      </c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</row>
    <row r="846">
      <c r="A846" s="2" t="s">
        <v>5130</v>
      </c>
      <c r="B846" s="2" t="s">
        <v>932</v>
      </c>
      <c r="C846" s="2" t="s">
        <v>1252</v>
      </c>
      <c r="D846" s="2" t="s">
        <v>1818</v>
      </c>
      <c r="E846" s="2" t="s">
        <v>2000</v>
      </c>
      <c r="F846" s="2" t="s">
        <v>5127</v>
      </c>
      <c r="G846" s="2" t="s">
        <v>200</v>
      </c>
      <c r="H846" s="2" t="s">
        <v>200</v>
      </c>
      <c r="I846" s="2" t="s">
        <v>5128</v>
      </c>
      <c r="J846" s="2" t="s">
        <v>297</v>
      </c>
      <c r="K846" s="2" t="s">
        <v>2359</v>
      </c>
      <c r="L846" s="3">
        <v>25.87</v>
      </c>
      <c r="M846" s="3">
        <v>27.16</v>
      </c>
      <c r="N846" s="3">
        <v>44.99</v>
      </c>
      <c r="O846" s="2" t="s">
        <v>460</v>
      </c>
      <c r="P846" s="2" t="s">
        <v>1258</v>
      </c>
      <c r="Q846" s="2" t="s">
        <v>206</v>
      </c>
      <c r="R846" s="2" t="s">
        <v>1259</v>
      </c>
      <c r="S846" s="2" t="s">
        <v>200</v>
      </c>
      <c r="T846" s="2" t="s">
        <v>200</v>
      </c>
      <c r="U846" s="2" t="s">
        <v>454</v>
      </c>
      <c r="V846" s="2" t="s">
        <v>616</v>
      </c>
      <c r="W846" s="2" t="s">
        <v>200</v>
      </c>
      <c r="X846" s="2" t="s">
        <v>200</v>
      </c>
      <c r="Y846" s="2" t="s">
        <v>1225</v>
      </c>
      <c r="Z846" s="4">
        <v>194</v>
      </c>
      <c r="AA846" s="4">
        <f>=ROUNDDOWN(323.333333333333,0)</f>
      </c>
      <c r="AB846" s="5">
        <v>0.6</v>
      </c>
      <c r="AC846" s="2" t="s">
        <v>200</v>
      </c>
      <c r="AD846" s="4"/>
      <c r="AE846" s="4"/>
      <c r="AF846" s="6">
        <v>64</v>
      </c>
      <c r="AG846" s="6"/>
      <c r="AH846" s="7">
        <v>1</v>
      </c>
      <c r="AI846" s="4"/>
      <c r="AJ846" s="4">
        <f>=ROUNDDOWN({0},0)</f>
      </c>
      <c r="AK846" s="5"/>
      <c r="AL846" s="2" t="s">
        <v>200</v>
      </c>
      <c r="AM846" s="4"/>
      <c r="AN846" s="4"/>
      <c r="AO846" s="7"/>
      <c r="AP846" s="4"/>
      <c r="AQ846" s="8"/>
      <c r="AR846" s="4"/>
      <c r="AS846" s="8"/>
      <c r="AT846" s="7"/>
      <c r="AU846" s="7"/>
      <c r="AV846" s="4" t="s">
        <v>200</v>
      </c>
      <c r="AW846" s="8" t="s">
        <v>200</v>
      </c>
      <c r="AX846" s="4" t="s">
        <v>200</v>
      </c>
      <c r="AY846" s="8" t="s">
        <v>200</v>
      </c>
      <c r="AZ846" s="7" t="s">
        <v>200</v>
      </c>
      <c r="BA846" s="7" t="s">
        <v>200</v>
      </c>
      <c r="BB846" s="7"/>
      <c r="BC846" s="4" t="s">
        <v>200</v>
      </c>
      <c r="BD846" s="8" t="s">
        <v>200</v>
      </c>
      <c r="BE846" s="4" t="s">
        <v>200</v>
      </c>
      <c r="BF846" s="8" t="s">
        <v>200</v>
      </c>
      <c r="BG846" s="7" t="s">
        <v>200</v>
      </c>
      <c r="BH846" s="7" t="s">
        <v>200</v>
      </c>
      <c r="BI846" s="7"/>
      <c r="BJ846" s="4">
        <v>3</v>
      </c>
      <c r="BK846" s="8">
        <v>46.56</v>
      </c>
      <c r="BL846" s="2" t="s">
        <v>1261</v>
      </c>
      <c r="BM846" s="7"/>
      <c r="BN846" s="7"/>
      <c r="BO846" s="4"/>
      <c r="BP846" s="8"/>
      <c r="BQ846" s="4"/>
      <c r="BR846" s="8"/>
      <c r="BS846" s="7"/>
      <c r="BT846" s="7"/>
      <c r="BU846" s="2" t="s">
        <v>5131</v>
      </c>
      <c r="BV846" s="2" t="s">
        <v>200</v>
      </c>
      <c r="BW846" s="2" t="s">
        <v>200</v>
      </c>
      <c r="BX846" s="2" t="s">
        <v>264</v>
      </c>
      <c r="BY846" s="2" t="s">
        <v>247</v>
      </c>
      <c r="BZ846" s="2" t="s">
        <v>212</v>
      </c>
      <c r="CA846" s="2" t="s">
        <v>1263</v>
      </c>
      <c r="CB846" s="2" t="s">
        <v>200</v>
      </c>
      <c r="CC846" s="2" t="s">
        <v>213</v>
      </c>
      <c r="CD846" s="2" t="s">
        <v>200</v>
      </c>
      <c r="CE846" s="4"/>
      <c r="CF846" s="4"/>
      <c r="CG846" s="4"/>
      <c r="CH846" s="4">
        <v>194</v>
      </c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</row>
    <row r="847">
      <c r="A847" s="2" t="s">
        <v>5132</v>
      </c>
      <c r="B847" s="2" t="s">
        <v>903</v>
      </c>
      <c r="C847" s="2" t="s">
        <v>1894</v>
      </c>
      <c r="D847" s="2" t="s">
        <v>1818</v>
      </c>
      <c r="E847" s="2" t="s">
        <v>5133</v>
      </c>
      <c r="F847" s="2" t="s">
        <v>2245</v>
      </c>
      <c r="G847" s="2" t="s">
        <v>2245</v>
      </c>
      <c r="H847" s="2" t="s">
        <v>2245</v>
      </c>
      <c r="I847" s="2" t="s">
        <v>5134</v>
      </c>
      <c r="J847" s="2" t="s">
        <v>924</v>
      </c>
      <c r="K847" s="2" t="s">
        <v>416</v>
      </c>
      <c r="L847" s="3">
        <v>59.42</v>
      </c>
      <c r="M847" s="3">
        <v>62.39</v>
      </c>
      <c r="N847" s="3">
        <v>129.99</v>
      </c>
      <c r="O847" s="2" t="s">
        <v>417</v>
      </c>
      <c r="P847" s="2" t="s">
        <v>285</v>
      </c>
      <c r="Q847" s="2" t="s">
        <v>206</v>
      </c>
      <c r="R847" s="2" t="s">
        <v>200</v>
      </c>
      <c r="S847" s="2" t="s">
        <v>5135</v>
      </c>
      <c r="T847" s="2" t="s">
        <v>312</v>
      </c>
      <c r="U847" s="2" t="s">
        <v>454</v>
      </c>
      <c r="V847" s="2" t="s">
        <v>885</v>
      </c>
      <c r="W847" s="2" t="s">
        <v>1900</v>
      </c>
      <c r="X847" s="2" t="s">
        <v>1271</v>
      </c>
      <c r="Y847" s="2" t="s">
        <v>5136</v>
      </c>
      <c r="Z847" s="4">
        <v>94</v>
      </c>
      <c r="AA847" s="4">
        <f>=ROUNDDOWN(78.3333333333333,0)</f>
      </c>
      <c r="AB847" s="5">
        <v>1.2</v>
      </c>
      <c r="AC847" s="2" t="s">
        <v>200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200</v>
      </c>
      <c r="AM847" s="4"/>
      <c r="AN847" s="4"/>
      <c r="AO847" s="7"/>
      <c r="AP847" s="4"/>
      <c r="AQ847" s="8"/>
      <c r="AR847" s="4"/>
      <c r="AS847" s="8"/>
      <c r="AT847" s="7"/>
      <c r="AU847" s="7"/>
      <c r="AV847" s="4"/>
      <c r="AW847" s="8"/>
      <c r="AX847" s="4"/>
      <c r="AY847" s="8"/>
      <c r="AZ847" s="7"/>
      <c r="BA847" s="7"/>
      <c r="BB847" s="7"/>
      <c r="BC847" s="4"/>
      <c r="BD847" s="8"/>
      <c r="BE847" s="4"/>
      <c r="BF847" s="8"/>
      <c r="BG847" s="7"/>
      <c r="BH847" s="7"/>
      <c r="BI847" s="7"/>
      <c r="BJ847" s="4">
        <v>4</v>
      </c>
      <c r="BK847" s="8">
        <v>159.81</v>
      </c>
      <c r="BL847" s="2" t="s">
        <v>1111</v>
      </c>
      <c r="BM847" s="7"/>
      <c r="BN847" s="7"/>
      <c r="BO847" s="4"/>
      <c r="BP847" s="8"/>
      <c r="BQ847" s="4"/>
      <c r="BR847" s="8"/>
      <c r="BS847" s="7"/>
      <c r="BT847" s="7"/>
      <c r="BU847" s="2" t="s">
        <v>5137</v>
      </c>
      <c r="BV847" s="2" t="s">
        <v>200</v>
      </c>
      <c r="BW847" s="2" t="s">
        <v>200</v>
      </c>
      <c r="BX847" s="2" t="s">
        <v>289</v>
      </c>
      <c r="BY847" s="2" t="s">
        <v>247</v>
      </c>
      <c r="BZ847" s="2" t="s">
        <v>212</v>
      </c>
      <c r="CA847" s="2" t="s">
        <v>5138</v>
      </c>
      <c r="CB847" s="2" t="s">
        <v>5139</v>
      </c>
      <c r="CC847" s="2" t="s">
        <v>213</v>
      </c>
      <c r="CD847" s="2" t="s">
        <v>200</v>
      </c>
      <c r="CE847" s="4">
        <v>94</v>
      </c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</row>
    <row r="848">
      <c r="A848" s="2" t="s">
        <v>5140</v>
      </c>
      <c r="B848" s="2" t="s">
        <v>195</v>
      </c>
      <c r="C848" s="2" t="s">
        <v>1894</v>
      </c>
      <c r="D848" s="2" t="s">
        <v>608</v>
      </c>
      <c r="E848" s="2" t="s">
        <v>609</v>
      </c>
      <c r="F848" s="2" t="s">
        <v>5141</v>
      </c>
      <c r="G848" s="2" t="s">
        <v>5141</v>
      </c>
      <c r="H848" s="2" t="s">
        <v>5141</v>
      </c>
      <c r="I848" s="2" t="s">
        <v>3808</v>
      </c>
      <c r="J848" s="2" t="s">
        <v>256</v>
      </c>
      <c r="K848" s="2" t="s">
        <v>5142</v>
      </c>
      <c r="L848" s="3">
        <v>28.57</v>
      </c>
      <c r="M848" s="3">
        <v>30</v>
      </c>
      <c r="N848" s="3">
        <v>59.99</v>
      </c>
      <c r="O848" s="2" t="s">
        <v>460</v>
      </c>
      <c r="P848" s="2" t="s">
        <v>285</v>
      </c>
      <c r="Q848" s="2" t="s">
        <v>206</v>
      </c>
      <c r="R848" s="2" t="s">
        <v>200</v>
      </c>
      <c r="S848" s="2" t="s">
        <v>5143</v>
      </c>
      <c r="T848" s="2" t="s">
        <v>4273</v>
      </c>
      <c r="U848" s="2" t="s">
        <v>454</v>
      </c>
      <c r="V848" s="2" t="s">
        <v>1198</v>
      </c>
      <c r="W848" s="2" t="s">
        <v>1271</v>
      </c>
      <c r="X848" s="2" t="s">
        <v>736</v>
      </c>
      <c r="Y848" s="2" t="s">
        <v>5144</v>
      </c>
      <c r="Z848" s="4">
        <v>57</v>
      </c>
      <c r="AA848" s="4">
        <f>=ROUNDDOWN(47.5,0)</f>
      </c>
      <c r="AB848" s="5">
        <v>1.2</v>
      </c>
      <c r="AC848" s="2" t="s">
        <v>200</v>
      </c>
      <c r="AD848" s="4"/>
      <c r="AE848" s="4"/>
      <c r="AF848" s="6">
        <v>66</v>
      </c>
      <c r="AG848" s="6"/>
      <c r="AH848" s="7">
        <v>1</v>
      </c>
      <c r="AI848" s="4"/>
      <c r="AJ848" s="4">
        <f>=ROUNDDOWN({0},0)</f>
      </c>
      <c r="AK848" s="5"/>
      <c r="AL848" s="2" t="s">
        <v>200</v>
      </c>
      <c r="AM848" s="4"/>
      <c r="AN848" s="4"/>
      <c r="AO848" s="7"/>
      <c r="AP848" s="4"/>
      <c r="AQ848" s="8"/>
      <c r="AR848" s="4"/>
      <c r="AS848" s="8"/>
      <c r="AT848" s="7"/>
      <c r="AU848" s="7"/>
      <c r="AV848" s="4"/>
      <c r="AW848" s="8"/>
      <c r="AX848" s="4"/>
      <c r="AY848" s="8"/>
      <c r="AZ848" s="7"/>
      <c r="BA848" s="7"/>
      <c r="BB848" s="7"/>
      <c r="BC848" s="4"/>
      <c r="BD848" s="8"/>
      <c r="BE848" s="4"/>
      <c r="BF848" s="8"/>
      <c r="BG848" s="7"/>
      <c r="BH848" s="7"/>
      <c r="BI848" s="7"/>
      <c r="BJ848" s="4">
        <v>17</v>
      </c>
      <c r="BK848" s="8">
        <v>357.2</v>
      </c>
      <c r="BL848" s="2" t="s">
        <v>5145</v>
      </c>
      <c r="BM848" s="7"/>
      <c r="BN848" s="7"/>
      <c r="BO848" s="4"/>
      <c r="BP848" s="8"/>
      <c r="BQ848" s="4"/>
      <c r="BR848" s="8"/>
      <c r="BS848" s="7"/>
      <c r="BT848" s="7"/>
      <c r="BU848" s="2" t="s">
        <v>5146</v>
      </c>
      <c r="BV848" s="2" t="s">
        <v>200</v>
      </c>
      <c r="BW848" s="2" t="s">
        <v>200</v>
      </c>
      <c r="BX848" s="2" t="s">
        <v>289</v>
      </c>
      <c r="BY848" s="2" t="s">
        <v>247</v>
      </c>
      <c r="BZ848" s="2" t="s">
        <v>212</v>
      </c>
      <c r="CA848" s="2" t="s">
        <v>5147</v>
      </c>
      <c r="CB848" s="2" t="s">
        <v>5148</v>
      </c>
      <c r="CC848" s="2" t="s">
        <v>213</v>
      </c>
      <c r="CD848" s="2" t="s">
        <v>200</v>
      </c>
      <c r="CE848" s="4">
        <v>57</v>
      </c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</row>
    <row r="849">
      <c r="A849" s="2" t="s">
        <v>5149</v>
      </c>
      <c r="B849" s="2" t="s">
        <v>719</v>
      </c>
      <c r="C849" s="2" t="s">
        <v>1839</v>
      </c>
      <c r="D849" s="2" t="s">
        <v>720</v>
      </c>
      <c r="E849" s="2" t="s">
        <v>721</v>
      </c>
      <c r="F849" s="2" t="s">
        <v>5150</v>
      </c>
      <c r="G849" s="2" t="s">
        <v>5150</v>
      </c>
      <c r="H849" s="2" t="s">
        <v>5150</v>
      </c>
      <c r="I849" s="2" t="s">
        <v>5151</v>
      </c>
      <c r="J849" s="2" t="s">
        <v>711</v>
      </c>
      <c r="K849" s="2" t="s">
        <v>5040</v>
      </c>
      <c r="L849" s="3">
        <v>27.2</v>
      </c>
      <c r="M849" s="3">
        <v>28.56</v>
      </c>
      <c r="N849" s="3">
        <v>59.49</v>
      </c>
      <c r="O849" s="2" t="s">
        <v>417</v>
      </c>
      <c r="P849" s="2" t="s">
        <v>285</v>
      </c>
      <c r="Q849" s="2" t="s">
        <v>206</v>
      </c>
      <c r="R849" s="2" t="s">
        <v>200</v>
      </c>
      <c r="S849" s="2" t="s">
        <v>200</v>
      </c>
      <c r="T849" s="2" t="s">
        <v>200</v>
      </c>
      <c r="U849" s="2" t="s">
        <v>677</v>
      </c>
      <c r="V849" s="2" t="s">
        <v>616</v>
      </c>
      <c r="W849" s="2" t="s">
        <v>241</v>
      </c>
      <c r="X849" s="2" t="s">
        <v>200</v>
      </c>
      <c r="Y849" s="2" t="s">
        <v>1616</v>
      </c>
      <c r="Z849" s="4"/>
      <c r="AA849" s="4">
        <f>=ROUNDDOWN({0},0)</f>
      </c>
      <c r="AB849" s="5">
        <v>2</v>
      </c>
      <c r="AC849" s="2" t="s">
        <v>200</v>
      </c>
      <c r="AD849" s="4"/>
      <c r="AE849" s="4"/>
      <c r="AF849" s="6">
        <v>63</v>
      </c>
      <c r="AG849" s="6"/>
      <c r="AH849" s="7">
        <v>0.8667</v>
      </c>
      <c r="AI849" s="4"/>
      <c r="AJ849" s="4">
        <f>=ROUNDDOWN({0},0)</f>
      </c>
      <c r="AK849" s="5"/>
      <c r="AL849" s="2" t="s">
        <v>200</v>
      </c>
      <c r="AM849" s="4"/>
      <c r="AN849" s="4"/>
      <c r="AO849" s="7"/>
      <c r="AP849" s="4"/>
      <c r="AQ849" s="8"/>
      <c r="AR849" s="4"/>
      <c r="AS849" s="8"/>
      <c r="AT849" s="7"/>
      <c r="AU849" s="7"/>
      <c r="AV849" s="4"/>
      <c r="AW849" s="8"/>
      <c r="AX849" s="4"/>
      <c r="AY849" s="8"/>
      <c r="AZ849" s="7"/>
      <c r="BA849" s="7"/>
      <c r="BB849" s="7"/>
      <c r="BC849" s="4"/>
      <c r="BD849" s="8"/>
      <c r="BE849" s="4"/>
      <c r="BF849" s="8"/>
      <c r="BG849" s="7"/>
      <c r="BH849" s="7"/>
      <c r="BI849" s="7"/>
      <c r="BJ849" s="4">
        <v>2</v>
      </c>
      <c r="BK849" s="8">
        <v>52.34</v>
      </c>
      <c r="BL849" s="2" t="s">
        <v>5152</v>
      </c>
      <c r="BM849" s="7"/>
      <c r="BN849" s="7"/>
      <c r="BO849" s="4"/>
      <c r="BP849" s="8"/>
      <c r="BQ849" s="4"/>
      <c r="BR849" s="8"/>
      <c r="BS849" s="7"/>
      <c r="BT849" s="7"/>
      <c r="BU849" s="2" t="s">
        <v>5153</v>
      </c>
      <c r="BV849" s="2" t="s">
        <v>200</v>
      </c>
      <c r="BW849" s="2" t="s">
        <v>200</v>
      </c>
      <c r="BX849" s="2" t="s">
        <v>289</v>
      </c>
      <c r="BY849" s="2" t="s">
        <v>247</v>
      </c>
      <c r="BZ849" s="2" t="s">
        <v>212</v>
      </c>
      <c r="CA849" s="2" t="s">
        <v>4846</v>
      </c>
      <c r="CB849" s="2" t="s">
        <v>200</v>
      </c>
      <c r="CC849" s="2" t="s">
        <v>213</v>
      </c>
      <c r="CD849" s="2" t="s">
        <v>200</v>
      </c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</row>
    <row r="850">
      <c r="A850" s="2" t="s">
        <v>5154</v>
      </c>
      <c r="B850" s="2" t="s">
        <v>744</v>
      </c>
      <c r="C850" s="2" t="s">
        <v>231</v>
      </c>
      <c r="D850" s="2" t="s">
        <v>1275</v>
      </c>
      <c r="E850" s="2" t="s">
        <v>1276</v>
      </c>
      <c r="F850" s="2" t="s">
        <v>5155</v>
      </c>
      <c r="G850" s="2" t="s">
        <v>3185</v>
      </c>
      <c r="H850" s="2" t="s">
        <v>3763</v>
      </c>
      <c r="I850" s="2" t="s">
        <v>5156</v>
      </c>
      <c r="J850" s="2" t="s">
        <v>711</v>
      </c>
      <c r="K850" s="2" t="s">
        <v>387</v>
      </c>
      <c r="L850" s="3">
        <v>205</v>
      </c>
      <c r="M850" s="3">
        <v>215.25</v>
      </c>
      <c r="N850" s="3">
        <v>429</v>
      </c>
      <c r="O850" s="2" t="s">
        <v>460</v>
      </c>
      <c r="P850" s="2" t="s">
        <v>285</v>
      </c>
      <c r="Q850" s="2" t="s">
        <v>206</v>
      </c>
      <c r="R850" s="2" t="s">
        <v>200</v>
      </c>
      <c r="S850" s="2" t="s">
        <v>200</v>
      </c>
      <c r="T850" s="2" t="s">
        <v>200</v>
      </c>
      <c r="U850" s="2" t="s">
        <v>270</v>
      </c>
      <c r="V850" s="2" t="s">
        <v>616</v>
      </c>
      <c r="W850" s="2" t="s">
        <v>379</v>
      </c>
      <c r="X850" s="2" t="s">
        <v>712</v>
      </c>
      <c r="Y850" s="2" t="s">
        <v>5157</v>
      </c>
      <c r="Z850" s="4">
        <v>183</v>
      </c>
      <c r="AA850" s="4">
        <f>=ROUNDDOWN(183,0)</f>
      </c>
      <c r="AB850" s="5">
        <v>1</v>
      </c>
      <c r="AC850" s="2" t="s">
        <v>200</v>
      </c>
      <c r="AD850" s="4"/>
      <c r="AE850" s="4"/>
      <c r="AF850" s="6">
        <v>66</v>
      </c>
      <c r="AG850" s="6"/>
      <c r="AH850" s="7">
        <v>1</v>
      </c>
      <c r="AI850" s="4"/>
      <c r="AJ850" s="4">
        <f>=ROUNDDOWN({0},0)</f>
      </c>
      <c r="AK850" s="5"/>
      <c r="AL850" s="2" t="s">
        <v>200</v>
      </c>
      <c r="AM850" s="4"/>
      <c r="AN850" s="4"/>
      <c r="AO850" s="7"/>
      <c r="AP850" s="4"/>
      <c r="AQ850" s="8"/>
      <c r="AR850" s="4"/>
      <c r="AS850" s="8"/>
      <c r="AT850" s="7"/>
      <c r="AU850" s="7"/>
      <c r="AV850" s="4"/>
      <c r="AW850" s="8"/>
      <c r="AX850" s="4"/>
      <c r="AY850" s="8"/>
      <c r="AZ850" s="7"/>
      <c r="BA850" s="7"/>
      <c r="BB850" s="7"/>
      <c r="BC850" s="4"/>
      <c r="BD850" s="8"/>
      <c r="BE850" s="4"/>
      <c r="BF850" s="8"/>
      <c r="BG850" s="7"/>
      <c r="BH850" s="7"/>
      <c r="BI850" s="7"/>
      <c r="BJ850" s="4">
        <v>4</v>
      </c>
      <c r="BK850" s="8">
        <v>65.68</v>
      </c>
      <c r="BL850" s="2" t="s">
        <v>303</v>
      </c>
      <c r="BM850" s="7"/>
      <c r="BN850" s="7"/>
      <c r="BO850" s="4"/>
      <c r="BP850" s="8"/>
      <c r="BQ850" s="4"/>
      <c r="BR850" s="8"/>
      <c r="BS850" s="7"/>
      <c r="BT850" s="7"/>
      <c r="BU850" s="2" t="s">
        <v>5158</v>
      </c>
      <c r="BV850" s="2" t="s">
        <v>200</v>
      </c>
      <c r="BW850" s="2" t="s">
        <v>200</v>
      </c>
      <c r="BX850" s="2" t="s">
        <v>289</v>
      </c>
      <c r="BY850" s="2" t="s">
        <v>247</v>
      </c>
      <c r="BZ850" s="2" t="s">
        <v>212</v>
      </c>
      <c r="CA850" s="2" t="s">
        <v>5159</v>
      </c>
      <c r="CB850" s="2" t="s">
        <v>5160</v>
      </c>
      <c r="CC850" s="2" t="s">
        <v>213</v>
      </c>
      <c r="CD850" s="2" t="s">
        <v>200</v>
      </c>
      <c r="CE850" s="4"/>
      <c r="CF850" s="4">
        <v>183</v>
      </c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</row>
    <row r="851">
      <c r="A851" s="2" t="s">
        <v>5161</v>
      </c>
      <c r="B851" s="2" t="s">
        <v>2124</v>
      </c>
      <c r="C851" s="2" t="s">
        <v>745</v>
      </c>
      <c r="D851" s="2" t="s">
        <v>2125</v>
      </c>
      <c r="E851" s="2" t="s">
        <v>2126</v>
      </c>
      <c r="F851" s="2" t="s">
        <v>5162</v>
      </c>
      <c r="G851" s="2" t="s">
        <v>5162</v>
      </c>
      <c r="H851" s="2" t="s">
        <v>5162</v>
      </c>
      <c r="I851" s="2" t="s">
        <v>5163</v>
      </c>
      <c r="J851" s="2" t="s">
        <v>5164</v>
      </c>
      <c r="K851" s="2" t="s">
        <v>387</v>
      </c>
      <c r="L851" s="3">
        <v>18.5</v>
      </c>
      <c r="M851" s="3">
        <v>19.42</v>
      </c>
      <c r="N851" s="3">
        <v>39.99</v>
      </c>
      <c r="O851" s="2" t="s">
        <v>212</v>
      </c>
      <c r="P851" s="2" t="s">
        <v>1075</v>
      </c>
      <c r="Q851" s="2" t="s">
        <v>206</v>
      </c>
      <c r="R851" s="2" t="s">
        <v>200</v>
      </c>
      <c r="S851" s="2" t="s">
        <v>200</v>
      </c>
      <c r="T851" s="2" t="s">
        <v>200</v>
      </c>
      <c r="U851" s="2" t="s">
        <v>200</v>
      </c>
      <c r="V851" s="2" t="s">
        <v>208</v>
      </c>
      <c r="W851" s="2" t="s">
        <v>200</v>
      </c>
      <c r="X851" s="2" t="s">
        <v>200</v>
      </c>
      <c r="Y851" s="2" t="s">
        <v>4998</v>
      </c>
      <c r="Z851" s="4">
        <v>376</v>
      </c>
      <c r="AA851" s="4">
        <f>=ROUNDDOWN(34.1818181818182,0)</f>
      </c>
      <c r="AB851" s="5">
        <v>11</v>
      </c>
      <c r="AC851" s="2" t="s">
        <v>200</v>
      </c>
      <c r="AD851" s="4"/>
      <c r="AE851" s="4"/>
      <c r="AF851" s="6"/>
      <c r="AG851" s="6">
        <v>73</v>
      </c>
      <c r="AH851" s="7">
        <v>1</v>
      </c>
      <c r="AI851" s="4"/>
      <c r="AJ851" s="4">
        <f>=ROUNDDOWN({0},0)</f>
      </c>
      <c r="AK851" s="5"/>
      <c r="AL851" s="2" t="s">
        <v>200</v>
      </c>
      <c r="AM851" s="4"/>
      <c r="AN851" s="4"/>
      <c r="AO851" s="7"/>
      <c r="AP851" s="4"/>
      <c r="AQ851" s="8"/>
      <c r="AR851" s="4"/>
      <c r="AS851" s="8"/>
      <c r="AT851" s="7"/>
      <c r="AU851" s="7"/>
      <c r="AV851" s="4"/>
      <c r="AW851" s="8"/>
      <c r="AX851" s="4"/>
      <c r="AY851" s="8"/>
      <c r="AZ851" s="7"/>
      <c r="BA851" s="7"/>
      <c r="BB851" s="7"/>
      <c r="BC851" s="4" t="s">
        <v>200</v>
      </c>
      <c r="BD851" s="8" t="s">
        <v>200</v>
      </c>
      <c r="BE851" s="4" t="s">
        <v>200</v>
      </c>
      <c r="BF851" s="8" t="s">
        <v>200</v>
      </c>
      <c r="BG851" s="7" t="s">
        <v>200</v>
      </c>
      <c r="BH851" s="7" t="s">
        <v>200</v>
      </c>
      <c r="BI851" s="7"/>
      <c r="BJ851" s="4">
        <v>31</v>
      </c>
      <c r="BK851" s="8">
        <v>584.64</v>
      </c>
      <c r="BL851" s="2" t="s">
        <v>5165</v>
      </c>
      <c r="BM851" s="7"/>
      <c r="BN851" s="7"/>
      <c r="BO851" s="4"/>
      <c r="BP851" s="8"/>
      <c r="BQ851" s="4"/>
      <c r="BR851" s="8"/>
      <c r="BS851" s="7"/>
      <c r="BT851" s="7"/>
      <c r="BU851" s="2" t="s">
        <v>5166</v>
      </c>
      <c r="BV851" s="2" t="s">
        <v>200</v>
      </c>
      <c r="BW851" s="2" t="s">
        <v>200</v>
      </c>
      <c r="BX851" s="2" t="s">
        <v>264</v>
      </c>
      <c r="BY851" s="2" t="s">
        <v>247</v>
      </c>
      <c r="BZ851" s="2" t="s">
        <v>212</v>
      </c>
      <c r="CA851" s="2" t="s">
        <v>5167</v>
      </c>
      <c r="CB851" s="2" t="s">
        <v>5168</v>
      </c>
      <c r="CC851" s="2" t="s">
        <v>213</v>
      </c>
      <c r="CD851" s="2" t="s">
        <v>200</v>
      </c>
      <c r="CE851" s="4"/>
      <c r="CF851" s="4"/>
      <c r="CG851" s="4"/>
      <c r="CH851" s="4">
        <v>376</v>
      </c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</row>
    <row r="852">
      <c r="A852" s="2" t="s">
        <v>5169</v>
      </c>
      <c r="B852" s="2" t="s">
        <v>2124</v>
      </c>
      <c r="C852" s="2" t="s">
        <v>745</v>
      </c>
      <c r="D852" s="2" t="s">
        <v>2125</v>
      </c>
      <c r="E852" s="2" t="s">
        <v>2126</v>
      </c>
      <c r="F852" s="2" t="s">
        <v>5162</v>
      </c>
      <c r="G852" s="2" t="s">
        <v>200</v>
      </c>
      <c r="H852" s="2" t="s">
        <v>200</v>
      </c>
      <c r="I852" s="2" t="s">
        <v>5170</v>
      </c>
      <c r="J852" s="2" t="s">
        <v>5171</v>
      </c>
      <c r="K852" s="2" t="s">
        <v>5172</v>
      </c>
      <c r="L852" s="3">
        <v>18.5</v>
      </c>
      <c r="M852" s="3">
        <v>19.42</v>
      </c>
      <c r="N852" s="3">
        <v>39.99</v>
      </c>
      <c r="O852" s="2" t="s">
        <v>212</v>
      </c>
      <c r="P852" s="2" t="s">
        <v>1075</v>
      </c>
      <c r="Q852" s="2" t="s">
        <v>206</v>
      </c>
      <c r="R852" s="2" t="s">
        <v>200</v>
      </c>
      <c r="S852" s="2" t="s">
        <v>200</v>
      </c>
      <c r="T852" s="2" t="s">
        <v>200</v>
      </c>
      <c r="U852" s="2" t="s">
        <v>200</v>
      </c>
      <c r="V852" s="2" t="s">
        <v>208</v>
      </c>
      <c r="W852" s="2" t="s">
        <v>200</v>
      </c>
      <c r="X852" s="2" t="s">
        <v>200</v>
      </c>
      <c r="Y852" s="2" t="s">
        <v>274</v>
      </c>
      <c r="Z852" s="4">
        <v>145</v>
      </c>
      <c r="AA852" s="4">
        <f>=ROUNDDOWN(13.1818181818182,0)</f>
      </c>
      <c r="AB852" s="5">
        <v>11</v>
      </c>
      <c r="AC852" s="2" t="s">
        <v>200</v>
      </c>
      <c r="AD852" s="4"/>
      <c r="AE852" s="4"/>
      <c r="AF852" s="6"/>
      <c r="AG852" s="6">
        <v>73</v>
      </c>
      <c r="AH852" s="7">
        <v>1</v>
      </c>
      <c r="AI852" s="4"/>
      <c r="AJ852" s="4">
        <f>=ROUNDDOWN({0},0)</f>
      </c>
      <c r="AK852" s="5"/>
      <c r="AL852" s="2" t="s">
        <v>200</v>
      </c>
      <c r="AM852" s="4"/>
      <c r="AN852" s="4"/>
      <c r="AO852" s="7"/>
      <c r="AP852" s="4"/>
      <c r="AQ852" s="8"/>
      <c r="AR852" s="4"/>
      <c r="AS852" s="8"/>
      <c r="AT852" s="7"/>
      <c r="AU852" s="7"/>
      <c r="AV852" s="4"/>
      <c r="AW852" s="8"/>
      <c r="AX852" s="4"/>
      <c r="AY852" s="8"/>
      <c r="AZ852" s="7"/>
      <c r="BA852" s="7"/>
      <c r="BB852" s="7"/>
      <c r="BC852" s="4" t="s">
        <v>200</v>
      </c>
      <c r="BD852" s="8" t="s">
        <v>200</v>
      </c>
      <c r="BE852" s="4" t="s">
        <v>200</v>
      </c>
      <c r="BF852" s="8" t="s">
        <v>200</v>
      </c>
      <c r="BG852" s="7" t="s">
        <v>200</v>
      </c>
      <c r="BH852" s="7" t="s">
        <v>200</v>
      </c>
      <c r="BI852" s="7"/>
      <c r="BJ852" s="4">
        <v>39</v>
      </c>
      <c r="BK852" s="8">
        <v>726.19</v>
      </c>
      <c r="BL852" s="2" t="s">
        <v>5173</v>
      </c>
      <c r="BM852" s="7"/>
      <c r="BN852" s="7"/>
      <c r="BO852" s="4"/>
      <c r="BP852" s="8"/>
      <c r="BQ852" s="4"/>
      <c r="BR852" s="8"/>
      <c r="BS852" s="7"/>
      <c r="BT852" s="7"/>
      <c r="BU852" s="2" t="s">
        <v>5174</v>
      </c>
      <c r="BV852" s="2" t="s">
        <v>200</v>
      </c>
      <c r="BW852" s="2" t="s">
        <v>200</v>
      </c>
      <c r="BX852" s="2" t="s">
        <v>264</v>
      </c>
      <c r="BY852" s="2" t="s">
        <v>247</v>
      </c>
      <c r="BZ852" s="2" t="s">
        <v>212</v>
      </c>
      <c r="CA852" s="2" t="s">
        <v>3274</v>
      </c>
      <c r="CB852" s="2" t="s">
        <v>3329</v>
      </c>
      <c r="CC852" s="2" t="s">
        <v>213</v>
      </c>
      <c r="CD852" s="2" t="s">
        <v>200</v>
      </c>
      <c r="CE852" s="4"/>
      <c r="CF852" s="4"/>
      <c r="CG852" s="4"/>
      <c r="CH852" s="4">
        <v>145</v>
      </c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</row>
    <row r="853">
      <c r="A853" s="2" t="s">
        <v>5175</v>
      </c>
      <c r="B853" s="2" t="s">
        <v>2124</v>
      </c>
      <c r="C853" s="2" t="s">
        <v>745</v>
      </c>
      <c r="D853" s="2" t="s">
        <v>2125</v>
      </c>
      <c r="E853" s="2" t="s">
        <v>2126</v>
      </c>
      <c r="F853" s="2" t="s">
        <v>5176</v>
      </c>
      <c r="G853" s="2" t="s">
        <v>5176</v>
      </c>
      <c r="H853" s="2" t="s">
        <v>5176</v>
      </c>
      <c r="I853" s="2" t="s">
        <v>5177</v>
      </c>
      <c r="J853" s="2" t="s">
        <v>5164</v>
      </c>
      <c r="K853" s="2" t="s">
        <v>5178</v>
      </c>
      <c r="L853" s="3">
        <v>18.5</v>
      </c>
      <c r="M853" s="3">
        <v>19.42</v>
      </c>
      <c r="N853" s="3">
        <v>39.99</v>
      </c>
      <c r="O853" s="2" t="s">
        <v>212</v>
      </c>
      <c r="P853" s="2" t="s">
        <v>285</v>
      </c>
      <c r="Q853" s="2" t="s">
        <v>206</v>
      </c>
      <c r="R853" s="2" t="s">
        <v>200</v>
      </c>
      <c r="S853" s="2" t="s">
        <v>200</v>
      </c>
      <c r="T853" s="2" t="s">
        <v>200</v>
      </c>
      <c r="U853" s="2" t="s">
        <v>270</v>
      </c>
      <c r="V853" s="2" t="s">
        <v>616</v>
      </c>
      <c r="W853" s="2" t="s">
        <v>200</v>
      </c>
      <c r="X853" s="2" t="s">
        <v>200</v>
      </c>
      <c r="Y853" s="2" t="s">
        <v>2876</v>
      </c>
      <c r="Z853" s="4">
        <v>684</v>
      </c>
      <c r="AA853" s="4">
        <f>=ROUNDDOWN(58.9655172413793,0)</f>
      </c>
      <c r="AB853" s="5">
        <v>11.6</v>
      </c>
      <c r="AC853" s="2" t="s">
        <v>200</v>
      </c>
      <c r="AD853" s="4"/>
      <c r="AE853" s="4"/>
      <c r="AF853" s="6"/>
      <c r="AG853" s="6"/>
      <c r="AH853" s="7">
        <v>1</v>
      </c>
      <c r="AI853" s="4"/>
      <c r="AJ853" s="4">
        <f>=ROUNDDOWN({0},0)</f>
      </c>
      <c r="AK853" s="5"/>
      <c r="AL853" s="2" t="s">
        <v>200</v>
      </c>
      <c r="AM853" s="4"/>
      <c r="AN853" s="4"/>
      <c r="AO853" s="7"/>
      <c r="AP853" s="4"/>
      <c r="AQ853" s="8"/>
      <c r="AR853" s="4"/>
      <c r="AS853" s="8"/>
      <c r="AT853" s="7"/>
      <c r="AU853" s="7"/>
      <c r="AV853" s="4" t="s">
        <v>200</v>
      </c>
      <c r="AW853" s="8" t="s">
        <v>200</v>
      </c>
      <c r="AX853" s="4" t="s">
        <v>200</v>
      </c>
      <c r="AY853" s="8" t="s">
        <v>200</v>
      </c>
      <c r="AZ853" s="7" t="s">
        <v>200</v>
      </c>
      <c r="BA853" s="7" t="s">
        <v>200</v>
      </c>
      <c r="BB853" s="7"/>
      <c r="BC853" s="4" t="s">
        <v>200</v>
      </c>
      <c r="BD853" s="8" t="s">
        <v>200</v>
      </c>
      <c r="BE853" s="4" t="s">
        <v>200</v>
      </c>
      <c r="BF853" s="8" t="s">
        <v>200</v>
      </c>
      <c r="BG853" s="7" t="s">
        <v>200</v>
      </c>
      <c r="BH853" s="7" t="s">
        <v>200</v>
      </c>
      <c r="BI853" s="7"/>
      <c r="BJ853" s="4">
        <v>40</v>
      </c>
      <c r="BK853" s="8">
        <v>761.92</v>
      </c>
      <c r="BL853" s="2" t="s">
        <v>2633</v>
      </c>
      <c r="BM853" s="7"/>
      <c r="BN853" s="7"/>
      <c r="BO853" s="4"/>
      <c r="BP853" s="8"/>
      <c r="BQ853" s="4"/>
      <c r="BR853" s="8"/>
      <c r="BS853" s="7"/>
      <c r="BT853" s="7"/>
      <c r="BU853" s="2" t="s">
        <v>5179</v>
      </c>
      <c r="BV853" s="2" t="s">
        <v>200</v>
      </c>
      <c r="BW853" s="2" t="s">
        <v>200</v>
      </c>
      <c r="BX853" s="2" t="s">
        <v>289</v>
      </c>
      <c r="BY853" s="2" t="s">
        <v>247</v>
      </c>
      <c r="BZ853" s="2" t="s">
        <v>212</v>
      </c>
      <c r="CA853" s="2" t="s">
        <v>2706</v>
      </c>
      <c r="CB853" s="2" t="s">
        <v>3274</v>
      </c>
      <c r="CC853" s="2" t="s">
        <v>213</v>
      </c>
      <c r="CD853" s="2" t="s">
        <v>200</v>
      </c>
      <c r="CE853" s="4"/>
      <c r="CF853" s="4"/>
      <c r="CG853" s="4"/>
      <c r="CH853" s="4">
        <v>684</v>
      </c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</row>
    <row r="854">
      <c r="A854" s="2" t="s">
        <v>5180</v>
      </c>
      <c r="B854" s="2" t="s">
        <v>2124</v>
      </c>
      <c r="C854" s="2" t="s">
        <v>745</v>
      </c>
      <c r="D854" s="2" t="s">
        <v>2125</v>
      </c>
      <c r="E854" s="2" t="s">
        <v>2126</v>
      </c>
      <c r="F854" s="2" t="s">
        <v>5176</v>
      </c>
      <c r="G854" s="2" t="s">
        <v>5176</v>
      </c>
      <c r="H854" s="2" t="s">
        <v>5176</v>
      </c>
      <c r="I854" s="2" t="s">
        <v>5177</v>
      </c>
      <c r="J854" s="2" t="s">
        <v>5171</v>
      </c>
      <c r="K854" s="2" t="s">
        <v>5178</v>
      </c>
      <c r="L854" s="3">
        <v>18.5</v>
      </c>
      <c r="M854" s="3">
        <v>19.42</v>
      </c>
      <c r="N854" s="3">
        <v>39.99</v>
      </c>
      <c r="O854" s="2" t="s">
        <v>212</v>
      </c>
      <c r="P854" s="2" t="s">
        <v>285</v>
      </c>
      <c r="Q854" s="2" t="s">
        <v>206</v>
      </c>
      <c r="R854" s="2" t="s">
        <v>200</v>
      </c>
      <c r="S854" s="2" t="s">
        <v>200</v>
      </c>
      <c r="T854" s="2" t="s">
        <v>200</v>
      </c>
      <c r="U854" s="2" t="s">
        <v>270</v>
      </c>
      <c r="V854" s="2" t="s">
        <v>616</v>
      </c>
      <c r="W854" s="2" t="s">
        <v>200</v>
      </c>
      <c r="X854" s="2" t="s">
        <v>200</v>
      </c>
      <c r="Y854" s="2" t="s">
        <v>2876</v>
      </c>
      <c r="Z854" s="4">
        <v>376</v>
      </c>
      <c r="AA854" s="4">
        <f>=ROUNDDOWN(36.8627450980392,0)</f>
      </c>
      <c r="AB854" s="5">
        <v>10.2</v>
      </c>
      <c r="AC854" s="2" t="s">
        <v>200</v>
      </c>
      <c r="AD854" s="4"/>
      <c r="AE854" s="4"/>
      <c r="AF854" s="6"/>
      <c r="AG854" s="6"/>
      <c r="AH854" s="7">
        <v>1</v>
      </c>
      <c r="AI854" s="4"/>
      <c r="AJ854" s="4">
        <f>=ROUNDDOWN({0},0)</f>
      </c>
      <c r="AK854" s="5"/>
      <c r="AL854" s="2" t="s">
        <v>200</v>
      </c>
      <c r="AM854" s="4"/>
      <c r="AN854" s="4"/>
      <c r="AO854" s="7"/>
      <c r="AP854" s="4"/>
      <c r="AQ854" s="8"/>
      <c r="AR854" s="4"/>
      <c r="AS854" s="8"/>
      <c r="AT854" s="7"/>
      <c r="AU854" s="7"/>
      <c r="AV854" s="4" t="s">
        <v>200</v>
      </c>
      <c r="AW854" s="8" t="s">
        <v>200</v>
      </c>
      <c r="AX854" s="4" t="s">
        <v>200</v>
      </c>
      <c r="AY854" s="8" t="s">
        <v>200</v>
      </c>
      <c r="AZ854" s="7" t="s">
        <v>200</v>
      </c>
      <c r="BA854" s="7" t="s">
        <v>200</v>
      </c>
      <c r="BB854" s="7"/>
      <c r="BC854" s="4" t="s">
        <v>200</v>
      </c>
      <c r="BD854" s="8" t="s">
        <v>200</v>
      </c>
      <c r="BE854" s="4" t="s">
        <v>200</v>
      </c>
      <c r="BF854" s="8" t="s">
        <v>200</v>
      </c>
      <c r="BG854" s="7" t="s">
        <v>200</v>
      </c>
      <c r="BH854" s="7" t="s">
        <v>200</v>
      </c>
      <c r="BI854" s="7"/>
      <c r="BJ854" s="4">
        <v>36</v>
      </c>
      <c r="BK854" s="8">
        <v>706.05</v>
      </c>
      <c r="BL854" s="2" t="s">
        <v>2633</v>
      </c>
      <c r="BM854" s="7"/>
      <c r="BN854" s="7"/>
      <c r="BO854" s="4"/>
      <c r="BP854" s="8"/>
      <c r="BQ854" s="4"/>
      <c r="BR854" s="8"/>
      <c r="BS854" s="7"/>
      <c r="BT854" s="7"/>
      <c r="BU854" s="2" t="s">
        <v>5181</v>
      </c>
      <c r="BV854" s="2" t="s">
        <v>200</v>
      </c>
      <c r="BW854" s="2" t="s">
        <v>200</v>
      </c>
      <c r="BX854" s="2" t="s">
        <v>289</v>
      </c>
      <c r="BY854" s="2" t="s">
        <v>247</v>
      </c>
      <c r="BZ854" s="2" t="s">
        <v>212</v>
      </c>
      <c r="CA854" s="2" t="s">
        <v>2706</v>
      </c>
      <c r="CB854" s="2" t="s">
        <v>5182</v>
      </c>
      <c r="CC854" s="2" t="s">
        <v>213</v>
      </c>
      <c r="CD854" s="2" t="s">
        <v>200</v>
      </c>
      <c r="CE854" s="4"/>
      <c r="CF854" s="4"/>
      <c r="CG854" s="4"/>
      <c r="CH854" s="4">
        <v>376</v>
      </c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</row>
    <row r="855">
      <c r="A855" s="2" t="s">
        <v>5183</v>
      </c>
      <c r="B855" s="2" t="s">
        <v>2124</v>
      </c>
      <c r="C855" s="2" t="s">
        <v>745</v>
      </c>
      <c r="D855" s="2" t="s">
        <v>2125</v>
      </c>
      <c r="E855" s="2" t="s">
        <v>2126</v>
      </c>
      <c r="F855" s="2" t="s">
        <v>5176</v>
      </c>
      <c r="G855" s="2" t="s">
        <v>5176</v>
      </c>
      <c r="H855" s="2" t="s">
        <v>5176</v>
      </c>
      <c r="I855" s="2" t="s">
        <v>5177</v>
      </c>
      <c r="J855" s="2" t="s">
        <v>5164</v>
      </c>
      <c r="K855" s="2" t="s">
        <v>5184</v>
      </c>
      <c r="L855" s="3">
        <v>18.5</v>
      </c>
      <c r="M855" s="3">
        <v>19.42</v>
      </c>
      <c r="N855" s="3">
        <v>39.99</v>
      </c>
      <c r="O855" s="2" t="s">
        <v>212</v>
      </c>
      <c r="P855" s="2" t="s">
        <v>285</v>
      </c>
      <c r="Q855" s="2" t="s">
        <v>206</v>
      </c>
      <c r="R855" s="2" t="s">
        <v>200</v>
      </c>
      <c r="S855" s="2" t="s">
        <v>200</v>
      </c>
      <c r="T855" s="2" t="s">
        <v>200</v>
      </c>
      <c r="U855" s="2" t="s">
        <v>270</v>
      </c>
      <c r="V855" s="2" t="s">
        <v>616</v>
      </c>
      <c r="W855" s="2" t="s">
        <v>200</v>
      </c>
      <c r="X855" s="2" t="s">
        <v>200</v>
      </c>
      <c r="Y855" s="2" t="s">
        <v>2876</v>
      </c>
      <c r="Z855" s="4">
        <v>620</v>
      </c>
      <c r="AA855" s="4">
        <f>=ROUNDDOWN(131.914893617021,0)</f>
      </c>
      <c r="AB855" s="5">
        <v>4.7</v>
      </c>
      <c r="AC855" s="2" t="s">
        <v>200</v>
      </c>
      <c r="AD855" s="4"/>
      <c r="AE855" s="4"/>
      <c r="AF855" s="6"/>
      <c r="AG855" s="6"/>
      <c r="AH855" s="7">
        <v>1</v>
      </c>
      <c r="AI855" s="4"/>
      <c r="AJ855" s="4">
        <f>=ROUNDDOWN({0},0)</f>
      </c>
      <c r="AK855" s="5"/>
      <c r="AL855" s="2" t="s">
        <v>200</v>
      </c>
      <c r="AM855" s="4"/>
      <c r="AN855" s="4"/>
      <c r="AO855" s="7"/>
      <c r="AP855" s="4"/>
      <c r="AQ855" s="8"/>
      <c r="AR855" s="4"/>
      <c r="AS855" s="8"/>
      <c r="AT855" s="7"/>
      <c r="AU855" s="7"/>
      <c r="AV855" s="4" t="s">
        <v>200</v>
      </c>
      <c r="AW855" s="8" t="s">
        <v>200</v>
      </c>
      <c r="AX855" s="4" t="s">
        <v>200</v>
      </c>
      <c r="AY855" s="8" t="s">
        <v>200</v>
      </c>
      <c r="AZ855" s="7" t="s">
        <v>200</v>
      </c>
      <c r="BA855" s="7" t="s">
        <v>200</v>
      </c>
      <c r="BB855" s="7"/>
      <c r="BC855" s="4" t="s">
        <v>200</v>
      </c>
      <c r="BD855" s="8" t="s">
        <v>200</v>
      </c>
      <c r="BE855" s="4" t="s">
        <v>200</v>
      </c>
      <c r="BF855" s="8" t="s">
        <v>200</v>
      </c>
      <c r="BG855" s="7" t="s">
        <v>200</v>
      </c>
      <c r="BH855" s="7" t="s">
        <v>200</v>
      </c>
      <c r="BI855" s="7"/>
      <c r="BJ855" s="4">
        <v>22</v>
      </c>
      <c r="BK855" s="8">
        <v>408.67</v>
      </c>
      <c r="BL855" s="2" t="s">
        <v>5185</v>
      </c>
      <c r="BM855" s="7"/>
      <c r="BN855" s="7"/>
      <c r="BO855" s="4"/>
      <c r="BP855" s="8"/>
      <c r="BQ855" s="4"/>
      <c r="BR855" s="8"/>
      <c r="BS855" s="7"/>
      <c r="BT855" s="7"/>
      <c r="BU855" s="2" t="s">
        <v>5186</v>
      </c>
      <c r="BV855" s="2" t="s">
        <v>200</v>
      </c>
      <c r="BW855" s="2" t="s">
        <v>200</v>
      </c>
      <c r="BX855" s="2" t="s">
        <v>289</v>
      </c>
      <c r="BY855" s="2" t="s">
        <v>247</v>
      </c>
      <c r="BZ855" s="2" t="s">
        <v>212</v>
      </c>
      <c r="CA855" s="2" t="s">
        <v>2706</v>
      </c>
      <c r="CB855" s="2" t="s">
        <v>2792</v>
      </c>
      <c r="CC855" s="2" t="s">
        <v>213</v>
      </c>
      <c r="CD855" s="2" t="s">
        <v>200</v>
      </c>
      <c r="CE855" s="4"/>
      <c r="CF855" s="4"/>
      <c r="CG855" s="4"/>
      <c r="CH855" s="4">
        <v>620</v>
      </c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</row>
    <row r="856">
      <c r="A856" s="2" t="s">
        <v>5187</v>
      </c>
      <c r="B856" s="2" t="s">
        <v>2124</v>
      </c>
      <c r="C856" s="2" t="s">
        <v>745</v>
      </c>
      <c r="D856" s="2" t="s">
        <v>2125</v>
      </c>
      <c r="E856" s="2" t="s">
        <v>2126</v>
      </c>
      <c r="F856" s="2" t="s">
        <v>5176</v>
      </c>
      <c r="G856" s="2" t="s">
        <v>5176</v>
      </c>
      <c r="H856" s="2" t="s">
        <v>5176</v>
      </c>
      <c r="I856" s="2" t="s">
        <v>5177</v>
      </c>
      <c r="J856" s="2" t="s">
        <v>5171</v>
      </c>
      <c r="K856" s="2" t="s">
        <v>5184</v>
      </c>
      <c r="L856" s="3">
        <v>18.5</v>
      </c>
      <c r="M856" s="3">
        <v>19.42</v>
      </c>
      <c r="N856" s="3">
        <v>39.99</v>
      </c>
      <c r="O856" s="2" t="s">
        <v>212</v>
      </c>
      <c r="P856" s="2" t="s">
        <v>285</v>
      </c>
      <c r="Q856" s="2" t="s">
        <v>206</v>
      </c>
      <c r="R856" s="2" t="s">
        <v>200</v>
      </c>
      <c r="S856" s="2" t="s">
        <v>200</v>
      </c>
      <c r="T856" s="2" t="s">
        <v>200</v>
      </c>
      <c r="U856" s="2" t="s">
        <v>270</v>
      </c>
      <c r="V856" s="2" t="s">
        <v>616</v>
      </c>
      <c r="W856" s="2" t="s">
        <v>200</v>
      </c>
      <c r="X856" s="2" t="s">
        <v>200</v>
      </c>
      <c r="Y856" s="2" t="s">
        <v>2876</v>
      </c>
      <c r="Z856" s="4">
        <v>447</v>
      </c>
      <c r="AA856" s="4">
        <f>=ROUNDDOWN(43.8235294117647,0)</f>
      </c>
      <c r="AB856" s="5">
        <v>10.2</v>
      </c>
      <c r="AC856" s="2" t="s">
        <v>200</v>
      </c>
      <c r="AD856" s="4"/>
      <c r="AE856" s="4"/>
      <c r="AF856" s="6"/>
      <c r="AG856" s="6"/>
      <c r="AH856" s="7">
        <v>1</v>
      </c>
      <c r="AI856" s="4"/>
      <c r="AJ856" s="4">
        <f>=ROUNDDOWN({0},0)</f>
      </c>
      <c r="AK856" s="5"/>
      <c r="AL856" s="2" t="s">
        <v>200</v>
      </c>
      <c r="AM856" s="4"/>
      <c r="AN856" s="4"/>
      <c r="AO856" s="7"/>
      <c r="AP856" s="4"/>
      <c r="AQ856" s="8"/>
      <c r="AR856" s="4"/>
      <c r="AS856" s="8"/>
      <c r="AT856" s="7"/>
      <c r="AU856" s="7"/>
      <c r="AV856" s="4" t="s">
        <v>200</v>
      </c>
      <c r="AW856" s="8" t="s">
        <v>200</v>
      </c>
      <c r="AX856" s="4" t="s">
        <v>200</v>
      </c>
      <c r="AY856" s="8" t="s">
        <v>200</v>
      </c>
      <c r="AZ856" s="7" t="s">
        <v>200</v>
      </c>
      <c r="BA856" s="7" t="s">
        <v>200</v>
      </c>
      <c r="BB856" s="7"/>
      <c r="BC856" s="4" t="s">
        <v>200</v>
      </c>
      <c r="BD856" s="8" t="s">
        <v>200</v>
      </c>
      <c r="BE856" s="4" t="s">
        <v>200</v>
      </c>
      <c r="BF856" s="8" t="s">
        <v>200</v>
      </c>
      <c r="BG856" s="7" t="s">
        <v>200</v>
      </c>
      <c r="BH856" s="7" t="s">
        <v>200</v>
      </c>
      <c r="BI856" s="7"/>
      <c r="BJ856" s="4">
        <v>40</v>
      </c>
      <c r="BK856" s="8">
        <v>769.26</v>
      </c>
      <c r="BL856" s="2" t="s">
        <v>5188</v>
      </c>
      <c r="BM856" s="7"/>
      <c r="BN856" s="7"/>
      <c r="BO856" s="4"/>
      <c r="BP856" s="8"/>
      <c r="BQ856" s="4"/>
      <c r="BR856" s="8"/>
      <c r="BS856" s="7"/>
      <c r="BT856" s="7"/>
      <c r="BU856" s="2" t="s">
        <v>5189</v>
      </c>
      <c r="BV856" s="2" t="s">
        <v>200</v>
      </c>
      <c r="BW856" s="2" t="s">
        <v>200</v>
      </c>
      <c r="BX856" s="2" t="s">
        <v>289</v>
      </c>
      <c r="BY856" s="2" t="s">
        <v>247</v>
      </c>
      <c r="BZ856" s="2" t="s">
        <v>212</v>
      </c>
      <c r="CA856" s="2" t="s">
        <v>2706</v>
      </c>
      <c r="CB856" s="2" t="s">
        <v>1611</v>
      </c>
      <c r="CC856" s="2" t="s">
        <v>213</v>
      </c>
      <c r="CD856" s="2" t="s">
        <v>200</v>
      </c>
      <c r="CE856" s="4"/>
      <c r="CF856" s="4"/>
      <c r="CG856" s="4"/>
      <c r="CH856" s="4">
        <v>447</v>
      </c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</row>
    <row r="857">
      <c r="A857" s="2" t="s">
        <v>5190</v>
      </c>
      <c r="B857" s="2" t="s">
        <v>2124</v>
      </c>
      <c r="C857" s="2" t="s">
        <v>745</v>
      </c>
      <c r="D857" s="2" t="s">
        <v>2125</v>
      </c>
      <c r="E857" s="2" t="s">
        <v>2126</v>
      </c>
      <c r="F857" s="2" t="s">
        <v>5176</v>
      </c>
      <c r="G857" s="2" t="s">
        <v>5176</v>
      </c>
      <c r="H857" s="2" t="s">
        <v>5176</v>
      </c>
      <c r="I857" s="2" t="s">
        <v>5177</v>
      </c>
      <c r="J857" s="2" t="s">
        <v>5164</v>
      </c>
      <c r="K857" s="2" t="s">
        <v>5191</v>
      </c>
      <c r="L857" s="3">
        <v>18.5</v>
      </c>
      <c r="M857" s="3">
        <v>19.42</v>
      </c>
      <c r="N857" s="3">
        <v>39.99</v>
      </c>
      <c r="O857" s="2" t="s">
        <v>212</v>
      </c>
      <c r="P857" s="2" t="s">
        <v>285</v>
      </c>
      <c r="Q857" s="2" t="s">
        <v>206</v>
      </c>
      <c r="R857" s="2" t="s">
        <v>200</v>
      </c>
      <c r="S857" s="2" t="s">
        <v>200</v>
      </c>
      <c r="T857" s="2" t="s">
        <v>200</v>
      </c>
      <c r="U857" s="2" t="s">
        <v>270</v>
      </c>
      <c r="V857" s="2" t="s">
        <v>616</v>
      </c>
      <c r="W857" s="2" t="s">
        <v>200</v>
      </c>
      <c r="X857" s="2" t="s">
        <v>200</v>
      </c>
      <c r="Y857" s="2" t="s">
        <v>2876</v>
      </c>
      <c r="Z857" s="4">
        <v>305</v>
      </c>
      <c r="AA857" s="4">
        <f>=ROUNDDOWN(101.666666666667,0)</f>
      </c>
      <c r="AB857" s="5">
        <v>3</v>
      </c>
      <c r="AC857" s="2" t="s">
        <v>200</v>
      </c>
      <c r="AD857" s="4"/>
      <c r="AE857" s="4"/>
      <c r="AF857" s="6"/>
      <c r="AG857" s="6"/>
      <c r="AH857" s="7">
        <v>1</v>
      </c>
      <c r="AI857" s="4"/>
      <c r="AJ857" s="4">
        <f>=ROUNDDOWN({0},0)</f>
      </c>
      <c r="AK857" s="5"/>
      <c r="AL857" s="2" t="s">
        <v>200</v>
      </c>
      <c r="AM857" s="4"/>
      <c r="AN857" s="4"/>
      <c r="AO857" s="7"/>
      <c r="AP857" s="4"/>
      <c r="AQ857" s="8"/>
      <c r="AR857" s="4"/>
      <c r="AS857" s="8"/>
      <c r="AT857" s="7"/>
      <c r="AU857" s="7"/>
      <c r="AV857" s="4" t="s">
        <v>200</v>
      </c>
      <c r="AW857" s="8" t="s">
        <v>200</v>
      </c>
      <c r="AX857" s="4" t="s">
        <v>200</v>
      </c>
      <c r="AY857" s="8" t="s">
        <v>200</v>
      </c>
      <c r="AZ857" s="7" t="s">
        <v>200</v>
      </c>
      <c r="BA857" s="7" t="s">
        <v>200</v>
      </c>
      <c r="BB857" s="7"/>
      <c r="BC857" s="4" t="s">
        <v>200</v>
      </c>
      <c r="BD857" s="8" t="s">
        <v>200</v>
      </c>
      <c r="BE857" s="4" t="s">
        <v>200</v>
      </c>
      <c r="BF857" s="8" t="s">
        <v>200</v>
      </c>
      <c r="BG857" s="7" t="s">
        <v>200</v>
      </c>
      <c r="BH857" s="7" t="s">
        <v>200</v>
      </c>
      <c r="BI857" s="7"/>
      <c r="BJ857" s="4">
        <v>9</v>
      </c>
      <c r="BK857" s="8">
        <v>154.94</v>
      </c>
      <c r="BL857" s="2" t="s">
        <v>2610</v>
      </c>
      <c r="BM857" s="7"/>
      <c r="BN857" s="7"/>
      <c r="BO857" s="4"/>
      <c r="BP857" s="8"/>
      <c r="BQ857" s="4"/>
      <c r="BR857" s="8"/>
      <c r="BS857" s="7"/>
      <c r="BT857" s="7"/>
      <c r="BU857" s="2" t="s">
        <v>5192</v>
      </c>
      <c r="BV857" s="2" t="s">
        <v>200</v>
      </c>
      <c r="BW857" s="2" t="s">
        <v>200</v>
      </c>
      <c r="BX857" s="2" t="s">
        <v>289</v>
      </c>
      <c r="BY857" s="2" t="s">
        <v>247</v>
      </c>
      <c r="BZ857" s="2" t="s">
        <v>212</v>
      </c>
      <c r="CA857" s="2" t="s">
        <v>2706</v>
      </c>
      <c r="CB857" s="2" t="s">
        <v>3274</v>
      </c>
      <c r="CC857" s="2" t="s">
        <v>213</v>
      </c>
      <c r="CD857" s="2" t="s">
        <v>200</v>
      </c>
      <c r="CE857" s="4"/>
      <c r="CF857" s="4"/>
      <c r="CG857" s="4"/>
      <c r="CH857" s="4">
        <v>305</v>
      </c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</row>
    <row r="858">
      <c r="A858" s="2" t="s">
        <v>5193</v>
      </c>
      <c r="B858" s="2" t="s">
        <v>2124</v>
      </c>
      <c r="C858" s="2" t="s">
        <v>745</v>
      </c>
      <c r="D858" s="2" t="s">
        <v>2125</v>
      </c>
      <c r="E858" s="2" t="s">
        <v>2126</v>
      </c>
      <c r="F858" s="2" t="s">
        <v>5176</v>
      </c>
      <c r="G858" s="2" t="s">
        <v>5176</v>
      </c>
      <c r="H858" s="2" t="s">
        <v>5176</v>
      </c>
      <c r="I858" s="2" t="s">
        <v>5177</v>
      </c>
      <c r="J858" s="2" t="s">
        <v>5171</v>
      </c>
      <c r="K858" s="2" t="s">
        <v>5191</v>
      </c>
      <c r="L858" s="3">
        <v>18.5</v>
      </c>
      <c r="M858" s="3">
        <v>19.42</v>
      </c>
      <c r="N858" s="3">
        <v>39.99</v>
      </c>
      <c r="O858" s="2" t="s">
        <v>212</v>
      </c>
      <c r="P858" s="2" t="s">
        <v>285</v>
      </c>
      <c r="Q858" s="2" t="s">
        <v>206</v>
      </c>
      <c r="R858" s="2" t="s">
        <v>200</v>
      </c>
      <c r="S858" s="2" t="s">
        <v>200</v>
      </c>
      <c r="T858" s="2" t="s">
        <v>200</v>
      </c>
      <c r="U858" s="2" t="s">
        <v>270</v>
      </c>
      <c r="V858" s="2" t="s">
        <v>616</v>
      </c>
      <c r="W858" s="2" t="s">
        <v>200</v>
      </c>
      <c r="X858" s="2" t="s">
        <v>200</v>
      </c>
      <c r="Y858" s="2" t="s">
        <v>2876</v>
      </c>
      <c r="Z858" s="4">
        <v>265</v>
      </c>
      <c r="AA858" s="4">
        <f>=ROUNDDOWN(37.8571428571429,0)</f>
      </c>
      <c r="AB858" s="5">
        <v>7</v>
      </c>
      <c r="AC858" s="2" t="s">
        <v>200</v>
      </c>
      <c r="AD858" s="4"/>
      <c r="AE858" s="4"/>
      <c r="AF858" s="6"/>
      <c r="AG858" s="6"/>
      <c r="AH858" s="7">
        <v>1</v>
      </c>
      <c r="AI858" s="4"/>
      <c r="AJ858" s="4">
        <f>=ROUNDDOWN({0},0)</f>
      </c>
      <c r="AK858" s="5"/>
      <c r="AL858" s="2" t="s">
        <v>200</v>
      </c>
      <c r="AM858" s="4"/>
      <c r="AN858" s="4"/>
      <c r="AO858" s="7"/>
      <c r="AP858" s="4"/>
      <c r="AQ858" s="8"/>
      <c r="AR858" s="4"/>
      <c r="AS858" s="8"/>
      <c r="AT858" s="7"/>
      <c r="AU858" s="7"/>
      <c r="AV858" s="4" t="s">
        <v>200</v>
      </c>
      <c r="AW858" s="8" t="s">
        <v>200</v>
      </c>
      <c r="AX858" s="4" t="s">
        <v>200</v>
      </c>
      <c r="AY858" s="8" t="s">
        <v>200</v>
      </c>
      <c r="AZ858" s="7" t="s">
        <v>200</v>
      </c>
      <c r="BA858" s="7" t="s">
        <v>200</v>
      </c>
      <c r="BB858" s="7"/>
      <c r="BC858" s="4" t="s">
        <v>200</v>
      </c>
      <c r="BD858" s="8" t="s">
        <v>200</v>
      </c>
      <c r="BE858" s="4" t="s">
        <v>200</v>
      </c>
      <c r="BF858" s="8" t="s">
        <v>200</v>
      </c>
      <c r="BG858" s="7" t="s">
        <v>200</v>
      </c>
      <c r="BH858" s="7" t="s">
        <v>200</v>
      </c>
      <c r="BI858" s="7"/>
      <c r="BJ858" s="4">
        <v>20</v>
      </c>
      <c r="BK858" s="8">
        <v>386.23</v>
      </c>
      <c r="BL858" s="2" t="s">
        <v>5185</v>
      </c>
      <c r="BM858" s="7"/>
      <c r="BN858" s="7"/>
      <c r="BO858" s="4"/>
      <c r="BP858" s="8"/>
      <c r="BQ858" s="4"/>
      <c r="BR858" s="8"/>
      <c r="BS858" s="7"/>
      <c r="BT858" s="7"/>
      <c r="BU858" s="2" t="s">
        <v>5194</v>
      </c>
      <c r="BV858" s="2" t="s">
        <v>200</v>
      </c>
      <c r="BW858" s="2" t="s">
        <v>200</v>
      </c>
      <c r="BX858" s="2" t="s">
        <v>289</v>
      </c>
      <c r="BY858" s="2" t="s">
        <v>247</v>
      </c>
      <c r="BZ858" s="2" t="s">
        <v>212</v>
      </c>
      <c r="CA858" s="2" t="s">
        <v>2706</v>
      </c>
      <c r="CB858" s="2" t="s">
        <v>473</v>
      </c>
      <c r="CC858" s="2" t="s">
        <v>213</v>
      </c>
      <c r="CD858" s="2" t="s">
        <v>200</v>
      </c>
      <c r="CE858" s="4"/>
      <c r="CF858" s="4"/>
      <c r="CG858" s="4"/>
      <c r="CH858" s="4">
        <v>265</v>
      </c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</row>
    <row r="859">
      <c r="A859" s="2" t="s">
        <v>5195</v>
      </c>
      <c r="B859" s="2" t="s">
        <v>2124</v>
      </c>
      <c r="C859" s="2" t="s">
        <v>745</v>
      </c>
      <c r="D859" s="2" t="s">
        <v>2125</v>
      </c>
      <c r="E859" s="2" t="s">
        <v>2126</v>
      </c>
      <c r="F859" s="2" t="s">
        <v>5196</v>
      </c>
      <c r="G859" s="2" t="s">
        <v>200</v>
      </c>
      <c r="H859" s="2" t="s">
        <v>200</v>
      </c>
      <c r="I859" s="2" t="s">
        <v>5197</v>
      </c>
      <c r="J859" s="2" t="s">
        <v>2449</v>
      </c>
      <c r="K859" s="2" t="s">
        <v>5172</v>
      </c>
      <c r="L859" s="3">
        <v>10</v>
      </c>
      <c r="M859" s="3">
        <v>10.5</v>
      </c>
      <c r="N859" s="3">
        <v>19.99</v>
      </c>
      <c r="O859" s="2" t="s">
        <v>212</v>
      </c>
      <c r="P859" s="2" t="s">
        <v>285</v>
      </c>
      <c r="Q859" s="2" t="s">
        <v>206</v>
      </c>
      <c r="R859" s="2" t="s">
        <v>200</v>
      </c>
      <c r="S859" s="2" t="s">
        <v>200</v>
      </c>
      <c r="T859" s="2" t="s">
        <v>200</v>
      </c>
      <c r="U859" s="2" t="s">
        <v>200</v>
      </c>
      <c r="V859" s="2" t="s">
        <v>616</v>
      </c>
      <c r="W859" s="2" t="s">
        <v>200</v>
      </c>
      <c r="X859" s="2" t="s">
        <v>200</v>
      </c>
      <c r="Y859" s="2" t="s">
        <v>274</v>
      </c>
      <c r="Z859" s="4">
        <v>191</v>
      </c>
      <c r="AA859" s="4">
        <f>=ROUNDDOWN(17.2072072072072,0)</f>
      </c>
      <c r="AB859" s="5">
        <v>11.1</v>
      </c>
      <c r="AC859" s="2" t="s">
        <v>200</v>
      </c>
      <c r="AD859" s="4"/>
      <c r="AE859" s="4"/>
      <c r="AF859" s="6"/>
      <c r="AG859" s="6"/>
      <c r="AH859" s="7">
        <v>1</v>
      </c>
      <c r="AI859" s="4"/>
      <c r="AJ859" s="4">
        <f>=ROUNDDOWN({0},0)</f>
      </c>
      <c r="AK859" s="5"/>
      <c r="AL859" s="2" t="s">
        <v>200</v>
      </c>
      <c r="AM859" s="4"/>
      <c r="AN859" s="4"/>
      <c r="AO859" s="7"/>
      <c r="AP859" s="4"/>
      <c r="AQ859" s="8"/>
      <c r="AR859" s="4"/>
      <c r="AS859" s="8"/>
      <c r="AT859" s="7"/>
      <c r="AU859" s="7"/>
      <c r="AV859" s="4"/>
      <c r="AW859" s="8"/>
      <c r="AX859" s="4"/>
      <c r="AY859" s="8"/>
      <c r="AZ859" s="7"/>
      <c r="BA859" s="7"/>
      <c r="BB859" s="7"/>
      <c r="BC859" s="4" t="s">
        <v>200</v>
      </c>
      <c r="BD859" s="8" t="s">
        <v>200</v>
      </c>
      <c r="BE859" s="4" t="s">
        <v>200</v>
      </c>
      <c r="BF859" s="8" t="s">
        <v>200</v>
      </c>
      <c r="BG859" s="7" t="s">
        <v>200</v>
      </c>
      <c r="BH859" s="7" t="s">
        <v>200</v>
      </c>
      <c r="BI859" s="7"/>
      <c r="BJ859" s="4">
        <v>19</v>
      </c>
      <c r="BK859" s="8">
        <v>182.76</v>
      </c>
      <c r="BL859" s="2" t="s">
        <v>5173</v>
      </c>
      <c r="BM859" s="7"/>
      <c r="BN859" s="7"/>
      <c r="BO859" s="4"/>
      <c r="BP859" s="8"/>
      <c r="BQ859" s="4"/>
      <c r="BR859" s="8"/>
      <c r="BS859" s="7"/>
      <c r="BT859" s="7"/>
      <c r="BU859" s="2" t="s">
        <v>5198</v>
      </c>
      <c r="BV859" s="2" t="s">
        <v>200</v>
      </c>
      <c r="BW859" s="2" t="s">
        <v>200</v>
      </c>
      <c r="BX859" s="2" t="s">
        <v>289</v>
      </c>
      <c r="BY859" s="2" t="s">
        <v>247</v>
      </c>
      <c r="BZ859" s="2" t="s">
        <v>212</v>
      </c>
      <c r="CA859" s="2" t="s">
        <v>2132</v>
      </c>
      <c r="CB859" s="2" t="s">
        <v>5199</v>
      </c>
      <c r="CC859" s="2" t="s">
        <v>213</v>
      </c>
      <c r="CD859" s="2" t="s">
        <v>200</v>
      </c>
      <c r="CE859" s="4"/>
      <c r="CF859" s="4"/>
      <c r="CG859" s="4"/>
      <c r="CH859" s="4">
        <v>191</v>
      </c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</row>
    <row r="860">
      <c r="A860" s="2" t="s">
        <v>5200</v>
      </c>
      <c r="B860" s="2" t="s">
        <v>2124</v>
      </c>
      <c r="C860" s="2" t="s">
        <v>745</v>
      </c>
      <c r="D860" s="2" t="s">
        <v>2125</v>
      </c>
      <c r="E860" s="2" t="s">
        <v>2126</v>
      </c>
      <c r="F860" s="2" t="s">
        <v>5196</v>
      </c>
      <c r="G860" s="2" t="s">
        <v>200</v>
      </c>
      <c r="H860" s="2" t="s">
        <v>200</v>
      </c>
      <c r="I860" s="2" t="s">
        <v>5201</v>
      </c>
      <c r="J860" s="2" t="s">
        <v>2449</v>
      </c>
      <c r="K860" s="2" t="s">
        <v>3813</v>
      </c>
      <c r="L860" s="3">
        <v>10</v>
      </c>
      <c r="M860" s="3">
        <v>10.5</v>
      </c>
      <c r="N860" s="3">
        <v>19.99</v>
      </c>
      <c r="O860" s="2" t="s">
        <v>212</v>
      </c>
      <c r="P860" s="2" t="s">
        <v>285</v>
      </c>
      <c r="Q860" s="2" t="s">
        <v>206</v>
      </c>
      <c r="R860" s="2" t="s">
        <v>200</v>
      </c>
      <c r="S860" s="2" t="s">
        <v>200</v>
      </c>
      <c r="T860" s="2" t="s">
        <v>200</v>
      </c>
      <c r="U860" s="2" t="s">
        <v>200</v>
      </c>
      <c r="V860" s="2" t="s">
        <v>616</v>
      </c>
      <c r="W860" s="2" t="s">
        <v>200</v>
      </c>
      <c r="X860" s="2" t="s">
        <v>200</v>
      </c>
      <c r="Y860" s="2" t="s">
        <v>2310</v>
      </c>
      <c r="Z860" s="4">
        <v>60</v>
      </c>
      <c r="AA860" s="4">
        <f>=ROUNDDOWN(3.65853658536585,0)</f>
      </c>
      <c r="AB860" s="5">
        <v>16.4</v>
      </c>
      <c r="AC860" s="2" t="s">
        <v>200</v>
      </c>
      <c r="AD860" s="4"/>
      <c r="AE860" s="4"/>
      <c r="AF860" s="6"/>
      <c r="AG860" s="6"/>
      <c r="AH860" s="7">
        <v>1</v>
      </c>
      <c r="AI860" s="4"/>
      <c r="AJ860" s="4">
        <f>=ROUNDDOWN({0},0)</f>
      </c>
      <c r="AK860" s="5"/>
      <c r="AL860" s="2" t="s">
        <v>200</v>
      </c>
      <c r="AM860" s="4"/>
      <c r="AN860" s="4"/>
      <c r="AO860" s="7"/>
      <c r="AP860" s="4"/>
      <c r="AQ860" s="8"/>
      <c r="AR860" s="4"/>
      <c r="AS860" s="8"/>
      <c r="AT860" s="7"/>
      <c r="AU860" s="7"/>
      <c r="AV860" s="4"/>
      <c r="AW860" s="8"/>
      <c r="AX860" s="4"/>
      <c r="AY860" s="8"/>
      <c r="AZ860" s="7"/>
      <c r="BA860" s="7"/>
      <c r="BB860" s="7"/>
      <c r="BC860" s="4" t="s">
        <v>200</v>
      </c>
      <c r="BD860" s="8" t="s">
        <v>200</v>
      </c>
      <c r="BE860" s="4" t="s">
        <v>200</v>
      </c>
      <c r="BF860" s="8" t="s">
        <v>200</v>
      </c>
      <c r="BG860" s="7" t="s">
        <v>200</v>
      </c>
      <c r="BH860" s="7" t="s">
        <v>200</v>
      </c>
      <c r="BI860" s="7"/>
      <c r="BJ860" s="4">
        <v>26</v>
      </c>
      <c r="BK860" s="8">
        <v>248.65</v>
      </c>
      <c r="BL860" s="2" t="s">
        <v>315</v>
      </c>
      <c r="BM860" s="7"/>
      <c r="BN860" s="7"/>
      <c r="BO860" s="4"/>
      <c r="BP860" s="8"/>
      <c r="BQ860" s="4"/>
      <c r="BR860" s="8"/>
      <c r="BS860" s="7"/>
      <c r="BT860" s="7"/>
      <c r="BU860" s="2" t="s">
        <v>5202</v>
      </c>
      <c r="BV860" s="2" t="s">
        <v>200</v>
      </c>
      <c r="BW860" s="2" t="s">
        <v>200</v>
      </c>
      <c r="BX860" s="2" t="s">
        <v>289</v>
      </c>
      <c r="BY860" s="2" t="s">
        <v>247</v>
      </c>
      <c r="BZ860" s="2" t="s">
        <v>212</v>
      </c>
      <c r="CA860" s="2" t="s">
        <v>5203</v>
      </c>
      <c r="CB860" s="2" t="s">
        <v>2950</v>
      </c>
      <c r="CC860" s="2" t="s">
        <v>213</v>
      </c>
      <c r="CD860" s="2" t="s">
        <v>200</v>
      </c>
      <c r="CE860" s="4"/>
      <c r="CF860" s="4"/>
      <c r="CG860" s="4"/>
      <c r="CH860" s="4">
        <v>60</v>
      </c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</row>
    <row r="861">
      <c r="A861" s="2" t="s">
        <v>5204</v>
      </c>
      <c r="B861" s="2" t="s">
        <v>2124</v>
      </c>
      <c r="C861" s="2" t="s">
        <v>745</v>
      </c>
      <c r="D861" s="2" t="s">
        <v>2125</v>
      </c>
      <c r="E861" s="2" t="s">
        <v>2126</v>
      </c>
      <c r="F861" s="2" t="s">
        <v>5196</v>
      </c>
      <c r="G861" s="2" t="s">
        <v>200</v>
      </c>
      <c r="H861" s="2" t="s">
        <v>200</v>
      </c>
      <c r="I861" s="2" t="s">
        <v>5201</v>
      </c>
      <c r="J861" s="2" t="s">
        <v>2449</v>
      </c>
      <c r="K861" s="2" t="s">
        <v>257</v>
      </c>
      <c r="L861" s="3">
        <v>10</v>
      </c>
      <c r="M861" s="3">
        <v>10.5</v>
      </c>
      <c r="N861" s="3">
        <v>19.99</v>
      </c>
      <c r="O861" s="2" t="s">
        <v>212</v>
      </c>
      <c r="P861" s="2" t="s">
        <v>285</v>
      </c>
      <c r="Q861" s="2" t="s">
        <v>206</v>
      </c>
      <c r="R861" s="2" t="s">
        <v>200</v>
      </c>
      <c r="S861" s="2" t="s">
        <v>200</v>
      </c>
      <c r="T861" s="2" t="s">
        <v>200</v>
      </c>
      <c r="U861" s="2" t="s">
        <v>200</v>
      </c>
      <c r="V861" s="2" t="s">
        <v>616</v>
      </c>
      <c r="W861" s="2" t="s">
        <v>200</v>
      </c>
      <c r="X861" s="2" t="s">
        <v>200</v>
      </c>
      <c r="Y861" s="2" t="s">
        <v>4998</v>
      </c>
      <c r="Z861" s="4">
        <v>85</v>
      </c>
      <c r="AA861" s="4">
        <f>=ROUNDDOWN(9.13978494623656,0)</f>
      </c>
      <c r="AB861" s="5">
        <v>9.3</v>
      </c>
      <c r="AC861" s="2" t="s">
        <v>200</v>
      </c>
      <c r="AD861" s="4"/>
      <c r="AE861" s="4"/>
      <c r="AF861" s="6"/>
      <c r="AG861" s="6"/>
      <c r="AH861" s="7">
        <v>1</v>
      </c>
      <c r="AI861" s="4"/>
      <c r="AJ861" s="4">
        <f>=ROUNDDOWN({0},0)</f>
      </c>
      <c r="AK861" s="5"/>
      <c r="AL861" s="2" t="s">
        <v>200</v>
      </c>
      <c r="AM861" s="4"/>
      <c r="AN861" s="4"/>
      <c r="AO861" s="7"/>
      <c r="AP861" s="4"/>
      <c r="AQ861" s="8"/>
      <c r="AR861" s="4"/>
      <c r="AS861" s="8"/>
      <c r="AT861" s="7"/>
      <c r="AU861" s="7"/>
      <c r="AV861" s="4"/>
      <c r="AW861" s="8"/>
      <c r="AX861" s="4"/>
      <c r="AY861" s="8"/>
      <c r="AZ861" s="7"/>
      <c r="BA861" s="7"/>
      <c r="BB861" s="7"/>
      <c r="BC861" s="4" t="s">
        <v>200</v>
      </c>
      <c r="BD861" s="8" t="s">
        <v>200</v>
      </c>
      <c r="BE861" s="4" t="s">
        <v>200</v>
      </c>
      <c r="BF861" s="8" t="s">
        <v>200</v>
      </c>
      <c r="BG861" s="7" t="s">
        <v>200</v>
      </c>
      <c r="BH861" s="7" t="s">
        <v>200</v>
      </c>
      <c r="BI861" s="7"/>
      <c r="BJ861" s="4">
        <v>22</v>
      </c>
      <c r="BK861" s="8">
        <v>213.98</v>
      </c>
      <c r="BL861" s="2" t="s">
        <v>5205</v>
      </c>
      <c r="BM861" s="7"/>
      <c r="BN861" s="7"/>
      <c r="BO861" s="4"/>
      <c r="BP861" s="8"/>
      <c r="BQ861" s="4"/>
      <c r="BR861" s="8"/>
      <c r="BS861" s="7"/>
      <c r="BT861" s="7"/>
      <c r="BU861" s="2" t="s">
        <v>5206</v>
      </c>
      <c r="BV861" s="2" t="s">
        <v>200</v>
      </c>
      <c r="BW861" s="2" t="s">
        <v>200</v>
      </c>
      <c r="BX861" s="2" t="s">
        <v>289</v>
      </c>
      <c r="BY861" s="2" t="s">
        <v>247</v>
      </c>
      <c r="BZ861" s="2" t="s">
        <v>212</v>
      </c>
      <c r="CA861" s="2" t="s">
        <v>2132</v>
      </c>
      <c r="CB861" s="2" t="s">
        <v>5207</v>
      </c>
      <c r="CC861" s="2" t="s">
        <v>213</v>
      </c>
      <c r="CD861" s="2" t="s">
        <v>200</v>
      </c>
      <c r="CE861" s="4"/>
      <c r="CF861" s="4"/>
      <c r="CG861" s="4"/>
      <c r="CH861" s="4">
        <v>85</v>
      </c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</row>
    <row r="862">
      <c r="A862" s="2" t="s">
        <v>5208</v>
      </c>
      <c r="B862" s="2" t="s">
        <v>2124</v>
      </c>
      <c r="C862" s="2" t="s">
        <v>745</v>
      </c>
      <c r="D862" s="2" t="s">
        <v>2125</v>
      </c>
      <c r="E862" s="2" t="s">
        <v>2126</v>
      </c>
      <c r="F862" s="2" t="s">
        <v>5209</v>
      </c>
      <c r="G862" s="2" t="s">
        <v>5209</v>
      </c>
      <c r="H862" s="2" t="s">
        <v>5209</v>
      </c>
      <c r="I862" s="2" t="s">
        <v>5210</v>
      </c>
      <c r="J862" s="2" t="s">
        <v>2449</v>
      </c>
      <c r="K862" s="2" t="s">
        <v>5178</v>
      </c>
      <c r="L862" s="3">
        <v>10</v>
      </c>
      <c r="M862" s="3">
        <v>10.5</v>
      </c>
      <c r="N862" s="3">
        <v>19.99</v>
      </c>
      <c r="O862" s="2" t="s">
        <v>212</v>
      </c>
      <c r="P862" s="2" t="s">
        <v>285</v>
      </c>
      <c r="Q862" s="2" t="s">
        <v>206</v>
      </c>
      <c r="R862" s="2" t="s">
        <v>200</v>
      </c>
      <c r="S862" s="2" t="s">
        <v>200</v>
      </c>
      <c r="T862" s="2" t="s">
        <v>200</v>
      </c>
      <c r="U862" s="2" t="s">
        <v>270</v>
      </c>
      <c r="V862" s="2" t="s">
        <v>616</v>
      </c>
      <c r="W862" s="2" t="s">
        <v>200</v>
      </c>
      <c r="X862" s="2" t="s">
        <v>200</v>
      </c>
      <c r="Y862" s="2" t="s">
        <v>2876</v>
      </c>
      <c r="Z862" s="4">
        <v>251</v>
      </c>
      <c r="AA862" s="4">
        <f>=ROUNDDOWN(67.8378378378378,0)</f>
      </c>
      <c r="AB862" s="5">
        <v>3.7</v>
      </c>
      <c r="AC862" s="2" t="s">
        <v>200</v>
      </c>
      <c r="AD862" s="4"/>
      <c r="AE862" s="4"/>
      <c r="AF862" s="6"/>
      <c r="AG862" s="6"/>
      <c r="AH862" s="7">
        <v>1</v>
      </c>
      <c r="AI862" s="4"/>
      <c r="AJ862" s="4">
        <f>=ROUNDDOWN({0},0)</f>
      </c>
      <c r="AK862" s="5"/>
      <c r="AL862" s="2" t="s">
        <v>200</v>
      </c>
      <c r="AM862" s="4"/>
      <c r="AN862" s="4"/>
      <c r="AO862" s="7"/>
      <c r="AP862" s="4"/>
      <c r="AQ862" s="8"/>
      <c r="AR862" s="4"/>
      <c r="AS862" s="8"/>
      <c r="AT862" s="7"/>
      <c r="AU862" s="7"/>
      <c r="AV862" s="4"/>
      <c r="AW862" s="8"/>
      <c r="AX862" s="4"/>
      <c r="AY862" s="8"/>
      <c r="AZ862" s="7"/>
      <c r="BA862" s="7"/>
      <c r="BB862" s="7"/>
      <c r="BC862" s="4" t="s">
        <v>200</v>
      </c>
      <c r="BD862" s="8" t="s">
        <v>200</v>
      </c>
      <c r="BE862" s="4" t="s">
        <v>200</v>
      </c>
      <c r="BF862" s="8" t="s">
        <v>200</v>
      </c>
      <c r="BG862" s="7" t="s">
        <v>200</v>
      </c>
      <c r="BH862" s="7" t="s">
        <v>200</v>
      </c>
      <c r="BI862" s="7"/>
      <c r="BJ862" s="4">
        <v>15</v>
      </c>
      <c r="BK862" s="8">
        <v>154.97</v>
      </c>
      <c r="BL862" s="2" t="s">
        <v>2610</v>
      </c>
      <c r="BM862" s="7"/>
      <c r="BN862" s="7"/>
      <c r="BO862" s="4"/>
      <c r="BP862" s="8"/>
      <c r="BQ862" s="4"/>
      <c r="BR862" s="8"/>
      <c r="BS862" s="7"/>
      <c r="BT862" s="7"/>
      <c r="BU862" s="2" t="s">
        <v>5211</v>
      </c>
      <c r="BV862" s="2" t="s">
        <v>200</v>
      </c>
      <c r="BW862" s="2" t="s">
        <v>200</v>
      </c>
      <c r="BX862" s="2" t="s">
        <v>289</v>
      </c>
      <c r="BY862" s="2" t="s">
        <v>247</v>
      </c>
      <c r="BZ862" s="2" t="s">
        <v>212</v>
      </c>
      <c r="CA862" s="2" t="s">
        <v>2706</v>
      </c>
      <c r="CB862" s="2" t="s">
        <v>1328</v>
      </c>
      <c r="CC862" s="2" t="s">
        <v>213</v>
      </c>
      <c r="CD862" s="2" t="s">
        <v>200</v>
      </c>
      <c r="CE862" s="4"/>
      <c r="CF862" s="4"/>
      <c r="CG862" s="4"/>
      <c r="CH862" s="4">
        <v>251</v>
      </c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</row>
    <row r="863">
      <c r="A863" s="2" t="s">
        <v>5212</v>
      </c>
      <c r="B863" s="2" t="s">
        <v>2124</v>
      </c>
      <c r="C863" s="2" t="s">
        <v>745</v>
      </c>
      <c r="D863" s="2" t="s">
        <v>2125</v>
      </c>
      <c r="E863" s="2" t="s">
        <v>2126</v>
      </c>
      <c r="F863" s="2" t="s">
        <v>5209</v>
      </c>
      <c r="G863" s="2" t="s">
        <v>5209</v>
      </c>
      <c r="H863" s="2" t="s">
        <v>5209</v>
      </c>
      <c r="I863" s="2" t="s">
        <v>5210</v>
      </c>
      <c r="J863" s="2" t="s">
        <v>2449</v>
      </c>
      <c r="K863" s="2" t="s">
        <v>5213</v>
      </c>
      <c r="L863" s="3">
        <v>10</v>
      </c>
      <c r="M863" s="3">
        <v>10.5</v>
      </c>
      <c r="N863" s="3">
        <v>19.99</v>
      </c>
      <c r="O863" s="2" t="s">
        <v>212</v>
      </c>
      <c r="P863" s="2" t="s">
        <v>285</v>
      </c>
      <c r="Q863" s="2" t="s">
        <v>206</v>
      </c>
      <c r="R863" s="2" t="s">
        <v>200</v>
      </c>
      <c r="S863" s="2" t="s">
        <v>200</v>
      </c>
      <c r="T863" s="2" t="s">
        <v>200</v>
      </c>
      <c r="U863" s="2" t="s">
        <v>270</v>
      </c>
      <c r="V863" s="2" t="s">
        <v>616</v>
      </c>
      <c r="W863" s="2" t="s">
        <v>200</v>
      </c>
      <c r="X863" s="2" t="s">
        <v>200</v>
      </c>
      <c r="Y863" s="2" t="s">
        <v>2876</v>
      </c>
      <c r="Z863" s="4">
        <v>29</v>
      </c>
      <c r="AA863" s="4">
        <f>=ROUNDDOWN(4.46153846153846,0)</f>
      </c>
      <c r="AB863" s="5">
        <v>6.5</v>
      </c>
      <c r="AC863" s="2" t="s">
        <v>200</v>
      </c>
      <c r="AD863" s="4"/>
      <c r="AE863" s="4"/>
      <c r="AF863" s="6"/>
      <c r="AG863" s="6"/>
      <c r="AH863" s="7">
        <v>1</v>
      </c>
      <c r="AI863" s="4"/>
      <c r="AJ863" s="4">
        <f>=ROUNDDOWN({0},0)</f>
      </c>
      <c r="AK863" s="5"/>
      <c r="AL863" s="2" t="s">
        <v>200</v>
      </c>
      <c r="AM863" s="4"/>
      <c r="AN863" s="4"/>
      <c r="AO863" s="7"/>
      <c r="AP863" s="4"/>
      <c r="AQ863" s="8"/>
      <c r="AR863" s="4"/>
      <c r="AS863" s="8"/>
      <c r="AT863" s="7"/>
      <c r="AU863" s="7"/>
      <c r="AV863" s="4"/>
      <c r="AW863" s="8"/>
      <c r="AX863" s="4"/>
      <c r="AY863" s="8"/>
      <c r="AZ863" s="7"/>
      <c r="BA863" s="7"/>
      <c r="BB863" s="7"/>
      <c r="BC863" s="4" t="s">
        <v>200</v>
      </c>
      <c r="BD863" s="8" t="s">
        <v>200</v>
      </c>
      <c r="BE863" s="4" t="s">
        <v>200</v>
      </c>
      <c r="BF863" s="8" t="s">
        <v>200</v>
      </c>
      <c r="BG863" s="7" t="s">
        <v>200</v>
      </c>
      <c r="BH863" s="7" t="s">
        <v>200</v>
      </c>
      <c r="BI863" s="7"/>
      <c r="BJ863" s="4">
        <v>17</v>
      </c>
      <c r="BK863" s="8">
        <v>178.06</v>
      </c>
      <c r="BL863" s="2" t="s">
        <v>2610</v>
      </c>
      <c r="BM863" s="7"/>
      <c r="BN863" s="7"/>
      <c r="BO863" s="4"/>
      <c r="BP863" s="8"/>
      <c r="BQ863" s="4"/>
      <c r="BR863" s="8"/>
      <c r="BS863" s="7"/>
      <c r="BT863" s="7"/>
      <c r="BU863" s="2" t="s">
        <v>5214</v>
      </c>
      <c r="BV863" s="2" t="s">
        <v>200</v>
      </c>
      <c r="BW863" s="2" t="s">
        <v>200</v>
      </c>
      <c r="BX863" s="2" t="s">
        <v>289</v>
      </c>
      <c r="BY863" s="2" t="s">
        <v>247</v>
      </c>
      <c r="BZ863" s="2" t="s">
        <v>212</v>
      </c>
      <c r="CA863" s="2" t="s">
        <v>2706</v>
      </c>
      <c r="CB863" s="2" t="s">
        <v>5215</v>
      </c>
      <c r="CC863" s="2" t="s">
        <v>213</v>
      </c>
      <c r="CD863" s="2" t="s">
        <v>200</v>
      </c>
      <c r="CE863" s="4"/>
      <c r="CF863" s="4"/>
      <c r="CG863" s="4"/>
      <c r="CH863" s="4">
        <v>29</v>
      </c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</row>
    <row r="864">
      <c r="A864" s="2" t="s">
        <v>5216</v>
      </c>
      <c r="B864" s="2" t="s">
        <v>2124</v>
      </c>
      <c r="C864" s="2" t="s">
        <v>745</v>
      </c>
      <c r="D864" s="2" t="s">
        <v>2125</v>
      </c>
      <c r="E864" s="2" t="s">
        <v>2126</v>
      </c>
      <c r="F864" s="2" t="s">
        <v>5209</v>
      </c>
      <c r="G864" s="2" t="s">
        <v>5209</v>
      </c>
      <c r="H864" s="2" t="s">
        <v>5209</v>
      </c>
      <c r="I864" s="2" t="s">
        <v>5210</v>
      </c>
      <c r="J864" s="2" t="s">
        <v>2449</v>
      </c>
      <c r="K864" s="2" t="s">
        <v>5191</v>
      </c>
      <c r="L864" s="3">
        <v>10</v>
      </c>
      <c r="M864" s="3">
        <v>10.5</v>
      </c>
      <c r="N864" s="3">
        <v>19.99</v>
      </c>
      <c r="O864" s="2" t="s">
        <v>212</v>
      </c>
      <c r="P864" s="2" t="s">
        <v>285</v>
      </c>
      <c r="Q864" s="2" t="s">
        <v>206</v>
      </c>
      <c r="R864" s="2" t="s">
        <v>200</v>
      </c>
      <c r="S864" s="2" t="s">
        <v>200</v>
      </c>
      <c r="T864" s="2" t="s">
        <v>200</v>
      </c>
      <c r="U864" s="2" t="s">
        <v>270</v>
      </c>
      <c r="V864" s="2" t="s">
        <v>616</v>
      </c>
      <c r="W864" s="2" t="s">
        <v>200</v>
      </c>
      <c r="X864" s="2" t="s">
        <v>200</v>
      </c>
      <c r="Y864" s="2" t="s">
        <v>2876</v>
      </c>
      <c r="Z864" s="4">
        <v>13</v>
      </c>
      <c r="AA864" s="4">
        <f>=ROUNDDOWN(3.71428571428571,0)</f>
      </c>
      <c r="AB864" s="5">
        <v>3.5</v>
      </c>
      <c r="AC864" s="2" t="s">
        <v>200</v>
      </c>
      <c r="AD864" s="4"/>
      <c r="AE864" s="4"/>
      <c r="AF864" s="6"/>
      <c r="AG864" s="6"/>
      <c r="AH864" s="7">
        <v>1</v>
      </c>
      <c r="AI864" s="4"/>
      <c r="AJ864" s="4">
        <f>=ROUNDDOWN({0},0)</f>
      </c>
      <c r="AK864" s="5"/>
      <c r="AL864" s="2" t="s">
        <v>200</v>
      </c>
      <c r="AM864" s="4"/>
      <c r="AN864" s="4"/>
      <c r="AO864" s="7"/>
      <c r="AP864" s="4"/>
      <c r="AQ864" s="8"/>
      <c r="AR864" s="4"/>
      <c r="AS864" s="8"/>
      <c r="AT864" s="7"/>
      <c r="AU864" s="7"/>
      <c r="AV864" s="4"/>
      <c r="AW864" s="8"/>
      <c r="AX864" s="4"/>
      <c r="AY864" s="8"/>
      <c r="AZ864" s="7"/>
      <c r="BA864" s="7"/>
      <c r="BB864" s="7"/>
      <c r="BC864" s="4" t="s">
        <v>200</v>
      </c>
      <c r="BD864" s="8" t="s">
        <v>200</v>
      </c>
      <c r="BE864" s="4" t="s">
        <v>200</v>
      </c>
      <c r="BF864" s="8" t="s">
        <v>200</v>
      </c>
      <c r="BG864" s="7" t="s">
        <v>200</v>
      </c>
      <c r="BH864" s="7" t="s">
        <v>200</v>
      </c>
      <c r="BI864" s="7"/>
      <c r="BJ864" s="4">
        <v>6</v>
      </c>
      <c r="BK864" s="8">
        <v>64.36</v>
      </c>
      <c r="BL864" s="2" t="s">
        <v>2610</v>
      </c>
      <c r="BM864" s="7"/>
      <c r="BN864" s="7"/>
      <c r="BO864" s="4"/>
      <c r="BP864" s="8"/>
      <c r="BQ864" s="4"/>
      <c r="BR864" s="8"/>
      <c r="BS864" s="7"/>
      <c r="BT864" s="7"/>
      <c r="BU864" s="2" t="s">
        <v>5217</v>
      </c>
      <c r="BV864" s="2" t="s">
        <v>200</v>
      </c>
      <c r="BW864" s="2" t="s">
        <v>200</v>
      </c>
      <c r="BX864" s="2" t="s">
        <v>289</v>
      </c>
      <c r="BY864" s="2" t="s">
        <v>247</v>
      </c>
      <c r="BZ864" s="2" t="s">
        <v>212</v>
      </c>
      <c r="CA864" s="2" t="s">
        <v>2706</v>
      </c>
      <c r="CB864" s="2" t="s">
        <v>2853</v>
      </c>
      <c r="CC864" s="2" t="s">
        <v>213</v>
      </c>
      <c r="CD864" s="2" t="s">
        <v>200</v>
      </c>
      <c r="CE864" s="4"/>
      <c r="CF864" s="4"/>
      <c r="CG864" s="4"/>
      <c r="CH864" s="4">
        <v>13</v>
      </c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</row>
    <row r="865">
      <c r="A865" s="2" t="s">
        <v>5218</v>
      </c>
      <c r="B865" s="2" t="s">
        <v>2124</v>
      </c>
      <c r="C865" s="2" t="s">
        <v>745</v>
      </c>
      <c r="D865" s="2" t="s">
        <v>2125</v>
      </c>
      <c r="E865" s="2" t="s">
        <v>2126</v>
      </c>
      <c r="F865" s="2" t="s">
        <v>5219</v>
      </c>
      <c r="G865" s="2" t="s">
        <v>200</v>
      </c>
      <c r="H865" s="2" t="s">
        <v>200</v>
      </c>
      <c r="I865" s="2" t="s">
        <v>5220</v>
      </c>
      <c r="J865" s="2" t="s">
        <v>5171</v>
      </c>
      <c r="K865" s="2" t="s">
        <v>5221</v>
      </c>
      <c r="L865" s="3">
        <v>9</v>
      </c>
      <c r="M865" s="3">
        <v>10.5</v>
      </c>
      <c r="N865" s="3">
        <v>19.99</v>
      </c>
      <c r="O865" s="2" t="s">
        <v>212</v>
      </c>
      <c r="P865" s="2" t="s">
        <v>1075</v>
      </c>
      <c r="Q865" s="2" t="s">
        <v>206</v>
      </c>
      <c r="R865" s="2" t="s">
        <v>200</v>
      </c>
      <c r="S865" s="2" t="s">
        <v>200</v>
      </c>
      <c r="T865" s="2" t="s">
        <v>200</v>
      </c>
      <c r="U865" s="2" t="s">
        <v>200</v>
      </c>
      <c r="V865" s="2" t="s">
        <v>616</v>
      </c>
      <c r="W865" s="2" t="s">
        <v>200</v>
      </c>
      <c r="X865" s="2" t="s">
        <v>200</v>
      </c>
      <c r="Y865" s="2" t="s">
        <v>5222</v>
      </c>
      <c r="Z865" s="4">
        <v>726</v>
      </c>
      <c r="AA865" s="4">
        <f>=ROUNDDOWN(242,0)</f>
      </c>
      <c r="AB865" s="5">
        <v>3</v>
      </c>
      <c r="AC865" s="2" t="s">
        <v>200</v>
      </c>
      <c r="AD865" s="4"/>
      <c r="AE865" s="4"/>
      <c r="AF865" s="6"/>
      <c r="AG865" s="6">
        <v>48</v>
      </c>
      <c r="AH865" s="7">
        <v>1</v>
      </c>
      <c r="AI865" s="4"/>
      <c r="AJ865" s="4">
        <f>=ROUNDDOWN({0},0)</f>
      </c>
      <c r="AK865" s="5"/>
      <c r="AL865" s="2" t="s">
        <v>200</v>
      </c>
      <c r="AM865" s="4"/>
      <c r="AN865" s="4"/>
      <c r="AO865" s="7"/>
      <c r="AP865" s="4"/>
      <c r="AQ865" s="8"/>
      <c r="AR865" s="4"/>
      <c r="AS865" s="8"/>
      <c r="AT865" s="7"/>
      <c r="AU865" s="7"/>
      <c r="AV865" s="4"/>
      <c r="AW865" s="8"/>
      <c r="AX865" s="4"/>
      <c r="AY865" s="8"/>
      <c r="AZ865" s="7"/>
      <c r="BA865" s="7"/>
      <c r="BB865" s="7"/>
      <c r="BC865" s="4"/>
      <c r="BD865" s="8"/>
      <c r="BE865" s="4"/>
      <c r="BF865" s="8"/>
      <c r="BG865" s="7"/>
      <c r="BH865" s="7"/>
      <c r="BI865" s="7"/>
      <c r="BJ865" s="4">
        <v>13</v>
      </c>
      <c r="BK865" s="8">
        <v>215.5</v>
      </c>
      <c r="BL865" s="2" t="s">
        <v>5223</v>
      </c>
      <c r="BM865" s="7"/>
      <c r="BN865" s="7"/>
      <c r="BO865" s="4"/>
      <c r="BP865" s="8"/>
      <c r="BQ865" s="4"/>
      <c r="BR865" s="8"/>
      <c r="BS865" s="7"/>
      <c r="BT865" s="7"/>
      <c r="BU865" s="2" t="s">
        <v>5224</v>
      </c>
      <c r="BV865" s="2" t="s">
        <v>200</v>
      </c>
      <c r="BW865" s="2" t="s">
        <v>200</v>
      </c>
      <c r="BX865" s="2" t="s">
        <v>264</v>
      </c>
      <c r="BY865" s="2" t="s">
        <v>247</v>
      </c>
      <c r="BZ865" s="2" t="s">
        <v>212</v>
      </c>
      <c r="CA865" s="2" t="s">
        <v>5225</v>
      </c>
      <c r="CB865" s="2" t="s">
        <v>1368</v>
      </c>
      <c r="CC865" s="2" t="s">
        <v>213</v>
      </c>
      <c r="CD865" s="2" t="s">
        <v>200</v>
      </c>
      <c r="CE865" s="4"/>
      <c r="CF865" s="4"/>
      <c r="CG865" s="4"/>
      <c r="CH865" s="4">
        <v>726</v>
      </c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</row>
    <row r="866">
      <c r="A866" s="2" t="s">
        <v>5226</v>
      </c>
      <c r="B866" s="2" t="s">
        <v>2124</v>
      </c>
      <c r="C866" s="2" t="s">
        <v>745</v>
      </c>
      <c r="D866" s="2" t="s">
        <v>2125</v>
      </c>
      <c r="E866" s="2" t="s">
        <v>2126</v>
      </c>
      <c r="F866" s="2" t="s">
        <v>5227</v>
      </c>
      <c r="G866" s="2" t="s">
        <v>200</v>
      </c>
      <c r="H866" s="2" t="s">
        <v>200</v>
      </c>
      <c r="I866" s="2" t="s">
        <v>5228</v>
      </c>
      <c r="J866" s="2" t="s">
        <v>5171</v>
      </c>
      <c r="K866" s="2" t="s">
        <v>3813</v>
      </c>
      <c r="L866" s="3">
        <v>9</v>
      </c>
      <c r="M866" s="3">
        <v>13.35</v>
      </c>
      <c r="N866" s="3">
        <v>29.99</v>
      </c>
      <c r="O866" s="2" t="s">
        <v>212</v>
      </c>
      <c r="P866" s="2" t="s">
        <v>285</v>
      </c>
      <c r="Q866" s="2" t="s">
        <v>206</v>
      </c>
      <c r="R866" s="2" t="s">
        <v>200</v>
      </c>
      <c r="S866" s="2" t="s">
        <v>200</v>
      </c>
      <c r="T866" s="2" t="s">
        <v>200</v>
      </c>
      <c r="U866" s="2" t="s">
        <v>200</v>
      </c>
      <c r="V866" s="2" t="s">
        <v>940</v>
      </c>
      <c r="W866" s="2" t="s">
        <v>200</v>
      </c>
      <c r="X866" s="2" t="s">
        <v>200</v>
      </c>
      <c r="Y866" s="2" t="s">
        <v>5229</v>
      </c>
      <c r="Z866" s="4">
        <v>57</v>
      </c>
      <c r="AA866" s="4">
        <f>=ROUNDDOWN(11.4,0)</f>
      </c>
      <c r="AB866" s="5">
        <v>5</v>
      </c>
      <c r="AC866" s="2" t="s">
        <v>200</v>
      </c>
      <c r="AD866" s="4"/>
      <c r="AE866" s="4"/>
      <c r="AF866" s="6"/>
      <c r="AG866" s="6">
        <v>48</v>
      </c>
      <c r="AH866" s="7">
        <v>1</v>
      </c>
      <c r="AI866" s="4"/>
      <c r="AJ866" s="4">
        <f>=ROUNDDOWN({0},0)</f>
      </c>
      <c r="AK866" s="5"/>
      <c r="AL866" s="2" t="s">
        <v>200</v>
      </c>
      <c r="AM866" s="4"/>
      <c r="AN866" s="4"/>
      <c r="AO866" s="7"/>
      <c r="AP866" s="4"/>
      <c r="AQ866" s="8"/>
      <c r="AR866" s="4"/>
      <c r="AS866" s="8"/>
      <c r="AT866" s="7"/>
      <c r="AU866" s="7"/>
      <c r="AV866" s="4"/>
      <c r="AW866" s="8"/>
      <c r="AX866" s="4"/>
      <c r="AY866" s="8"/>
      <c r="AZ866" s="7"/>
      <c r="BA866" s="7"/>
      <c r="BB866" s="7"/>
      <c r="BC866" s="4" t="s">
        <v>200</v>
      </c>
      <c r="BD866" s="8" t="s">
        <v>200</v>
      </c>
      <c r="BE866" s="4" t="s">
        <v>200</v>
      </c>
      <c r="BF866" s="8" t="s">
        <v>200</v>
      </c>
      <c r="BG866" s="7" t="s">
        <v>200</v>
      </c>
      <c r="BH866" s="7" t="s">
        <v>200</v>
      </c>
      <c r="BI866" s="7"/>
      <c r="BJ866" s="4">
        <v>7</v>
      </c>
      <c r="BK866" s="8">
        <v>95</v>
      </c>
      <c r="BL866" s="2" t="s">
        <v>1767</v>
      </c>
      <c r="BM866" s="7"/>
      <c r="BN866" s="7"/>
      <c r="BO866" s="4"/>
      <c r="BP866" s="8"/>
      <c r="BQ866" s="4"/>
      <c r="BR866" s="8"/>
      <c r="BS866" s="7"/>
      <c r="BT866" s="7"/>
      <c r="BU866" s="2" t="s">
        <v>5230</v>
      </c>
      <c r="BV866" s="2" t="s">
        <v>200</v>
      </c>
      <c r="BW866" s="2" t="s">
        <v>200</v>
      </c>
      <c r="BX866" s="2" t="s">
        <v>289</v>
      </c>
      <c r="BY866" s="2" t="s">
        <v>247</v>
      </c>
      <c r="BZ866" s="2" t="s">
        <v>212</v>
      </c>
      <c r="CA866" s="2" t="s">
        <v>5225</v>
      </c>
      <c r="CB866" s="2" t="s">
        <v>200</v>
      </c>
      <c r="CC866" s="2" t="s">
        <v>213</v>
      </c>
      <c r="CD866" s="2" t="s">
        <v>200</v>
      </c>
      <c r="CE866" s="4"/>
      <c r="CF866" s="4"/>
      <c r="CG866" s="4"/>
      <c r="CH866" s="4">
        <v>57</v>
      </c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</row>
    <row r="867">
      <c r="A867" s="2" t="s">
        <v>5231</v>
      </c>
      <c r="B867" s="2" t="s">
        <v>2124</v>
      </c>
      <c r="C867" s="2" t="s">
        <v>745</v>
      </c>
      <c r="D867" s="2" t="s">
        <v>2125</v>
      </c>
      <c r="E867" s="2" t="s">
        <v>2126</v>
      </c>
      <c r="F867" s="2" t="s">
        <v>5227</v>
      </c>
      <c r="G867" s="2" t="s">
        <v>200</v>
      </c>
      <c r="H867" s="2" t="s">
        <v>200</v>
      </c>
      <c r="I867" s="2" t="s">
        <v>5228</v>
      </c>
      <c r="J867" s="2" t="s">
        <v>5171</v>
      </c>
      <c r="K867" s="2" t="s">
        <v>5232</v>
      </c>
      <c r="L867" s="3">
        <v>9</v>
      </c>
      <c r="M867" s="3">
        <v>13.35</v>
      </c>
      <c r="N867" s="3">
        <v>29.99</v>
      </c>
      <c r="O867" s="2" t="s">
        <v>212</v>
      </c>
      <c r="P867" s="2" t="s">
        <v>285</v>
      </c>
      <c r="Q867" s="2" t="s">
        <v>206</v>
      </c>
      <c r="R867" s="2" t="s">
        <v>200</v>
      </c>
      <c r="S867" s="2" t="s">
        <v>200</v>
      </c>
      <c r="T867" s="2" t="s">
        <v>200</v>
      </c>
      <c r="U867" s="2" t="s">
        <v>200</v>
      </c>
      <c r="V867" s="2" t="s">
        <v>1019</v>
      </c>
      <c r="W867" s="2" t="s">
        <v>200</v>
      </c>
      <c r="X867" s="2" t="s">
        <v>200</v>
      </c>
      <c r="Y867" s="2" t="s">
        <v>5233</v>
      </c>
      <c r="Z867" s="4">
        <v>115</v>
      </c>
      <c r="AA867" s="4">
        <f>=ROUNDDOWN(10.952380952381,0)</f>
      </c>
      <c r="AB867" s="5">
        <v>10.5</v>
      </c>
      <c r="AC867" s="2" t="s">
        <v>200</v>
      </c>
      <c r="AD867" s="4"/>
      <c r="AE867" s="4"/>
      <c r="AF867" s="6"/>
      <c r="AG867" s="6">
        <v>48</v>
      </c>
      <c r="AH867" s="7">
        <v>1</v>
      </c>
      <c r="AI867" s="4"/>
      <c r="AJ867" s="4">
        <f>=ROUNDDOWN({0},0)</f>
      </c>
      <c r="AK867" s="5"/>
      <c r="AL867" s="2" t="s">
        <v>200</v>
      </c>
      <c r="AM867" s="4"/>
      <c r="AN867" s="4"/>
      <c r="AO867" s="7"/>
      <c r="AP867" s="4"/>
      <c r="AQ867" s="8"/>
      <c r="AR867" s="4"/>
      <c r="AS867" s="8"/>
      <c r="AT867" s="7"/>
      <c r="AU867" s="7"/>
      <c r="AV867" s="4"/>
      <c r="AW867" s="8"/>
      <c r="AX867" s="4"/>
      <c r="AY867" s="8"/>
      <c r="AZ867" s="7"/>
      <c r="BA867" s="7"/>
      <c r="BB867" s="7"/>
      <c r="BC867" s="4" t="s">
        <v>200</v>
      </c>
      <c r="BD867" s="8" t="s">
        <v>200</v>
      </c>
      <c r="BE867" s="4" t="s">
        <v>200</v>
      </c>
      <c r="BF867" s="8" t="s">
        <v>200</v>
      </c>
      <c r="BG867" s="7" t="s">
        <v>200</v>
      </c>
      <c r="BH867" s="7" t="s">
        <v>200</v>
      </c>
      <c r="BI867" s="7"/>
      <c r="BJ867" s="4">
        <v>2</v>
      </c>
      <c r="BK867" s="8">
        <v>27.85</v>
      </c>
      <c r="BL867" s="2" t="s">
        <v>1651</v>
      </c>
      <c r="BM867" s="7"/>
      <c r="BN867" s="7"/>
      <c r="BO867" s="4"/>
      <c r="BP867" s="8"/>
      <c r="BQ867" s="4"/>
      <c r="BR867" s="8"/>
      <c r="BS867" s="7"/>
      <c r="BT867" s="7"/>
      <c r="BU867" s="2" t="s">
        <v>5234</v>
      </c>
      <c r="BV867" s="2" t="s">
        <v>200</v>
      </c>
      <c r="BW867" s="2" t="s">
        <v>200</v>
      </c>
      <c r="BX867" s="2" t="s">
        <v>289</v>
      </c>
      <c r="BY867" s="2" t="s">
        <v>247</v>
      </c>
      <c r="BZ867" s="2" t="s">
        <v>212</v>
      </c>
      <c r="CA867" s="2" t="s">
        <v>5225</v>
      </c>
      <c r="CB867" s="2" t="s">
        <v>5207</v>
      </c>
      <c r="CC867" s="2" t="s">
        <v>213</v>
      </c>
      <c r="CD867" s="2" t="s">
        <v>200</v>
      </c>
      <c r="CE867" s="4"/>
      <c r="CF867" s="4"/>
      <c r="CG867" s="4"/>
      <c r="CH867" s="4">
        <v>115</v>
      </c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</row>
    <row r="868">
      <c r="A868" s="2" t="s">
        <v>5235</v>
      </c>
      <c r="B868" s="2" t="s">
        <v>2124</v>
      </c>
      <c r="C868" s="2" t="s">
        <v>745</v>
      </c>
      <c r="D868" s="2" t="s">
        <v>2125</v>
      </c>
      <c r="E868" s="2" t="s">
        <v>2126</v>
      </c>
      <c r="F868" s="2" t="s">
        <v>5227</v>
      </c>
      <c r="G868" s="2" t="s">
        <v>200</v>
      </c>
      <c r="H868" s="2" t="s">
        <v>200</v>
      </c>
      <c r="I868" s="2" t="s">
        <v>5228</v>
      </c>
      <c r="J868" s="2" t="s">
        <v>5164</v>
      </c>
      <c r="K868" s="2" t="s">
        <v>5236</v>
      </c>
      <c r="L868" s="3">
        <v>9</v>
      </c>
      <c r="M868" s="3">
        <v>13.35</v>
      </c>
      <c r="N868" s="3">
        <v>29.99</v>
      </c>
      <c r="O868" s="2" t="s">
        <v>212</v>
      </c>
      <c r="P868" s="2" t="s">
        <v>285</v>
      </c>
      <c r="Q868" s="2" t="s">
        <v>206</v>
      </c>
      <c r="R868" s="2" t="s">
        <v>200</v>
      </c>
      <c r="S868" s="2" t="s">
        <v>200</v>
      </c>
      <c r="T868" s="2" t="s">
        <v>200</v>
      </c>
      <c r="U868" s="2" t="s">
        <v>200</v>
      </c>
      <c r="V868" s="2" t="s">
        <v>940</v>
      </c>
      <c r="W868" s="2" t="s">
        <v>200</v>
      </c>
      <c r="X868" s="2" t="s">
        <v>200</v>
      </c>
      <c r="Y868" s="2" t="s">
        <v>5233</v>
      </c>
      <c r="Z868" s="4">
        <v>95</v>
      </c>
      <c r="AA868" s="4">
        <f>=ROUNDDOWN(15.8333333333333,0)</f>
      </c>
      <c r="AB868" s="5">
        <v>6</v>
      </c>
      <c r="AC868" s="2" t="s">
        <v>200</v>
      </c>
      <c r="AD868" s="4"/>
      <c r="AE868" s="4"/>
      <c r="AF868" s="6"/>
      <c r="AG868" s="6">
        <v>48</v>
      </c>
      <c r="AH868" s="7">
        <v>1</v>
      </c>
      <c r="AI868" s="4"/>
      <c r="AJ868" s="4">
        <f>=ROUNDDOWN({0},0)</f>
      </c>
      <c r="AK868" s="5"/>
      <c r="AL868" s="2" t="s">
        <v>200</v>
      </c>
      <c r="AM868" s="4"/>
      <c r="AN868" s="4"/>
      <c r="AO868" s="7"/>
      <c r="AP868" s="4"/>
      <c r="AQ868" s="8"/>
      <c r="AR868" s="4"/>
      <c r="AS868" s="8"/>
      <c r="AT868" s="7"/>
      <c r="AU868" s="7"/>
      <c r="AV868" s="4" t="s">
        <v>200</v>
      </c>
      <c r="AW868" s="8" t="s">
        <v>200</v>
      </c>
      <c r="AX868" s="4" t="s">
        <v>200</v>
      </c>
      <c r="AY868" s="8" t="s">
        <v>200</v>
      </c>
      <c r="AZ868" s="7" t="s">
        <v>200</v>
      </c>
      <c r="BA868" s="7" t="s">
        <v>200</v>
      </c>
      <c r="BB868" s="7"/>
      <c r="BC868" s="4" t="s">
        <v>200</v>
      </c>
      <c r="BD868" s="8" t="s">
        <v>200</v>
      </c>
      <c r="BE868" s="4" t="s">
        <v>200</v>
      </c>
      <c r="BF868" s="8" t="s">
        <v>200</v>
      </c>
      <c r="BG868" s="7" t="s">
        <v>200</v>
      </c>
      <c r="BH868" s="7" t="s">
        <v>200</v>
      </c>
      <c r="BI868" s="7"/>
      <c r="BJ868" s="4">
        <v>15</v>
      </c>
      <c r="BK868" s="8">
        <v>202.1</v>
      </c>
      <c r="BL868" s="2" t="s">
        <v>1767</v>
      </c>
      <c r="BM868" s="7"/>
      <c r="BN868" s="7"/>
      <c r="BO868" s="4"/>
      <c r="BP868" s="8"/>
      <c r="BQ868" s="4"/>
      <c r="BR868" s="8"/>
      <c r="BS868" s="7"/>
      <c r="BT868" s="7"/>
      <c r="BU868" s="2" t="s">
        <v>5237</v>
      </c>
      <c r="BV868" s="2" t="s">
        <v>200</v>
      </c>
      <c r="BW868" s="2" t="s">
        <v>200</v>
      </c>
      <c r="BX868" s="2" t="s">
        <v>289</v>
      </c>
      <c r="BY868" s="2" t="s">
        <v>247</v>
      </c>
      <c r="BZ868" s="2" t="s">
        <v>212</v>
      </c>
      <c r="CA868" s="2" t="s">
        <v>5225</v>
      </c>
      <c r="CB868" s="2" t="s">
        <v>200</v>
      </c>
      <c r="CC868" s="2" t="s">
        <v>213</v>
      </c>
      <c r="CD868" s="2" t="s">
        <v>200</v>
      </c>
      <c r="CE868" s="4"/>
      <c r="CF868" s="4"/>
      <c r="CG868" s="4"/>
      <c r="CH868" s="4">
        <v>95</v>
      </c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</row>
    <row r="869">
      <c r="A869" s="2" t="s">
        <v>5238</v>
      </c>
      <c r="B869" s="2" t="s">
        <v>2124</v>
      </c>
      <c r="C869" s="2" t="s">
        <v>745</v>
      </c>
      <c r="D869" s="2" t="s">
        <v>2125</v>
      </c>
      <c r="E869" s="2" t="s">
        <v>2126</v>
      </c>
      <c r="F869" s="2" t="s">
        <v>5227</v>
      </c>
      <c r="G869" s="2" t="s">
        <v>200</v>
      </c>
      <c r="H869" s="2" t="s">
        <v>200</v>
      </c>
      <c r="I869" s="2" t="s">
        <v>5228</v>
      </c>
      <c r="J869" s="2" t="s">
        <v>5171</v>
      </c>
      <c r="K869" s="2" t="s">
        <v>5236</v>
      </c>
      <c r="L869" s="3">
        <v>9</v>
      </c>
      <c r="M869" s="3">
        <v>13.35</v>
      </c>
      <c r="N869" s="3">
        <v>29.99</v>
      </c>
      <c r="O869" s="2" t="s">
        <v>212</v>
      </c>
      <c r="P869" s="2" t="s">
        <v>285</v>
      </c>
      <c r="Q869" s="2" t="s">
        <v>206</v>
      </c>
      <c r="R869" s="2" t="s">
        <v>200</v>
      </c>
      <c r="S869" s="2" t="s">
        <v>200</v>
      </c>
      <c r="T869" s="2" t="s">
        <v>200</v>
      </c>
      <c r="U869" s="2" t="s">
        <v>200</v>
      </c>
      <c r="V869" s="2" t="s">
        <v>940</v>
      </c>
      <c r="W869" s="2" t="s">
        <v>200</v>
      </c>
      <c r="X869" s="2" t="s">
        <v>200</v>
      </c>
      <c r="Y869" s="2" t="s">
        <v>5233</v>
      </c>
      <c r="Z869" s="4">
        <v>325</v>
      </c>
      <c r="AA869" s="4">
        <f>=ROUNDDOWN(54.1666666666667,0)</f>
      </c>
      <c r="AB869" s="5">
        <v>6</v>
      </c>
      <c r="AC869" s="2" t="s">
        <v>200</v>
      </c>
      <c r="AD869" s="4"/>
      <c r="AE869" s="4"/>
      <c r="AF869" s="6"/>
      <c r="AG869" s="6">
        <v>48</v>
      </c>
      <c r="AH869" s="7">
        <v>1</v>
      </c>
      <c r="AI869" s="4"/>
      <c r="AJ869" s="4">
        <f>=ROUNDDOWN({0},0)</f>
      </c>
      <c r="AK869" s="5"/>
      <c r="AL869" s="2" t="s">
        <v>200</v>
      </c>
      <c r="AM869" s="4"/>
      <c r="AN869" s="4"/>
      <c r="AO869" s="7"/>
      <c r="AP869" s="4"/>
      <c r="AQ869" s="8"/>
      <c r="AR869" s="4"/>
      <c r="AS869" s="8"/>
      <c r="AT869" s="7"/>
      <c r="AU869" s="7"/>
      <c r="AV869" s="4" t="s">
        <v>200</v>
      </c>
      <c r="AW869" s="8" t="s">
        <v>200</v>
      </c>
      <c r="AX869" s="4" t="s">
        <v>200</v>
      </c>
      <c r="AY869" s="8" t="s">
        <v>200</v>
      </c>
      <c r="AZ869" s="7" t="s">
        <v>200</v>
      </c>
      <c r="BA869" s="7" t="s">
        <v>200</v>
      </c>
      <c r="BB869" s="7"/>
      <c r="BC869" s="4" t="s">
        <v>200</v>
      </c>
      <c r="BD869" s="8" t="s">
        <v>200</v>
      </c>
      <c r="BE869" s="4" t="s">
        <v>200</v>
      </c>
      <c r="BF869" s="8" t="s">
        <v>200</v>
      </c>
      <c r="BG869" s="7" t="s">
        <v>200</v>
      </c>
      <c r="BH869" s="7" t="s">
        <v>200</v>
      </c>
      <c r="BI869" s="7"/>
      <c r="BJ869" s="4">
        <v>5</v>
      </c>
      <c r="BK869" s="8">
        <v>68.55</v>
      </c>
      <c r="BL869" s="2" t="s">
        <v>1651</v>
      </c>
      <c r="BM869" s="7"/>
      <c r="BN869" s="7"/>
      <c r="BO869" s="4"/>
      <c r="BP869" s="8"/>
      <c r="BQ869" s="4"/>
      <c r="BR869" s="8"/>
      <c r="BS869" s="7"/>
      <c r="BT869" s="7"/>
      <c r="BU869" s="2" t="s">
        <v>5239</v>
      </c>
      <c r="BV869" s="2" t="s">
        <v>200</v>
      </c>
      <c r="BW869" s="2" t="s">
        <v>200</v>
      </c>
      <c r="BX869" s="2" t="s">
        <v>289</v>
      </c>
      <c r="BY869" s="2" t="s">
        <v>247</v>
      </c>
      <c r="BZ869" s="2" t="s">
        <v>212</v>
      </c>
      <c r="CA869" s="2" t="s">
        <v>5225</v>
      </c>
      <c r="CB869" s="2" t="s">
        <v>200</v>
      </c>
      <c r="CC869" s="2" t="s">
        <v>213</v>
      </c>
      <c r="CD869" s="2" t="s">
        <v>200</v>
      </c>
      <c r="CE869" s="4"/>
      <c r="CF869" s="4"/>
      <c r="CG869" s="4"/>
      <c r="CH869" s="4">
        <v>325</v>
      </c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</row>
    <row r="870">
      <c r="A870" s="2" t="s">
        <v>5240</v>
      </c>
      <c r="B870" s="2" t="s">
        <v>2124</v>
      </c>
      <c r="C870" s="2" t="s">
        <v>745</v>
      </c>
      <c r="D870" s="2" t="s">
        <v>2125</v>
      </c>
      <c r="E870" s="2" t="s">
        <v>2126</v>
      </c>
      <c r="F870" s="2" t="s">
        <v>5241</v>
      </c>
      <c r="G870" s="2" t="s">
        <v>200</v>
      </c>
      <c r="H870" s="2" t="s">
        <v>200</v>
      </c>
      <c r="I870" s="2" t="s">
        <v>5242</v>
      </c>
      <c r="J870" s="2" t="s">
        <v>951</v>
      </c>
      <c r="K870" s="2" t="s">
        <v>5243</v>
      </c>
      <c r="L870" s="3">
        <v>15</v>
      </c>
      <c r="M870" s="3">
        <v>15.75</v>
      </c>
      <c r="N870" s="3">
        <v>29.99</v>
      </c>
      <c r="O870" s="2" t="s">
        <v>212</v>
      </c>
      <c r="P870" s="2" t="s">
        <v>1075</v>
      </c>
      <c r="Q870" s="2" t="s">
        <v>206</v>
      </c>
      <c r="R870" s="2" t="s">
        <v>200</v>
      </c>
      <c r="S870" s="2" t="s">
        <v>200</v>
      </c>
      <c r="T870" s="2" t="s">
        <v>200</v>
      </c>
      <c r="U870" s="2" t="s">
        <v>200</v>
      </c>
      <c r="V870" s="2" t="s">
        <v>616</v>
      </c>
      <c r="W870" s="2" t="s">
        <v>200</v>
      </c>
      <c r="X870" s="2" t="s">
        <v>200</v>
      </c>
      <c r="Y870" s="2" t="s">
        <v>2130</v>
      </c>
      <c r="Z870" s="4">
        <v>730</v>
      </c>
      <c r="AA870" s="4">
        <f>=ROUNDDOWN(292,0)</f>
      </c>
      <c r="AB870" s="5">
        <v>2.5</v>
      </c>
      <c r="AC870" s="2" t="s">
        <v>200</v>
      </c>
      <c r="AD870" s="4"/>
      <c r="AE870" s="4"/>
      <c r="AF870" s="6"/>
      <c r="AG870" s="6">
        <v>48</v>
      </c>
      <c r="AH870" s="7">
        <v>1</v>
      </c>
      <c r="AI870" s="4"/>
      <c r="AJ870" s="4">
        <f>=ROUNDDOWN({0},0)</f>
      </c>
      <c r="AK870" s="5"/>
      <c r="AL870" s="2" t="s">
        <v>200</v>
      </c>
      <c r="AM870" s="4"/>
      <c r="AN870" s="4"/>
      <c r="AO870" s="7"/>
      <c r="AP870" s="4"/>
      <c r="AQ870" s="8"/>
      <c r="AR870" s="4"/>
      <c r="AS870" s="8"/>
      <c r="AT870" s="7"/>
      <c r="AU870" s="7"/>
      <c r="AV870" s="4" t="s">
        <v>200</v>
      </c>
      <c r="AW870" s="8" t="s">
        <v>200</v>
      </c>
      <c r="AX870" s="4" t="s">
        <v>200</v>
      </c>
      <c r="AY870" s="8" t="s">
        <v>200</v>
      </c>
      <c r="AZ870" s="7" t="s">
        <v>200</v>
      </c>
      <c r="BA870" s="7" t="s">
        <v>200</v>
      </c>
      <c r="BB870" s="7"/>
      <c r="BC870" s="4" t="s">
        <v>200</v>
      </c>
      <c r="BD870" s="8" t="s">
        <v>200</v>
      </c>
      <c r="BE870" s="4" t="s">
        <v>200</v>
      </c>
      <c r="BF870" s="8" t="s">
        <v>200</v>
      </c>
      <c r="BG870" s="7" t="s">
        <v>200</v>
      </c>
      <c r="BH870" s="7" t="s">
        <v>200</v>
      </c>
      <c r="BI870" s="7"/>
      <c r="BJ870" s="4">
        <v>13</v>
      </c>
      <c r="BK870" s="8">
        <v>253.98</v>
      </c>
      <c r="BL870" s="2" t="s">
        <v>5244</v>
      </c>
      <c r="BM870" s="7"/>
      <c r="BN870" s="7"/>
      <c r="BO870" s="4"/>
      <c r="BP870" s="8"/>
      <c r="BQ870" s="4"/>
      <c r="BR870" s="8"/>
      <c r="BS870" s="7"/>
      <c r="BT870" s="7"/>
      <c r="BU870" s="2" t="s">
        <v>5245</v>
      </c>
      <c r="BV870" s="2" t="s">
        <v>200</v>
      </c>
      <c r="BW870" s="2" t="s">
        <v>200</v>
      </c>
      <c r="BX870" s="2" t="s">
        <v>264</v>
      </c>
      <c r="BY870" s="2" t="s">
        <v>247</v>
      </c>
      <c r="BZ870" s="2" t="s">
        <v>212</v>
      </c>
      <c r="CA870" s="2" t="s">
        <v>1353</v>
      </c>
      <c r="CB870" s="2" t="s">
        <v>1966</v>
      </c>
      <c r="CC870" s="2" t="s">
        <v>213</v>
      </c>
      <c r="CD870" s="2" t="s">
        <v>200</v>
      </c>
      <c r="CE870" s="4"/>
      <c r="CF870" s="4"/>
      <c r="CG870" s="4"/>
      <c r="CH870" s="4">
        <v>730</v>
      </c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</row>
    <row r="871">
      <c r="A871" s="2" t="s">
        <v>5246</v>
      </c>
      <c r="B871" s="2" t="s">
        <v>2124</v>
      </c>
      <c r="C871" s="2" t="s">
        <v>745</v>
      </c>
      <c r="D871" s="2" t="s">
        <v>2125</v>
      </c>
      <c r="E871" s="2" t="s">
        <v>2126</v>
      </c>
      <c r="F871" s="2" t="s">
        <v>5241</v>
      </c>
      <c r="G871" s="2" t="s">
        <v>200</v>
      </c>
      <c r="H871" s="2" t="s">
        <v>200</v>
      </c>
      <c r="I871" s="2" t="s">
        <v>5242</v>
      </c>
      <c r="J871" s="2" t="s">
        <v>2139</v>
      </c>
      <c r="K871" s="2" t="s">
        <v>5243</v>
      </c>
      <c r="L871" s="3">
        <v>15</v>
      </c>
      <c r="M871" s="3">
        <v>15.75</v>
      </c>
      <c r="N871" s="3">
        <v>29.99</v>
      </c>
      <c r="O871" s="2" t="s">
        <v>212</v>
      </c>
      <c r="P871" s="2" t="s">
        <v>1075</v>
      </c>
      <c r="Q871" s="2" t="s">
        <v>206</v>
      </c>
      <c r="R871" s="2" t="s">
        <v>200</v>
      </c>
      <c r="S871" s="2" t="s">
        <v>200</v>
      </c>
      <c r="T871" s="2" t="s">
        <v>200</v>
      </c>
      <c r="U871" s="2" t="s">
        <v>200</v>
      </c>
      <c r="V871" s="2" t="s">
        <v>616</v>
      </c>
      <c r="W871" s="2" t="s">
        <v>200</v>
      </c>
      <c r="X871" s="2" t="s">
        <v>200</v>
      </c>
      <c r="Y871" s="2" t="s">
        <v>2130</v>
      </c>
      <c r="Z871" s="4">
        <v>353</v>
      </c>
      <c r="AA871" s="4">
        <f>=ROUNDDOWN(160.454545454545,0)</f>
      </c>
      <c r="AB871" s="5">
        <v>2.2</v>
      </c>
      <c r="AC871" s="2" t="s">
        <v>200</v>
      </c>
      <c r="AD871" s="4"/>
      <c r="AE871" s="4"/>
      <c r="AF871" s="6"/>
      <c r="AG871" s="6">
        <v>48</v>
      </c>
      <c r="AH871" s="7">
        <v>1</v>
      </c>
      <c r="AI871" s="4"/>
      <c r="AJ871" s="4">
        <f>=ROUNDDOWN({0},0)</f>
      </c>
      <c r="AK871" s="5"/>
      <c r="AL871" s="2" t="s">
        <v>200</v>
      </c>
      <c r="AM871" s="4"/>
      <c r="AN871" s="4"/>
      <c r="AO871" s="7"/>
      <c r="AP871" s="4"/>
      <c r="AQ871" s="8"/>
      <c r="AR871" s="4"/>
      <c r="AS871" s="8"/>
      <c r="AT871" s="7"/>
      <c r="AU871" s="7"/>
      <c r="AV871" s="4" t="s">
        <v>200</v>
      </c>
      <c r="AW871" s="8" t="s">
        <v>200</v>
      </c>
      <c r="AX871" s="4" t="s">
        <v>200</v>
      </c>
      <c r="AY871" s="8" t="s">
        <v>200</v>
      </c>
      <c r="AZ871" s="7" t="s">
        <v>200</v>
      </c>
      <c r="BA871" s="7" t="s">
        <v>200</v>
      </c>
      <c r="BB871" s="7"/>
      <c r="BC871" s="4" t="s">
        <v>200</v>
      </c>
      <c r="BD871" s="8" t="s">
        <v>200</v>
      </c>
      <c r="BE871" s="4" t="s">
        <v>200</v>
      </c>
      <c r="BF871" s="8" t="s">
        <v>200</v>
      </c>
      <c r="BG871" s="7" t="s">
        <v>200</v>
      </c>
      <c r="BH871" s="7" t="s">
        <v>200</v>
      </c>
      <c r="BI871" s="7"/>
      <c r="BJ871" s="4">
        <v>7</v>
      </c>
      <c r="BK871" s="8">
        <v>140.2</v>
      </c>
      <c r="BL871" s="2" t="s">
        <v>1651</v>
      </c>
      <c r="BM871" s="7"/>
      <c r="BN871" s="7"/>
      <c r="BO871" s="4"/>
      <c r="BP871" s="8"/>
      <c r="BQ871" s="4"/>
      <c r="BR871" s="8"/>
      <c r="BS871" s="7"/>
      <c r="BT871" s="7"/>
      <c r="BU871" s="2" t="s">
        <v>5247</v>
      </c>
      <c r="BV871" s="2" t="s">
        <v>200</v>
      </c>
      <c r="BW871" s="2" t="s">
        <v>200</v>
      </c>
      <c r="BX871" s="2" t="s">
        <v>264</v>
      </c>
      <c r="BY871" s="2" t="s">
        <v>247</v>
      </c>
      <c r="BZ871" s="2" t="s">
        <v>212</v>
      </c>
      <c r="CA871" s="2" t="s">
        <v>1353</v>
      </c>
      <c r="CB871" s="2" t="s">
        <v>1294</v>
      </c>
      <c r="CC871" s="2" t="s">
        <v>213</v>
      </c>
      <c r="CD871" s="2" t="s">
        <v>200</v>
      </c>
      <c r="CE871" s="4"/>
      <c r="CF871" s="4"/>
      <c r="CG871" s="4"/>
      <c r="CH871" s="4">
        <v>353</v>
      </c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</row>
    <row r="872">
      <c r="A872" s="2" t="s">
        <v>5248</v>
      </c>
      <c r="B872" s="2" t="s">
        <v>2124</v>
      </c>
      <c r="C872" s="2" t="s">
        <v>745</v>
      </c>
      <c r="D872" s="2" t="s">
        <v>2125</v>
      </c>
      <c r="E872" s="2" t="s">
        <v>2126</v>
      </c>
      <c r="F872" s="2" t="s">
        <v>5241</v>
      </c>
      <c r="G872" s="2" t="s">
        <v>200</v>
      </c>
      <c r="H872" s="2" t="s">
        <v>200</v>
      </c>
      <c r="I872" s="2" t="s">
        <v>5242</v>
      </c>
      <c r="J872" s="2" t="s">
        <v>5249</v>
      </c>
      <c r="K872" s="2" t="s">
        <v>5250</v>
      </c>
      <c r="L872" s="3">
        <v>15</v>
      </c>
      <c r="M872" s="3">
        <v>15.75</v>
      </c>
      <c r="N872" s="3">
        <v>29.99</v>
      </c>
      <c r="O872" s="2" t="s">
        <v>212</v>
      </c>
      <c r="P872" s="2" t="s">
        <v>1075</v>
      </c>
      <c r="Q872" s="2" t="s">
        <v>206</v>
      </c>
      <c r="R872" s="2" t="s">
        <v>200</v>
      </c>
      <c r="S872" s="2" t="s">
        <v>200</v>
      </c>
      <c r="T872" s="2" t="s">
        <v>200</v>
      </c>
      <c r="U872" s="2" t="s">
        <v>200</v>
      </c>
      <c r="V872" s="2" t="s">
        <v>616</v>
      </c>
      <c r="W872" s="2" t="s">
        <v>200</v>
      </c>
      <c r="X872" s="2" t="s">
        <v>200</v>
      </c>
      <c r="Y872" s="2" t="s">
        <v>2130</v>
      </c>
      <c r="Z872" s="4">
        <v>232</v>
      </c>
      <c r="AA872" s="4">
        <f>=ROUNDDOWN(116,0)</f>
      </c>
      <c r="AB872" s="5">
        <v>2</v>
      </c>
      <c r="AC872" s="2" t="s">
        <v>200</v>
      </c>
      <c r="AD872" s="4"/>
      <c r="AE872" s="4"/>
      <c r="AF872" s="6"/>
      <c r="AG872" s="6">
        <v>48</v>
      </c>
      <c r="AH872" s="7">
        <v>1</v>
      </c>
      <c r="AI872" s="4"/>
      <c r="AJ872" s="4">
        <f>=ROUNDDOWN({0},0)</f>
      </c>
      <c r="AK872" s="5"/>
      <c r="AL872" s="2" t="s">
        <v>200</v>
      </c>
      <c r="AM872" s="4"/>
      <c r="AN872" s="4"/>
      <c r="AO872" s="7"/>
      <c r="AP872" s="4"/>
      <c r="AQ872" s="8"/>
      <c r="AR872" s="4"/>
      <c r="AS872" s="8"/>
      <c r="AT872" s="7"/>
      <c r="AU872" s="7"/>
      <c r="AV872" s="4" t="s">
        <v>200</v>
      </c>
      <c r="AW872" s="8" t="s">
        <v>200</v>
      </c>
      <c r="AX872" s="4" t="s">
        <v>200</v>
      </c>
      <c r="AY872" s="8" t="s">
        <v>200</v>
      </c>
      <c r="AZ872" s="7" t="s">
        <v>200</v>
      </c>
      <c r="BA872" s="7" t="s">
        <v>200</v>
      </c>
      <c r="BB872" s="7"/>
      <c r="BC872" s="4" t="s">
        <v>200</v>
      </c>
      <c r="BD872" s="8" t="s">
        <v>200</v>
      </c>
      <c r="BE872" s="4" t="s">
        <v>200</v>
      </c>
      <c r="BF872" s="8" t="s">
        <v>200</v>
      </c>
      <c r="BG872" s="7" t="s">
        <v>200</v>
      </c>
      <c r="BH872" s="7" t="s">
        <v>200</v>
      </c>
      <c r="BI872" s="7"/>
      <c r="BJ872" s="4">
        <v>3</v>
      </c>
      <c r="BK872" s="8">
        <v>53.8</v>
      </c>
      <c r="BL872" s="2" t="s">
        <v>1651</v>
      </c>
      <c r="BM872" s="7"/>
      <c r="BN872" s="7"/>
      <c r="BO872" s="4"/>
      <c r="BP872" s="8"/>
      <c r="BQ872" s="4"/>
      <c r="BR872" s="8"/>
      <c r="BS872" s="7"/>
      <c r="BT872" s="7"/>
      <c r="BU872" s="2" t="s">
        <v>5251</v>
      </c>
      <c r="BV872" s="2" t="s">
        <v>200</v>
      </c>
      <c r="BW872" s="2" t="s">
        <v>200</v>
      </c>
      <c r="BX872" s="2" t="s">
        <v>264</v>
      </c>
      <c r="BY872" s="2" t="s">
        <v>247</v>
      </c>
      <c r="BZ872" s="2" t="s">
        <v>212</v>
      </c>
      <c r="CA872" s="2" t="s">
        <v>2706</v>
      </c>
      <c r="CB872" s="2" t="s">
        <v>200</v>
      </c>
      <c r="CC872" s="2" t="s">
        <v>213</v>
      </c>
      <c r="CD872" s="2" t="s">
        <v>200</v>
      </c>
      <c r="CE872" s="4"/>
      <c r="CF872" s="4"/>
      <c r="CG872" s="4"/>
      <c r="CH872" s="4">
        <v>232</v>
      </c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</row>
    <row r="873">
      <c r="A873" s="2" t="s">
        <v>5252</v>
      </c>
      <c r="B873" s="2" t="s">
        <v>2124</v>
      </c>
      <c r="C873" s="2" t="s">
        <v>745</v>
      </c>
      <c r="D873" s="2" t="s">
        <v>2125</v>
      </c>
      <c r="E873" s="2" t="s">
        <v>2126</v>
      </c>
      <c r="F873" s="2" t="s">
        <v>5241</v>
      </c>
      <c r="G873" s="2" t="s">
        <v>200</v>
      </c>
      <c r="H873" s="2" t="s">
        <v>200</v>
      </c>
      <c r="I873" s="2" t="s">
        <v>5242</v>
      </c>
      <c r="J873" s="2" t="s">
        <v>2128</v>
      </c>
      <c r="K873" s="2" t="s">
        <v>5250</v>
      </c>
      <c r="L873" s="3">
        <v>15</v>
      </c>
      <c r="M873" s="3">
        <v>15.75</v>
      </c>
      <c r="N873" s="3">
        <v>29.99</v>
      </c>
      <c r="O873" s="2" t="s">
        <v>212</v>
      </c>
      <c r="P873" s="2" t="s">
        <v>1075</v>
      </c>
      <c r="Q873" s="2" t="s">
        <v>206</v>
      </c>
      <c r="R873" s="2" t="s">
        <v>200</v>
      </c>
      <c r="S873" s="2" t="s">
        <v>200</v>
      </c>
      <c r="T873" s="2" t="s">
        <v>200</v>
      </c>
      <c r="U873" s="2" t="s">
        <v>200</v>
      </c>
      <c r="V873" s="2" t="s">
        <v>616</v>
      </c>
      <c r="W873" s="2" t="s">
        <v>200</v>
      </c>
      <c r="X873" s="2" t="s">
        <v>200</v>
      </c>
      <c r="Y873" s="2" t="s">
        <v>2130</v>
      </c>
      <c r="Z873" s="4">
        <v>528</v>
      </c>
      <c r="AA873" s="4">
        <f>=ROUNDDOWN(132,0)</f>
      </c>
      <c r="AB873" s="5">
        <v>4</v>
      </c>
      <c r="AC873" s="2" t="s">
        <v>200</v>
      </c>
      <c r="AD873" s="4"/>
      <c r="AE873" s="4"/>
      <c r="AF873" s="6"/>
      <c r="AG873" s="6">
        <v>48</v>
      </c>
      <c r="AH873" s="7">
        <v>1</v>
      </c>
      <c r="AI873" s="4"/>
      <c r="AJ873" s="4">
        <f>=ROUNDDOWN({0},0)</f>
      </c>
      <c r="AK873" s="5"/>
      <c r="AL873" s="2" t="s">
        <v>200</v>
      </c>
      <c r="AM873" s="4"/>
      <c r="AN873" s="4"/>
      <c r="AO873" s="7"/>
      <c r="AP873" s="4"/>
      <c r="AQ873" s="8"/>
      <c r="AR873" s="4"/>
      <c r="AS873" s="8"/>
      <c r="AT873" s="7"/>
      <c r="AU873" s="7"/>
      <c r="AV873" s="4" t="s">
        <v>200</v>
      </c>
      <c r="AW873" s="8" t="s">
        <v>200</v>
      </c>
      <c r="AX873" s="4" t="s">
        <v>200</v>
      </c>
      <c r="AY873" s="8" t="s">
        <v>200</v>
      </c>
      <c r="AZ873" s="7" t="s">
        <v>200</v>
      </c>
      <c r="BA873" s="7" t="s">
        <v>200</v>
      </c>
      <c r="BB873" s="7"/>
      <c r="BC873" s="4" t="s">
        <v>200</v>
      </c>
      <c r="BD873" s="8" t="s">
        <v>200</v>
      </c>
      <c r="BE873" s="4" t="s">
        <v>200</v>
      </c>
      <c r="BF873" s="8" t="s">
        <v>200</v>
      </c>
      <c r="BG873" s="7" t="s">
        <v>200</v>
      </c>
      <c r="BH873" s="7" t="s">
        <v>200</v>
      </c>
      <c r="BI873" s="7"/>
      <c r="BJ873" s="4">
        <v>4</v>
      </c>
      <c r="BK873" s="8">
        <v>68.8</v>
      </c>
      <c r="BL873" s="2" t="s">
        <v>1651</v>
      </c>
      <c r="BM873" s="7"/>
      <c r="BN873" s="7"/>
      <c r="BO873" s="4"/>
      <c r="BP873" s="8"/>
      <c r="BQ873" s="4"/>
      <c r="BR873" s="8"/>
      <c r="BS873" s="7"/>
      <c r="BT873" s="7"/>
      <c r="BU873" s="2" t="s">
        <v>5253</v>
      </c>
      <c r="BV873" s="2" t="s">
        <v>200</v>
      </c>
      <c r="BW873" s="2" t="s">
        <v>200</v>
      </c>
      <c r="BX873" s="2" t="s">
        <v>264</v>
      </c>
      <c r="BY873" s="2" t="s">
        <v>247</v>
      </c>
      <c r="BZ873" s="2" t="s">
        <v>212</v>
      </c>
      <c r="CA873" s="2" t="s">
        <v>2706</v>
      </c>
      <c r="CB873" s="2" t="s">
        <v>200</v>
      </c>
      <c r="CC873" s="2" t="s">
        <v>213</v>
      </c>
      <c r="CD873" s="2" t="s">
        <v>200</v>
      </c>
      <c r="CE873" s="4"/>
      <c r="CF873" s="4"/>
      <c r="CG873" s="4"/>
      <c r="CH873" s="4">
        <v>528</v>
      </c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</row>
    <row r="874">
      <c r="A874" s="2" t="s">
        <v>5254</v>
      </c>
      <c r="B874" s="2" t="s">
        <v>2124</v>
      </c>
      <c r="C874" s="2" t="s">
        <v>745</v>
      </c>
      <c r="D874" s="2" t="s">
        <v>2125</v>
      </c>
      <c r="E874" s="2" t="s">
        <v>2126</v>
      </c>
      <c r="F874" s="2" t="s">
        <v>5241</v>
      </c>
      <c r="G874" s="2" t="s">
        <v>200</v>
      </c>
      <c r="H874" s="2" t="s">
        <v>200</v>
      </c>
      <c r="I874" s="2" t="s">
        <v>5242</v>
      </c>
      <c r="J874" s="2" t="s">
        <v>951</v>
      </c>
      <c r="K874" s="2" t="s">
        <v>5250</v>
      </c>
      <c r="L874" s="3">
        <v>15</v>
      </c>
      <c r="M874" s="3">
        <v>15.75</v>
      </c>
      <c r="N874" s="3">
        <v>29.99</v>
      </c>
      <c r="O874" s="2" t="s">
        <v>212</v>
      </c>
      <c r="P874" s="2" t="s">
        <v>1075</v>
      </c>
      <c r="Q874" s="2" t="s">
        <v>206</v>
      </c>
      <c r="R874" s="2" t="s">
        <v>200</v>
      </c>
      <c r="S874" s="2" t="s">
        <v>200</v>
      </c>
      <c r="T874" s="2" t="s">
        <v>200</v>
      </c>
      <c r="U874" s="2" t="s">
        <v>200</v>
      </c>
      <c r="V874" s="2" t="s">
        <v>616</v>
      </c>
      <c r="W874" s="2" t="s">
        <v>200</v>
      </c>
      <c r="X874" s="2" t="s">
        <v>200</v>
      </c>
      <c r="Y874" s="2" t="s">
        <v>2130</v>
      </c>
      <c r="Z874" s="4">
        <v>381</v>
      </c>
      <c r="AA874" s="4">
        <f>=ROUNDDOWN(95.25,0)</f>
      </c>
      <c r="AB874" s="5">
        <v>4</v>
      </c>
      <c r="AC874" s="2" t="s">
        <v>200</v>
      </c>
      <c r="AD874" s="4"/>
      <c r="AE874" s="4"/>
      <c r="AF874" s="6"/>
      <c r="AG874" s="6">
        <v>48</v>
      </c>
      <c r="AH874" s="7">
        <v>1</v>
      </c>
      <c r="AI874" s="4"/>
      <c r="AJ874" s="4">
        <f>=ROUNDDOWN({0},0)</f>
      </c>
      <c r="AK874" s="5"/>
      <c r="AL874" s="2" t="s">
        <v>200</v>
      </c>
      <c r="AM874" s="4"/>
      <c r="AN874" s="4"/>
      <c r="AO874" s="7"/>
      <c r="AP874" s="4"/>
      <c r="AQ874" s="8"/>
      <c r="AR874" s="4"/>
      <c r="AS874" s="8"/>
      <c r="AT874" s="7"/>
      <c r="AU874" s="7"/>
      <c r="AV874" s="4" t="s">
        <v>200</v>
      </c>
      <c r="AW874" s="8" t="s">
        <v>200</v>
      </c>
      <c r="AX874" s="4" t="s">
        <v>200</v>
      </c>
      <c r="AY874" s="8" t="s">
        <v>200</v>
      </c>
      <c r="AZ874" s="7" t="s">
        <v>200</v>
      </c>
      <c r="BA874" s="7" t="s">
        <v>200</v>
      </c>
      <c r="BB874" s="7"/>
      <c r="BC874" s="4" t="s">
        <v>200</v>
      </c>
      <c r="BD874" s="8" t="s">
        <v>200</v>
      </c>
      <c r="BE874" s="4" t="s">
        <v>200</v>
      </c>
      <c r="BF874" s="8" t="s">
        <v>200</v>
      </c>
      <c r="BG874" s="7" t="s">
        <v>200</v>
      </c>
      <c r="BH874" s="7" t="s">
        <v>200</v>
      </c>
      <c r="BI874" s="7"/>
      <c r="BJ874" s="4">
        <v>11</v>
      </c>
      <c r="BK874" s="8">
        <v>235.4</v>
      </c>
      <c r="BL874" s="2" t="s">
        <v>1651</v>
      </c>
      <c r="BM874" s="7"/>
      <c r="BN874" s="7"/>
      <c r="BO874" s="4"/>
      <c r="BP874" s="8"/>
      <c r="BQ874" s="4"/>
      <c r="BR874" s="8"/>
      <c r="BS874" s="7"/>
      <c r="BT874" s="7"/>
      <c r="BU874" s="2" t="s">
        <v>5255</v>
      </c>
      <c r="BV874" s="2" t="s">
        <v>200</v>
      </c>
      <c r="BW874" s="2" t="s">
        <v>200</v>
      </c>
      <c r="BX874" s="2" t="s">
        <v>264</v>
      </c>
      <c r="BY874" s="2" t="s">
        <v>247</v>
      </c>
      <c r="BZ874" s="2" t="s">
        <v>212</v>
      </c>
      <c r="CA874" s="2" t="s">
        <v>2706</v>
      </c>
      <c r="CB874" s="2" t="s">
        <v>5256</v>
      </c>
      <c r="CC874" s="2" t="s">
        <v>213</v>
      </c>
      <c r="CD874" s="2" t="s">
        <v>200</v>
      </c>
      <c r="CE874" s="4"/>
      <c r="CF874" s="4"/>
      <c r="CG874" s="4"/>
      <c r="CH874" s="4">
        <v>381</v>
      </c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</row>
    <row r="875">
      <c r="A875" s="2" t="s">
        <v>5257</v>
      </c>
      <c r="B875" s="2" t="s">
        <v>2124</v>
      </c>
      <c r="C875" s="2" t="s">
        <v>745</v>
      </c>
      <c r="D875" s="2" t="s">
        <v>2125</v>
      </c>
      <c r="E875" s="2" t="s">
        <v>2126</v>
      </c>
      <c r="F875" s="2" t="s">
        <v>5241</v>
      </c>
      <c r="G875" s="2" t="s">
        <v>200</v>
      </c>
      <c r="H875" s="2" t="s">
        <v>200</v>
      </c>
      <c r="I875" s="2" t="s">
        <v>5242</v>
      </c>
      <c r="J875" s="2" t="s">
        <v>2139</v>
      </c>
      <c r="K875" s="2" t="s">
        <v>5250</v>
      </c>
      <c r="L875" s="3">
        <v>15</v>
      </c>
      <c r="M875" s="3">
        <v>15.75</v>
      </c>
      <c r="N875" s="3">
        <v>29.99</v>
      </c>
      <c r="O875" s="2" t="s">
        <v>212</v>
      </c>
      <c r="P875" s="2" t="s">
        <v>1075</v>
      </c>
      <c r="Q875" s="2" t="s">
        <v>206</v>
      </c>
      <c r="R875" s="2" t="s">
        <v>200</v>
      </c>
      <c r="S875" s="2" t="s">
        <v>200</v>
      </c>
      <c r="T875" s="2" t="s">
        <v>200</v>
      </c>
      <c r="U875" s="2" t="s">
        <v>200</v>
      </c>
      <c r="V875" s="2" t="s">
        <v>616</v>
      </c>
      <c r="W875" s="2" t="s">
        <v>200</v>
      </c>
      <c r="X875" s="2" t="s">
        <v>200</v>
      </c>
      <c r="Y875" s="2" t="s">
        <v>2130</v>
      </c>
      <c r="Z875" s="4">
        <v>364</v>
      </c>
      <c r="AA875" s="4">
        <f>=ROUNDDOWN(45.5,0)</f>
      </c>
      <c r="AB875" s="5">
        <v>8</v>
      </c>
      <c r="AC875" s="2" t="s">
        <v>200</v>
      </c>
      <c r="AD875" s="4"/>
      <c r="AE875" s="4"/>
      <c r="AF875" s="6"/>
      <c r="AG875" s="6">
        <v>48</v>
      </c>
      <c r="AH875" s="7">
        <v>1</v>
      </c>
      <c r="AI875" s="4"/>
      <c r="AJ875" s="4">
        <f>=ROUNDDOWN({0},0)</f>
      </c>
      <c r="AK875" s="5"/>
      <c r="AL875" s="2" t="s">
        <v>200</v>
      </c>
      <c r="AM875" s="4"/>
      <c r="AN875" s="4"/>
      <c r="AO875" s="7"/>
      <c r="AP875" s="4"/>
      <c r="AQ875" s="8"/>
      <c r="AR875" s="4"/>
      <c r="AS875" s="8"/>
      <c r="AT875" s="7"/>
      <c r="AU875" s="7"/>
      <c r="AV875" s="4" t="s">
        <v>200</v>
      </c>
      <c r="AW875" s="8" t="s">
        <v>200</v>
      </c>
      <c r="AX875" s="4" t="s">
        <v>200</v>
      </c>
      <c r="AY875" s="8" t="s">
        <v>200</v>
      </c>
      <c r="AZ875" s="7" t="s">
        <v>200</v>
      </c>
      <c r="BA875" s="7" t="s">
        <v>200</v>
      </c>
      <c r="BB875" s="7"/>
      <c r="BC875" s="4" t="s">
        <v>200</v>
      </c>
      <c r="BD875" s="8" t="s">
        <v>200</v>
      </c>
      <c r="BE875" s="4" t="s">
        <v>200</v>
      </c>
      <c r="BF875" s="8" t="s">
        <v>200</v>
      </c>
      <c r="BG875" s="7" t="s">
        <v>200</v>
      </c>
      <c r="BH875" s="7" t="s">
        <v>200</v>
      </c>
      <c r="BI875" s="7"/>
      <c r="BJ875" s="4">
        <v>6</v>
      </c>
      <c r="BK875" s="8">
        <v>142.8</v>
      </c>
      <c r="BL875" s="2" t="s">
        <v>455</v>
      </c>
      <c r="BM875" s="7"/>
      <c r="BN875" s="7"/>
      <c r="BO875" s="4"/>
      <c r="BP875" s="8"/>
      <c r="BQ875" s="4"/>
      <c r="BR875" s="8"/>
      <c r="BS875" s="7"/>
      <c r="BT875" s="7"/>
      <c r="BU875" s="2" t="s">
        <v>5258</v>
      </c>
      <c r="BV875" s="2" t="s">
        <v>200</v>
      </c>
      <c r="BW875" s="2" t="s">
        <v>200</v>
      </c>
      <c r="BX875" s="2" t="s">
        <v>264</v>
      </c>
      <c r="BY875" s="2" t="s">
        <v>247</v>
      </c>
      <c r="BZ875" s="2" t="s">
        <v>212</v>
      </c>
      <c r="CA875" s="2" t="s">
        <v>2706</v>
      </c>
      <c r="CB875" s="2" t="s">
        <v>1640</v>
      </c>
      <c r="CC875" s="2" t="s">
        <v>213</v>
      </c>
      <c r="CD875" s="2" t="s">
        <v>200</v>
      </c>
      <c r="CE875" s="4"/>
      <c r="CF875" s="4"/>
      <c r="CG875" s="4"/>
      <c r="CH875" s="4">
        <v>364</v>
      </c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</row>
    <row r="876">
      <c r="A876" s="2" t="s">
        <v>5259</v>
      </c>
      <c r="B876" s="2" t="s">
        <v>2124</v>
      </c>
      <c r="C876" s="2" t="s">
        <v>745</v>
      </c>
      <c r="D876" s="2" t="s">
        <v>2125</v>
      </c>
      <c r="E876" s="2" t="s">
        <v>2126</v>
      </c>
      <c r="F876" s="2" t="s">
        <v>5241</v>
      </c>
      <c r="G876" s="2" t="s">
        <v>200</v>
      </c>
      <c r="H876" s="2" t="s">
        <v>200</v>
      </c>
      <c r="I876" s="2" t="s">
        <v>5242</v>
      </c>
      <c r="J876" s="2" t="s">
        <v>5260</v>
      </c>
      <c r="K876" s="2" t="s">
        <v>5250</v>
      </c>
      <c r="L876" s="3">
        <v>15</v>
      </c>
      <c r="M876" s="3">
        <v>15.75</v>
      </c>
      <c r="N876" s="3">
        <v>29.99</v>
      </c>
      <c r="O876" s="2" t="s">
        <v>212</v>
      </c>
      <c r="P876" s="2" t="s">
        <v>1075</v>
      </c>
      <c r="Q876" s="2" t="s">
        <v>206</v>
      </c>
      <c r="R876" s="2" t="s">
        <v>200</v>
      </c>
      <c r="S876" s="2" t="s">
        <v>200</v>
      </c>
      <c r="T876" s="2" t="s">
        <v>200</v>
      </c>
      <c r="U876" s="2" t="s">
        <v>200</v>
      </c>
      <c r="V876" s="2" t="s">
        <v>616</v>
      </c>
      <c r="W876" s="2" t="s">
        <v>200</v>
      </c>
      <c r="X876" s="2" t="s">
        <v>200</v>
      </c>
      <c r="Y876" s="2" t="s">
        <v>2130</v>
      </c>
      <c r="Z876" s="4">
        <v>96</v>
      </c>
      <c r="AA876" s="4">
        <f>=ROUNDDOWN(32,0)</f>
      </c>
      <c r="AB876" s="5">
        <v>3</v>
      </c>
      <c r="AC876" s="2" t="s">
        <v>200</v>
      </c>
      <c r="AD876" s="4"/>
      <c r="AE876" s="4"/>
      <c r="AF876" s="6"/>
      <c r="AG876" s="6">
        <v>48</v>
      </c>
      <c r="AH876" s="7">
        <v>1</v>
      </c>
      <c r="AI876" s="4"/>
      <c r="AJ876" s="4">
        <f>=ROUNDDOWN({0},0)</f>
      </c>
      <c r="AK876" s="5"/>
      <c r="AL876" s="2" t="s">
        <v>200</v>
      </c>
      <c r="AM876" s="4"/>
      <c r="AN876" s="4"/>
      <c r="AO876" s="7"/>
      <c r="AP876" s="4"/>
      <c r="AQ876" s="8"/>
      <c r="AR876" s="4"/>
      <c r="AS876" s="8"/>
      <c r="AT876" s="7"/>
      <c r="AU876" s="7"/>
      <c r="AV876" s="4" t="s">
        <v>200</v>
      </c>
      <c r="AW876" s="8" t="s">
        <v>200</v>
      </c>
      <c r="AX876" s="4" t="s">
        <v>200</v>
      </c>
      <c r="AY876" s="8" t="s">
        <v>200</v>
      </c>
      <c r="AZ876" s="7" t="s">
        <v>200</v>
      </c>
      <c r="BA876" s="7" t="s">
        <v>200</v>
      </c>
      <c r="BB876" s="7"/>
      <c r="BC876" s="4" t="s">
        <v>200</v>
      </c>
      <c r="BD876" s="8" t="s">
        <v>200</v>
      </c>
      <c r="BE876" s="4" t="s">
        <v>200</v>
      </c>
      <c r="BF876" s="8" t="s">
        <v>200</v>
      </c>
      <c r="BG876" s="7" t="s">
        <v>200</v>
      </c>
      <c r="BH876" s="7" t="s">
        <v>200</v>
      </c>
      <c r="BI876" s="7"/>
      <c r="BJ876" s="4">
        <v>3</v>
      </c>
      <c r="BK876" s="8">
        <v>71.4</v>
      </c>
      <c r="BL876" s="2" t="s">
        <v>455</v>
      </c>
      <c r="BM876" s="7"/>
      <c r="BN876" s="7"/>
      <c r="BO876" s="4"/>
      <c r="BP876" s="8"/>
      <c r="BQ876" s="4"/>
      <c r="BR876" s="8"/>
      <c r="BS876" s="7"/>
      <c r="BT876" s="7"/>
      <c r="BU876" s="2" t="s">
        <v>5261</v>
      </c>
      <c r="BV876" s="2" t="s">
        <v>200</v>
      </c>
      <c r="BW876" s="2" t="s">
        <v>200</v>
      </c>
      <c r="BX876" s="2" t="s">
        <v>264</v>
      </c>
      <c r="BY876" s="2" t="s">
        <v>247</v>
      </c>
      <c r="BZ876" s="2" t="s">
        <v>212</v>
      </c>
      <c r="CA876" s="2" t="s">
        <v>2706</v>
      </c>
      <c r="CB876" s="2" t="s">
        <v>2516</v>
      </c>
      <c r="CC876" s="2" t="s">
        <v>213</v>
      </c>
      <c r="CD876" s="2" t="s">
        <v>200</v>
      </c>
      <c r="CE876" s="4"/>
      <c r="CF876" s="4"/>
      <c r="CG876" s="4"/>
      <c r="CH876" s="4">
        <v>96</v>
      </c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</row>
    <row r="877">
      <c r="A877" s="2" t="s">
        <v>5262</v>
      </c>
      <c r="B877" s="2" t="s">
        <v>2124</v>
      </c>
      <c r="C877" s="2" t="s">
        <v>745</v>
      </c>
      <c r="D877" s="2" t="s">
        <v>2125</v>
      </c>
      <c r="E877" s="2" t="s">
        <v>2126</v>
      </c>
      <c r="F877" s="2" t="s">
        <v>5241</v>
      </c>
      <c r="G877" s="2" t="s">
        <v>200</v>
      </c>
      <c r="H877" s="2" t="s">
        <v>200</v>
      </c>
      <c r="I877" s="2" t="s">
        <v>5242</v>
      </c>
      <c r="J877" s="2" t="s">
        <v>5249</v>
      </c>
      <c r="K877" s="2" t="s">
        <v>5263</v>
      </c>
      <c r="L877" s="3">
        <v>15</v>
      </c>
      <c r="M877" s="3">
        <v>15.75</v>
      </c>
      <c r="N877" s="3">
        <v>29.99</v>
      </c>
      <c r="O877" s="2" t="s">
        <v>212</v>
      </c>
      <c r="P877" s="2" t="s">
        <v>1075</v>
      </c>
      <c r="Q877" s="2" t="s">
        <v>206</v>
      </c>
      <c r="R877" s="2" t="s">
        <v>200</v>
      </c>
      <c r="S877" s="2" t="s">
        <v>200</v>
      </c>
      <c r="T877" s="2" t="s">
        <v>200</v>
      </c>
      <c r="U877" s="2" t="s">
        <v>200</v>
      </c>
      <c r="V877" s="2" t="s">
        <v>616</v>
      </c>
      <c r="W877" s="2" t="s">
        <v>200</v>
      </c>
      <c r="X877" s="2" t="s">
        <v>200</v>
      </c>
      <c r="Y877" s="2" t="s">
        <v>2130</v>
      </c>
      <c r="Z877" s="4">
        <v>221</v>
      </c>
      <c r="AA877" s="4">
        <f>=ROUNDDOWN(276.25,0)</f>
      </c>
      <c r="AB877" s="5">
        <v>0.8</v>
      </c>
      <c r="AC877" s="2" t="s">
        <v>200</v>
      </c>
      <c r="AD877" s="4"/>
      <c r="AE877" s="4"/>
      <c r="AF877" s="6"/>
      <c r="AG877" s="6">
        <v>48</v>
      </c>
      <c r="AH877" s="7">
        <v>1</v>
      </c>
      <c r="AI877" s="4"/>
      <c r="AJ877" s="4">
        <f>=ROUNDDOWN({0},0)</f>
      </c>
      <c r="AK877" s="5"/>
      <c r="AL877" s="2" t="s">
        <v>200</v>
      </c>
      <c r="AM877" s="4"/>
      <c r="AN877" s="4"/>
      <c r="AO877" s="7"/>
      <c r="AP877" s="4"/>
      <c r="AQ877" s="8"/>
      <c r="AR877" s="4"/>
      <c r="AS877" s="8"/>
      <c r="AT877" s="7"/>
      <c r="AU877" s="7"/>
      <c r="AV877" s="4" t="s">
        <v>200</v>
      </c>
      <c r="AW877" s="8" t="s">
        <v>200</v>
      </c>
      <c r="AX877" s="4" t="s">
        <v>200</v>
      </c>
      <c r="AY877" s="8" t="s">
        <v>200</v>
      </c>
      <c r="AZ877" s="7" t="s">
        <v>200</v>
      </c>
      <c r="BA877" s="7" t="s">
        <v>200</v>
      </c>
      <c r="BB877" s="7"/>
      <c r="BC877" s="4" t="s">
        <v>200</v>
      </c>
      <c r="BD877" s="8" t="s">
        <v>200</v>
      </c>
      <c r="BE877" s="4" t="s">
        <v>200</v>
      </c>
      <c r="BF877" s="8" t="s">
        <v>200</v>
      </c>
      <c r="BG877" s="7" t="s">
        <v>200</v>
      </c>
      <c r="BH877" s="7" t="s">
        <v>200</v>
      </c>
      <c r="BI877" s="7"/>
      <c r="BJ877" s="4">
        <v>4</v>
      </c>
      <c r="BK877" s="8">
        <v>77.6</v>
      </c>
      <c r="BL877" s="2" t="s">
        <v>1651</v>
      </c>
      <c r="BM877" s="7"/>
      <c r="BN877" s="7"/>
      <c r="BO877" s="4"/>
      <c r="BP877" s="8"/>
      <c r="BQ877" s="4"/>
      <c r="BR877" s="8"/>
      <c r="BS877" s="7"/>
      <c r="BT877" s="7"/>
      <c r="BU877" s="2" t="s">
        <v>5264</v>
      </c>
      <c r="BV877" s="2" t="s">
        <v>200</v>
      </c>
      <c r="BW877" s="2" t="s">
        <v>200</v>
      </c>
      <c r="BX877" s="2" t="s">
        <v>264</v>
      </c>
      <c r="BY877" s="2" t="s">
        <v>247</v>
      </c>
      <c r="BZ877" s="2" t="s">
        <v>212</v>
      </c>
      <c r="CA877" s="2" t="s">
        <v>2706</v>
      </c>
      <c r="CB877" s="2" t="s">
        <v>200</v>
      </c>
      <c r="CC877" s="2" t="s">
        <v>213</v>
      </c>
      <c r="CD877" s="2" t="s">
        <v>200</v>
      </c>
      <c r="CE877" s="4"/>
      <c r="CF877" s="4"/>
      <c r="CG877" s="4"/>
      <c r="CH877" s="4">
        <v>221</v>
      </c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</row>
    <row r="878">
      <c r="A878" s="2" t="s">
        <v>5265</v>
      </c>
      <c r="B878" s="2" t="s">
        <v>2124</v>
      </c>
      <c r="C878" s="2" t="s">
        <v>745</v>
      </c>
      <c r="D878" s="2" t="s">
        <v>2125</v>
      </c>
      <c r="E878" s="2" t="s">
        <v>2126</v>
      </c>
      <c r="F878" s="2" t="s">
        <v>5241</v>
      </c>
      <c r="G878" s="2" t="s">
        <v>200</v>
      </c>
      <c r="H878" s="2" t="s">
        <v>200</v>
      </c>
      <c r="I878" s="2" t="s">
        <v>5242</v>
      </c>
      <c r="J878" s="2" t="s">
        <v>2128</v>
      </c>
      <c r="K878" s="2" t="s">
        <v>5263</v>
      </c>
      <c r="L878" s="3">
        <v>15</v>
      </c>
      <c r="M878" s="3">
        <v>15.75</v>
      </c>
      <c r="N878" s="3">
        <v>29.99</v>
      </c>
      <c r="O878" s="2" t="s">
        <v>212</v>
      </c>
      <c r="P878" s="2" t="s">
        <v>1075</v>
      </c>
      <c r="Q878" s="2" t="s">
        <v>206</v>
      </c>
      <c r="R878" s="2" t="s">
        <v>200</v>
      </c>
      <c r="S878" s="2" t="s">
        <v>200</v>
      </c>
      <c r="T878" s="2" t="s">
        <v>200</v>
      </c>
      <c r="U878" s="2" t="s">
        <v>200</v>
      </c>
      <c r="V878" s="2" t="s">
        <v>616</v>
      </c>
      <c r="W878" s="2" t="s">
        <v>200</v>
      </c>
      <c r="X878" s="2" t="s">
        <v>200</v>
      </c>
      <c r="Y878" s="2" t="s">
        <v>2130</v>
      </c>
      <c r="Z878" s="4">
        <v>299</v>
      </c>
      <c r="AA878" s="4">
        <f>=ROUNDDOWN(149.5,0)</f>
      </c>
      <c r="AB878" s="5">
        <v>2</v>
      </c>
      <c r="AC878" s="2" t="s">
        <v>200</v>
      </c>
      <c r="AD878" s="4"/>
      <c r="AE878" s="4"/>
      <c r="AF878" s="6"/>
      <c r="AG878" s="6">
        <v>48</v>
      </c>
      <c r="AH878" s="7">
        <v>1</v>
      </c>
      <c r="AI878" s="4"/>
      <c r="AJ878" s="4">
        <f>=ROUNDDOWN({0},0)</f>
      </c>
      <c r="AK878" s="5"/>
      <c r="AL878" s="2" t="s">
        <v>200</v>
      </c>
      <c r="AM878" s="4"/>
      <c r="AN878" s="4"/>
      <c r="AO878" s="7"/>
      <c r="AP878" s="4"/>
      <c r="AQ878" s="8"/>
      <c r="AR878" s="4"/>
      <c r="AS878" s="8"/>
      <c r="AT878" s="7"/>
      <c r="AU878" s="7"/>
      <c r="AV878" s="4" t="s">
        <v>200</v>
      </c>
      <c r="AW878" s="8" t="s">
        <v>200</v>
      </c>
      <c r="AX878" s="4" t="s">
        <v>200</v>
      </c>
      <c r="AY878" s="8" t="s">
        <v>200</v>
      </c>
      <c r="AZ878" s="7" t="s">
        <v>200</v>
      </c>
      <c r="BA878" s="7" t="s">
        <v>200</v>
      </c>
      <c r="BB878" s="7"/>
      <c r="BC878" s="4" t="s">
        <v>200</v>
      </c>
      <c r="BD878" s="8" t="s">
        <v>200</v>
      </c>
      <c r="BE878" s="4" t="s">
        <v>200</v>
      </c>
      <c r="BF878" s="8" t="s">
        <v>200</v>
      </c>
      <c r="BG878" s="7" t="s">
        <v>200</v>
      </c>
      <c r="BH878" s="7" t="s">
        <v>200</v>
      </c>
      <c r="BI878" s="7"/>
      <c r="BJ878" s="4">
        <v>5</v>
      </c>
      <c r="BK878" s="8">
        <v>83.8</v>
      </c>
      <c r="BL878" s="2" t="s">
        <v>1651</v>
      </c>
      <c r="BM878" s="7"/>
      <c r="BN878" s="7"/>
      <c r="BO878" s="4"/>
      <c r="BP878" s="8"/>
      <c r="BQ878" s="4"/>
      <c r="BR878" s="8"/>
      <c r="BS878" s="7"/>
      <c r="BT878" s="7"/>
      <c r="BU878" s="2" t="s">
        <v>5266</v>
      </c>
      <c r="BV878" s="2" t="s">
        <v>200</v>
      </c>
      <c r="BW878" s="2" t="s">
        <v>200</v>
      </c>
      <c r="BX878" s="2" t="s">
        <v>264</v>
      </c>
      <c r="BY878" s="2" t="s">
        <v>247</v>
      </c>
      <c r="BZ878" s="2" t="s">
        <v>212</v>
      </c>
      <c r="CA878" s="2" t="s">
        <v>2706</v>
      </c>
      <c r="CB878" s="2" t="s">
        <v>2522</v>
      </c>
      <c r="CC878" s="2" t="s">
        <v>213</v>
      </c>
      <c r="CD878" s="2" t="s">
        <v>200</v>
      </c>
      <c r="CE878" s="4"/>
      <c r="CF878" s="4"/>
      <c r="CG878" s="4"/>
      <c r="CH878" s="4">
        <v>299</v>
      </c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</row>
    <row r="879">
      <c r="A879" s="2" t="s">
        <v>5267</v>
      </c>
      <c r="B879" s="2" t="s">
        <v>2124</v>
      </c>
      <c r="C879" s="2" t="s">
        <v>745</v>
      </c>
      <c r="D879" s="2" t="s">
        <v>2125</v>
      </c>
      <c r="E879" s="2" t="s">
        <v>2126</v>
      </c>
      <c r="F879" s="2" t="s">
        <v>5241</v>
      </c>
      <c r="G879" s="2" t="s">
        <v>200</v>
      </c>
      <c r="H879" s="2" t="s">
        <v>200</v>
      </c>
      <c r="I879" s="2" t="s">
        <v>5242</v>
      </c>
      <c r="J879" s="2" t="s">
        <v>951</v>
      </c>
      <c r="K879" s="2" t="s">
        <v>5263</v>
      </c>
      <c r="L879" s="3">
        <v>15</v>
      </c>
      <c r="M879" s="3">
        <v>15.75</v>
      </c>
      <c r="N879" s="3">
        <v>29.99</v>
      </c>
      <c r="O879" s="2" t="s">
        <v>212</v>
      </c>
      <c r="P879" s="2" t="s">
        <v>1075</v>
      </c>
      <c r="Q879" s="2" t="s">
        <v>206</v>
      </c>
      <c r="R879" s="2" t="s">
        <v>200</v>
      </c>
      <c r="S879" s="2" t="s">
        <v>200</v>
      </c>
      <c r="T879" s="2" t="s">
        <v>200</v>
      </c>
      <c r="U879" s="2" t="s">
        <v>200</v>
      </c>
      <c r="V879" s="2" t="s">
        <v>616</v>
      </c>
      <c r="W879" s="2" t="s">
        <v>200</v>
      </c>
      <c r="X879" s="2" t="s">
        <v>200</v>
      </c>
      <c r="Y879" s="2" t="s">
        <v>2130</v>
      </c>
      <c r="Z879" s="4">
        <v>505</v>
      </c>
      <c r="AA879" s="4">
        <f>=ROUNDDOWN(297.058823529412,0)</f>
      </c>
      <c r="AB879" s="5">
        <v>1.7</v>
      </c>
      <c r="AC879" s="2" t="s">
        <v>200</v>
      </c>
      <c r="AD879" s="4"/>
      <c r="AE879" s="4"/>
      <c r="AF879" s="6"/>
      <c r="AG879" s="6">
        <v>48</v>
      </c>
      <c r="AH879" s="7">
        <v>1</v>
      </c>
      <c r="AI879" s="4"/>
      <c r="AJ879" s="4">
        <f>=ROUNDDOWN({0},0)</f>
      </c>
      <c r="AK879" s="5"/>
      <c r="AL879" s="2" t="s">
        <v>200</v>
      </c>
      <c r="AM879" s="4"/>
      <c r="AN879" s="4"/>
      <c r="AO879" s="7"/>
      <c r="AP879" s="4"/>
      <c r="AQ879" s="8"/>
      <c r="AR879" s="4"/>
      <c r="AS879" s="8"/>
      <c r="AT879" s="7"/>
      <c r="AU879" s="7"/>
      <c r="AV879" s="4" t="s">
        <v>200</v>
      </c>
      <c r="AW879" s="8" t="s">
        <v>200</v>
      </c>
      <c r="AX879" s="4" t="s">
        <v>200</v>
      </c>
      <c r="AY879" s="8" t="s">
        <v>200</v>
      </c>
      <c r="AZ879" s="7" t="s">
        <v>200</v>
      </c>
      <c r="BA879" s="7" t="s">
        <v>200</v>
      </c>
      <c r="BB879" s="7"/>
      <c r="BC879" s="4" t="s">
        <v>200</v>
      </c>
      <c r="BD879" s="8" t="s">
        <v>200</v>
      </c>
      <c r="BE879" s="4" t="s">
        <v>200</v>
      </c>
      <c r="BF879" s="8" t="s">
        <v>200</v>
      </c>
      <c r="BG879" s="7" t="s">
        <v>200</v>
      </c>
      <c r="BH879" s="7" t="s">
        <v>200</v>
      </c>
      <c r="BI879" s="7"/>
      <c r="BJ879" s="4">
        <v>9</v>
      </c>
      <c r="BK879" s="8">
        <v>196.6</v>
      </c>
      <c r="BL879" s="2" t="s">
        <v>1651</v>
      </c>
      <c r="BM879" s="7"/>
      <c r="BN879" s="7"/>
      <c r="BO879" s="4"/>
      <c r="BP879" s="8"/>
      <c r="BQ879" s="4"/>
      <c r="BR879" s="8"/>
      <c r="BS879" s="7"/>
      <c r="BT879" s="7"/>
      <c r="BU879" s="2" t="s">
        <v>5268</v>
      </c>
      <c r="BV879" s="2" t="s">
        <v>200</v>
      </c>
      <c r="BW879" s="2" t="s">
        <v>200</v>
      </c>
      <c r="BX879" s="2" t="s">
        <v>264</v>
      </c>
      <c r="BY879" s="2" t="s">
        <v>247</v>
      </c>
      <c r="BZ879" s="2" t="s">
        <v>212</v>
      </c>
      <c r="CA879" s="2" t="s">
        <v>2706</v>
      </c>
      <c r="CB879" s="2" t="s">
        <v>473</v>
      </c>
      <c r="CC879" s="2" t="s">
        <v>213</v>
      </c>
      <c r="CD879" s="2" t="s">
        <v>200</v>
      </c>
      <c r="CE879" s="4"/>
      <c r="CF879" s="4"/>
      <c r="CG879" s="4"/>
      <c r="CH879" s="4">
        <v>505</v>
      </c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</row>
    <row r="880">
      <c r="A880" s="2" t="s">
        <v>5269</v>
      </c>
      <c r="B880" s="2" t="s">
        <v>2124</v>
      </c>
      <c r="C880" s="2" t="s">
        <v>745</v>
      </c>
      <c r="D880" s="2" t="s">
        <v>2125</v>
      </c>
      <c r="E880" s="2" t="s">
        <v>2126</v>
      </c>
      <c r="F880" s="2" t="s">
        <v>5241</v>
      </c>
      <c r="G880" s="2" t="s">
        <v>200</v>
      </c>
      <c r="H880" s="2" t="s">
        <v>200</v>
      </c>
      <c r="I880" s="2" t="s">
        <v>5242</v>
      </c>
      <c r="J880" s="2" t="s">
        <v>2136</v>
      </c>
      <c r="K880" s="2" t="s">
        <v>5263</v>
      </c>
      <c r="L880" s="3">
        <v>15</v>
      </c>
      <c r="M880" s="3">
        <v>15.75</v>
      </c>
      <c r="N880" s="3">
        <v>29.99</v>
      </c>
      <c r="O880" s="2" t="s">
        <v>212</v>
      </c>
      <c r="P880" s="2" t="s">
        <v>1075</v>
      </c>
      <c r="Q880" s="2" t="s">
        <v>206</v>
      </c>
      <c r="R880" s="2" t="s">
        <v>200</v>
      </c>
      <c r="S880" s="2" t="s">
        <v>200</v>
      </c>
      <c r="T880" s="2" t="s">
        <v>200</v>
      </c>
      <c r="U880" s="2" t="s">
        <v>200</v>
      </c>
      <c r="V880" s="2" t="s">
        <v>616</v>
      </c>
      <c r="W880" s="2" t="s">
        <v>200</v>
      </c>
      <c r="X880" s="2" t="s">
        <v>200</v>
      </c>
      <c r="Y880" s="2" t="s">
        <v>2130</v>
      </c>
      <c r="Z880" s="4">
        <v>431</v>
      </c>
      <c r="AA880" s="4">
        <f>=ROUNDDOWN(159.62962962963,0)</f>
      </c>
      <c r="AB880" s="5">
        <v>2.7</v>
      </c>
      <c r="AC880" s="2" t="s">
        <v>200</v>
      </c>
      <c r="AD880" s="4"/>
      <c r="AE880" s="4"/>
      <c r="AF880" s="6"/>
      <c r="AG880" s="6">
        <v>48</v>
      </c>
      <c r="AH880" s="7">
        <v>1</v>
      </c>
      <c r="AI880" s="4"/>
      <c r="AJ880" s="4">
        <f>=ROUNDDOWN({0},0)</f>
      </c>
      <c r="AK880" s="5"/>
      <c r="AL880" s="2" t="s">
        <v>200</v>
      </c>
      <c r="AM880" s="4"/>
      <c r="AN880" s="4"/>
      <c r="AO880" s="7"/>
      <c r="AP880" s="4"/>
      <c r="AQ880" s="8"/>
      <c r="AR880" s="4"/>
      <c r="AS880" s="8"/>
      <c r="AT880" s="7"/>
      <c r="AU880" s="7"/>
      <c r="AV880" s="4" t="s">
        <v>200</v>
      </c>
      <c r="AW880" s="8" t="s">
        <v>200</v>
      </c>
      <c r="AX880" s="4" t="s">
        <v>200</v>
      </c>
      <c r="AY880" s="8" t="s">
        <v>200</v>
      </c>
      <c r="AZ880" s="7" t="s">
        <v>200</v>
      </c>
      <c r="BA880" s="7" t="s">
        <v>200</v>
      </c>
      <c r="BB880" s="7"/>
      <c r="BC880" s="4" t="s">
        <v>200</v>
      </c>
      <c r="BD880" s="8" t="s">
        <v>200</v>
      </c>
      <c r="BE880" s="4" t="s">
        <v>200</v>
      </c>
      <c r="BF880" s="8" t="s">
        <v>200</v>
      </c>
      <c r="BG880" s="7" t="s">
        <v>200</v>
      </c>
      <c r="BH880" s="7" t="s">
        <v>200</v>
      </c>
      <c r="BI880" s="7"/>
      <c r="BJ880" s="4">
        <v>9</v>
      </c>
      <c r="BK880" s="8">
        <v>200.64</v>
      </c>
      <c r="BL880" s="2" t="s">
        <v>1767</v>
      </c>
      <c r="BM880" s="7"/>
      <c r="BN880" s="7"/>
      <c r="BO880" s="4"/>
      <c r="BP880" s="8"/>
      <c r="BQ880" s="4"/>
      <c r="BR880" s="8"/>
      <c r="BS880" s="7"/>
      <c r="BT880" s="7"/>
      <c r="BU880" s="2" t="s">
        <v>5270</v>
      </c>
      <c r="BV880" s="2" t="s">
        <v>200</v>
      </c>
      <c r="BW880" s="2" t="s">
        <v>200</v>
      </c>
      <c r="BX880" s="2" t="s">
        <v>264</v>
      </c>
      <c r="BY880" s="2" t="s">
        <v>247</v>
      </c>
      <c r="BZ880" s="2" t="s">
        <v>212</v>
      </c>
      <c r="CA880" s="2" t="s">
        <v>2706</v>
      </c>
      <c r="CB880" s="2" t="s">
        <v>200</v>
      </c>
      <c r="CC880" s="2" t="s">
        <v>213</v>
      </c>
      <c r="CD880" s="2" t="s">
        <v>200</v>
      </c>
      <c r="CE880" s="4"/>
      <c r="CF880" s="4"/>
      <c r="CG880" s="4"/>
      <c r="CH880" s="4">
        <v>431</v>
      </c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</row>
    <row r="881">
      <c r="A881" s="2" t="s">
        <v>5271</v>
      </c>
      <c r="B881" s="2" t="s">
        <v>2124</v>
      </c>
      <c r="C881" s="2" t="s">
        <v>745</v>
      </c>
      <c r="D881" s="2" t="s">
        <v>2125</v>
      </c>
      <c r="E881" s="2" t="s">
        <v>2126</v>
      </c>
      <c r="F881" s="2" t="s">
        <v>5241</v>
      </c>
      <c r="G881" s="2" t="s">
        <v>200</v>
      </c>
      <c r="H881" s="2" t="s">
        <v>200</v>
      </c>
      <c r="I881" s="2" t="s">
        <v>5242</v>
      </c>
      <c r="J881" s="2" t="s">
        <v>2139</v>
      </c>
      <c r="K881" s="2" t="s">
        <v>5263</v>
      </c>
      <c r="L881" s="3">
        <v>15</v>
      </c>
      <c r="M881" s="3">
        <v>15.75</v>
      </c>
      <c r="N881" s="3">
        <v>29.99</v>
      </c>
      <c r="O881" s="2" t="s">
        <v>212</v>
      </c>
      <c r="P881" s="2" t="s">
        <v>1075</v>
      </c>
      <c r="Q881" s="2" t="s">
        <v>206</v>
      </c>
      <c r="R881" s="2" t="s">
        <v>200</v>
      </c>
      <c r="S881" s="2" t="s">
        <v>200</v>
      </c>
      <c r="T881" s="2" t="s">
        <v>200</v>
      </c>
      <c r="U881" s="2" t="s">
        <v>200</v>
      </c>
      <c r="V881" s="2" t="s">
        <v>616</v>
      </c>
      <c r="W881" s="2" t="s">
        <v>200</v>
      </c>
      <c r="X881" s="2" t="s">
        <v>200</v>
      </c>
      <c r="Y881" s="2" t="s">
        <v>2130</v>
      </c>
      <c r="Z881" s="4">
        <v>444</v>
      </c>
      <c r="AA881" s="4">
        <f>=ROUNDDOWN(158.571428571429,0)</f>
      </c>
      <c r="AB881" s="5">
        <v>2.8</v>
      </c>
      <c r="AC881" s="2" t="s">
        <v>200</v>
      </c>
      <c r="AD881" s="4"/>
      <c r="AE881" s="4"/>
      <c r="AF881" s="6"/>
      <c r="AG881" s="6">
        <v>48</v>
      </c>
      <c r="AH881" s="7">
        <v>1</v>
      </c>
      <c r="AI881" s="4"/>
      <c r="AJ881" s="4">
        <f>=ROUNDDOWN({0},0)</f>
      </c>
      <c r="AK881" s="5"/>
      <c r="AL881" s="2" t="s">
        <v>200</v>
      </c>
      <c r="AM881" s="4"/>
      <c r="AN881" s="4"/>
      <c r="AO881" s="7"/>
      <c r="AP881" s="4"/>
      <c r="AQ881" s="8"/>
      <c r="AR881" s="4"/>
      <c r="AS881" s="8"/>
      <c r="AT881" s="7"/>
      <c r="AU881" s="7"/>
      <c r="AV881" s="4" t="s">
        <v>200</v>
      </c>
      <c r="AW881" s="8" t="s">
        <v>200</v>
      </c>
      <c r="AX881" s="4" t="s">
        <v>200</v>
      </c>
      <c r="AY881" s="8" t="s">
        <v>200</v>
      </c>
      <c r="AZ881" s="7" t="s">
        <v>200</v>
      </c>
      <c r="BA881" s="7" t="s">
        <v>200</v>
      </c>
      <c r="BB881" s="7"/>
      <c r="BC881" s="4" t="s">
        <v>200</v>
      </c>
      <c r="BD881" s="8" t="s">
        <v>200</v>
      </c>
      <c r="BE881" s="4" t="s">
        <v>200</v>
      </c>
      <c r="BF881" s="8" t="s">
        <v>200</v>
      </c>
      <c r="BG881" s="7" t="s">
        <v>200</v>
      </c>
      <c r="BH881" s="7" t="s">
        <v>200</v>
      </c>
      <c r="BI881" s="7"/>
      <c r="BJ881" s="4">
        <v>7</v>
      </c>
      <c r="BK881" s="8">
        <v>153.04</v>
      </c>
      <c r="BL881" s="2" t="s">
        <v>1767</v>
      </c>
      <c r="BM881" s="7"/>
      <c r="BN881" s="7"/>
      <c r="BO881" s="4"/>
      <c r="BP881" s="8"/>
      <c r="BQ881" s="4"/>
      <c r="BR881" s="8"/>
      <c r="BS881" s="7"/>
      <c r="BT881" s="7"/>
      <c r="BU881" s="2" t="s">
        <v>5272</v>
      </c>
      <c r="BV881" s="2" t="s">
        <v>200</v>
      </c>
      <c r="BW881" s="2" t="s">
        <v>200</v>
      </c>
      <c r="BX881" s="2" t="s">
        <v>264</v>
      </c>
      <c r="BY881" s="2" t="s">
        <v>247</v>
      </c>
      <c r="BZ881" s="2" t="s">
        <v>212</v>
      </c>
      <c r="CA881" s="2" t="s">
        <v>1353</v>
      </c>
      <c r="CB881" s="2" t="s">
        <v>2641</v>
      </c>
      <c r="CC881" s="2" t="s">
        <v>213</v>
      </c>
      <c r="CD881" s="2" t="s">
        <v>200</v>
      </c>
      <c r="CE881" s="4"/>
      <c r="CF881" s="4"/>
      <c r="CG881" s="4"/>
      <c r="CH881" s="4">
        <v>444</v>
      </c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</row>
    <row r="882">
      <c r="A882" s="2" t="s">
        <v>5273</v>
      </c>
      <c r="B882" s="2" t="s">
        <v>2124</v>
      </c>
      <c r="C882" s="2" t="s">
        <v>745</v>
      </c>
      <c r="D882" s="2" t="s">
        <v>2125</v>
      </c>
      <c r="E882" s="2" t="s">
        <v>2126</v>
      </c>
      <c r="F882" s="2" t="s">
        <v>5241</v>
      </c>
      <c r="G882" s="2" t="s">
        <v>200</v>
      </c>
      <c r="H882" s="2" t="s">
        <v>200</v>
      </c>
      <c r="I882" s="2" t="s">
        <v>5242</v>
      </c>
      <c r="J882" s="2" t="s">
        <v>5260</v>
      </c>
      <c r="K882" s="2" t="s">
        <v>5263</v>
      </c>
      <c r="L882" s="3">
        <v>15</v>
      </c>
      <c r="M882" s="3">
        <v>15.75</v>
      </c>
      <c r="N882" s="3">
        <v>29.99</v>
      </c>
      <c r="O882" s="2" t="s">
        <v>212</v>
      </c>
      <c r="P882" s="2" t="s">
        <v>1075</v>
      </c>
      <c r="Q882" s="2" t="s">
        <v>206</v>
      </c>
      <c r="R882" s="2" t="s">
        <v>200</v>
      </c>
      <c r="S882" s="2" t="s">
        <v>200</v>
      </c>
      <c r="T882" s="2" t="s">
        <v>200</v>
      </c>
      <c r="U882" s="2" t="s">
        <v>200</v>
      </c>
      <c r="V882" s="2" t="s">
        <v>616</v>
      </c>
      <c r="W882" s="2" t="s">
        <v>200</v>
      </c>
      <c r="X882" s="2" t="s">
        <v>200</v>
      </c>
      <c r="Y882" s="2" t="s">
        <v>2130</v>
      </c>
      <c r="Z882" s="4">
        <v>409</v>
      </c>
      <c r="AA882" s="4">
        <f>=ROUNDDOWN(215.263157894737,0)</f>
      </c>
      <c r="AB882" s="5">
        <v>1.9</v>
      </c>
      <c r="AC882" s="2" t="s">
        <v>200</v>
      </c>
      <c r="AD882" s="4"/>
      <c r="AE882" s="4"/>
      <c r="AF882" s="6"/>
      <c r="AG882" s="6">
        <v>48</v>
      </c>
      <c r="AH882" s="7">
        <v>1</v>
      </c>
      <c r="AI882" s="4"/>
      <c r="AJ882" s="4">
        <f>=ROUNDDOWN({0},0)</f>
      </c>
      <c r="AK882" s="5"/>
      <c r="AL882" s="2" t="s">
        <v>200</v>
      </c>
      <c r="AM882" s="4"/>
      <c r="AN882" s="4"/>
      <c r="AO882" s="7"/>
      <c r="AP882" s="4"/>
      <c r="AQ882" s="8"/>
      <c r="AR882" s="4"/>
      <c r="AS882" s="8"/>
      <c r="AT882" s="7"/>
      <c r="AU882" s="7"/>
      <c r="AV882" s="4" t="s">
        <v>200</v>
      </c>
      <c r="AW882" s="8" t="s">
        <v>200</v>
      </c>
      <c r="AX882" s="4" t="s">
        <v>200</v>
      </c>
      <c r="AY882" s="8" t="s">
        <v>200</v>
      </c>
      <c r="AZ882" s="7" t="s">
        <v>200</v>
      </c>
      <c r="BA882" s="7" t="s">
        <v>200</v>
      </c>
      <c r="BB882" s="7"/>
      <c r="BC882" s="4" t="s">
        <v>200</v>
      </c>
      <c r="BD882" s="8" t="s">
        <v>200</v>
      </c>
      <c r="BE882" s="4" t="s">
        <v>200</v>
      </c>
      <c r="BF882" s="8" t="s">
        <v>200</v>
      </c>
      <c r="BG882" s="7" t="s">
        <v>200</v>
      </c>
      <c r="BH882" s="7" t="s">
        <v>200</v>
      </c>
      <c r="BI882" s="7"/>
      <c r="BJ882" s="4">
        <v>6</v>
      </c>
      <c r="BK882" s="8">
        <v>134</v>
      </c>
      <c r="BL882" s="2" t="s">
        <v>1651</v>
      </c>
      <c r="BM882" s="7"/>
      <c r="BN882" s="7"/>
      <c r="BO882" s="4"/>
      <c r="BP882" s="8"/>
      <c r="BQ882" s="4"/>
      <c r="BR882" s="8"/>
      <c r="BS882" s="7"/>
      <c r="BT882" s="7"/>
      <c r="BU882" s="2" t="s">
        <v>5274</v>
      </c>
      <c r="BV882" s="2" t="s">
        <v>200</v>
      </c>
      <c r="BW882" s="2" t="s">
        <v>200</v>
      </c>
      <c r="BX882" s="2" t="s">
        <v>264</v>
      </c>
      <c r="BY882" s="2" t="s">
        <v>247</v>
      </c>
      <c r="BZ882" s="2" t="s">
        <v>212</v>
      </c>
      <c r="CA882" s="2" t="s">
        <v>2706</v>
      </c>
      <c r="CB882" s="2" t="s">
        <v>1967</v>
      </c>
      <c r="CC882" s="2" t="s">
        <v>213</v>
      </c>
      <c r="CD882" s="2" t="s">
        <v>200</v>
      </c>
      <c r="CE882" s="4"/>
      <c r="CF882" s="4"/>
      <c r="CG882" s="4"/>
      <c r="CH882" s="4">
        <v>409</v>
      </c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</row>
    <row r="883">
      <c r="A883" s="2" t="s">
        <v>5275</v>
      </c>
      <c r="B883" s="2" t="s">
        <v>2124</v>
      </c>
      <c r="C883" s="2" t="s">
        <v>745</v>
      </c>
      <c r="D883" s="2" t="s">
        <v>2125</v>
      </c>
      <c r="E883" s="2" t="s">
        <v>2126</v>
      </c>
      <c r="F883" s="2" t="s">
        <v>5276</v>
      </c>
      <c r="G883" s="2" t="s">
        <v>5276</v>
      </c>
      <c r="H883" s="2" t="s">
        <v>5276</v>
      </c>
      <c r="I883" s="2" t="s">
        <v>5277</v>
      </c>
      <c r="J883" s="2" t="s">
        <v>5278</v>
      </c>
      <c r="K883" s="2" t="s">
        <v>5279</v>
      </c>
      <c r="L883" s="3">
        <v>20</v>
      </c>
      <c r="M883" s="3">
        <v>21</v>
      </c>
      <c r="N883" s="3">
        <v>41.99</v>
      </c>
      <c r="O883" s="2" t="s">
        <v>212</v>
      </c>
      <c r="P883" s="2" t="s">
        <v>1075</v>
      </c>
      <c r="Q883" s="2" t="s">
        <v>206</v>
      </c>
      <c r="R883" s="2" t="s">
        <v>200</v>
      </c>
      <c r="S883" s="2" t="s">
        <v>200</v>
      </c>
      <c r="T883" s="2" t="s">
        <v>200</v>
      </c>
      <c r="U883" s="2" t="s">
        <v>270</v>
      </c>
      <c r="V883" s="2" t="s">
        <v>616</v>
      </c>
      <c r="W883" s="2" t="s">
        <v>200</v>
      </c>
      <c r="X883" s="2" t="s">
        <v>200</v>
      </c>
      <c r="Y883" s="2" t="s">
        <v>1727</v>
      </c>
      <c r="Z883" s="4">
        <v>141</v>
      </c>
      <c r="AA883" s="4">
        <f>=ROUNDDOWN(141,0)</f>
      </c>
      <c r="AB883" s="5">
        <v>1</v>
      </c>
      <c r="AC883" s="2" t="s">
        <v>200</v>
      </c>
      <c r="AD883" s="4"/>
      <c r="AE883" s="4"/>
      <c r="AF883" s="6"/>
      <c r="AG883" s="6">
        <v>73</v>
      </c>
      <c r="AH883" s="7">
        <v>1</v>
      </c>
      <c r="AI883" s="4"/>
      <c r="AJ883" s="4">
        <f>=ROUNDDOWN({0},0)</f>
      </c>
      <c r="AK883" s="5"/>
      <c r="AL883" s="2" t="s">
        <v>200</v>
      </c>
      <c r="AM883" s="4"/>
      <c r="AN883" s="4"/>
      <c r="AO883" s="7"/>
      <c r="AP883" s="4"/>
      <c r="AQ883" s="8"/>
      <c r="AR883" s="4"/>
      <c r="AS883" s="8"/>
      <c r="AT883" s="7"/>
      <c r="AU883" s="7"/>
      <c r="AV883" s="4" t="s">
        <v>200</v>
      </c>
      <c r="AW883" s="8" t="s">
        <v>200</v>
      </c>
      <c r="AX883" s="4" t="s">
        <v>200</v>
      </c>
      <c r="AY883" s="8" t="s">
        <v>200</v>
      </c>
      <c r="AZ883" s="7" t="s">
        <v>200</v>
      </c>
      <c r="BA883" s="7" t="s">
        <v>200</v>
      </c>
      <c r="BB883" s="7"/>
      <c r="BC883" s="4" t="s">
        <v>200</v>
      </c>
      <c r="BD883" s="8" t="s">
        <v>200</v>
      </c>
      <c r="BE883" s="4" t="s">
        <v>200</v>
      </c>
      <c r="BF883" s="8" t="s">
        <v>200</v>
      </c>
      <c r="BG883" s="7" t="s">
        <v>200</v>
      </c>
      <c r="BH883" s="7" t="s">
        <v>200</v>
      </c>
      <c r="BI883" s="7"/>
      <c r="BJ883" s="4">
        <v>13</v>
      </c>
      <c r="BK883" s="8">
        <v>321.93</v>
      </c>
      <c r="BL883" s="2" t="s">
        <v>2610</v>
      </c>
      <c r="BM883" s="7"/>
      <c r="BN883" s="7"/>
      <c r="BO883" s="4"/>
      <c r="BP883" s="8"/>
      <c r="BQ883" s="4"/>
      <c r="BR883" s="8"/>
      <c r="BS883" s="7"/>
      <c r="BT883" s="7"/>
      <c r="BU883" s="2" t="s">
        <v>5280</v>
      </c>
      <c r="BV883" s="2" t="s">
        <v>200</v>
      </c>
      <c r="BW883" s="2" t="s">
        <v>200</v>
      </c>
      <c r="BX883" s="2" t="s">
        <v>264</v>
      </c>
      <c r="BY883" s="2" t="s">
        <v>247</v>
      </c>
      <c r="BZ883" s="2" t="s">
        <v>212</v>
      </c>
      <c r="CA883" s="2" t="s">
        <v>5225</v>
      </c>
      <c r="CB883" s="2" t="s">
        <v>200</v>
      </c>
      <c r="CC883" s="2" t="s">
        <v>213</v>
      </c>
      <c r="CD883" s="2" t="s">
        <v>200</v>
      </c>
      <c r="CE883" s="4"/>
      <c r="CF883" s="4"/>
      <c r="CG883" s="4"/>
      <c r="CH883" s="4">
        <v>141</v>
      </c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</row>
    <row r="884">
      <c r="A884" s="2" t="s">
        <v>5281</v>
      </c>
      <c r="B884" s="2" t="s">
        <v>2124</v>
      </c>
      <c r="C884" s="2" t="s">
        <v>745</v>
      </c>
      <c r="D884" s="2" t="s">
        <v>2125</v>
      </c>
      <c r="E884" s="2" t="s">
        <v>2126</v>
      </c>
      <c r="F884" s="2" t="s">
        <v>5276</v>
      </c>
      <c r="G884" s="2" t="s">
        <v>5276</v>
      </c>
      <c r="H884" s="2" t="s">
        <v>5276</v>
      </c>
      <c r="I884" s="2" t="s">
        <v>5282</v>
      </c>
      <c r="J884" s="2" t="s">
        <v>5283</v>
      </c>
      <c r="K884" s="2" t="s">
        <v>5279</v>
      </c>
      <c r="L884" s="3">
        <v>20</v>
      </c>
      <c r="M884" s="3">
        <v>21</v>
      </c>
      <c r="N884" s="3">
        <v>41.99</v>
      </c>
      <c r="O884" s="2" t="s">
        <v>212</v>
      </c>
      <c r="P884" s="2" t="s">
        <v>1075</v>
      </c>
      <c r="Q884" s="2" t="s">
        <v>206</v>
      </c>
      <c r="R884" s="2" t="s">
        <v>200</v>
      </c>
      <c r="S884" s="2" t="s">
        <v>200</v>
      </c>
      <c r="T884" s="2" t="s">
        <v>200</v>
      </c>
      <c r="U884" s="2" t="s">
        <v>270</v>
      </c>
      <c r="V884" s="2" t="s">
        <v>616</v>
      </c>
      <c r="W884" s="2" t="s">
        <v>200</v>
      </c>
      <c r="X884" s="2" t="s">
        <v>200</v>
      </c>
      <c r="Y884" s="2" t="s">
        <v>1727</v>
      </c>
      <c r="Z884" s="4">
        <v>134</v>
      </c>
      <c r="AA884" s="4">
        <f>=ROUNDDOWN(24.3636363636364,0)</f>
      </c>
      <c r="AB884" s="5">
        <v>5.5</v>
      </c>
      <c r="AC884" s="2" t="s">
        <v>200</v>
      </c>
      <c r="AD884" s="4"/>
      <c r="AE884" s="4"/>
      <c r="AF884" s="6"/>
      <c r="AG884" s="6">
        <v>73</v>
      </c>
      <c r="AH884" s="7">
        <v>1</v>
      </c>
      <c r="AI884" s="4"/>
      <c r="AJ884" s="4">
        <f>=ROUNDDOWN({0},0)</f>
      </c>
      <c r="AK884" s="5"/>
      <c r="AL884" s="2" t="s">
        <v>200</v>
      </c>
      <c r="AM884" s="4"/>
      <c r="AN884" s="4"/>
      <c r="AO884" s="7"/>
      <c r="AP884" s="4"/>
      <c r="AQ884" s="8"/>
      <c r="AR884" s="4"/>
      <c r="AS884" s="8"/>
      <c r="AT884" s="7"/>
      <c r="AU884" s="7"/>
      <c r="AV884" s="4" t="s">
        <v>200</v>
      </c>
      <c r="AW884" s="8" t="s">
        <v>200</v>
      </c>
      <c r="AX884" s="4" t="s">
        <v>200</v>
      </c>
      <c r="AY884" s="8" t="s">
        <v>200</v>
      </c>
      <c r="AZ884" s="7" t="s">
        <v>200</v>
      </c>
      <c r="BA884" s="7" t="s">
        <v>200</v>
      </c>
      <c r="BB884" s="7"/>
      <c r="BC884" s="4" t="s">
        <v>200</v>
      </c>
      <c r="BD884" s="8" t="s">
        <v>200</v>
      </c>
      <c r="BE884" s="4" t="s">
        <v>200</v>
      </c>
      <c r="BF884" s="8" t="s">
        <v>200</v>
      </c>
      <c r="BG884" s="7" t="s">
        <v>200</v>
      </c>
      <c r="BH884" s="7" t="s">
        <v>200</v>
      </c>
      <c r="BI884" s="7"/>
      <c r="BJ884" s="4">
        <v>36</v>
      </c>
      <c r="BK884" s="8">
        <v>894.18</v>
      </c>
      <c r="BL884" s="2" t="s">
        <v>5185</v>
      </c>
      <c r="BM884" s="7"/>
      <c r="BN884" s="7"/>
      <c r="BO884" s="4"/>
      <c r="BP884" s="8"/>
      <c r="BQ884" s="4"/>
      <c r="BR884" s="8"/>
      <c r="BS884" s="7"/>
      <c r="BT884" s="7"/>
      <c r="BU884" s="2" t="s">
        <v>5284</v>
      </c>
      <c r="BV884" s="2" t="s">
        <v>200</v>
      </c>
      <c r="BW884" s="2" t="s">
        <v>200</v>
      </c>
      <c r="BX884" s="2" t="s">
        <v>264</v>
      </c>
      <c r="BY884" s="2" t="s">
        <v>247</v>
      </c>
      <c r="BZ884" s="2" t="s">
        <v>212</v>
      </c>
      <c r="CA884" s="2" t="s">
        <v>5225</v>
      </c>
      <c r="CB884" s="2" t="s">
        <v>2707</v>
      </c>
      <c r="CC884" s="2" t="s">
        <v>213</v>
      </c>
      <c r="CD884" s="2" t="s">
        <v>200</v>
      </c>
      <c r="CE884" s="4"/>
      <c r="CF884" s="4"/>
      <c r="CG884" s="4"/>
      <c r="CH884" s="4">
        <v>134</v>
      </c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</row>
    <row r="885">
      <c r="A885" s="2" t="s">
        <v>5285</v>
      </c>
      <c r="B885" s="2" t="s">
        <v>2124</v>
      </c>
      <c r="C885" s="2" t="s">
        <v>745</v>
      </c>
      <c r="D885" s="2" t="s">
        <v>2125</v>
      </c>
      <c r="E885" s="2" t="s">
        <v>2126</v>
      </c>
      <c r="F885" s="2" t="s">
        <v>5276</v>
      </c>
      <c r="G885" s="2" t="s">
        <v>5276</v>
      </c>
      <c r="H885" s="2" t="s">
        <v>5276</v>
      </c>
      <c r="I885" s="2" t="s">
        <v>5286</v>
      </c>
      <c r="J885" s="2" t="s">
        <v>5287</v>
      </c>
      <c r="K885" s="2" t="s">
        <v>5279</v>
      </c>
      <c r="L885" s="3">
        <v>20</v>
      </c>
      <c r="M885" s="3">
        <v>21</v>
      </c>
      <c r="N885" s="3">
        <v>41.99</v>
      </c>
      <c r="O885" s="2" t="s">
        <v>212</v>
      </c>
      <c r="P885" s="2" t="s">
        <v>1075</v>
      </c>
      <c r="Q885" s="2" t="s">
        <v>206</v>
      </c>
      <c r="R885" s="2" t="s">
        <v>200</v>
      </c>
      <c r="S885" s="2" t="s">
        <v>200</v>
      </c>
      <c r="T885" s="2" t="s">
        <v>200</v>
      </c>
      <c r="U885" s="2" t="s">
        <v>270</v>
      </c>
      <c r="V885" s="2" t="s">
        <v>616</v>
      </c>
      <c r="W885" s="2" t="s">
        <v>200</v>
      </c>
      <c r="X885" s="2" t="s">
        <v>200</v>
      </c>
      <c r="Y885" s="2" t="s">
        <v>1727</v>
      </c>
      <c r="Z885" s="4">
        <v>84</v>
      </c>
      <c r="AA885" s="4">
        <f>=ROUNDDOWN(14.7368421052632,0)</f>
      </c>
      <c r="AB885" s="5">
        <v>5.7</v>
      </c>
      <c r="AC885" s="2" t="s">
        <v>200</v>
      </c>
      <c r="AD885" s="4"/>
      <c r="AE885" s="4"/>
      <c r="AF885" s="6"/>
      <c r="AG885" s="6">
        <v>73</v>
      </c>
      <c r="AH885" s="7">
        <v>1</v>
      </c>
      <c r="AI885" s="4"/>
      <c r="AJ885" s="4">
        <f>=ROUNDDOWN({0},0)</f>
      </c>
      <c r="AK885" s="5"/>
      <c r="AL885" s="2" t="s">
        <v>200</v>
      </c>
      <c r="AM885" s="4"/>
      <c r="AN885" s="4"/>
      <c r="AO885" s="7"/>
      <c r="AP885" s="4"/>
      <c r="AQ885" s="8"/>
      <c r="AR885" s="4"/>
      <c r="AS885" s="8"/>
      <c r="AT885" s="7"/>
      <c r="AU885" s="7"/>
      <c r="AV885" s="4" t="s">
        <v>200</v>
      </c>
      <c r="AW885" s="8" t="s">
        <v>200</v>
      </c>
      <c r="AX885" s="4" t="s">
        <v>200</v>
      </c>
      <c r="AY885" s="8" t="s">
        <v>200</v>
      </c>
      <c r="AZ885" s="7" t="s">
        <v>200</v>
      </c>
      <c r="BA885" s="7" t="s">
        <v>200</v>
      </c>
      <c r="BB885" s="7"/>
      <c r="BC885" s="4" t="s">
        <v>200</v>
      </c>
      <c r="BD885" s="8" t="s">
        <v>200</v>
      </c>
      <c r="BE885" s="4" t="s">
        <v>200</v>
      </c>
      <c r="BF885" s="8" t="s">
        <v>200</v>
      </c>
      <c r="BG885" s="7" t="s">
        <v>200</v>
      </c>
      <c r="BH885" s="7" t="s">
        <v>200</v>
      </c>
      <c r="BI885" s="7"/>
      <c r="BJ885" s="4">
        <v>54</v>
      </c>
      <c r="BK885" s="8">
        <v>1338.33</v>
      </c>
      <c r="BL885" s="2" t="s">
        <v>5185</v>
      </c>
      <c r="BM885" s="7"/>
      <c r="BN885" s="7"/>
      <c r="BO885" s="4"/>
      <c r="BP885" s="8"/>
      <c r="BQ885" s="4"/>
      <c r="BR885" s="8"/>
      <c r="BS885" s="7"/>
      <c r="BT885" s="7"/>
      <c r="BU885" s="2" t="s">
        <v>5288</v>
      </c>
      <c r="BV885" s="2" t="s">
        <v>200</v>
      </c>
      <c r="BW885" s="2" t="s">
        <v>200</v>
      </c>
      <c r="BX885" s="2" t="s">
        <v>264</v>
      </c>
      <c r="BY885" s="2" t="s">
        <v>247</v>
      </c>
      <c r="BZ885" s="2" t="s">
        <v>212</v>
      </c>
      <c r="CA885" s="2" t="s">
        <v>5225</v>
      </c>
      <c r="CB885" s="2" t="s">
        <v>5207</v>
      </c>
      <c r="CC885" s="2" t="s">
        <v>213</v>
      </c>
      <c r="CD885" s="2" t="s">
        <v>200</v>
      </c>
      <c r="CE885" s="4"/>
      <c r="CF885" s="4"/>
      <c r="CG885" s="4"/>
      <c r="CH885" s="4">
        <v>84</v>
      </c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</row>
    <row r="886">
      <c r="A886" s="2" t="s">
        <v>5289</v>
      </c>
      <c r="B886" s="2" t="s">
        <v>2124</v>
      </c>
      <c r="C886" s="2" t="s">
        <v>745</v>
      </c>
      <c r="D886" s="2" t="s">
        <v>2125</v>
      </c>
      <c r="E886" s="2" t="s">
        <v>2126</v>
      </c>
      <c r="F886" s="2" t="s">
        <v>5276</v>
      </c>
      <c r="G886" s="2" t="s">
        <v>5276</v>
      </c>
      <c r="H886" s="2" t="s">
        <v>5276</v>
      </c>
      <c r="I886" s="2" t="s">
        <v>5290</v>
      </c>
      <c r="J886" s="2" t="s">
        <v>5278</v>
      </c>
      <c r="K886" s="2" t="s">
        <v>5291</v>
      </c>
      <c r="L886" s="3">
        <v>20</v>
      </c>
      <c r="M886" s="3">
        <v>21</v>
      </c>
      <c r="N886" s="3">
        <v>41.99</v>
      </c>
      <c r="O886" s="2" t="s">
        <v>212</v>
      </c>
      <c r="P886" s="2" t="s">
        <v>1075</v>
      </c>
      <c r="Q886" s="2" t="s">
        <v>206</v>
      </c>
      <c r="R886" s="2" t="s">
        <v>200</v>
      </c>
      <c r="S886" s="2" t="s">
        <v>200</v>
      </c>
      <c r="T886" s="2" t="s">
        <v>200</v>
      </c>
      <c r="U886" s="2" t="s">
        <v>270</v>
      </c>
      <c r="V886" s="2" t="s">
        <v>616</v>
      </c>
      <c r="W886" s="2" t="s">
        <v>200</v>
      </c>
      <c r="X886" s="2" t="s">
        <v>200</v>
      </c>
      <c r="Y886" s="2" t="s">
        <v>5292</v>
      </c>
      <c r="Z886" s="4">
        <v>108</v>
      </c>
      <c r="AA886" s="4">
        <f>=ROUNDDOWN(60,0)</f>
      </c>
      <c r="AB886" s="5">
        <v>1.8</v>
      </c>
      <c r="AC886" s="2" t="s">
        <v>200</v>
      </c>
      <c r="AD886" s="4"/>
      <c r="AE886" s="4"/>
      <c r="AF886" s="6"/>
      <c r="AG886" s="6">
        <v>73</v>
      </c>
      <c r="AH886" s="7">
        <v>1</v>
      </c>
      <c r="AI886" s="4"/>
      <c r="AJ886" s="4">
        <f>=ROUNDDOWN({0},0)</f>
      </c>
      <c r="AK886" s="5"/>
      <c r="AL886" s="2" t="s">
        <v>200</v>
      </c>
      <c r="AM886" s="4"/>
      <c r="AN886" s="4"/>
      <c r="AO886" s="7"/>
      <c r="AP886" s="4"/>
      <c r="AQ886" s="8"/>
      <c r="AR886" s="4"/>
      <c r="AS886" s="8"/>
      <c r="AT886" s="7"/>
      <c r="AU886" s="7"/>
      <c r="AV886" s="4" t="s">
        <v>200</v>
      </c>
      <c r="AW886" s="8" t="s">
        <v>200</v>
      </c>
      <c r="AX886" s="4" t="s">
        <v>200</v>
      </c>
      <c r="AY886" s="8" t="s">
        <v>200</v>
      </c>
      <c r="AZ886" s="7" t="s">
        <v>200</v>
      </c>
      <c r="BA886" s="7" t="s">
        <v>200</v>
      </c>
      <c r="BB886" s="7"/>
      <c r="BC886" s="4" t="s">
        <v>200</v>
      </c>
      <c r="BD886" s="8" t="s">
        <v>200</v>
      </c>
      <c r="BE886" s="4" t="s">
        <v>200</v>
      </c>
      <c r="BF886" s="8" t="s">
        <v>200</v>
      </c>
      <c r="BG886" s="7" t="s">
        <v>200</v>
      </c>
      <c r="BH886" s="7" t="s">
        <v>200</v>
      </c>
      <c r="BI886" s="7"/>
      <c r="BJ886" s="4">
        <v>3</v>
      </c>
      <c r="BK886" s="8">
        <v>73.08</v>
      </c>
      <c r="BL886" s="2" t="s">
        <v>2436</v>
      </c>
      <c r="BM886" s="7"/>
      <c r="BN886" s="7"/>
      <c r="BO886" s="4"/>
      <c r="BP886" s="8"/>
      <c r="BQ886" s="4"/>
      <c r="BR886" s="8"/>
      <c r="BS886" s="7"/>
      <c r="BT886" s="7"/>
      <c r="BU886" s="2" t="s">
        <v>5293</v>
      </c>
      <c r="BV886" s="2" t="s">
        <v>200</v>
      </c>
      <c r="BW886" s="2" t="s">
        <v>200</v>
      </c>
      <c r="BX886" s="2" t="s">
        <v>264</v>
      </c>
      <c r="BY886" s="2" t="s">
        <v>247</v>
      </c>
      <c r="BZ886" s="2" t="s">
        <v>212</v>
      </c>
      <c r="CA886" s="2" t="s">
        <v>5225</v>
      </c>
      <c r="CB886" s="2" t="s">
        <v>200</v>
      </c>
      <c r="CC886" s="2" t="s">
        <v>213</v>
      </c>
      <c r="CD886" s="2" t="s">
        <v>200</v>
      </c>
      <c r="CE886" s="4"/>
      <c r="CF886" s="4"/>
      <c r="CG886" s="4"/>
      <c r="CH886" s="4">
        <v>108</v>
      </c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</row>
    <row r="887">
      <c r="A887" s="2" t="s">
        <v>5294</v>
      </c>
      <c r="B887" s="2" t="s">
        <v>2124</v>
      </c>
      <c r="C887" s="2" t="s">
        <v>745</v>
      </c>
      <c r="D887" s="2" t="s">
        <v>2125</v>
      </c>
      <c r="E887" s="2" t="s">
        <v>2126</v>
      </c>
      <c r="F887" s="2" t="s">
        <v>5276</v>
      </c>
      <c r="G887" s="2" t="s">
        <v>5276</v>
      </c>
      <c r="H887" s="2" t="s">
        <v>5276</v>
      </c>
      <c r="I887" s="2" t="s">
        <v>5290</v>
      </c>
      <c r="J887" s="2" t="s">
        <v>5287</v>
      </c>
      <c r="K887" s="2" t="s">
        <v>5291</v>
      </c>
      <c r="L887" s="3">
        <v>20</v>
      </c>
      <c r="M887" s="3">
        <v>21</v>
      </c>
      <c r="N887" s="3">
        <v>41.99</v>
      </c>
      <c r="O887" s="2" t="s">
        <v>212</v>
      </c>
      <c r="P887" s="2" t="s">
        <v>1075</v>
      </c>
      <c r="Q887" s="2" t="s">
        <v>206</v>
      </c>
      <c r="R887" s="2" t="s">
        <v>200</v>
      </c>
      <c r="S887" s="2" t="s">
        <v>200</v>
      </c>
      <c r="T887" s="2" t="s">
        <v>200</v>
      </c>
      <c r="U887" s="2" t="s">
        <v>270</v>
      </c>
      <c r="V887" s="2" t="s">
        <v>616</v>
      </c>
      <c r="W887" s="2" t="s">
        <v>200</v>
      </c>
      <c r="X887" s="2" t="s">
        <v>200</v>
      </c>
      <c r="Y887" s="2" t="s">
        <v>5292</v>
      </c>
      <c r="Z887" s="4">
        <v>245</v>
      </c>
      <c r="AA887" s="4">
        <f>=ROUNDDOWN(66.2162162162162,0)</f>
      </c>
      <c r="AB887" s="5">
        <v>3.7</v>
      </c>
      <c r="AC887" s="2" t="s">
        <v>200</v>
      </c>
      <c r="AD887" s="4"/>
      <c r="AE887" s="4"/>
      <c r="AF887" s="6"/>
      <c r="AG887" s="6">
        <v>73</v>
      </c>
      <c r="AH887" s="7">
        <v>1</v>
      </c>
      <c r="AI887" s="4"/>
      <c r="AJ887" s="4">
        <f>=ROUNDDOWN({0},0)</f>
      </c>
      <c r="AK887" s="5"/>
      <c r="AL887" s="2" t="s">
        <v>200</v>
      </c>
      <c r="AM887" s="4"/>
      <c r="AN887" s="4"/>
      <c r="AO887" s="7"/>
      <c r="AP887" s="4"/>
      <c r="AQ887" s="8"/>
      <c r="AR887" s="4"/>
      <c r="AS887" s="8"/>
      <c r="AT887" s="7"/>
      <c r="AU887" s="7"/>
      <c r="AV887" s="4" t="s">
        <v>200</v>
      </c>
      <c r="AW887" s="8" t="s">
        <v>200</v>
      </c>
      <c r="AX887" s="4" t="s">
        <v>200</v>
      </c>
      <c r="AY887" s="8" t="s">
        <v>200</v>
      </c>
      <c r="AZ887" s="7" t="s">
        <v>200</v>
      </c>
      <c r="BA887" s="7" t="s">
        <v>200</v>
      </c>
      <c r="BB887" s="7"/>
      <c r="BC887" s="4" t="s">
        <v>200</v>
      </c>
      <c r="BD887" s="8" t="s">
        <v>200</v>
      </c>
      <c r="BE887" s="4" t="s">
        <v>200</v>
      </c>
      <c r="BF887" s="8" t="s">
        <v>200</v>
      </c>
      <c r="BG887" s="7" t="s">
        <v>200</v>
      </c>
      <c r="BH887" s="7" t="s">
        <v>200</v>
      </c>
      <c r="BI887" s="7"/>
      <c r="BJ887" s="4">
        <v>34</v>
      </c>
      <c r="BK887" s="8">
        <v>830.13</v>
      </c>
      <c r="BL887" s="2" t="s">
        <v>5295</v>
      </c>
      <c r="BM887" s="7"/>
      <c r="BN887" s="7"/>
      <c r="BO887" s="4"/>
      <c r="BP887" s="8"/>
      <c r="BQ887" s="4"/>
      <c r="BR887" s="8"/>
      <c r="BS887" s="7"/>
      <c r="BT887" s="7"/>
      <c r="BU887" s="2" t="s">
        <v>5296</v>
      </c>
      <c r="BV887" s="2" t="s">
        <v>200</v>
      </c>
      <c r="BW887" s="2" t="s">
        <v>200</v>
      </c>
      <c r="BX887" s="2" t="s">
        <v>264</v>
      </c>
      <c r="BY887" s="2" t="s">
        <v>247</v>
      </c>
      <c r="BZ887" s="2" t="s">
        <v>212</v>
      </c>
      <c r="CA887" s="2" t="s">
        <v>5225</v>
      </c>
      <c r="CB887" s="2" t="s">
        <v>1286</v>
      </c>
      <c r="CC887" s="2" t="s">
        <v>213</v>
      </c>
      <c r="CD887" s="2" t="s">
        <v>200</v>
      </c>
      <c r="CE887" s="4"/>
      <c r="CF887" s="4"/>
      <c r="CG887" s="4"/>
      <c r="CH887" s="4">
        <v>245</v>
      </c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</row>
    <row r="888">
      <c r="A888" s="2" t="s">
        <v>5297</v>
      </c>
      <c r="B888" s="2" t="s">
        <v>2124</v>
      </c>
      <c r="C888" s="2" t="s">
        <v>745</v>
      </c>
      <c r="D888" s="2" t="s">
        <v>2125</v>
      </c>
      <c r="E888" s="2" t="s">
        <v>2126</v>
      </c>
      <c r="F888" s="2" t="s">
        <v>5276</v>
      </c>
      <c r="G888" s="2" t="s">
        <v>5276</v>
      </c>
      <c r="H888" s="2" t="s">
        <v>5276</v>
      </c>
      <c r="I888" s="2" t="s">
        <v>5290</v>
      </c>
      <c r="J888" s="2" t="s">
        <v>5278</v>
      </c>
      <c r="K888" s="2" t="s">
        <v>5298</v>
      </c>
      <c r="L888" s="3">
        <v>20</v>
      </c>
      <c r="M888" s="3">
        <v>21</v>
      </c>
      <c r="N888" s="3">
        <v>41.99</v>
      </c>
      <c r="O888" s="2" t="s">
        <v>212</v>
      </c>
      <c r="P888" s="2" t="s">
        <v>1075</v>
      </c>
      <c r="Q888" s="2" t="s">
        <v>206</v>
      </c>
      <c r="R888" s="2" t="s">
        <v>200</v>
      </c>
      <c r="S888" s="2" t="s">
        <v>200</v>
      </c>
      <c r="T888" s="2" t="s">
        <v>200</v>
      </c>
      <c r="U888" s="2" t="s">
        <v>270</v>
      </c>
      <c r="V888" s="2" t="s">
        <v>616</v>
      </c>
      <c r="W888" s="2" t="s">
        <v>200</v>
      </c>
      <c r="X888" s="2" t="s">
        <v>200</v>
      </c>
      <c r="Y888" s="2" t="s">
        <v>5292</v>
      </c>
      <c r="Z888" s="4">
        <v>52</v>
      </c>
      <c r="AA888" s="4">
        <f>=ROUNDDOWN(47.2727272727273,0)</f>
      </c>
      <c r="AB888" s="5">
        <v>1.1</v>
      </c>
      <c r="AC888" s="2" t="s">
        <v>200</v>
      </c>
      <c r="AD888" s="4"/>
      <c r="AE888" s="4"/>
      <c r="AF888" s="6"/>
      <c r="AG888" s="6">
        <v>73</v>
      </c>
      <c r="AH888" s="7">
        <v>1</v>
      </c>
      <c r="AI888" s="4"/>
      <c r="AJ888" s="4">
        <f>=ROUNDDOWN({0},0)</f>
      </c>
      <c r="AK888" s="5"/>
      <c r="AL888" s="2" t="s">
        <v>200</v>
      </c>
      <c r="AM888" s="4"/>
      <c r="AN888" s="4"/>
      <c r="AO888" s="7"/>
      <c r="AP888" s="4"/>
      <c r="AQ888" s="8"/>
      <c r="AR888" s="4"/>
      <c r="AS888" s="8"/>
      <c r="AT888" s="7"/>
      <c r="AU888" s="7"/>
      <c r="AV888" s="4" t="s">
        <v>200</v>
      </c>
      <c r="AW888" s="8" t="s">
        <v>200</v>
      </c>
      <c r="AX888" s="4" t="s">
        <v>200</v>
      </c>
      <c r="AY888" s="8" t="s">
        <v>200</v>
      </c>
      <c r="AZ888" s="7" t="s">
        <v>200</v>
      </c>
      <c r="BA888" s="7" t="s">
        <v>200</v>
      </c>
      <c r="BB888" s="7"/>
      <c r="BC888" s="4" t="s">
        <v>200</v>
      </c>
      <c r="BD888" s="8" t="s">
        <v>200</v>
      </c>
      <c r="BE888" s="4" t="s">
        <v>200</v>
      </c>
      <c r="BF888" s="8" t="s">
        <v>200</v>
      </c>
      <c r="BG888" s="7" t="s">
        <v>200</v>
      </c>
      <c r="BH888" s="7" t="s">
        <v>200</v>
      </c>
      <c r="BI888" s="7"/>
      <c r="BJ888" s="4">
        <v>10</v>
      </c>
      <c r="BK888" s="8">
        <v>244.44</v>
      </c>
      <c r="BL888" s="2" t="s">
        <v>2436</v>
      </c>
      <c r="BM888" s="7"/>
      <c r="BN888" s="7"/>
      <c r="BO888" s="4"/>
      <c r="BP888" s="8"/>
      <c r="BQ888" s="4"/>
      <c r="BR888" s="8"/>
      <c r="BS888" s="7"/>
      <c r="BT888" s="7"/>
      <c r="BU888" s="2" t="s">
        <v>5299</v>
      </c>
      <c r="BV888" s="2" t="s">
        <v>200</v>
      </c>
      <c r="BW888" s="2" t="s">
        <v>200</v>
      </c>
      <c r="BX888" s="2" t="s">
        <v>264</v>
      </c>
      <c r="BY888" s="2" t="s">
        <v>247</v>
      </c>
      <c r="BZ888" s="2" t="s">
        <v>212</v>
      </c>
      <c r="CA888" s="2" t="s">
        <v>5225</v>
      </c>
      <c r="CB888" s="2" t="s">
        <v>200</v>
      </c>
      <c r="CC888" s="2" t="s">
        <v>213</v>
      </c>
      <c r="CD888" s="2" t="s">
        <v>200</v>
      </c>
      <c r="CE888" s="4"/>
      <c r="CF888" s="4"/>
      <c r="CG888" s="4"/>
      <c r="CH888" s="4">
        <v>52</v>
      </c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</row>
    <row r="889">
      <c r="A889" s="2" t="s">
        <v>5300</v>
      </c>
      <c r="B889" s="2" t="s">
        <v>2124</v>
      </c>
      <c r="C889" s="2" t="s">
        <v>745</v>
      </c>
      <c r="D889" s="2" t="s">
        <v>2125</v>
      </c>
      <c r="E889" s="2" t="s">
        <v>2126</v>
      </c>
      <c r="F889" s="2" t="s">
        <v>5276</v>
      </c>
      <c r="G889" s="2" t="s">
        <v>5276</v>
      </c>
      <c r="H889" s="2" t="s">
        <v>5276</v>
      </c>
      <c r="I889" s="2" t="s">
        <v>5290</v>
      </c>
      <c r="J889" s="2" t="s">
        <v>5283</v>
      </c>
      <c r="K889" s="2" t="s">
        <v>5298</v>
      </c>
      <c r="L889" s="3">
        <v>20</v>
      </c>
      <c r="M889" s="3">
        <v>21</v>
      </c>
      <c r="N889" s="3">
        <v>41.99</v>
      </c>
      <c r="O889" s="2" t="s">
        <v>212</v>
      </c>
      <c r="P889" s="2" t="s">
        <v>1075</v>
      </c>
      <c r="Q889" s="2" t="s">
        <v>206</v>
      </c>
      <c r="R889" s="2" t="s">
        <v>200</v>
      </c>
      <c r="S889" s="2" t="s">
        <v>200</v>
      </c>
      <c r="T889" s="2" t="s">
        <v>200</v>
      </c>
      <c r="U889" s="2" t="s">
        <v>270</v>
      </c>
      <c r="V889" s="2" t="s">
        <v>616</v>
      </c>
      <c r="W889" s="2" t="s">
        <v>200</v>
      </c>
      <c r="X889" s="2" t="s">
        <v>200</v>
      </c>
      <c r="Y889" s="2" t="s">
        <v>5292</v>
      </c>
      <c r="Z889" s="4">
        <v>188</v>
      </c>
      <c r="AA889" s="4">
        <f>=ROUNDDOWN(53.7142857142857,0)</f>
      </c>
      <c r="AB889" s="5">
        <v>3.5</v>
      </c>
      <c r="AC889" s="2" t="s">
        <v>200</v>
      </c>
      <c r="AD889" s="4"/>
      <c r="AE889" s="4"/>
      <c r="AF889" s="6"/>
      <c r="AG889" s="6">
        <v>73</v>
      </c>
      <c r="AH889" s="7">
        <v>1</v>
      </c>
      <c r="AI889" s="4"/>
      <c r="AJ889" s="4">
        <f>=ROUNDDOWN({0},0)</f>
      </c>
      <c r="AK889" s="5"/>
      <c r="AL889" s="2" t="s">
        <v>200</v>
      </c>
      <c r="AM889" s="4"/>
      <c r="AN889" s="4"/>
      <c r="AO889" s="7"/>
      <c r="AP889" s="4"/>
      <c r="AQ889" s="8"/>
      <c r="AR889" s="4"/>
      <c r="AS889" s="8"/>
      <c r="AT889" s="7"/>
      <c r="AU889" s="7"/>
      <c r="AV889" s="4" t="s">
        <v>200</v>
      </c>
      <c r="AW889" s="8" t="s">
        <v>200</v>
      </c>
      <c r="AX889" s="4" t="s">
        <v>200</v>
      </c>
      <c r="AY889" s="8" t="s">
        <v>200</v>
      </c>
      <c r="AZ889" s="7" t="s">
        <v>200</v>
      </c>
      <c r="BA889" s="7" t="s">
        <v>200</v>
      </c>
      <c r="BB889" s="7"/>
      <c r="BC889" s="4" t="s">
        <v>200</v>
      </c>
      <c r="BD889" s="8" t="s">
        <v>200</v>
      </c>
      <c r="BE889" s="4" t="s">
        <v>200</v>
      </c>
      <c r="BF889" s="8" t="s">
        <v>200</v>
      </c>
      <c r="BG889" s="7" t="s">
        <v>200</v>
      </c>
      <c r="BH889" s="7" t="s">
        <v>200</v>
      </c>
      <c r="BI889" s="7"/>
      <c r="BJ889" s="4">
        <v>35</v>
      </c>
      <c r="BK889" s="8">
        <v>860.37</v>
      </c>
      <c r="BL889" s="2" t="s">
        <v>3314</v>
      </c>
      <c r="BM889" s="7"/>
      <c r="BN889" s="7"/>
      <c r="BO889" s="4"/>
      <c r="BP889" s="8"/>
      <c r="BQ889" s="4"/>
      <c r="BR889" s="8"/>
      <c r="BS889" s="7"/>
      <c r="BT889" s="7"/>
      <c r="BU889" s="2" t="s">
        <v>5301</v>
      </c>
      <c r="BV889" s="2" t="s">
        <v>200</v>
      </c>
      <c r="BW889" s="2" t="s">
        <v>200</v>
      </c>
      <c r="BX889" s="2" t="s">
        <v>264</v>
      </c>
      <c r="BY889" s="2" t="s">
        <v>247</v>
      </c>
      <c r="BZ889" s="2" t="s">
        <v>212</v>
      </c>
      <c r="CA889" s="2" t="s">
        <v>5225</v>
      </c>
      <c r="CB889" s="2" t="s">
        <v>2612</v>
      </c>
      <c r="CC889" s="2" t="s">
        <v>213</v>
      </c>
      <c r="CD889" s="2" t="s">
        <v>200</v>
      </c>
      <c r="CE889" s="4"/>
      <c r="CF889" s="4"/>
      <c r="CG889" s="4"/>
      <c r="CH889" s="4">
        <v>188</v>
      </c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</row>
    <row r="890">
      <c r="A890" s="2" t="s">
        <v>5302</v>
      </c>
      <c r="B890" s="2" t="s">
        <v>2124</v>
      </c>
      <c r="C890" s="2" t="s">
        <v>745</v>
      </c>
      <c r="D890" s="2" t="s">
        <v>2125</v>
      </c>
      <c r="E890" s="2" t="s">
        <v>2126</v>
      </c>
      <c r="F890" s="2" t="s">
        <v>5276</v>
      </c>
      <c r="G890" s="2" t="s">
        <v>5276</v>
      </c>
      <c r="H890" s="2" t="s">
        <v>5276</v>
      </c>
      <c r="I890" s="2" t="s">
        <v>5290</v>
      </c>
      <c r="J890" s="2" t="s">
        <v>5278</v>
      </c>
      <c r="K890" s="2" t="s">
        <v>5303</v>
      </c>
      <c r="L890" s="3">
        <v>20</v>
      </c>
      <c r="M890" s="3">
        <v>21</v>
      </c>
      <c r="N890" s="3">
        <v>41.99</v>
      </c>
      <c r="O890" s="2" t="s">
        <v>212</v>
      </c>
      <c r="P890" s="2" t="s">
        <v>1075</v>
      </c>
      <c r="Q890" s="2" t="s">
        <v>206</v>
      </c>
      <c r="R890" s="2" t="s">
        <v>200</v>
      </c>
      <c r="S890" s="2" t="s">
        <v>200</v>
      </c>
      <c r="T890" s="2" t="s">
        <v>200</v>
      </c>
      <c r="U890" s="2" t="s">
        <v>270</v>
      </c>
      <c r="V890" s="2" t="s">
        <v>616</v>
      </c>
      <c r="W890" s="2" t="s">
        <v>200</v>
      </c>
      <c r="X890" s="2" t="s">
        <v>200</v>
      </c>
      <c r="Y890" s="2" t="s">
        <v>5292</v>
      </c>
      <c r="Z890" s="4">
        <v>127</v>
      </c>
      <c r="AA890" s="4">
        <f>=ROUNDDOWN(84.6666666666667,0)</f>
      </c>
      <c r="AB890" s="5">
        <v>1.5</v>
      </c>
      <c r="AC890" s="2" t="s">
        <v>200</v>
      </c>
      <c r="AD890" s="4"/>
      <c r="AE890" s="4"/>
      <c r="AF890" s="6"/>
      <c r="AG890" s="6">
        <v>73</v>
      </c>
      <c r="AH890" s="7">
        <v>1</v>
      </c>
      <c r="AI890" s="4"/>
      <c r="AJ890" s="4">
        <f>=ROUNDDOWN({0},0)</f>
      </c>
      <c r="AK890" s="5"/>
      <c r="AL890" s="2" t="s">
        <v>200</v>
      </c>
      <c r="AM890" s="4"/>
      <c r="AN890" s="4"/>
      <c r="AO890" s="7"/>
      <c r="AP890" s="4"/>
      <c r="AQ890" s="8"/>
      <c r="AR890" s="4"/>
      <c r="AS890" s="8"/>
      <c r="AT890" s="7"/>
      <c r="AU890" s="7"/>
      <c r="AV890" s="4" t="s">
        <v>200</v>
      </c>
      <c r="AW890" s="8" t="s">
        <v>200</v>
      </c>
      <c r="AX890" s="4" t="s">
        <v>200</v>
      </c>
      <c r="AY890" s="8" t="s">
        <v>200</v>
      </c>
      <c r="AZ890" s="7" t="s">
        <v>200</v>
      </c>
      <c r="BA890" s="7" t="s">
        <v>200</v>
      </c>
      <c r="BB890" s="7"/>
      <c r="BC890" s="4" t="s">
        <v>200</v>
      </c>
      <c r="BD890" s="8" t="s">
        <v>200</v>
      </c>
      <c r="BE890" s="4" t="s">
        <v>200</v>
      </c>
      <c r="BF890" s="8" t="s">
        <v>200</v>
      </c>
      <c r="BG890" s="7" t="s">
        <v>200</v>
      </c>
      <c r="BH890" s="7" t="s">
        <v>200</v>
      </c>
      <c r="BI890" s="7"/>
      <c r="BJ890" s="4">
        <v>13</v>
      </c>
      <c r="BK890" s="8">
        <v>314.58</v>
      </c>
      <c r="BL890" s="2" t="s">
        <v>2610</v>
      </c>
      <c r="BM890" s="7"/>
      <c r="BN890" s="7"/>
      <c r="BO890" s="4"/>
      <c r="BP890" s="8"/>
      <c r="BQ890" s="4"/>
      <c r="BR890" s="8"/>
      <c r="BS890" s="7"/>
      <c r="BT890" s="7"/>
      <c r="BU890" s="2" t="s">
        <v>5304</v>
      </c>
      <c r="BV890" s="2" t="s">
        <v>200</v>
      </c>
      <c r="BW890" s="2" t="s">
        <v>200</v>
      </c>
      <c r="BX890" s="2" t="s">
        <v>264</v>
      </c>
      <c r="BY890" s="2" t="s">
        <v>247</v>
      </c>
      <c r="BZ890" s="2" t="s">
        <v>212</v>
      </c>
      <c r="CA890" s="2" t="s">
        <v>5225</v>
      </c>
      <c r="CB890" s="2" t="s">
        <v>200</v>
      </c>
      <c r="CC890" s="2" t="s">
        <v>213</v>
      </c>
      <c r="CD890" s="2" t="s">
        <v>200</v>
      </c>
      <c r="CE890" s="4"/>
      <c r="CF890" s="4"/>
      <c r="CG890" s="4"/>
      <c r="CH890" s="4">
        <v>127</v>
      </c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</row>
    <row r="891">
      <c r="A891" s="2" t="s">
        <v>5305</v>
      </c>
      <c r="B891" s="2" t="s">
        <v>2124</v>
      </c>
      <c r="C891" s="2" t="s">
        <v>745</v>
      </c>
      <c r="D891" s="2" t="s">
        <v>2125</v>
      </c>
      <c r="E891" s="2" t="s">
        <v>2126</v>
      </c>
      <c r="F891" s="2" t="s">
        <v>5276</v>
      </c>
      <c r="G891" s="2" t="s">
        <v>5276</v>
      </c>
      <c r="H891" s="2" t="s">
        <v>5276</v>
      </c>
      <c r="I891" s="2" t="s">
        <v>5290</v>
      </c>
      <c r="J891" s="2" t="s">
        <v>5287</v>
      </c>
      <c r="K891" s="2" t="s">
        <v>5303</v>
      </c>
      <c r="L891" s="3">
        <v>20</v>
      </c>
      <c r="M891" s="3">
        <v>21</v>
      </c>
      <c r="N891" s="3">
        <v>41.99</v>
      </c>
      <c r="O891" s="2" t="s">
        <v>212</v>
      </c>
      <c r="P891" s="2" t="s">
        <v>1075</v>
      </c>
      <c r="Q891" s="2" t="s">
        <v>206</v>
      </c>
      <c r="R891" s="2" t="s">
        <v>200</v>
      </c>
      <c r="S891" s="2" t="s">
        <v>200</v>
      </c>
      <c r="T891" s="2" t="s">
        <v>200</v>
      </c>
      <c r="U891" s="2" t="s">
        <v>270</v>
      </c>
      <c r="V891" s="2" t="s">
        <v>616</v>
      </c>
      <c r="W891" s="2" t="s">
        <v>200</v>
      </c>
      <c r="X891" s="2" t="s">
        <v>200</v>
      </c>
      <c r="Y891" s="2" t="s">
        <v>5292</v>
      </c>
      <c r="Z891" s="4">
        <v>232</v>
      </c>
      <c r="AA891" s="4">
        <f>=ROUNDDOWN(36.25,0)</f>
      </c>
      <c r="AB891" s="5">
        <v>6.4</v>
      </c>
      <c r="AC891" s="2" t="s">
        <v>200</v>
      </c>
      <c r="AD891" s="4"/>
      <c r="AE891" s="4"/>
      <c r="AF891" s="6"/>
      <c r="AG891" s="6">
        <v>73</v>
      </c>
      <c r="AH891" s="7">
        <v>1</v>
      </c>
      <c r="AI891" s="4"/>
      <c r="AJ891" s="4">
        <f>=ROUNDDOWN({0},0)</f>
      </c>
      <c r="AK891" s="5"/>
      <c r="AL891" s="2" t="s">
        <v>200</v>
      </c>
      <c r="AM891" s="4"/>
      <c r="AN891" s="4"/>
      <c r="AO891" s="7"/>
      <c r="AP891" s="4"/>
      <c r="AQ891" s="8"/>
      <c r="AR891" s="4"/>
      <c r="AS891" s="8"/>
      <c r="AT891" s="7"/>
      <c r="AU891" s="7"/>
      <c r="AV891" s="4" t="s">
        <v>200</v>
      </c>
      <c r="AW891" s="8" t="s">
        <v>200</v>
      </c>
      <c r="AX891" s="4" t="s">
        <v>200</v>
      </c>
      <c r="AY891" s="8" t="s">
        <v>200</v>
      </c>
      <c r="AZ891" s="7" t="s">
        <v>200</v>
      </c>
      <c r="BA891" s="7" t="s">
        <v>200</v>
      </c>
      <c r="BB891" s="7"/>
      <c r="BC891" s="4" t="s">
        <v>200</v>
      </c>
      <c r="BD891" s="8" t="s">
        <v>200</v>
      </c>
      <c r="BE891" s="4" t="s">
        <v>200</v>
      </c>
      <c r="BF891" s="8" t="s">
        <v>200</v>
      </c>
      <c r="BG891" s="7" t="s">
        <v>200</v>
      </c>
      <c r="BH891" s="7" t="s">
        <v>200</v>
      </c>
      <c r="BI891" s="7"/>
      <c r="BJ891" s="4">
        <v>99</v>
      </c>
      <c r="BK891" s="8">
        <v>2390.64</v>
      </c>
      <c r="BL891" s="2" t="s">
        <v>5306</v>
      </c>
      <c r="BM891" s="7"/>
      <c r="BN891" s="7"/>
      <c r="BO891" s="4"/>
      <c r="BP891" s="8"/>
      <c r="BQ891" s="4"/>
      <c r="BR891" s="8"/>
      <c r="BS891" s="7"/>
      <c r="BT891" s="7"/>
      <c r="BU891" s="2" t="s">
        <v>5307</v>
      </c>
      <c r="BV891" s="2" t="s">
        <v>200</v>
      </c>
      <c r="BW891" s="2" t="s">
        <v>200</v>
      </c>
      <c r="BX891" s="2" t="s">
        <v>264</v>
      </c>
      <c r="BY891" s="2" t="s">
        <v>247</v>
      </c>
      <c r="BZ891" s="2" t="s">
        <v>212</v>
      </c>
      <c r="CA891" s="2" t="s">
        <v>5225</v>
      </c>
      <c r="CB891" s="2" t="s">
        <v>4283</v>
      </c>
      <c r="CC891" s="2" t="s">
        <v>213</v>
      </c>
      <c r="CD891" s="2" t="s">
        <v>200</v>
      </c>
      <c r="CE891" s="4"/>
      <c r="CF891" s="4"/>
      <c r="CG891" s="4"/>
      <c r="CH891" s="4">
        <v>232</v>
      </c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</row>
    <row r="892">
      <c r="A892" s="2" t="s">
        <v>5308</v>
      </c>
      <c r="B892" s="2" t="s">
        <v>2124</v>
      </c>
      <c r="C892" s="2" t="s">
        <v>745</v>
      </c>
      <c r="D892" s="2" t="s">
        <v>2125</v>
      </c>
      <c r="E892" s="2" t="s">
        <v>2126</v>
      </c>
      <c r="F892" s="2" t="s">
        <v>5276</v>
      </c>
      <c r="G892" s="2" t="s">
        <v>5276</v>
      </c>
      <c r="H892" s="2" t="s">
        <v>5276</v>
      </c>
      <c r="I892" s="2" t="s">
        <v>5290</v>
      </c>
      <c r="J892" s="2" t="s">
        <v>5278</v>
      </c>
      <c r="K892" s="2" t="s">
        <v>5309</v>
      </c>
      <c r="L892" s="3">
        <v>20</v>
      </c>
      <c r="M892" s="3">
        <v>21</v>
      </c>
      <c r="N892" s="3">
        <v>41.99</v>
      </c>
      <c r="O892" s="2" t="s">
        <v>212</v>
      </c>
      <c r="P892" s="2" t="s">
        <v>1075</v>
      </c>
      <c r="Q892" s="2" t="s">
        <v>206</v>
      </c>
      <c r="R892" s="2" t="s">
        <v>200</v>
      </c>
      <c r="S892" s="2" t="s">
        <v>200</v>
      </c>
      <c r="T892" s="2" t="s">
        <v>200</v>
      </c>
      <c r="U892" s="2" t="s">
        <v>270</v>
      </c>
      <c r="V892" s="2" t="s">
        <v>616</v>
      </c>
      <c r="W892" s="2" t="s">
        <v>200</v>
      </c>
      <c r="X892" s="2" t="s">
        <v>200</v>
      </c>
      <c r="Y892" s="2" t="s">
        <v>5292</v>
      </c>
      <c r="Z892" s="4">
        <v>86</v>
      </c>
      <c r="AA892" s="4">
        <f>=ROUNDDOWN(86,0)</f>
      </c>
      <c r="AB892" s="5">
        <v>1</v>
      </c>
      <c r="AC892" s="2" t="s">
        <v>200</v>
      </c>
      <c r="AD892" s="4"/>
      <c r="AE892" s="4"/>
      <c r="AF892" s="6"/>
      <c r="AG892" s="6">
        <v>73</v>
      </c>
      <c r="AH892" s="7">
        <v>1</v>
      </c>
      <c r="AI892" s="4"/>
      <c r="AJ892" s="4">
        <f>=ROUNDDOWN({0},0)</f>
      </c>
      <c r="AK892" s="5"/>
      <c r="AL892" s="2" t="s">
        <v>200</v>
      </c>
      <c r="AM892" s="4"/>
      <c r="AN892" s="4"/>
      <c r="AO892" s="7"/>
      <c r="AP892" s="4"/>
      <c r="AQ892" s="8"/>
      <c r="AR892" s="4"/>
      <c r="AS892" s="8"/>
      <c r="AT892" s="7"/>
      <c r="AU892" s="7"/>
      <c r="AV892" s="4" t="s">
        <v>200</v>
      </c>
      <c r="AW892" s="8" t="s">
        <v>200</v>
      </c>
      <c r="AX892" s="4" t="s">
        <v>200</v>
      </c>
      <c r="AY892" s="8" t="s">
        <v>200</v>
      </c>
      <c r="AZ892" s="7" t="s">
        <v>200</v>
      </c>
      <c r="BA892" s="7" t="s">
        <v>200</v>
      </c>
      <c r="BB892" s="7"/>
      <c r="BC892" s="4" t="s">
        <v>200</v>
      </c>
      <c r="BD892" s="8" t="s">
        <v>200</v>
      </c>
      <c r="BE892" s="4" t="s">
        <v>200</v>
      </c>
      <c r="BF892" s="8" t="s">
        <v>200</v>
      </c>
      <c r="BG892" s="7" t="s">
        <v>200</v>
      </c>
      <c r="BH892" s="7" t="s">
        <v>200</v>
      </c>
      <c r="BI892" s="7"/>
      <c r="BJ892" s="4">
        <v>6</v>
      </c>
      <c r="BK892" s="8">
        <v>138.6</v>
      </c>
      <c r="BL892" s="2" t="s">
        <v>5310</v>
      </c>
      <c r="BM892" s="7"/>
      <c r="BN892" s="7"/>
      <c r="BO892" s="4"/>
      <c r="BP892" s="8"/>
      <c r="BQ892" s="4"/>
      <c r="BR892" s="8"/>
      <c r="BS892" s="7"/>
      <c r="BT892" s="7"/>
      <c r="BU892" s="2" t="s">
        <v>5311</v>
      </c>
      <c r="BV892" s="2" t="s">
        <v>200</v>
      </c>
      <c r="BW892" s="2" t="s">
        <v>200</v>
      </c>
      <c r="BX892" s="2" t="s">
        <v>264</v>
      </c>
      <c r="BY892" s="2" t="s">
        <v>247</v>
      </c>
      <c r="BZ892" s="2" t="s">
        <v>212</v>
      </c>
      <c r="CA892" s="2" t="s">
        <v>5225</v>
      </c>
      <c r="CB892" s="2" t="s">
        <v>200</v>
      </c>
      <c r="CC892" s="2" t="s">
        <v>213</v>
      </c>
      <c r="CD892" s="2" t="s">
        <v>200</v>
      </c>
      <c r="CE892" s="4"/>
      <c r="CF892" s="4"/>
      <c r="CG892" s="4"/>
      <c r="CH892" s="4">
        <v>86</v>
      </c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</row>
    <row r="893">
      <c r="A893" s="2" t="s">
        <v>5312</v>
      </c>
      <c r="B893" s="2" t="s">
        <v>2124</v>
      </c>
      <c r="C893" s="2" t="s">
        <v>745</v>
      </c>
      <c r="D893" s="2" t="s">
        <v>2125</v>
      </c>
      <c r="E893" s="2" t="s">
        <v>2126</v>
      </c>
      <c r="F893" s="2" t="s">
        <v>5276</v>
      </c>
      <c r="G893" s="2" t="s">
        <v>5276</v>
      </c>
      <c r="H893" s="2" t="s">
        <v>5276</v>
      </c>
      <c r="I893" s="2" t="s">
        <v>5290</v>
      </c>
      <c r="J893" s="2" t="s">
        <v>5287</v>
      </c>
      <c r="K893" s="2" t="s">
        <v>5309</v>
      </c>
      <c r="L893" s="3">
        <v>20</v>
      </c>
      <c r="M893" s="3">
        <v>21</v>
      </c>
      <c r="N893" s="3">
        <v>41.99</v>
      </c>
      <c r="O893" s="2" t="s">
        <v>212</v>
      </c>
      <c r="P893" s="2" t="s">
        <v>1075</v>
      </c>
      <c r="Q893" s="2" t="s">
        <v>206</v>
      </c>
      <c r="R893" s="2" t="s">
        <v>200</v>
      </c>
      <c r="S893" s="2" t="s">
        <v>200</v>
      </c>
      <c r="T893" s="2" t="s">
        <v>200</v>
      </c>
      <c r="U893" s="2" t="s">
        <v>270</v>
      </c>
      <c r="V893" s="2" t="s">
        <v>616</v>
      </c>
      <c r="W893" s="2" t="s">
        <v>200</v>
      </c>
      <c r="X893" s="2" t="s">
        <v>200</v>
      </c>
      <c r="Y893" s="2" t="s">
        <v>5292</v>
      </c>
      <c r="Z893" s="4">
        <v>223</v>
      </c>
      <c r="AA893" s="4">
        <f>=ROUNDDOWN(61.9444444444444,0)</f>
      </c>
      <c r="AB893" s="5">
        <v>3.6</v>
      </c>
      <c r="AC893" s="2" t="s">
        <v>200</v>
      </c>
      <c r="AD893" s="4"/>
      <c r="AE893" s="4"/>
      <c r="AF893" s="6"/>
      <c r="AG893" s="6">
        <v>73</v>
      </c>
      <c r="AH893" s="7">
        <v>1</v>
      </c>
      <c r="AI893" s="4"/>
      <c r="AJ893" s="4">
        <f>=ROUNDDOWN({0},0)</f>
      </c>
      <c r="AK893" s="5"/>
      <c r="AL893" s="2" t="s">
        <v>200</v>
      </c>
      <c r="AM893" s="4"/>
      <c r="AN893" s="4"/>
      <c r="AO893" s="7"/>
      <c r="AP893" s="4"/>
      <c r="AQ893" s="8"/>
      <c r="AR893" s="4"/>
      <c r="AS893" s="8"/>
      <c r="AT893" s="7"/>
      <c r="AU893" s="7"/>
      <c r="AV893" s="4" t="s">
        <v>200</v>
      </c>
      <c r="AW893" s="8" t="s">
        <v>200</v>
      </c>
      <c r="AX893" s="4" t="s">
        <v>200</v>
      </c>
      <c r="AY893" s="8" t="s">
        <v>200</v>
      </c>
      <c r="AZ893" s="7" t="s">
        <v>200</v>
      </c>
      <c r="BA893" s="7" t="s">
        <v>200</v>
      </c>
      <c r="BB893" s="7"/>
      <c r="BC893" s="4" t="s">
        <v>200</v>
      </c>
      <c r="BD893" s="8" t="s">
        <v>200</v>
      </c>
      <c r="BE893" s="4" t="s">
        <v>200</v>
      </c>
      <c r="BF893" s="8" t="s">
        <v>200</v>
      </c>
      <c r="BG893" s="7" t="s">
        <v>200</v>
      </c>
      <c r="BH893" s="7" t="s">
        <v>200</v>
      </c>
      <c r="BI893" s="7"/>
      <c r="BJ893" s="4">
        <v>31</v>
      </c>
      <c r="BK893" s="8">
        <v>757.47</v>
      </c>
      <c r="BL893" s="2" t="s">
        <v>3314</v>
      </c>
      <c r="BM893" s="7"/>
      <c r="BN893" s="7"/>
      <c r="BO893" s="4"/>
      <c r="BP893" s="8"/>
      <c r="BQ893" s="4"/>
      <c r="BR893" s="8"/>
      <c r="BS893" s="7"/>
      <c r="BT893" s="7"/>
      <c r="BU893" s="2" t="s">
        <v>5313</v>
      </c>
      <c r="BV893" s="2" t="s">
        <v>200</v>
      </c>
      <c r="BW893" s="2" t="s">
        <v>200</v>
      </c>
      <c r="BX893" s="2" t="s">
        <v>264</v>
      </c>
      <c r="BY893" s="2" t="s">
        <v>247</v>
      </c>
      <c r="BZ893" s="2" t="s">
        <v>212</v>
      </c>
      <c r="CA893" s="2" t="s">
        <v>5225</v>
      </c>
      <c r="CB893" s="2" t="s">
        <v>5314</v>
      </c>
      <c r="CC893" s="2" t="s">
        <v>213</v>
      </c>
      <c r="CD893" s="2" t="s">
        <v>200</v>
      </c>
      <c r="CE893" s="4"/>
      <c r="CF893" s="4"/>
      <c r="CG893" s="4"/>
      <c r="CH893" s="4">
        <v>223</v>
      </c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</row>
    <row r="894">
      <c r="A894" s="2" t="s">
        <v>5315</v>
      </c>
      <c r="B894" s="2" t="s">
        <v>2124</v>
      </c>
      <c r="C894" s="2" t="s">
        <v>745</v>
      </c>
      <c r="D894" s="2" t="s">
        <v>2125</v>
      </c>
      <c r="E894" s="2" t="s">
        <v>2126</v>
      </c>
      <c r="F894" s="2" t="s">
        <v>5276</v>
      </c>
      <c r="G894" s="2" t="s">
        <v>5276</v>
      </c>
      <c r="H894" s="2" t="s">
        <v>5276</v>
      </c>
      <c r="I894" s="2" t="s">
        <v>5290</v>
      </c>
      <c r="J894" s="2" t="s">
        <v>5278</v>
      </c>
      <c r="K894" s="2" t="s">
        <v>5191</v>
      </c>
      <c r="L894" s="3">
        <v>20</v>
      </c>
      <c r="M894" s="3">
        <v>21</v>
      </c>
      <c r="N894" s="3">
        <v>41.99</v>
      </c>
      <c r="O894" s="2" t="s">
        <v>212</v>
      </c>
      <c r="P894" s="2" t="s">
        <v>1075</v>
      </c>
      <c r="Q894" s="2" t="s">
        <v>206</v>
      </c>
      <c r="R894" s="2" t="s">
        <v>200</v>
      </c>
      <c r="S894" s="2" t="s">
        <v>200</v>
      </c>
      <c r="T894" s="2" t="s">
        <v>200</v>
      </c>
      <c r="U894" s="2" t="s">
        <v>270</v>
      </c>
      <c r="V894" s="2" t="s">
        <v>616</v>
      </c>
      <c r="W894" s="2" t="s">
        <v>200</v>
      </c>
      <c r="X894" s="2" t="s">
        <v>200</v>
      </c>
      <c r="Y894" s="2" t="s">
        <v>5292</v>
      </c>
      <c r="Z894" s="4">
        <v>168</v>
      </c>
      <c r="AA894" s="4">
        <f>=ROUNDDOWN(168,0)</f>
      </c>
      <c r="AB894" s="5">
        <v>1</v>
      </c>
      <c r="AC894" s="2" t="s">
        <v>200</v>
      </c>
      <c r="AD894" s="4"/>
      <c r="AE894" s="4"/>
      <c r="AF894" s="6"/>
      <c r="AG894" s="6">
        <v>73</v>
      </c>
      <c r="AH894" s="7">
        <v>1</v>
      </c>
      <c r="AI894" s="4"/>
      <c r="AJ894" s="4">
        <f>=ROUNDDOWN({0},0)</f>
      </c>
      <c r="AK894" s="5"/>
      <c r="AL894" s="2" t="s">
        <v>200</v>
      </c>
      <c r="AM894" s="4"/>
      <c r="AN894" s="4"/>
      <c r="AO894" s="7"/>
      <c r="AP894" s="4"/>
      <c r="AQ894" s="8"/>
      <c r="AR894" s="4"/>
      <c r="AS894" s="8"/>
      <c r="AT894" s="7"/>
      <c r="AU894" s="7"/>
      <c r="AV894" s="4" t="s">
        <v>200</v>
      </c>
      <c r="AW894" s="8" t="s">
        <v>200</v>
      </c>
      <c r="AX894" s="4" t="s">
        <v>200</v>
      </c>
      <c r="AY894" s="8" t="s">
        <v>200</v>
      </c>
      <c r="AZ894" s="7" t="s">
        <v>200</v>
      </c>
      <c r="BA894" s="7" t="s">
        <v>200</v>
      </c>
      <c r="BB894" s="7"/>
      <c r="BC894" s="4" t="s">
        <v>200</v>
      </c>
      <c r="BD894" s="8" t="s">
        <v>200</v>
      </c>
      <c r="BE894" s="4" t="s">
        <v>200</v>
      </c>
      <c r="BF894" s="8" t="s">
        <v>200</v>
      </c>
      <c r="BG894" s="7" t="s">
        <v>200</v>
      </c>
      <c r="BH894" s="7" t="s">
        <v>200</v>
      </c>
      <c r="BI894" s="7"/>
      <c r="BJ894" s="4">
        <v>6</v>
      </c>
      <c r="BK894" s="8">
        <v>148.68</v>
      </c>
      <c r="BL894" s="2" t="s">
        <v>2436</v>
      </c>
      <c r="BM894" s="7"/>
      <c r="BN894" s="7"/>
      <c r="BO894" s="4"/>
      <c r="BP894" s="8"/>
      <c r="BQ894" s="4"/>
      <c r="BR894" s="8"/>
      <c r="BS894" s="7"/>
      <c r="BT894" s="7"/>
      <c r="BU894" s="2" t="s">
        <v>5316</v>
      </c>
      <c r="BV894" s="2" t="s">
        <v>200</v>
      </c>
      <c r="BW894" s="2" t="s">
        <v>200</v>
      </c>
      <c r="BX894" s="2" t="s">
        <v>264</v>
      </c>
      <c r="BY894" s="2" t="s">
        <v>247</v>
      </c>
      <c r="BZ894" s="2" t="s">
        <v>212</v>
      </c>
      <c r="CA894" s="2" t="s">
        <v>5225</v>
      </c>
      <c r="CB894" s="2" t="s">
        <v>3811</v>
      </c>
      <c r="CC894" s="2" t="s">
        <v>213</v>
      </c>
      <c r="CD894" s="2" t="s">
        <v>200</v>
      </c>
      <c r="CE894" s="4"/>
      <c r="CF894" s="4"/>
      <c r="CG894" s="4"/>
      <c r="CH894" s="4">
        <v>168</v>
      </c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</row>
    <row r="895">
      <c r="A895" s="2" t="s">
        <v>5317</v>
      </c>
      <c r="B895" s="2" t="s">
        <v>2124</v>
      </c>
      <c r="C895" s="2" t="s">
        <v>745</v>
      </c>
      <c r="D895" s="2" t="s">
        <v>2125</v>
      </c>
      <c r="E895" s="2" t="s">
        <v>2126</v>
      </c>
      <c r="F895" s="2" t="s">
        <v>5276</v>
      </c>
      <c r="G895" s="2" t="s">
        <v>5276</v>
      </c>
      <c r="H895" s="2" t="s">
        <v>5276</v>
      </c>
      <c r="I895" s="2" t="s">
        <v>5290</v>
      </c>
      <c r="J895" s="2" t="s">
        <v>5283</v>
      </c>
      <c r="K895" s="2" t="s">
        <v>5191</v>
      </c>
      <c r="L895" s="3">
        <v>20</v>
      </c>
      <c r="M895" s="3">
        <v>21</v>
      </c>
      <c r="N895" s="3">
        <v>41.99</v>
      </c>
      <c r="O895" s="2" t="s">
        <v>212</v>
      </c>
      <c r="P895" s="2" t="s">
        <v>1075</v>
      </c>
      <c r="Q895" s="2" t="s">
        <v>206</v>
      </c>
      <c r="R895" s="2" t="s">
        <v>200</v>
      </c>
      <c r="S895" s="2" t="s">
        <v>200</v>
      </c>
      <c r="T895" s="2" t="s">
        <v>200</v>
      </c>
      <c r="U895" s="2" t="s">
        <v>270</v>
      </c>
      <c r="V895" s="2" t="s">
        <v>616</v>
      </c>
      <c r="W895" s="2" t="s">
        <v>200</v>
      </c>
      <c r="X895" s="2" t="s">
        <v>200</v>
      </c>
      <c r="Y895" s="2" t="s">
        <v>5292</v>
      </c>
      <c r="Z895" s="4">
        <v>227</v>
      </c>
      <c r="AA895" s="4">
        <f>=ROUNDDOWN(113.5,0)</f>
      </c>
      <c r="AB895" s="5">
        <v>2</v>
      </c>
      <c r="AC895" s="2" t="s">
        <v>200</v>
      </c>
      <c r="AD895" s="4"/>
      <c r="AE895" s="4"/>
      <c r="AF895" s="6"/>
      <c r="AG895" s="6">
        <v>73</v>
      </c>
      <c r="AH895" s="7">
        <v>1</v>
      </c>
      <c r="AI895" s="4"/>
      <c r="AJ895" s="4">
        <f>=ROUNDDOWN({0},0)</f>
      </c>
      <c r="AK895" s="5"/>
      <c r="AL895" s="2" t="s">
        <v>200</v>
      </c>
      <c r="AM895" s="4"/>
      <c r="AN895" s="4"/>
      <c r="AO895" s="7"/>
      <c r="AP895" s="4"/>
      <c r="AQ895" s="8"/>
      <c r="AR895" s="4"/>
      <c r="AS895" s="8"/>
      <c r="AT895" s="7"/>
      <c r="AU895" s="7"/>
      <c r="AV895" s="4" t="s">
        <v>200</v>
      </c>
      <c r="AW895" s="8" t="s">
        <v>200</v>
      </c>
      <c r="AX895" s="4" t="s">
        <v>200</v>
      </c>
      <c r="AY895" s="8" t="s">
        <v>200</v>
      </c>
      <c r="AZ895" s="7" t="s">
        <v>200</v>
      </c>
      <c r="BA895" s="7" t="s">
        <v>200</v>
      </c>
      <c r="BB895" s="7"/>
      <c r="BC895" s="4" t="s">
        <v>200</v>
      </c>
      <c r="BD895" s="8" t="s">
        <v>200</v>
      </c>
      <c r="BE895" s="4" t="s">
        <v>200</v>
      </c>
      <c r="BF895" s="8" t="s">
        <v>200</v>
      </c>
      <c r="BG895" s="7" t="s">
        <v>200</v>
      </c>
      <c r="BH895" s="7" t="s">
        <v>200</v>
      </c>
      <c r="BI895" s="7"/>
      <c r="BJ895" s="4">
        <v>19</v>
      </c>
      <c r="BK895" s="8">
        <v>468.09</v>
      </c>
      <c r="BL895" s="2" t="s">
        <v>3314</v>
      </c>
      <c r="BM895" s="7"/>
      <c r="BN895" s="7"/>
      <c r="BO895" s="4"/>
      <c r="BP895" s="8"/>
      <c r="BQ895" s="4"/>
      <c r="BR895" s="8"/>
      <c r="BS895" s="7"/>
      <c r="BT895" s="7"/>
      <c r="BU895" s="2" t="s">
        <v>5318</v>
      </c>
      <c r="BV895" s="2" t="s">
        <v>200</v>
      </c>
      <c r="BW895" s="2" t="s">
        <v>200</v>
      </c>
      <c r="BX895" s="2" t="s">
        <v>264</v>
      </c>
      <c r="BY895" s="2" t="s">
        <v>247</v>
      </c>
      <c r="BZ895" s="2" t="s">
        <v>212</v>
      </c>
      <c r="CA895" s="2" t="s">
        <v>5225</v>
      </c>
      <c r="CB895" s="2" t="s">
        <v>1264</v>
      </c>
      <c r="CC895" s="2" t="s">
        <v>213</v>
      </c>
      <c r="CD895" s="2" t="s">
        <v>200</v>
      </c>
      <c r="CE895" s="4"/>
      <c r="CF895" s="4"/>
      <c r="CG895" s="4"/>
      <c r="CH895" s="4">
        <v>227</v>
      </c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</row>
    <row r="896">
      <c r="A896" s="2" t="s">
        <v>5319</v>
      </c>
      <c r="B896" s="2" t="s">
        <v>2124</v>
      </c>
      <c r="C896" s="2" t="s">
        <v>745</v>
      </c>
      <c r="D896" s="2" t="s">
        <v>2125</v>
      </c>
      <c r="E896" s="2" t="s">
        <v>2126</v>
      </c>
      <c r="F896" s="2" t="s">
        <v>5276</v>
      </c>
      <c r="G896" s="2" t="s">
        <v>5276</v>
      </c>
      <c r="H896" s="2" t="s">
        <v>5276</v>
      </c>
      <c r="I896" s="2" t="s">
        <v>5290</v>
      </c>
      <c r="J896" s="2" t="s">
        <v>5287</v>
      </c>
      <c r="K896" s="2" t="s">
        <v>5191</v>
      </c>
      <c r="L896" s="3">
        <v>20</v>
      </c>
      <c r="M896" s="3">
        <v>21</v>
      </c>
      <c r="N896" s="3">
        <v>41.99</v>
      </c>
      <c r="O896" s="2" t="s">
        <v>212</v>
      </c>
      <c r="P896" s="2" t="s">
        <v>1075</v>
      </c>
      <c r="Q896" s="2" t="s">
        <v>206</v>
      </c>
      <c r="R896" s="2" t="s">
        <v>200</v>
      </c>
      <c r="S896" s="2" t="s">
        <v>200</v>
      </c>
      <c r="T896" s="2" t="s">
        <v>200</v>
      </c>
      <c r="U896" s="2" t="s">
        <v>270</v>
      </c>
      <c r="V896" s="2" t="s">
        <v>616</v>
      </c>
      <c r="W896" s="2" t="s">
        <v>200</v>
      </c>
      <c r="X896" s="2" t="s">
        <v>200</v>
      </c>
      <c r="Y896" s="2" t="s">
        <v>5292</v>
      </c>
      <c r="Z896" s="4">
        <v>76</v>
      </c>
      <c r="AA896" s="4">
        <f>=ROUNDDOWN(25.3333333333333,0)</f>
      </c>
      <c r="AB896" s="5">
        <v>3</v>
      </c>
      <c r="AC896" s="2" t="s">
        <v>200</v>
      </c>
      <c r="AD896" s="4"/>
      <c r="AE896" s="4"/>
      <c r="AF896" s="6"/>
      <c r="AG896" s="6">
        <v>73</v>
      </c>
      <c r="AH896" s="7">
        <v>1</v>
      </c>
      <c r="AI896" s="4"/>
      <c r="AJ896" s="4">
        <f>=ROUNDDOWN({0},0)</f>
      </c>
      <c r="AK896" s="5"/>
      <c r="AL896" s="2" t="s">
        <v>200</v>
      </c>
      <c r="AM896" s="4"/>
      <c r="AN896" s="4"/>
      <c r="AO896" s="7"/>
      <c r="AP896" s="4"/>
      <c r="AQ896" s="8"/>
      <c r="AR896" s="4"/>
      <c r="AS896" s="8"/>
      <c r="AT896" s="7"/>
      <c r="AU896" s="7"/>
      <c r="AV896" s="4" t="s">
        <v>200</v>
      </c>
      <c r="AW896" s="8" t="s">
        <v>200</v>
      </c>
      <c r="AX896" s="4" t="s">
        <v>200</v>
      </c>
      <c r="AY896" s="8" t="s">
        <v>200</v>
      </c>
      <c r="AZ896" s="7" t="s">
        <v>200</v>
      </c>
      <c r="BA896" s="7" t="s">
        <v>200</v>
      </c>
      <c r="BB896" s="7"/>
      <c r="BC896" s="4" t="s">
        <v>200</v>
      </c>
      <c r="BD896" s="8" t="s">
        <v>200</v>
      </c>
      <c r="BE896" s="4" t="s">
        <v>200</v>
      </c>
      <c r="BF896" s="8" t="s">
        <v>200</v>
      </c>
      <c r="BG896" s="7" t="s">
        <v>200</v>
      </c>
      <c r="BH896" s="7" t="s">
        <v>200</v>
      </c>
      <c r="BI896" s="7"/>
      <c r="BJ896" s="4">
        <v>22</v>
      </c>
      <c r="BK896" s="8">
        <v>529.62</v>
      </c>
      <c r="BL896" s="2" t="s">
        <v>5306</v>
      </c>
      <c r="BM896" s="7"/>
      <c r="BN896" s="7"/>
      <c r="BO896" s="4"/>
      <c r="BP896" s="8"/>
      <c r="BQ896" s="4"/>
      <c r="BR896" s="8"/>
      <c r="BS896" s="7"/>
      <c r="BT896" s="7"/>
      <c r="BU896" s="2" t="s">
        <v>5320</v>
      </c>
      <c r="BV896" s="2" t="s">
        <v>200</v>
      </c>
      <c r="BW896" s="2" t="s">
        <v>200</v>
      </c>
      <c r="BX896" s="2" t="s">
        <v>264</v>
      </c>
      <c r="BY896" s="2" t="s">
        <v>247</v>
      </c>
      <c r="BZ896" s="2" t="s">
        <v>212</v>
      </c>
      <c r="CA896" s="2" t="s">
        <v>5225</v>
      </c>
      <c r="CB896" s="2" t="s">
        <v>5321</v>
      </c>
      <c r="CC896" s="2" t="s">
        <v>213</v>
      </c>
      <c r="CD896" s="2" t="s">
        <v>200</v>
      </c>
      <c r="CE896" s="4"/>
      <c r="CF896" s="4"/>
      <c r="CG896" s="4"/>
      <c r="CH896" s="4">
        <v>76</v>
      </c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</row>
    <row r="897">
      <c r="A897" s="2" t="s">
        <v>5322</v>
      </c>
      <c r="B897" s="2" t="s">
        <v>827</v>
      </c>
      <c r="C897" s="2" t="s">
        <v>745</v>
      </c>
      <c r="D897" s="2" t="s">
        <v>828</v>
      </c>
      <c r="E897" s="2" t="s">
        <v>1011</v>
      </c>
      <c r="F897" s="2" t="s">
        <v>5323</v>
      </c>
      <c r="G897" s="2" t="s">
        <v>5323</v>
      </c>
      <c r="H897" s="2" t="s">
        <v>5323</v>
      </c>
      <c r="I897" s="2" t="s">
        <v>5324</v>
      </c>
      <c r="J897" s="2" t="s">
        <v>1016</v>
      </c>
      <c r="K897" s="2" t="s">
        <v>416</v>
      </c>
      <c r="L897" s="3">
        <v>24.75</v>
      </c>
      <c r="M897" s="3">
        <v>25.99</v>
      </c>
      <c r="N897" s="3">
        <v>59.99</v>
      </c>
      <c r="O897" s="2" t="s">
        <v>212</v>
      </c>
      <c r="P897" s="2" t="s">
        <v>205</v>
      </c>
      <c r="Q897" s="2" t="s">
        <v>206</v>
      </c>
      <c r="R897" s="2" t="s">
        <v>200</v>
      </c>
      <c r="S897" s="2" t="s">
        <v>200</v>
      </c>
      <c r="T897" s="2" t="s">
        <v>312</v>
      </c>
      <c r="U897" s="2" t="s">
        <v>270</v>
      </c>
      <c r="V897" s="2" t="s">
        <v>885</v>
      </c>
      <c r="W897" s="2" t="s">
        <v>969</v>
      </c>
      <c r="X897" s="2" t="s">
        <v>1078</v>
      </c>
      <c r="Y897" s="2" t="s">
        <v>200</v>
      </c>
      <c r="Z897" s="4"/>
      <c r="AA897" s="4">
        <f>=ROUNDDOWN({0},0)</f>
      </c>
      <c r="AB897" s="5"/>
      <c r="AC897" s="2" t="s">
        <v>1435</v>
      </c>
      <c r="AD897" s="4">
        <v>960</v>
      </c>
      <c r="AE897" s="4">
        <v>960</v>
      </c>
      <c r="AF897" s="6">
        <v>69</v>
      </c>
      <c r="AG897" s="6"/>
      <c r="AH897" s="7"/>
      <c r="AI897" s="4"/>
      <c r="AJ897" s="4">
        <f>=ROUNDDOWN({0},0)</f>
      </c>
      <c r="AK897" s="5"/>
      <c r="AL897" s="2" t="s">
        <v>200</v>
      </c>
      <c r="AM897" s="4"/>
      <c r="AN897" s="4"/>
      <c r="AO897" s="7"/>
      <c r="AP897" s="4"/>
      <c r="AQ897" s="8"/>
      <c r="AR897" s="4"/>
      <c r="AS897" s="8"/>
      <c r="AT897" s="7"/>
      <c r="AU897" s="7"/>
      <c r="AV897" s="4" t="s">
        <v>200</v>
      </c>
      <c r="AW897" s="8" t="s">
        <v>200</v>
      </c>
      <c r="AX897" s="4" t="s">
        <v>200</v>
      </c>
      <c r="AY897" s="8" t="s">
        <v>200</v>
      </c>
      <c r="AZ897" s="7" t="s">
        <v>200</v>
      </c>
      <c r="BA897" s="7" t="s">
        <v>200</v>
      </c>
      <c r="BB897" s="7"/>
      <c r="BC897" s="4" t="s">
        <v>200</v>
      </c>
      <c r="BD897" s="8" t="s">
        <v>200</v>
      </c>
      <c r="BE897" s="4" t="s">
        <v>200</v>
      </c>
      <c r="BF897" s="8" t="s">
        <v>200</v>
      </c>
      <c r="BG897" s="7" t="s">
        <v>200</v>
      </c>
      <c r="BH897" s="7" t="s">
        <v>200</v>
      </c>
      <c r="BI897" s="7"/>
      <c r="BJ897" s="4"/>
      <c r="BK897" s="8"/>
      <c r="BL897" s="2" t="s">
        <v>200</v>
      </c>
      <c r="BM897" s="7"/>
      <c r="BN897" s="7"/>
      <c r="BO897" s="4"/>
      <c r="BP897" s="8"/>
      <c r="BQ897" s="4"/>
      <c r="BR897" s="8"/>
      <c r="BS897" s="7"/>
      <c r="BT897" s="7"/>
      <c r="BU897" s="2" t="s">
        <v>210</v>
      </c>
      <c r="BV897" s="2" t="s">
        <v>200</v>
      </c>
      <c r="BW897" s="2" t="s">
        <v>200</v>
      </c>
      <c r="BX897" s="2" t="s">
        <v>210</v>
      </c>
      <c r="BY897" s="2" t="s">
        <v>211</v>
      </c>
      <c r="BZ897" s="2" t="s">
        <v>212</v>
      </c>
      <c r="CA897" s="2" t="s">
        <v>200</v>
      </c>
      <c r="CB897" s="2" t="s">
        <v>200</v>
      </c>
      <c r="CC897" s="2" t="s">
        <v>213</v>
      </c>
      <c r="CD897" s="2" t="s">
        <v>200</v>
      </c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>
        <v>960</v>
      </c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</row>
    <row r="898">
      <c r="A898" s="2" t="s">
        <v>5325</v>
      </c>
      <c r="B898" s="2" t="s">
        <v>827</v>
      </c>
      <c r="C898" s="2" t="s">
        <v>745</v>
      </c>
      <c r="D898" s="2" t="s">
        <v>828</v>
      </c>
      <c r="E898" s="2" t="s">
        <v>1011</v>
      </c>
      <c r="F898" s="2" t="s">
        <v>5323</v>
      </c>
      <c r="G898" s="2" t="s">
        <v>5323</v>
      </c>
      <c r="H898" s="2" t="s">
        <v>5323</v>
      </c>
      <c r="I898" s="2" t="s">
        <v>5324</v>
      </c>
      <c r="J898" s="2" t="s">
        <v>1242</v>
      </c>
      <c r="K898" s="2" t="s">
        <v>416</v>
      </c>
      <c r="L898" s="3">
        <v>28</v>
      </c>
      <c r="M898" s="3">
        <v>29.4</v>
      </c>
      <c r="N898" s="3">
        <v>64.99</v>
      </c>
      <c r="O898" s="2" t="s">
        <v>212</v>
      </c>
      <c r="P898" s="2" t="s">
        <v>205</v>
      </c>
      <c r="Q898" s="2" t="s">
        <v>206</v>
      </c>
      <c r="R898" s="2" t="s">
        <v>200</v>
      </c>
      <c r="S898" s="2" t="s">
        <v>200</v>
      </c>
      <c r="T898" s="2" t="s">
        <v>312</v>
      </c>
      <c r="U898" s="2" t="s">
        <v>270</v>
      </c>
      <c r="V898" s="2" t="s">
        <v>885</v>
      </c>
      <c r="W898" s="2" t="s">
        <v>969</v>
      </c>
      <c r="X898" s="2" t="s">
        <v>1078</v>
      </c>
      <c r="Y898" s="2" t="s">
        <v>200</v>
      </c>
      <c r="Z898" s="4"/>
      <c r="AA898" s="4">
        <f>=ROUNDDOWN({0},0)</f>
      </c>
      <c r="AB898" s="5"/>
      <c r="AC898" s="2" t="s">
        <v>1435</v>
      </c>
      <c r="AD898" s="4">
        <v>768</v>
      </c>
      <c r="AE898" s="4">
        <v>768</v>
      </c>
      <c r="AF898" s="6">
        <v>69</v>
      </c>
      <c r="AG898" s="6"/>
      <c r="AH898" s="7"/>
      <c r="AI898" s="4"/>
      <c r="AJ898" s="4">
        <f>=ROUNDDOWN({0},0)</f>
      </c>
      <c r="AK898" s="5"/>
      <c r="AL898" s="2" t="s">
        <v>200</v>
      </c>
      <c r="AM898" s="4"/>
      <c r="AN898" s="4"/>
      <c r="AO898" s="7"/>
      <c r="AP898" s="4"/>
      <c r="AQ898" s="8"/>
      <c r="AR898" s="4"/>
      <c r="AS898" s="8"/>
      <c r="AT898" s="7"/>
      <c r="AU898" s="7"/>
      <c r="AV898" s="4" t="s">
        <v>200</v>
      </c>
      <c r="AW898" s="8" t="s">
        <v>200</v>
      </c>
      <c r="AX898" s="4" t="s">
        <v>200</v>
      </c>
      <c r="AY898" s="8" t="s">
        <v>200</v>
      </c>
      <c r="AZ898" s="7" t="s">
        <v>200</v>
      </c>
      <c r="BA898" s="7" t="s">
        <v>200</v>
      </c>
      <c r="BB898" s="7"/>
      <c r="BC898" s="4" t="s">
        <v>200</v>
      </c>
      <c r="BD898" s="8" t="s">
        <v>200</v>
      </c>
      <c r="BE898" s="4" t="s">
        <v>200</v>
      </c>
      <c r="BF898" s="8" t="s">
        <v>200</v>
      </c>
      <c r="BG898" s="7" t="s">
        <v>200</v>
      </c>
      <c r="BH898" s="7" t="s">
        <v>200</v>
      </c>
      <c r="BI898" s="7"/>
      <c r="BJ898" s="4"/>
      <c r="BK898" s="8"/>
      <c r="BL898" s="2" t="s">
        <v>200</v>
      </c>
      <c r="BM898" s="7"/>
      <c r="BN898" s="7"/>
      <c r="BO898" s="4"/>
      <c r="BP898" s="8"/>
      <c r="BQ898" s="4"/>
      <c r="BR898" s="8"/>
      <c r="BS898" s="7"/>
      <c r="BT898" s="7"/>
      <c r="BU898" s="2" t="s">
        <v>210</v>
      </c>
      <c r="BV898" s="2" t="s">
        <v>200</v>
      </c>
      <c r="BW898" s="2" t="s">
        <v>200</v>
      </c>
      <c r="BX898" s="2" t="s">
        <v>210</v>
      </c>
      <c r="BY898" s="2" t="s">
        <v>211</v>
      </c>
      <c r="BZ898" s="2" t="s">
        <v>212</v>
      </c>
      <c r="CA898" s="2" t="s">
        <v>200</v>
      </c>
      <c r="CB898" s="2" t="s">
        <v>200</v>
      </c>
      <c r="CC898" s="2" t="s">
        <v>213</v>
      </c>
      <c r="CD898" s="2" t="s">
        <v>200</v>
      </c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>
        <v>768</v>
      </c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</row>
    <row r="899">
      <c r="A899" s="2" t="s">
        <v>5326</v>
      </c>
      <c r="B899" s="2" t="s">
        <v>827</v>
      </c>
      <c r="C899" s="2" t="s">
        <v>745</v>
      </c>
      <c r="D899" s="2" t="s">
        <v>828</v>
      </c>
      <c r="E899" s="2" t="s">
        <v>1011</v>
      </c>
      <c r="F899" s="2" t="s">
        <v>5323</v>
      </c>
      <c r="G899" s="2" t="s">
        <v>5323</v>
      </c>
      <c r="H899" s="2" t="s">
        <v>5323</v>
      </c>
      <c r="I899" s="2" t="s">
        <v>5324</v>
      </c>
      <c r="J899" s="2" t="s">
        <v>1057</v>
      </c>
      <c r="K899" s="2" t="s">
        <v>416</v>
      </c>
      <c r="L899" s="3">
        <v>30</v>
      </c>
      <c r="M899" s="3">
        <v>31.5</v>
      </c>
      <c r="N899" s="3">
        <v>69.99</v>
      </c>
      <c r="O899" s="2" t="s">
        <v>212</v>
      </c>
      <c r="P899" s="2" t="s">
        <v>205</v>
      </c>
      <c r="Q899" s="2" t="s">
        <v>206</v>
      </c>
      <c r="R899" s="2" t="s">
        <v>200</v>
      </c>
      <c r="S899" s="2" t="s">
        <v>200</v>
      </c>
      <c r="T899" s="2" t="s">
        <v>312</v>
      </c>
      <c r="U899" s="2" t="s">
        <v>270</v>
      </c>
      <c r="V899" s="2" t="s">
        <v>885</v>
      </c>
      <c r="W899" s="2" t="s">
        <v>969</v>
      </c>
      <c r="X899" s="2" t="s">
        <v>1078</v>
      </c>
      <c r="Y899" s="2" t="s">
        <v>200</v>
      </c>
      <c r="Z899" s="4"/>
      <c r="AA899" s="4">
        <f>=ROUNDDOWN({0},0)</f>
      </c>
      <c r="AB899" s="5"/>
      <c r="AC899" s="2" t="s">
        <v>200</v>
      </c>
      <c r="AD899" s="4"/>
      <c r="AE899" s="4"/>
      <c r="AF899" s="6"/>
      <c r="AG899" s="6"/>
      <c r="AH899" s="7"/>
      <c r="AI899" s="4"/>
      <c r="AJ899" s="4">
        <f>=ROUNDDOWN({0},0)</f>
      </c>
      <c r="AK899" s="5"/>
      <c r="AL899" s="2" t="s">
        <v>200</v>
      </c>
      <c r="AM899" s="4"/>
      <c r="AN899" s="4"/>
      <c r="AO899" s="7"/>
      <c r="AP899" s="4"/>
      <c r="AQ899" s="8"/>
      <c r="AR899" s="4"/>
      <c r="AS899" s="8"/>
      <c r="AT899" s="7"/>
      <c r="AU899" s="7"/>
      <c r="AV899" s="4" t="s">
        <v>200</v>
      </c>
      <c r="AW899" s="8" t="s">
        <v>200</v>
      </c>
      <c r="AX899" s="4" t="s">
        <v>200</v>
      </c>
      <c r="AY899" s="8" t="s">
        <v>200</v>
      </c>
      <c r="AZ899" s="7" t="s">
        <v>200</v>
      </c>
      <c r="BA899" s="7" t="s">
        <v>200</v>
      </c>
      <c r="BB899" s="7"/>
      <c r="BC899" s="4" t="s">
        <v>200</v>
      </c>
      <c r="BD899" s="8" t="s">
        <v>200</v>
      </c>
      <c r="BE899" s="4" t="s">
        <v>200</v>
      </c>
      <c r="BF899" s="8" t="s">
        <v>200</v>
      </c>
      <c r="BG899" s="7" t="s">
        <v>200</v>
      </c>
      <c r="BH899" s="7" t="s">
        <v>200</v>
      </c>
      <c r="BI899" s="7"/>
      <c r="BJ899" s="4"/>
      <c r="BK899" s="8"/>
      <c r="BL899" s="2" t="s">
        <v>200</v>
      </c>
      <c r="BM899" s="7"/>
      <c r="BN899" s="7"/>
      <c r="BO899" s="4"/>
      <c r="BP899" s="8"/>
      <c r="BQ899" s="4"/>
      <c r="BR899" s="8"/>
      <c r="BS899" s="7"/>
      <c r="BT899" s="7"/>
      <c r="BU899" s="2" t="s">
        <v>210</v>
      </c>
      <c r="BV899" s="2" t="s">
        <v>200</v>
      </c>
      <c r="BW899" s="2" t="s">
        <v>200</v>
      </c>
      <c r="BX899" s="2" t="s">
        <v>210</v>
      </c>
      <c r="BY899" s="2" t="s">
        <v>211</v>
      </c>
      <c r="BZ899" s="2" t="s">
        <v>212</v>
      </c>
      <c r="CA899" s="2" t="s">
        <v>200</v>
      </c>
      <c r="CB899" s="2" t="s">
        <v>200</v>
      </c>
      <c r="CC899" s="2" t="s">
        <v>213</v>
      </c>
      <c r="CD899" s="2" t="s">
        <v>200</v>
      </c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</row>
    <row r="900">
      <c r="A900" s="2" t="s">
        <v>5327</v>
      </c>
      <c r="B900" s="2" t="s">
        <v>827</v>
      </c>
      <c r="C900" s="2" t="s">
        <v>745</v>
      </c>
      <c r="D900" s="2" t="s">
        <v>828</v>
      </c>
      <c r="E900" s="2" t="s">
        <v>1011</v>
      </c>
      <c r="F900" s="2" t="s">
        <v>5323</v>
      </c>
      <c r="G900" s="2" t="s">
        <v>5323</v>
      </c>
      <c r="H900" s="2" t="s">
        <v>5323</v>
      </c>
      <c r="I900" s="2" t="s">
        <v>5324</v>
      </c>
      <c r="J900" s="2" t="s">
        <v>1057</v>
      </c>
      <c r="K900" s="2" t="s">
        <v>436</v>
      </c>
      <c r="L900" s="3">
        <v>30</v>
      </c>
      <c r="M900" s="3">
        <v>31.5</v>
      </c>
      <c r="N900" s="3">
        <v>69.99</v>
      </c>
      <c r="O900" s="2" t="s">
        <v>212</v>
      </c>
      <c r="P900" s="2" t="s">
        <v>205</v>
      </c>
      <c r="Q900" s="2" t="s">
        <v>206</v>
      </c>
      <c r="R900" s="2" t="s">
        <v>200</v>
      </c>
      <c r="S900" s="2" t="s">
        <v>200</v>
      </c>
      <c r="T900" s="2" t="s">
        <v>312</v>
      </c>
      <c r="U900" s="2" t="s">
        <v>270</v>
      </c>
      <c r="V900" s="2" t="s">
        <v>885</v>
      </c>
      <c r="W900" s="2" t="s">
        <v>712</v>
      </c>
      <c r="X900" s="2" t="s">
        <v>5328</v>
      </c>
      <c r="Y900" s="2" t="s">
        <v>5329</v>
      </c>
      <c r="Z900" s="4">
        <v>236</v>
      </c>
      <c r="AA900" s="4">
        <f>=ROUNDDOWN(13.1111111111111,0)</f>
      </c>
      <c r="AB900" s="5">
        <v>18</v>
      </c>
      <c r="AC900" s="2" t="s">
        <v>200</v>
      </c>
      <c r="AD900" s="4"/>
      <c r="AE900" s="4"/>
      <c r="AF900" s="6">
        <v>69</v>
      </c>
      <c r="AG900" s="6"/>
      <c r="AH900" s="7">
        <v>1</v>
      </c>
      <c r="AI900" s="4"/>
      <c r="AJ900" s="4">
        <f>=ROUNDDOWN({0},0)</f>
      </c>
      <c r="AK900" s="5"/>
      <c r="AL900" s="2" t="s">
        <v>200</v>
      </c>
      <c r="AM900" s="4"/>
      <c r="AN900" s="4"/>
      <c r="AO900" s="7"/>
      <c r="AP900" s="4"/>
      <c r="AQ900" s="8"/>
      <c r="AR900" s="4"/>
      <c r="AS900" s="8"/>
      <c r="AT900" s="7"/>
      <c r="AU900" s="7"/>
      <c r="AV900" s="4"/>
      <c r="AW900" s="8"/>
      <c r="AX900" s="4"/>
      <c r="AY900" s="8"/>
      <c r="AZ900" s="7"/>
      <c r="BA900" s="7"/>
      <c r="BB900" s="7"/>
      <c r="BC900" s="4" t="s">
        <v>200</v>
      </c>
      <c r="BD900" s="8" t="s">
        <v>200</v>
      </c>
      <c r="BE900" s="4" t="s">
        <v>200</v>
      </c>
      <c r="BF900" s="8" t="s">
        <v>200</v>
      </c>
      <c r="BG900" s="7" t="s">
        <v>200</v>
      </c>
      <c r="BH900" s="7" t="s">
        <v>200</v>
      </c>
      <c r="BI900" s="7"/>
      <c r="BJ900" s="4">
        <v>44</v>
      </c>
      <c r="BK900" s="8">
        <v>1538.94</v>
      </c>
      <c r="BL900" s="2" t="s">
        <v>1656</v>
      </c>
      <c r="BM900" s="7"/>
      <c r="BN900" s="7"/>
      <c r="BO900" s="4"/>
      <c r="BP900" s="8"/>
      <c r="BQ900" s="4"/>
      <c r="BR900" s="8"/>
      <c r="BS900" s="7"/>
      <c r="BT900" s="7"/>
      <c r="BU900" s="2" t="s">
        <v>210</v>
      </c>
      <c r="BV900" s="2" t="s">
        <v>200</v>
      </c>
      <c r="BW900" s="2" t="s">
        <v>200</v>
      </c>
      <c r="BX900" s="2" t="s">
        <v>210</v>
      </c>
      <c r="BY900" s="2" t="s">
        <v>211</v>
      </c>
      <c r="BZ900" s="2" t="s">
        <v>212</v>
      </c>
      <c r="CA900" s="2" t="s">
        <v>200</v>
      </c>
      <c r="CB900" s="2" t="s">
        <v>200</v>
      </c>
      <c r="CC900" s="2" t="s">
        <v>213</v>
      </c>
      <c r="CD900" s="2" t="s">
        <v>200</v>
      </c>
      <c r="CE900" s="4">
        <v>236</v>
      </c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  <c r="GH900" s="4"/>
    </row>
    <row r="901">
      <c r="A901" s="2" t="s">
        <v>5330</v>
      </c>
      <c r="B901" s="2" t="s">
        <v>903</v>
      </c>
      <c r="C901" s="2" t="s">
        <v>745</v>
      </c>
      <c r="D901" s="2" t="s">
        <v>608</v>
      </c>
      <c r="E901" s="2" t="s">
        <v>1324</v>
      </c>
      <c r="F901" s="2" t="s">
        <v>5323</v>
      </c>
      <c r="G901" s="2" t="s">
        <v>5323</v>
      </c>
      <c r="H901" s="2" t="s">
        <v>5323</v>
      </c>
      <c r="I901" s="2" t="s">
        <v>5331</v>
      </c>
      <c r="J901" s="2" t="s">
        <v>612</v>
      </c>
      <c r="K901" s="2" t="s">
        <v>5332</v>
      </c>
      <c r="L901" s="3">
        <v>61.18</v>
      </c>
      <c r="M901" s="3">
        <v>64.24</v>
      </c>
      <c r="N901" s="3">
        <v>129.99</v>
      </c>
      <c r="O901" s="2" t="s">
        <v>212</v>
      </c>
      <c r="P901" s="2" t="s">
        <v>205</v>
      </c>
      <c r="Q901" s="2" t="s">
        <v>206</v>
      </c>
      <c r="R901" s="2" t="s">
        <v>200</v>
      </c>
      <c r="S901" s="2" t="s">
        <v>200</v>
      </c>
      <c r="T901" s="2" t="s">
        <v>968</v>
      </c>
      <c r="U901" s="2" t="s">
        <v>454</v>
      </c>
      <c r="V901" s="2" t="s">
        <v>885</v>
      </c>
      <c r="W901" s="2" t="s">
        <v>2826</v>
      </c>
      <c r="X901" s="2" t="s">
        <v>200</v>
      </c>
      <c r="Y901" s="2" t="s">
        <v>200</v>
      </c>
      <c r="Z901" s="4"/>
      <c r="AA901" s="4">
        <f>=ROUNDDOWN({0},0)</f>
      </c>
      <c r="AB901" s="5"/>
      <c r="AC901" s="2" t="s">
        <v>5333</v>
      </c>
      <c r="AD901" s="4">
        <v>290</v>
      </c>
      <c r="AE901" s="4">
        <v>580</v>
      </c>
      <c r="AF901" s="6"/>
      <c r="AG901" s="6"/>
      <c r="AH901" s="7"/>
      <c r="AI901" s="4"/>
      <c r="AJ901" s="4">
        <f>=ROUNDDOWN({0},0)</f>
      </c>
      <c r="AK901" s="5"/>
      <c r="AL901" s="2" t="s">
        <v>200</v>
      </c>
      <c r="AM901" s="4"/>
      <c r="AN901" s="4"/>
      <c r="AO901" s="7"/>
      <c r="AP901" s="4"/>
      <c r="AQ901" s="8"/>
      <c r="AR901" s="4"/>
      <c r="AS901" s="8"/>
      <c r="AT901" s="7"/>
      <c r="AU901" s="7"/>
      <c r="AV901" s="4" t="s">
        <v>200</v>
      </c>
      <c r="AW901" s="8" t="s">
        <v>200</v>
      </c>
      <c r="AX901" s="4" t="s">
        <v>200</v>
      </c>
      <c r="AY901" s="8" t="s">
        <v>200</v>
      </c>
      <c r="AZ901" s="7" t="s">
        <v>200</v>
      </c>
      <c r="BA901" s="7" t="s">
        <v>200</v>
      </c>
      <c r="BB901" s="7" t="s">
        <v>200</v>
      </c>
      <c r="BC901" s="4" t="s">
        <v>200</v>
      </c>
      <c r="BD901" s="8" t="s">
        <v>200</v>
      </c>
      <c r="BE901" s="4" t="s">
        <v>200</v>
      </c>
      <c r="BF901" s="8" t="s">
        <v>200</v>
      </c>
      <c r="BG901" s="7" t="s">
        <v>200</v>
      </c>
      <c r="BH901" s="7" t="s">
        <v>200</v>
      </c>
      <c r="BI901" s="7"/>
      <c r="BJ901" s="4"/>
      <c r="BK901" s="8"/>
      <c r="BL901" s="2" t="s">
        <v>200</v>
      </c>
      <c r="BM901" s="7"/>
      <c r="BN901" s="7"/>
      <c r="BO901" s="4"/>
      <c r="BP901" s="8"/>
      <c r="BQ901" s="4"/>
      <c r="BR901" s="8"/>
      <c r="BS901" s="7"/>
      <c r="BT901" s="7"/>
      <c r="BU901" s="2" t="s">
        <v>210</v>
      </c>
      <c r="BV901" s="2" t="s">
        <v>200</v>
      </c>
      <c r="BW901" s="2" t="s">
        <v>200</v>
      </c>
      <c r="BX901" s="2" t="s">
        <v>210</v>
      </c>
      <c r="BY901" s="2" t="s">
        <v>211</v>
      </c>
      <c r="BZ901" s="2" t="s">
        <v>212</v>
      </c>
      <c r="CA901" s="2" t="s">
        <v>200</v>
      </c>
      <c r="CB901" s="2" t="s">
        <v>200</v>
      </c>
      <c r="CC901" s="2" t="s">
        <v>213</v>
      </c>
      <c r="CD901" s="2" t="s">
        <v>200</v>
      </c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>
        <v>290</v>
      </c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>
        <v>290</v>
      </c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</row>
    <row r="902">
      <c r="A902" s="2" t="s">
        <v>5334</v>
      </c>
      <c r="B902" s="2" t="s">
        <v>903</v>
      </c>
      <c r="C902" s="2" t="s">
        <v>745</v>
      </c>
      <c r="D902" s="2" t="s">
        <v>918</v>
      </c>
      <c r="E902" s="2" t="s">
        <v>919</v>
      </c>
      <c r="F902" s="2" t="s">
        <v>5323</v>
      </c>
      <c r="G902" s="2" t="s">
        <v>5323</v>
      </c>
      <c r="H902" s="2" t="s">
        <v>5323</v>
      </c>
      <c r="I902" s="2" t="s">
        <v>5335</v>
      </c>
      <c r="J902" s="2" t="s">
        <v>612</v>
      </c>
      <c r="K902" s="2" t="s">
        <v>5332</v>
      </c>
      <c r="L902" s="3">
        <v>51.3</v>
      </c>
      <c r="M902" s="3">
        <v>53.87</v>
      </c>
      <c r="N902" s="3">
        <v>109.99</v>
      </c>
      <c r="O902" s="2" t="s">
        <v>212</v>
      </c>
      <c r="P902" s="2" t="s">
        <v>205</v>
      </c>
      <c r="Q902" s="2" t="s">
        <v>206</v>
      </c>
      <c r="R902" s="2" t="s">
        <v>200</v>
      </c>
      <c r="S902" s="2" t="s">
        <v>200</v>
      </c>
      <c r="T902" s="2" t="s">
        <v>968</v>
      </c>
      <c r="U902" s="2" t="s">
        <v>454</v>
      </c>
      <c r="V902" s="2" t="s">
        <v>885</v>
      </c>
      <c r="W902" s="2" t="s">
        <v>379</v>
      </c>
      <c r="X902" s="2" t="s">
        <v>200</v>
      </c>
      <c r="Y902" s="2" t="s">
        <v>200</v>
      </c>
      <c r="Z902" s="4"/>
      <c r="AA902" s="4">
        <f>=ROUNDDOWN({0},0)</f>
      </c>
      <c r="AB902" s="5"/>
      <c r="AC902" s="2" t="s">
        <v>5333</v>
      </c>
      <c r="AD902" s="4">
        <v>116</v>
      </c>
      <c r="AE902" s="4">
        <v>230</v>
      </c>
      <c r="AF902" s="6"/>
      <c r="AG902" s="6"/>
      <c r="AH902" s="7"/>
      <c r="AI902" s="4"/>
      <c r="AJ902" s="4">
        <f>=ROUNDDOWN({0},0)</f>
      </c>
      <c r="AK902" s="5"/>
      <c r="AL902" s="2" t="s">
        <v>200</v>
      </c>
      <c r="AM902" s="4"/>
      <c r="AN902" s="4"/>
      <c r="AO902" s="7"/>
      <c r="AP902" s="4"/>
      <c r="AQ902" s="8"/>
      <c r="AR902" s="4"/>
      <c r="AS902" s="8"/>
      <c r="AT902" s="7"/>
      <c r="AU902" s="7"/>
      <c r="AV902" s="4" t="s">
        <v>200</v>
      </c>
      <c r="AW902" s="8" t="s">
        <v>200</v>
      </c>
      <c r="AX902" s="4" t="s">
        <v>200</v>
      </c>
      <c r="AY902" s="8" t="s">
        <v>200</v>
      </c>
      <c r="AZ902" s="7" t="s">
        <v>200</v>
      </c>
      <c r="BA902" s="7" t="s">
        <v>200</v>
      </c>
      <c r="BB902" s="7" t="s">
        <v>200</v>
      </c>
      <c r="BC902" s="4" t="s">
        <v>200</v>
      </c>
      <c r="BD902" s="8" t="s">
        <v>200</v>
      </c>
      <c r="BE902" s="4" t="s">
        <v>200</v>
      </c>
      <c r="BF902" s="8" t="s">
        <v>200</v>
      </c>
      <c r="BG902" s="7" t="s">
        <v>200</v>
      </c>
      <c r="BH902" s="7" t="s">
        <v>200</v>
      </c>
      <c r="BI902" s="7"/>
      <c r="BJ902" s="4"/>
      <c r="BK902" s="8"/>
      <c r="BL902" s="2" t="s">
        <v>200</v>
      </c>
      <c r="BM902" s="7"/>
      <c r="BN902" s="7"/>
      <c r="BO902" s="4"/>
      <c r="BP902" s="8"/>
      <c r="BQ902" s="4"/>
      <c r="BR902" s="8"/>
      <c r="BS902" s="7"/>
      <c r="BT902" s="7"/>
      <c r="BU902" s="2" t="s">
        <v>210</v>
      </c>
      <c r="BV902" s="2" t="s">
        <v>200</v>
      </c>
      <c r="BW902" s="2" t="s">
        <v>200</v>
      </c>
      <c r="BX902" s="2" t="s">
        <v>210</v>
      </c>
      <c r="BY902" s="2" t="s">
        <v>211</v>
      </c>
      <c r="BZ902" s="2" t="s">
        <v>212</v>
      </c>
      <c r="CA902" s="2" t="s">
        <v>200</v>
      </c>
      <c r="CB902" s="2" t="s">
        <v>200</v>
      </c>
      <c r="CC902" s="2" t="s">
        <v>213</v>
      </c>
      <c r="CD902" s="2" t="s">
        <v>200</v>
      </c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>
        <v>116</v>
      </c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>
        <v>114</v>
      </c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</row>
    <row r="903">
      <c r="A903" s="2" t="s">
        <v>5336</v>
      </c>
      <c r="B903" s="2" t="s">
        <v>903</v>
      </c>
      <c r="C903" s="2" t="s">
        <v>745</v>
      </c>
      <c r="D903" s="2" t="s">
        <v>608</v>
      </c>
      <c r="E903" s="2" t="s">
        <v>1324</v>
      </c>
      <c r="F903" s="2" t="s">
        <v>5323</v>
      </c>
      <c r="G903" s="2" t="s">
        <v>5323</v>
      </c>
      <c r="H903" s="2" t="s">
        <v>5323</v>
      </c>
      <c r="I903" s="2" t="s">
        <v>5331</v>
      </c>
      <c r="J903" s="2" t="s">
        <v>924</v>
      </c>
      <c r="K903" s="2" t="s">
        <v>5332</v>
      </c>
      <c r="L903" s="3">
        <v>74.29</v>
      </c>
      <c r="M903" s="3">
        <v>78</v>
      </c>
      <c r="N903" s="3">
        <v>159.99</v>
      </c>
      <c r="O903" s="2" t="s">
        <v>212</v>
      </c>
      <c r="P903" s="2" t="s">
        <v>205</v>
      </c>
      <c r="Q903" s="2" t="s">
        <v>206</v>
      </c>
      <c r="R903" s="2" t="s">
        <v>200</v>
      </c>
      <c r="S903" s="2" t="s">
        <v>200</v>
      </c>
      <c r="T903" s="2" t="s">
        <v>968</v>
      </c>
      <c r="U903" s="2" t="s">
        <v>454</v>
      </c>
      <c r="V903" s="2" t="s">
        <v>885</v>
      </c>
      <c r="W903" s="2" t="s">
        <v>2826</v>
      </c>
      <c r="X903" s="2" t="s">
        <v>200</v>
      </c>
      <c r="Y903" s="2" t="s">
        <v>200</v>
      </c>
      <c r="Z903" s="4"/>
      <c r="AA903" s="4">
        <f>=ROUNDDOWN({0},0)</f>
      </c>
      <c r="AB903" s="5"/>
      <c r="AC903" s="2" t="s">
        <v>5333</v>
      </c>
      <c r="AD903" s="4">
        <v>370</v>
      </c>
      <c r="AE903" s="4">
        <v>740</v>
      </c>
      <c r="AF903" s="6"/>
      <c r="AG903" s="6"/>
      <c r="AH903" s="7"/>
      <c r="AI903" s="4"/>
      <c r="AJ903" s="4">
        <f>=ROUNDDOWN({0},0)</f>
      </c>
      <c r="AK903" s="5"/>
      <c r="AL903" s="2" t="s">
        <v>200</v>
      </c>
      <c r="AM903" s="4"/>
      <c r="AN903" s="4"/>
      <c r="AO903" s="7"/>
      <c r="AP903" s="4"/>
      <c r="AQ903" s="8"/>
      <c r="AR903" s="4"/>
      <c r="AS903" s="8"/>
      <c r="AT903" s="7"/>
      <c r="AU903" s="7"/>
      <c r="AV903" s="4" t="s">
        <v>200</v>
      </c>
      <c r="AW903" s="8" t="s">
        <v>200</v>
      </c>
      <c r="AX903" s="4" t="s">
        <v>200</v>
      </c>
      <c r="AY903" s="8" t="s">
        <v>200</v>
      </c>
      <c r="AZ903" s="7" t="s">
        <v>200</v>
      </c>
      <c r="BA903" s="7" t="s">
        <v>200</v>
      </c>
      <c r="BB903" s="7" t="s">
        <v>200</v>
      </c>
      <c r="BC903" s="4" t="s">
        <v>200</v>
      </c>
      <c r="BD903" s="8" t="s">
        <v>200</v>
      </c>
      <c r="BE903" s="4" t="s">
        <v>200</v>
      </c>
      <c r="BF903" s="8" t="s">
        <v>200</v>
      </c>
      <c r="BG903" s="7" t="s">
        <v>200</v>
      </c>
      <c r="BH903" s="7" t="s">
        <v>200</v>
      </c>
      <c r="BI903" s="7"/>
      <c r="BJ903" s="4"/>
      <c r="BK903" s="8"/>
      <c r="BL903" s="2" t="s">
        <v>200</v>
      </c>
      <c r="BM903" s="7"/>
      <c r="BN903" s="7"/>
      <c r="BO903" s="4"/>
      <c r="BP903" s="8"/>
      <c r="BQ903" s="4"/>
      <c r="BR903" s="8"/>
      <c r="BS903" s="7"/>
      <c r="BT903" s="7"/>
      <c r="BU903" s="2" t="s">
        <v>210</v>
      </c>
      <c r="BV903" s="2" t="s">
        <v>200</v>
      </c>
      <c r="BW903" s="2" t="s">
        <v>200</v>
      </c>
      <c r="BX903" s="2" t="s">
        <v>210</v>
      </c>
      <c r="BY903" s="2" t="s">
        <v>211</v>
      </c>
      <c r="BZ903" s="2" t="s">
        <v>212</v>
      </c>
      <c r="CA903" s="2" t="s">
        <v>200</v>
      </c>
      <c r="CB903" s="2" t="s">
        <v>200</v>
      </c>
      <c r="CC903" s="2" t="s">
        <v>213</v>
      </c>
      <c r="CD903" s="2" t="s">
        <v>200</v>
      </c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>
        <v>370</v>
      </c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>
        <v>370</v>
      </c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</row>
    <row r="904">
      <c r="A904" s="2" t="s">
        <v>5337</v>
      </c>
      <c r="B904" s="2" t="s">
        <v>903</v>
      </c>
      <c r="C904" s="2" t="s">
        <v>745</v>
      </c>
      <c r="D904" s="2" t="s">
        <v>918</v>
      </c>
      <c r="E904" s="2" t="s">
        <v>919</v>
      </c>
      <c r="F904" s="2" t="s">
        <v>5323</v>
      </c>
      <c r="G904" s="2" t="s">
        <v>5323</v>
      </c>
      <c r="H904" s="2" t="s">
        <v>5323</v>
      </c>
      <c r="I904" s="2" t="s">
        <v>5335</v>
      </c>
      <c r="J904" s="2" t="s">
        <v>924</v>
      </c>
      <c r="K904" s="2" t="s">
        <v>5332</v>
      </c>
      <c r="L904" s="3">
        <v>65.55</v>
      </c>
      <c r="M904" s="3">
        <v>68.83</v>
      </c>
      <c r="N904" s="3">
        <v>139.99</v>
      </c>
      <c r="O904" s="2" t="s">
        <v>212</v>
      </c>
      <c r="P904" s="2" t="s">
        <v>205</v>
      </c>
      <c r="Q904" s="2" t="s">
        <v>206</v>
      </c>
      <c r="R904" s="2" t="s">
        <v>200</v>
      </c>
      <c r="S904" s="2" t="s">
        <v>200</v>
      </c>
      <c r="T904" s="2" t="s">
        <v>968</v>
      </c>
      <c r="U904" s="2" t="s">
        <v>454</v>
      </c>
      <c r="V904" s="2" t="s">
        <v>885</v>
      </c>
      <c r="W904" s="2" t="s">
        <v>379</v>
      </c>
      <c r="X904" s="2" t="s">
        <v>200</v>
      </c>
      <c r="Y904" s="2" t="s">
        <v>200</v>
      </c>
      <c r="Z904" s="4"/>
      <c r="AA904" s="4">
        <f>=ROUNDDOWN({0},0)</f>
      </c>
      <c r="AB904" s="5"/>
      <c r="AC904" s="2" t="s">
        <v>5333</v>
      </c>
      <c r="AD904" s="4">
        <v>126</v>
      </c>
      <c r="AE904" s="4">
        <v>250</v>
      </c>
      <c r="AF904" s="6"/>
      <c r="AG904" s="6"/>
      <c r="AH904" s="7"/>
      <c r="AI904" s="4"/>
      <c r="AJ904" s="4">
        <f>=ROUNDDOWN({0},0)</f>
      </c>
      <c r="AK904" s="5"/>
      <c r="AL904" s="2" t="s">
        <v>200</v>
      </c>
      <c r="AM904" s="4"/>
      <c r="AN904" s="4"/>
      <c r="AO904" s="7"/>
      <c r="AP904" s="4"/>
      <c r="AQ904" s="8"/>
      <c r="AR904" s="4"/>
      <c r="AS904" s="8"/>
      <c r="AT904" s="7"/>
      <c r="AU904" s="7"/>
      <c r="AV904" s="4" t="s">
        <v>200</v>
      </c>
      <c r="AW904" s="8" t="s">
        <v>200</v>
      </c>
      <c r="AX904" s="4" t="s">
        <v>200</v>
      </c>
      <c r="AY904" s="8" t="s">
        <v>200</v>
      </c>
      <c r="AZ904" s="7" t="s">
        <v>200</v>
      </c>
      <c r="BA904" s="7" t="s">
        <v>200</v>
      </c>
      <c r="BB904" s="7" t="s">
        <v>200</v>
      </c>
      <c r="BC904" s="4" t="s">
        <v>200</v>
      </c>
      <c r="BD904" s="8" t="s">
        <v>200</v>
      </c>
      <c r="BE904" s="4" t="s">
        <v>200</v>
      </c>
      <c r="BF904" s="8" t="s">
        <v>200</v>
      </c>
      <c r="BG904" s="7" t="s">
        <v>200</v>
      </c>
      <c r="BH904" s="7" t="s">
        <v>200</v>
      </c>
      <c r="BI904" s="7"/>
      <c r="BJ904" s="4"/>
      <c r="BK904" s="8"/>
      <c r="BL904" s="2" t="s">
        <v>200</v>
      </c>
      <c r="BM904" s="7"/>
      <c r="BN904" s="7"/>
      <c r="BO904" s="4"/>
      <c r="BP904" s="8"/>
      <c r="BQ904" s="4"/>
      <c r="BR904" s="8"/>
      <c r="BS904" s="7"/>
      <c r="BT904" s="7"/>
      <c r="BU904" s="2" t="s">
        <v>210</v>
      </c>
      <c r="BV904" s="2" t="s">
        <v>200</v>
      </c>
      <c r="BW904" s="2" t="s">
        <v>200</v>
      </c>
      <c r="BX904" s="2" t="s">
        <v>210</v>
      </c>
      <c r="BY904" s="2" t="s">
        <v>211</v>
      </c>
      <c r="BZ904" s="2" t="s">
        <v>212</v>
      </c>
      <c r="CA904" s="2" t="s">
        <v>200</v>
      </c>
      <c r="CB904" s="2" t="s">
        <v>200</v>
      </c>
      <c r="CC904" s="2" t="s">
        <v>213</v>
      </c>
      <c r="CD904" s="2" t="s">
        <v>200</v>
      </c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>
        <v>126</v>
      </c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>
        <v>124</v>
      </c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</row>
    <row r="905">
      <c r="A905" s="2" t="s">
        <v>5338</v>
      </c>
      <c r="B905" s="2" t="s">
        <v>827</v>
      </c>
      <c r="C905" s="2" t="s">
        <v>745</v>
      </c>
      <c r="D905" s="2" t="s">
        <v>828</v>
      </c>
      <c r="E905" s="2" t="s">
        <v>1011</v>
      </c>
      <c r="F905" s="2" t="s">
        <v>5323</v>
      </c>
      <c r="G905" s="2" t="s">
        <v>5323</v>
      </c>
      <c r="H905" s="2" t="s">
        <v>5323</v>
      </c>
      <c r="I905" s="2" t="s">
        <v>5324</v>
      </c>
      <c r="J905" s="2" t="s">
        <v>1057</v>
      </c>
      <c r="K905" s="2" t="s">
        <v>5339</v>
      </c>
      <c r="L905" s="3">
        <v>30</v>
      </c>
      <c r="M905" s="3">
        <v>31.5</v>
      </c>
      <c r="N905" s="3">
        <v>69.99</v>
      </c>
      <c r="O905" s="2" t="s">
        <v>212</v>
      </c>
      <c r="P905" s="2" t="s">
        <v>205</v>
      </c>
      <c r="Q905" s="2" t="s">
        <v>206</v>
      </c>
      <c r="R905" s="2" t="s">
        <v>200</v>
      </c>
      <c r="S905" s="2" t="s">
        <v>200</v>
      </c>
      <c r="T905" s="2" t="s">
        <v>312</v>
      </c>
      <c r="U905" s="2" t="s">
        <v>270</v>
      </c>
      <c r="V905" s="2" t="s">
        <v>885</v>
      </c>
      <c r="W905" s="2" t="s">
        <v>712</v>
      </c>
      <c r="X905" s="2" t="s">
        <v>5328</v>
      </c>
      <c r="Y905" s="2" t="s">
        <v>5329</v>
      </c>
      <c r="Z905" s="4">
        <v>337</v>
      </c>
      <c r="AA905" s="4">
        <f>=ROUNDDOWN(18.7222222222222,0)</f>
      </c>
      <c r="AB905" s="5">
        <v>18</v>
      </c>
      <c r="AC905" s="2" t="s">
        <v>200</v>
      </c>
      <c r="AD905" s="4"/>
      <c r="AE905" s="4"/>
      <c r="AF905" s="6">
        <v>69</v>
      </c>
      <c r="AG905" s="6"/>
      <c r="AH905" s="7">
        <v>1</v>
      </c>
      <c r="AI905" s="4"/>
      <c r="AJ905" s="4">
        <f>=ROUNDDOWN({0},0)</f>
      </c>
      <c r="AK905" s="5"/>
      <c r="AL905" s="2" t="s">
        <v>200</v>
      </c>
      <c r="AM905" s="4"/>
      <c r="AN905" s="4"/>
      <c r="AO905" s="7"/>
      <c r="AP905" s="4"/>
      <c r="AQ905" s="8"/>
      <c r="AR905" s="4"/>
      <c r="AS905" s="8"/>
      <c r="AT905" s="7"/>
      <c r="AU905" s="7"/>
      <c r="AV905" s="4" t="s">
        <v>200</v>
      </c>
      <c r="AW905" s="8" t="s">
        <v>200</v>
      </c>
      <c r="AX905" s="4" t="s">
        <v>200</v>
      </c>
      <c r="AY905" s="8" t="s">
        <v>200</v>
      </c>
      <c r="AZ905" s="7" t="s">
        <v>200</v>
      </c>
      <c r="BA905" s="7" t="s">
        <v>200</v>
      </c>
      <c r="BB905" s="7"/>
      <c r="BC905" s="4" t="s">
        <v>200</v>
      </c>
      <c r="BD905" s="8" t="s">
        <v>200</v>
      </c>
      <c r="BE905" s="4" t="s">
        <v>200</v>
      </c>
      <c r="BF905" s="8" t="s">
        <v>200</v>
      </c>
      <c r="BG905" s="7" t="s">
        <v>200</v>
      </c>
      <c r="BH905" s="7" t="s">
        <v>200</v>
      </c>
      <c r="BI905" s="7"/>
      <c r="BJ905" s="4">
        <v>10</v>
      </c>
      <c r="BK905" s="8">
        <v>362.2</v>
      </c>
      <c r="BL905" s="2" t="s">
        <v>1292</v>
      </c>
      <c r="BM905" s="7"/>
      <c r="BN905" s="7"/>
      <c r="BO905" s="4"/>
      <c r="BP905" s="8"/>
      <c r="BQ905" s="4"/>
      <c r="BR905" s="8"/>
      <c r="BS905" s="7"/>
      <c r="BT905" s="7"/>
      <c r="BU905" s="2" t="s">
        <v>210</v>
      </c>
      <c r="BV905" s="2" t="s">
        <v>200</v>
      </c>
      <c r="BW905" s="2" t="s">
        <v>200</v>
      </c>
      <c r="BX905" s="2" t="s">
        <v>210</v>
      </c>
      <c r="BY905" s="2" t="s">
        <v>211</v>
      </c>
      <c r="BZ905" s="2" t="s">
        <v>212</v>
      </c>
      <c r="CA905" s="2" t="s">
        <v>200</v>
      </c>
      <c r="CB905" s="2" t="s">
        <v>200</v>
      </c>
      <c r="CC905" s="2" t="s">
        <v>213</v>
      </c>
      <c r="CD905" s="2" t="s">
        <v>200</v>
      </c>
      <c r="CE905" s="4">
        <v>337</v>
      </c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</row>
    <row r="906">
      <c r="A906" s="2" t="s">
        <v>5340</v>
      </c>
      <c r="B906" s="2" t="s">
        <v>1099</v>
      </c>
      <c r="C906" s="2" t="s">
        <v>745</v>
      </c>
      <c r="D906" s="2" t="s">
        <v>1159</v>
      </c>
      <c r="E906" s="2" t="s">
        <v>1160</v>
      </c>
      <c r="F906" s="2" t="s">
        <v>5323</v>
      </c>
      <c r="G906" s="2" t="s">
        <v>5323</v>
      </c>
      <c r="H906" s="2" t="s">
        <v>5323</v>
      </c>
      <c r="I906" s="2" t="s">
        <v>5341</v>
      </c>
      <c r="J906" s="2" t="s">
        <v>1162</v>
      </c>
      <c r="K906" s="2" t="s">
        <v>5339</v>
      </c>
      <c r="L906" s="3">
        <v>22.33</v>
      </c>
      <c r="M906" s="3">
        <v>23.45</v>
      </c>
      <c r="N906" s="3">
        <v>46.99</v>
      </c>
      <c r="O906" s="2" t="s">
        <v>212</v>
      </c>
      <c r="P906" s="2" t="s">
        <v>205</v>
      </c>
      <c r="Q906" s="2" t="s">
        <v>206</v>
      </c>
      <c r="R906" s="2" t="s">
        <v>200</v>
      </c>
      <c r="S906" s="2" t="s">
        <v>5342</v>
      </c>
      <c r="T906" s="2" t="s">
        <v>312</v>
      </c>
      <c r="U906" s="2" t="s">
        <v>270</v>
      </c>
      <c r="V906" s="2" t="s">
        <v>885</v>
      </c>
      <c r="W906" s="2" t="s">
        <v>712</v>
      </c>
      <c r="X906" s="2" t="s">
        <v>5343</v>
      </c>
      <c r="Y906" s="2" t="s">
        <v>4251</v>
      </c>
      <c r="Z906" s="4"/>
      <c r="AA906" s="4">
        <f>=ROUNDDOWN({0},0)</f>
      </c>
      <c r="AB906" s="5">
        <v>60</v>
      </c>
      <c r="AC906" s="2" t="s">
        <v>111</v>
      </c>
      <c r="AD906" s="4">
        <v>200</v>
      </c>
      <c r="AE906" s="4">
        <v>1940</v>
      </c>
      <c r="AF906" s="6">
        <v>69</v>
      </c>
      <c r="AG906" s="6"/>
      <c r="AH906" s="7">
        <v>0</v>
      </c>
      <c r="AI906" s="4"/>
      <c r="AJ906" s="4">
        <f>=ROUNDDOWN({0},0)</f>
      </c>
      <c r="AK906" s="5"/>
      <c r="AL906" s="2" t="s">
        <v>200</v>
      </c>
      <c r="AM906" s="4"/>
      <c r="AN906" s="4"/>
      <c r="AO906" s="7"/>
      <c r="AP906" s="4"/>
      <c r="AQ906" s="8"/>
      <c r="AR906" s="4"/>
      <c r="AS906" s="8"/>
      <c r="AT906" s="7"/>
      <c r="AU906" s="7"/>
      <c r="AV906" s="4" t="s">
        <v>200</v>
      </c>
      <c r="AW906" s="8" t="s">
        <v>200</v>
      </c>
      <c r="AX906" s="4" t="s">
        <v>200</v>
      </c>
      <c r="AY906" s="8" t="s">
        <v>200</v>
      </c>
      <c r="AZ906" s="7" t="s">
        <v>200</v>
      </c>
      <c r="BA906" s="7" t="s">
        <v>200</v>
      </c>
      <c r="BB906" s="7"/>
      <c r="BC906" s="4" t="s">
        <v>200</v>
      </c>
      <c r="BD906" s="8" t="s">
        <v>200</v>
      </c>
      <c r="BE906" s="4" t="s">
        <v>200</v>
      </c>
      <c r="BF906" s="8" t="s">
        <v>200</v>
      </c>
      <c r="BG906" s="7" t="s">
        <v>200</v>
      </c>
      <c r="BH906" s="7" t="s">
        <v>200</v>
      </c>
      <c r="BI906" s="7"/>
      <c r="BJ906" s="4">
        <v>1</v>
      </c>
      <c r="BK906" s="8">
        <v>23.44</v>
      </c>
      <c r="BL906" s="2" t="s">
        <v>813</v>
      </c>
      <c r="BM906" s="7"/>
      <c r="BN906" s="7"/>
      <c r="BO906" s="4"/>
      <c r="BP906" s="8"/>
      <c r="BQ906" s="4"/>
      <c r="BR906" s="8"/>
      <c r="BS906" s="7"/>
      <c r="BT906" s="7"/>
      <c r="BU906" s="2" t="s">
        <v>5344</v>
      </c>
      <c r="BV906" s="2" t="s">
        <v>200</v>
      </c>
      <c r="BW906" s="2" t="s">
        <v>200</v>
      </c>
      <c r="BX906" s="2" t="s">
        <v>629</v>
      </c>
      <c r="BY906" s="2" t="s">
        <v>247</v>
      </c>
      <c r="BZ906" s="2" t="s">
        <v>212</v>
      </c>
      <c r="CA906" s="2" t="s">
        <v>2615</v>
      </c>
      <c r="CB906" s="2" t="s">
        <v>2993</v>
      </c>
      <c r="CC906" s="2" t="s">
        <v>213</v>
      </c>
      <c r="CD906" s="2" t="s">
        <v>200</v>
      </c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>
        <v>200</v>
      </c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>
        <v>240</v>
      </c>
      <c r="DK906" s="4"/>
      <c r="DL906" s="4"/>
      <c r="DM906" s="4"/>
      <c r="DN906" s="4"/>
      <c r="DO906" s="4"/>
      <c r="DP906" s="4"/>
      <c r="DQ906" s="4"/>
      <c r="DR906" s="4"/>
      <c r="DS906" s="4"/>
      <c r="DT906" s="4">
        <v>400</v>
      </c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>
        <v>500</v>
      </c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>
        <v>600</v>
      </c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</row>
    <row r="907">
      <c r="A907" s="2" t="s">
        <v>5345</v>
      </c>
      <c r="B907" s="2" t="s">
        <v>719</v>
      </c>
      <c r="C907" s="2" t="s">
        <v>730</v>
      </c>
      <c r="D907" s="2" t="s">
        <v>1542</v>
      </c>
      <c r="E907" s="2" t="s">
        <v>721</v>
      </c>
      <c r="F907" s="2" t="s">
        <v>5346</v>
      </c>
      <c r="G907" s="2" t="s">
        <v>5346</v>
      </c>
      <c r="H907" s="2" t="s">
        <v>5346</v>
      </c>
      <c r="I907" s="2" t="s">
        <v>5347</v>
      </c>
      <c r="J907" s="2" t="s">
        <v>711</v>
      </c>
      <c r="K907" s="2" t="s">
        <v>387</v>
      </c>
      <c r="L907" s="3">
        <v>40.8</v>
      </c>
      <c r="M907" s="3">
        <v>42.84</v>
      </c>
      <c r="N907" s="3">
        <v>84.99</v>
      </c>
      <c r="O907" s="2" t="s">
        <v>212</v>
      </c>
      <c r="P907" s="2" t="s">
        <v>258</v>
      </c>
      <c r="Q907" s="2" t="s">
        <v>206</v>
      </c>
      <c r="R907" s="2" t="s">
        <v>200</v>
      </c>
      <c r="S907" s="2" t="s">
        <v>5348</v>
      </c>
      <c r="T907" s="2" t="s">
        <v>200</v>
      </c>
      <c r="U907" s="2" t="s">
        <v>270</v>
      </c>
      <c r="V907" s="2" t="s">
        <v>313</v>
      </c>
      <c r="W907" s="2" t="s">
        <v>379</v>
      </c>
      <c r="X907" s="2" t="s">
        <v>2053</v>
      </c>
      <c r="Y907" s="2" t="s">
        <v>1563</v>
      </c>
      <c r="Z907" s="4">
        <v>42</v>
      </c>
      <c r="AA907" s="4">
        <f>=ROUNDDOWN(12,0)</f>
      </c>
      <c r="AB907" s="5">
        <v>3.5</v>
      </c>
      <c r="AC907" s="2" t="s">
        <v>1548</v>
      </c>
      <c r="AD907" s="4">
        <v>100</v>
      </c>
      <c r="AE907" s="4">
        <v>100</v>
      </c>
      <c r="AF907" s="6">
        <v>63</v>
      </c>
      <c r="AG907" s="6"/>
      <c r="AH907" s="7">
        <v>1</v>
      </c>
      <c r="AI907" s="4"/>
      <c r="AJ907" s="4">
        <f>=ROUNDDOWN({0},0)</f>
      </c>
      <c r="AK907" s="5"/>
      <c r="AL907" s="2" t="s">
        <v>200</v>
      </c>
      <c r="AM907" s="4"/>
      <c r="AN907" s="4"/>
      <c r="AO907" s="7"/>
      <c r="AP907" s="4"/>
      <c r="AQ907" s="8"/>
      <c r="AR907" s="4"/>
      <c r="AS907" s="8"/>
      <c r="AT907" s="7"/>
      <c r="AU907" s="7"/>
      <c r="AV907" s="4"/>
      <c r="AW907" s="8"/>
      <c r="AX907" s="4"/>
      <c r="AY907" s="8"/>
      <c r="AZ907" s="7"/>
      <c r="BA907" s="7"/>
      <c r="BB907" s="7"/>
      <c r="BC907" s="4"/>
      <c r="BD907" s="8"/>
      <c r="BE907" s="4"/>
      <c r="BF907" s="8"/>
      <c r="BG907" s="7"/>
      <c r="BH907" s="7"/>
      <c r="BI907" s="7"/>
      <c r="BJ907" s="4">
        <v>11</v>
      </c>
      <c r="BK907" s="8">
        <v>472.9</v>
      </c>
      <c r="BL907" s="2" t="s">
        <v>5349</v>
      </c>
      <c r="BM907" s="7"/>
      <c r="BN907" s="7"/>
      <c r="BO907" s="4"/>
      <c r="BP907" s="8"/>
      <c r="BQ907" s="4"/>
      <c r="BR907" s="8"/>
      <c r="BS907" s="7"/>
      <c r="BT907" s="7"/>
      <c r="BU907" s="2" t="s">
        <v>5350</v>
      </c>
      <c r="BV907" s="2" t="s">
        <v>200</v>
      </c>
      <c r="BW907" s="2" t="s">
        <v>200</v>
      </c>
      <c r="BX907" s="2" t="s">
        <v>264</v>
      </c>
      <c r="BY907" s="2" t="s">
        <v>247</v>
      </c>
      <c r="BZ907" s="2" t="s">
        <v>212</v>
      </c>
      <c r="CA907" s="2" t="s">
        <v>1551</v>
      </c>
      <c r="CB907" s="2" t="s">
        <v>5351</v>
      </c>
      <c r="CC907" s="2" t="s">
        <v>213</v>
      </c>
      <c r="CD907" s="2" t="s">
        <v>200</v>
      </c>
      <c r="CE907" s="4"/>
      <c r="CF907" s="4">
        <v>42</v>
      </c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>
        <v>100</v>
      </c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</row>
    <row r="908">
      <c r="A908" s="2" t="s">
        <v>5352</v>
      </c>
      <c r="B908" s="2" t="s">
        <v>827</v>
      </c>
      <c r="C908" s="2" t="s">
        <v>231</v>
      </c>
      <c r="D908" s="2" t="s">
        <v>828</v>
      </c>
      <c r="E908" s="2" t="s">
        <v>1588</v>
      </c>
      <c r="F908" s="2" t="s">
        <v>5353</v>
      </c>
      <c r="G908" s="2" t="s">
        <v>5354</v>
      </c>
      <c r="H908" s="2" t="s">
        <v>5355</v>
      </c>
      <c r="I908" s="2" t="s">
        <v>5356</v>
      </c>
      <c r="J908" s="2" t="s">
        <v>1016</v>
      </c>
      <c r="K908" s="2" t="s">
        <v>221</v>
      </c>
      <c r="L908" s="3">
        <v>14.1</v>
      </c>
      <c r="M908" s="3">
        <v>14.8</v>
      </c>
      <c r="N908" s="3">
        <v>29.99</v>
      </c>
      <c r="O908" s="2" t="s">
        <v>212</v>
      </c>
      <c r="P908" s="2" t="s">
        <v>258</v>
      </c>
      <c r="Q908" s="2" t="s">
        <v>206</v>
      </c>
      <c r="R908" s="2" t="s">
        <v>200</v>
      </c>
      <c r="S908" s="2" t="s">
        <v>5357</v>
      </c>
      <c r="T908" s="2" t="s">
        <v>200</v>
      </c>
      <c r="U908" s="2" t="s">
        <v>200</v>
      </c>
      <c r="V908" s="2" t="s">
        <v>885</v>
      </c>
      <c r="W908" s="2" t="s">
        <v>419</v>
      </c>
      <c r="X908" s="2" t="s">
        <v>1588</v>
      </c>
      <c r="Y908" s="2" t="s">
        <v>261</v>
      </c>
      <c r="Z908" s="4">
        <v>254</v>
      </c>
      <c r="AA908" s="4">
        <f>=ROUNDDOWN(42.3333333333333,0)</f>
      </c>
      <c r="AB908" s="5">
        <v>6</v>
      </c>
      <c r="AC908" s="2" t="s">
        <v>200</v>
      </c>
      <c r="AD908" s="4"/>
      <c r="AE908" s="4"/>
      <c r="AF908" s="6">
        <v>65</v>
      </c>
      <c r="AG908" s="6"/>
      <c r="AH908" s="7">
        <v>1</v>
      </c>
      <c r="AI908" s="4"/>
      <c r="AJ908" s="4">
        <f>=ROUNDDOWN({0},0)</f>
      </c>
      <c r="AK908" s="5"/>
      <c r="AL908" s="2" t="s">
        <v>200</v>
      </c>
      <c r="AM908" s="4"/>
      <c r="AN908" s="4"/>
      <c r="AO908" s="7"/>
      <c r="AP908" s="4"/>
      <c r="AQ908" s="8"/>
      <c r="AR908" s="4"/>
      <c r="AS908" s="8"/>
      <c r="AT908" s="7"/>
      <c r="AU908" s="7"/>
      <c r="AV908" s="4" t="s">
        <v>200</v>
      </c>
      <c r="AW908" s="8" t="s">
        <v>200</v>
      </c>
      <c r="AX908" s="4" t="s">
        <v>200</v>
      </c>
      <c r="AY908" s="8" t="s">
        <v>200</v>
      </c>
      <c r="AZ908" s="7" t="s">
        <v>200</v>
      </c>
      <c r="BA908" s="7" t="s">
        <v>200</v>
      </c>
      <c r="BB908" s="7"/>
      <c r="BC908" s="4" t="s">
        <v>200</v>
      </c>
      <c r="BD908" s="8" t="s">
        <v>200</v>
      </c>
      <c r="BE908" s="4" t="s">
        <v>200</v>
      </c>
      <c r="BF908" s="8" t="s">
        <v>200</v>
      </c>
      <c r="BG908" s="7" t="s">
        <v>200</v>
      </c>
      <c r="BH908" s="7" t="s">
        <v>200</v>
      </c>
      <c r="BI908" s="7"/>
      <c r="BJ908" s="4">
        <v>20</v>
      </c>
      <c r="BK908" s="8">
        <v>294.32</v>
      </c>
      <c r="BL908" s="2" t="s">
        <v>2046</v>
      </c>
      <c r="BM908" s="7"/>
      <c r="BN908" s="7"/>
      <c r="BO908" s="4"/>
      <c r="BP908" s="8"/>
      <c r="BQ908" s="4"/>
      <c r="BR908" s="8"/>
      <c r="BS908" s="7"/>
      <c r="BT908" s="7"/>
      <c r="BU908" s="2" t="s">
        <v>5358</v>
      </c>
      <c r="BV908" s="2" t="s">
        <v>200</v>
      </c>
      <c r="BW908" s="2" t="s">
        <v>200</v>
      </c>
      <c r="BX908" s="2" t="s">
        <v>264</v>
      </c>
      <c r="BY908" s="2" t="s">
        <v>247</v>
      </c>
      <c r="BZ908" s="2" t="s">
        <v>212</v>
      </c>
      <c r="CA908" s="2" t="s">
        <v>265</v>
      </c>
      <c r="CB908" s="2" t="s">
        <v>5359</v>
      </c>
      <c r="CC908" s="2" t="s">
        <v>213</v>
      </c>
      <c r="CD908" s="2" t="s">
        <v>200</v>
      </c>
      <c r="CE908" s="4">
        <v>254</v>
      </c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</row>
    <row r="909">
      <c r="A909" s="2" t="s">
        <v>5360</v>
      </c>
      <c r="B909" s="2" t="s">
        <v>827</v>
      </c>
      <c r="C909" s="2" t="s">
        <v>231</v>
      </c>
      <c r="D909" s="2" t="s">
        <v>828</v>
      </c>
      <c r="E909" s="2" t="s">
        <v>1588</v>
      </c>
      <c r="F909" s="2" t="s">
        <v>5353</v>
      </c>
      <c r="G909" s="2" t="s">
        <v>5354</v>
      </c>
      <c r="H909" s="2" t="s">
        <v>5355</v>
      </c>
      <c r="I909" s="2" t="s">
        <v>5356</v>
      </c>
      <c r="J909" s="2" t="s">
        <v>1242</v>
      </c>
      <c r="K909" s="2" t="s">
        <v>221</v>
      </c>
      <c r="L909" s="3">
        <v>16.45</v>
      </c>
      <c r="M909" s="3">
        <v>17.27</v>
      </c>
      <c r="N909" s="3">
        <v>34.99</v>
      </c>
      <c r="O909" s="2" t="s">
        <v>460</v>
      </c>
      <c r="P909" s="2" t="s">
        <v>285</v>
      </c>
      <c r="Q909" s="2" t="s">
        <v>206</v>
      </c>
      <c r="R909" s="2" t="s">
        <v>200</v>
      </c>
      <c r="S909" s="2" t="s">
        <v>5357</v>
      </c>
      <c r="T909" s="2" t="s">
        <v>200</v>
      </c>
      <c r="U909" s="2" t="s">
        <v>200</v>
      </c>
      <c r="V909" s="2" t="s">
        <v>885</v>
      </c>
      <c r="W909" s="2" t="s">
        <v>419</v>
      </c>
      <c r="X909" s="2" t="s">
        <v>200</v>
      </c>
      <c r="Y909" s="2" t="s">
        <v>261</v>
      </c>
      <c r="Z909" s="4">
        <v>237</v>
      </c>
      <c r="AA909" s="4">
        <f>=ROUNDDOWN(18.0916030534351,0)</f>
      </c>
      <c r="AB909" s="5">
        <v>13.1</v>
      </c>
      <c r="AC909" s="2" t="s">
        <v>200</v>
      </c>
      <c r="AD909" s="4"/>
      <c r="AE909" s="4"/>
      <c r="AF909" s="6">
        <v>65</v>
      </c>
      <c r="AG909" s="6"/>
      <c r="AH909" s="7">
        <v>1</v>
      </c>
      <c r="AI909" s="4"/>
      <c r="AJ909" s="4">
        <f>=ROUNDDOWN({0},0)</f>
      </c>
      <c r="AK909" s="5"/>
      <c r="AL909" s="2" t="s">
        <v>200</v>
      </c>
      <c r="AM909" s="4"/>
      <c r="AN909" s="4"/>
      <c r="AO909" s="7"/>
      <c r="AP909" s="4"/>
      <c r="AQ909" s="8"/>
      <c r="AR909" s="4"/>
      <c r="AS909" s="8"/>
      <c r="AT909" s="7"/>
      <c r="AU909" s="7"/>
      <c r="AV909" s="4" t="s">
        <v>200</v>
      </c>
      <c r="AW909" s="8" t="s">
        <v>200</v>
      </c>
      <c r="AX909" s="4" t="s">
        <v>200</v>
      </c>
      <c r="AY909" s="8" t="s">
        <v>200</v>
      </c>
      <c r="AZ909" s="7" t="s">
        <v>200</v>
      </c>
      <c r="BA909" s="7" t="s">
        <v>200</v>
      </c>
      <c r="BB909" s="7"/>
      <c r="BC909" s="4" t="s">
        <v>200</v>
      </c>
      <c r="BD909" s="8" t="s">
        <v>200</v>
      </c>
      <c r="BE909" s="4" t="s">
        <v>200</v>
      </c>
      <c r="BF909" s="8" t="s">
        <v>200</v>
      </c>
      <c r="BG909" s="7" t="s">
        <v>200</v>
      </c>
      <c r="BH909" s="7" t="s">
        <v>200</v>
      </c>
      <c r="BI909" s="7"/>
      <c r="BJ909" s="4">
        <v>7</v>
      </c>
      <c r="BK909" s="8">
        <v>119.77</v>
      </c>
      <c r="BL909" s="2" t="s">
        <v>5361</v>
      </c>
      <c r="BM909" s="7"/>
      <c r="BN909" s="7"/>
      <c r="BO909" s="4"/>
      <c r="BP909" s="8"/>
      <c r="BQ909" s="4"/>
      <c r="BR909" s="8"/>
      <c r="BS909" s="7"/>
      <c r="BT909" s="7"/>
      <c r="BU909" s="2" t="s">
        <v>5362</v>
      </c>
      <c r="BV909" s="2" t="s">
        <v>200</v>
      </c>
      <c r="BW909" s="2" t="s">
        <v>200</v>
      </c>
      <c r="BX909" s="2" t="s">
        <v>289</v>
      </c>
      <c r="BY909" s="2" t="s">
        <v>247</v>
      </c>
      <c r="BZ909" s="2" t="s">
        <v>212</v>
      </c>
      <c r="CA909" s="2" t="s">
        <v>265</v>
      </c>
      <c r="CB909" s="2" t="s">
        <v>5363</v>
      </c>
      <c r="CC909" s="2" t="s">
        <v>213</v>
      </c>
      <c r="CD909" s="2" t="s">
        <v>200</v>
      </c>
      <c r="CE909" s="4">
        <v>237</v>
      </c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</row>
    <row r="910">
      <c r="A910" s="2" t="s">
        <v>5364</v>
      </c>
      <c r="B910" s="2" t="s">
        <v>827</v>
      </c>
      <c r="C910" s="2" t="s">
        <v>231</v>
      </c>
      <c r="D910" s="2" t="s">
        <v>1084</v>
      </c>
      <c r="E910" s="2" t="s">
        <v>1085</v>
      </c>
      <c r="F910" s="2" t="s">
        <v>5353</v>
      </c>
      <c r="G910" s="2" t="s">
        <v>5354</v>
      </c>
      <c r="H910" s="2" t="s">
        <v>5355</v>
      </c>
      <c r="I910" s="2" t="s">
        <v>5365</v>
      </c>
      <c r="J910" s="2" t="s">
        <v>4040</v>
      </c>
      <c r="K910" s="2" t="s">
        <v>221</v>
      </c>
      <c r="L910" s="3">
        <v>12.42</v>
      </c>
      <c r="M910" s="3">
        <v>13.04</v>
      </c>
      <c r="N910" s="3">
        <v>26.99</v>
      </c>
      <c r="O910" s="2" t="s">
        <v>212</v>
      </c>
      <c r="P910" s="2" t="s">
        <v>258</v>
      </c>
      <c r="Q910" s="2" t="s">
        <v>206</v>
      </c>
      <c r="R910" s="2" t="s">
        <v>200</v>
      </c>
      <c r="S910" s="2" t="s">
        <v>5357</v>
      </c>
      <c r="T910" s="2" t="s">
        <v>200</v>
      </c>
      <c r="U910" s="2" t="s">
        <v>200</v>
      </c>
      <c r="V910" s="2" t="s">
        <v>885</v>
      </c>
      <c r="W910" s="2" t="s">
        <v>419</v>
      </c>
      <c r="X910" s="2" t="s">
        <v>200</v>
      </c>
      <c r="Y910" s="2" t="s">
        <v>4999</v>
      </c>
      <c r="Z910" s="4">
        <v>431</v>
      </c>
      <c r="AA910" s="4">
        <f>=ROUNDDOWN(33.1538461538462,0)</f>
      </c>
      <c r="AB910" s="5">
        <v>13</v>
      </c>
      <c r="AC910" s="2" t="s">
        <v>200</v>
      </c>
      <c r="AD910" s="4"/>
      <c r="AE910" s="4"/>
      <c r="AF910" s="6">
        <v>65</v>
      </c>
      <c r="AG910" s="6"/>
      <c r="AH910" s="7">
        <v>1</v>
      </c>
      <c r="AI910" s="4"/>
      <c r="AJ910" s="4">
        <f>=ROUNDDOWN({0},0)</f>
      </c>
      <c r="AK910" s="5"/>
      <c r="AL910" s="2" t="s">
        <v>200</v>
      </c>
      <c r="AM910" s="4"/>
      <c r="AN910" s="4"/>
      <c r="AO910" s="7"/>
      <c r="AP910" s="4"/>
      <c r="AQ910" s="8"/>
      <c r="AR910" s="4"/>
      <c r="AS910" s="8"/>
      <c r="AT910" s="7"/>
      <c r="AU910" s="7"/>
      <c r="AV910" s="4" t="s">
        <v>200</v>
      </c>
      <c r="AW910" s="8" t="s">
        <v>200</v>
      </c>
      <c r="AX910" s="4" t="s">
        <v>200</v>
      </c>
      <c r="AY910" s="8" t="s">
        <v>200</v>
      </c>
      <c r="AZ910" s="7" t="s">
        <v>200</v>
      </c>
      <c r="BA910" s="7" t="s">
        <v>200</v>
      </c>
      <c r="BB910" s="7"/>
      <c r="BC910" s="4" t="s">
        <v>200</v>
      </c>
      <c r="BD910" s="8" t="s">
        <v>200</v>
      </c>
      <c r="BE910" s="4" t="s">
        <v>200</v>
      </c>
      <c r="BF910" s="8" t="s">
        <v>200</v>
      </c>
      <c r="BG910" s="7" t="s">
        <v>200</v>
      </c>
      <c r="BH910" s="7" t="s">
        <v>200</v>
      </c>
      <c r="BI910" s="7"/>
      <c r="BJ910" s="4">
        <v>44</v>
      </c>
      <c r="BK910" s="8">
        <v>681.36</v>
      </c>
      <c r="BL910" s="2" t="s">
        <v>5366</v>
      </c>
      <c r="BM910" s="7"/>
      <c r="BN910" s="7"/>
      <c r="BO910" s="4"/>
      <c r="BP910" s="8"/>
      <c r="BQ910" s="4"/>
      <c r="BR910" s="8"/>
      <c r="BS910" s="7"/>
      <c r="BT910" s="7"/>
      <c r="BU910" s="2" t="s">
        <v>5367</v>
      </c>
      <c r="BV910" s="2" t="s">
        <v>200</v>
      </c>
      <c r="BW910" s="2" t="s">
        <v>200</v>
      </c>
      <c r="BX910" s="2" t="s">
        <v>264</v>
      </c>
      <c r="BY910" s="2" t="s">
        <v>247</v>
      </c>
      <c r="BZ910" s="2" t="s">
        <v>212</v>
      </c>
      <c r="CA910" s="2" t="s">
        <v>4349</v>
      </c>
      <c r="CB910" s="2" t="s">
        <v>1472</v>
      </c>
      <c r="CC910" s="2" t="s">
        <v>213</v>
      </c>
      <c r="CD910" s="2" t="s">
        <v>200</v>
      </c>
      <c r="CE910" s="4">
        <v>431</v>
      </c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</row>
    <row r="911">
      <c r="A911" s="2" t="s">
        <v>5368</v>
      </c>
      <c r="B911" s="2" t="s">
        <v>827</v>
      </c>
      <c r="C911" s="2" t="s">
        <v>231</v>
      </c>
      <c r="D911" s="2" t="s">
        <v>828</v>
      </c>
      <c r="E911" s="2" t="s">
        <v>1588</v>
      </c>
      <c r="F911" s="2" t="s">
        <v>5353</v>
      </c>
      <c r="G911" s="2" t="s">
        <v>5354</v>
      </c>
      <c r="H911" s="2" t="s">
        <v>5355</v>
      </c>
      <c r="I911" s="2" t="s">
        <v>5356</v>
      </c>
      <c r="J911" s="2" t="s">
        <v>1242</v>
      </c>
      <c r="K911" s="2" t="s">
        <v>436</v>
      </c>
      <c r="L911" s="3">
        <v>16.45</v>
      </c>
      <c r="M911" s="3">
        <v>17.27</v>
      </c>
      <c r="N911" s="3">
        <v>34.99</v>
      </c>
      <c r="O911" s="2" t="s">
        <v>212</v>
      </c>
      <c r="P911" s="2" t="s">
        <v>258</v>
      </c>
      <c r="Q911" s="2" t="s">
        <v>206</v>
      </c>
      <c r="R911" s="2" t="s">
        <v>200</v>
      </c>
      <c r="S911" s="2" t="s">
        <v>5369</v>
      </c>
      <c r="T911" s="2" t="s">
        <v>200</v>
      </c>
      <c r="U911" s="2" t="s">
        <v>200</v>
      </c>
      <c r="V911" s="2" t="s">
        <v>885</v>
      </c>
      <c r="W911" s="2" t="s">
        <v>419</v>
      </c>
      <c r="X911" s="2" t="s">
        <v>1588</v>
      </c>
      <c r="Y911" s="2" t="s">
        <v>261</v>
      </c>
      <c r="Z911" s="4">
        <v>146</v>
      </c>
      <c r="AA911" s="4">
        <f>=ROUNDDOWN(48.6666666666667,0)</f>
      </c>
      <c r="AB911" s="5">
        <v>3</v>
      </c>
      <c r="AC911" s="2" t="s">
        <v>200</v>
      </c>
      <c r="AD911" s="4"/>
      <c r="AE911" s="4"/>
      <c r="AF911" s="6">
        <v>65</v>
      </c>
      <c r="AG911" s="6"/>
      <c r="AH911" s="7">
        <v>1</v>
      </c>
      <c r="AI911" s="4"/>
      <c r="AJ911" s="4">
        <f>=ROUNDDOWN({0},0)</f>
      </c>
      <c r="AK911" s="5"/>
      <c r="AL911" s="2" t="s">
        <v>200</v>
      </c>
      <c r="AM911" s="4"/>
      <c r="AN911" s="4"/>
      <c r="AO911" s="7"/>
      <c r="AP911" s="4"/>
      <c r="AQ911" s="8"/>
      <c r="AR911" s="4"/>
      <c r="AS911" s="8"/>
      <c r="AT911" s="7"/>
      <c r="AU911" s="7"/>
      <c r="AV911" s="4" t="s">
        <v>200</v>
      </c>
      <c r="AW911" s="8" t="s">
        <v>200</v>
      </c>
      <c r="AX911" s="4" t="s">
        <v>200</v>
      </c>
      <c r="AY911" s="8" t="s">
        <v>200</v>
      </c>
      <c r="AZ911" s="7" t="s">
        <v>200</v>
      </c>
      <c r="BA911" s="7" t="s">
        <v>200</v>
      </c>
      <c r="BB911" s="7"/>
      <c r="BC911" s="4" t="s">
        <v>200</v>
      </c>
      <c r="BD911" s="8" t="s">
        <v>200</v>
      </c>
      <c r="BE911" s="4" t="s">
        <v>200</v>
      </c>
      <c r="BF911" s="8" t="s">
        <v>200</v>
      </c>
      <c r="BG911" s="7" t="s">
        <v>200</v>
      </c>
      <c r="BH911" s="7" t="s">
        <v>200</v>
      </c>
      <c r="BI911" s="7"/>
      <c r="BJ911" s="4">
        <v>13</v>
      </c>
      <c r="BK911" s="8">
        <v>234.25</v>
      </c>
      <c r="BL911" s="2" t="s">
        <v>5370</v>
      </c>
      <c r="BM911" s="7"/>
      <c r="BN911" s="7"/>
      <c r="BO911" s="4"/>
      <c r="BP911" s="8"/>
      <c r="BQ911" s="4"/>
      <c r="BR911" s="8"/>
      <c r="BS911" s="7"/>
      <c r="BT911" s="7"/>
      <c r="BU911" s="2" t="s">
        <v>5371</v>
      </c>
      <c r="BV911" s="2" t="s">
        <v>200</v>
      </c>
      <c r="BW911" s="2" t="s">
        <v>200</v>
      </c>
      <c r="BX911" s="2" t="s">
        <v>264</v>
      </c>
      <c r="BY911" s="2" t="s">
        <v>247</v>
      </c>
      <c r="BZ911" s="2" t="s">
        <v>212</v>
      </c>
      <c r="CA911" s="2" t="s">
        <v>265</v>
      </c>
      <c r="CB911" s="2" t="s">
        <v>5372</v>
      </c>
      <c r="CC911" s="2" t="s">
        <v>213</v>
      </c>
      <c r="CD911" s="2" t="s">
        <v>200</v>
      </c>
      <c r="CE911" s="4">
        <v>146</v>
      </c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</row>
    <row r="912">
      <c r="A912" s="2" t="s">
        <v>5373</v>
      </c>
      <c r="B912" s="2" t="s">
        <v>827</v>
      </c>
      <c r="C912" s="2" t="s">
        <v>231</v>
      </c>
      <c r="D912" s="2" t="s">
        <v>828</v>
      </c>
      <c r="E912" s="2" t="s">
        <v>5374</v>
      </c>
      <c r="F912" s="2" t="s">
        <v>5353</v>
      </c>
      <c r="G912" s="2" t="s">
        <v>5354</v>
      </c>
      <c r="H912" s="2" t="s">
        <v>5355</v>
      </c>
      <c r="I912" s="2" t="s">
        <v>5375</v>
      </c>
      <c r="J912" s="2" t="s">
        <v>5376</v>
      </c>
      <c r="K912" s="2" t="s">
        <v>436</v>
      </c>
      <c r="L912" s="3">
        <v>16.1</v>
      </c>
      <c r="M912" s="3">
        <v>16.9</v>
      </c>
      <c r="N912" s="3">
        <v>34.99</v>
      </c>
      <c r="O912" s="2" t="s">
        <v>212</v>
      </c>
      <c r="P912" s="2" t="s">
        <v>258</v>
      </c>
      <c r="Q912" s="2" t="s">
        <v>206</v>
      </c>
      <c r="R912" s="2" t="s">
        <v>200</v>
      </c>
      <c r="S912" s="2" t="s">
        <v>5369</v>
      </c>
      <c r="T912" s="2" t="s">
        <v>200</v>
      </c>
      <c r="U912" s="2" t="s">
        <v>200</v>
      </c>
      <c r="V912" s="2" t="s">
        <v>885</v>
      </c>
      <c r="W912" s="2" t="s">
        <v>419</v>
      </c>
      <c r="X912" s="2" t="s">
        <v>200</v>
      </c>
      <c r="Y912" s="2" t="s">
        <v>4999</v>
      </c>
      <c r="Z912" s="4">
        <v>102</v>
      </c>
      <c r="AA912" s="4">
        <f>=ROUNDDOWN(8.5,0)</f>
      </c>
      <c r="AB912" s="5">
        <v>12</v>
      </c>
      <c r="AC912" s="2" t="s">
        <v>1141</v>
      </c>
      <c r="AD912" s="4">
        <v>100</v>
      </c>
      <c r="AE912" s="4">
        <v>240</v>
      </c>
      <c r="AF912" s="6">
        <v>65</v>
      </c>
      <c r="AG912" s="6"/>
      <c r="AH912" s="7">
        <v>1</v>
      </c>
      <c r="AI912" s="4"/>
      <c r="AJ912" s="4">
        <f>=ROUNDDOWN({0},0)</f>
      </c>
      <c r="AK912" s="5"/>
      <c r="AL912" s="2" t="s">
        <v>200</v>
      </c>
      <c r="AM912" s="4"/>
      <c r="AN912" s="4"/>
      <c r="AO912" s="7"/>
      <c r="AP912" s="4"/>
      <c r="AQ912" s="8"/>
      <c r="AR912" s="4"/>
      <c r="AS912" s="8"/>
      <c r="AT912" s="7"/>
      <c r="AU912" s="7"/>
      <c r="AV912" s="4" t="s">
        <v>200</v>
      </c>
      <c r="AW912" s="8" t="s">
        <v>200</v>
      </c>
      <c r="AX912" s="4" t="s">
        <v>200</v>
      </c>
      <c r="AY912" s="8" t="s">
        <v>200</v>
      </c>
      <c r="AZ912" s="7" t="s">
        <v>200</v>
      </c>
      <c r="BA912" s="7" t="s">
        <v>200</v>
      </c>
      <c r="BB912" s="7"/>
      <c r="BC912" s="4" t="s">
        <v>200</v>
      </c>
      <c r="BD912" s="8" t="s">
        <v>200</v>
      </c>
      <c r="BE912" s="4" t="s">
        <v>200</v>
      </c>
      <c r="BF912" s="8" t="s">
        <v>200</v>
      </c>
      <c r="BG912" s="7" t="s">
        <v>200</v>
      </c>
      <c r="BH912" s="7" t="s">
        <v>200</v>
      </c>
      <c r="BI912" s="7"/>
      <c r="BJ912" s="4">
        <v>39</v>
      </c>
      <c r="BK912" s="8">
        <v>760.83</v>
      </c>
      <c r="BL912" s="2" t="s">
        <v>5377</v>
      </c>
      <c r="BM912" s="7"/>
      <c r="BN912" s="7"/>
      <c r="BO912" s="4"/>
      <c r="BP912" s="8"/>
      <c r="BQ912" s="4"/>
      <c r="BR912" s="8"/>
      <c r="BS912" s="7"/>
      <c r="BT912" s="7"/>
      <c r="BU912" s="2" t="s">
        <v>5378</v>
      </c>
      <c r="BV912" s="2" t="s">
        <v>200</v>
      </c>
      <c r="BW912" s="2" t="s">
        <v>200</v>
      </c>
      <c r="BX912" s="2" t="s">
        <v>264</v>
      </c>
      <c r="BY912" s="2" t="s">
        <v>247</v>
      </c>
      <c r="BZ912" s="2" t="s">
        <v>212</v>
      </c>
      <c r="CA912" s="2" t="s">
        <v>4349</v>
      </c>
      <c r="CB912" s="2" t="s">
        <v>5379</v>
      </c>
      <c r="CC912" s="2" t="s">
        <v>213</v>
      </c>
      <c r="CD912" s="2" t="s">
        <v>200</v>
      </c>
      <c r="CE912" s="4">
        <v>102</v>
      </c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>
        <v>100</v>
      </c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>
        <v>140</v>
      </c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</row>
    <row r="913">
      <c r="A913" s="2" t="s">
        <v>5380</v>
      </c>
      <c r="B913" s="2" t="s">
        <v>827</v>
      </c>
      <c r="C913" s="2" t="s">
        <v>231</v>
      </c>
      <c r="D913" s="2" t="s">
        <v>1084</v>
      </c>
      <c r="E913" s="2" t="s">
        <v>1085</v>
      </c>
      <c r="F913" s="2" t="s">
        <v>5353</v>
      </c>
      <c r="G913" s="2" t="s">
        <v>5354</v>
      </c>
      <c r="H913" s="2" t="s">
        <v>5355</v>
      </c>
      <c r="I913" s="2" t="s">
        <v>5365</v>
      </c>
      <c r="J913" s="2" t="s">
        <v>4040</v>
      </c>
      <c r="K913" s="2" t="s">
        <v>436</v>
      </c>
      <c r="L913" s="3">
        <v>12.42</v>
      </c>
      <c r="M913" s="3">
        <v>13.04</v>
      </c>
      <c r="N913" s="3">
        <v>26.99</v>
      </c>
      <c r="O913" s="2" t="s">
        <v>212</v>
      </c>
      <c r="P913" s="2" t="s">
        <v>258</v>
      </c>
      <c r="Q913" s="2" t="s">
        <v>206</v>
      </c>
      <c r="R913" s="2" t="s">
        <v>200</v>
      </c>
      <c r="S913" s="2" t="s">
        <v>5369</v>
      </c>
      <c r="T913" s="2" t="s">
        <v>200</v>
      </c>
      <c r="U913" s="2" t="s">
        <v>200</v>
      </c>
      <c r="V913" s="2" t="s">
        <v>885</v>
      </c>
      <c r="W913" s="2" t="s">
        <v>419</v>
      </c>
      <c r="X913" s="2" t="s">
        <v>200</v>
      </c>
      <c r="Y913" s="2" t="s">
        <v>4999</v>
      </c>
      <c r="Z913" s="4">
        <v>335</v>
      </c>
      <c r="AA913" s="4">
        <f>=ROUNDDOWN(30.4545454545455,0)</f>
      </c>
      <c r="AB913" s="5">
        <v>11</v>
      </c>
      <c r="AC913" s="2" t="s">
        <v>1088</v>
      </c>
      <c r="AD913" s="4">
        <v>152</v>
      </c>
      <c r="AE913" s="4">
        <v>152</v>
      </c>
      <c r="AF913" s="6">
        <v>65</v>
      </c>
      <c r="AG913" s="6"/>
      <c r="AH913" s="7">
        <v>1</v>
      </c>
      <c r="AI913" s="4"/>
      <c r="AJ913" s="4">
        <f>=ROUNDDOWN({0},0)</f>
      </c>
      <c r="AK913" s="5"/>
      <c r="AL913" s="2" t="s">
        <v>200</v>
      </c>
      <c r="AM913" s="4"/>
      <c r="AN913" s="4"/>
      <c r="AO913" s="7"/>
      <c r="AP913" s="4"/>
      <c r="AQ913" s="8"/>
      <c r="AR913" s="4"/>
      <c r="AS913" s="8"/>
      <c r="AT913" s="7"/>
      <c r="AU913" s="7"/>
      <c r="AV913" s="4" t="s">
        <v>200</v>
      </c>
      <c r="AW913" s="8" t="s">
        <v>200</v>
      </c>
      <c r="AX913" s="4" t="s">
        <v>200</v>
      </c>
      <c r="AY913" s="8" t="s">
        <v>200</v>
      </c>
      <c r="AZ913" s="7" t="s">
        <v>200</v>
      </c>
      <c r="BA913" s="7" t="s">
        <v>200</v>
      </c>
      <c r="BB913" s="7"/>
      <c r="BC913" s="4" t="s">
        <v>200</v>
      </c>
      <c r="BD913" s="8" t="s">
        <v>200</v>
      </c>
      <c r="BE913" s="4" t="s">
        <v>200</v>
      </c>
      <c r="BF913" s="8" t="s">
        <v>200</v>
      </c>
      <c r="BG913" s="7" t="s">
        <v>200</v>
      </c>
      <c r="BH913" s="7" t="s">
        <v>200</v>
      </c>
      <c r="BI913" s="7"/>
      <c r="BJ913" s="4">
        <v>53</v>
      </c>
      <c r="BK913" s="8">
        <v>686.91</v>
      </c>
      <c r="BL913" s="2" t="s">
        <v>5381</v>
      </c>
      <c r="BM913" s="7"/>
      <c r="BN913" s="7"/>
      <c r="BO913" s="4"/>
      <c r="BP913" s="8"/>
      <c r="BQ913" s="4"/>
      <c r="BR913" s="8"/>
      <c r="BS913" s="7"/>
      <c r="BT913" s="7"/>
      <c r="BU913" s="2" t="s">
        <v>5382</v>
      </c>
      <c r="BV913" s="2" t="s">
        <v>200</v>
      </c>
      <c r="BW913" s="2" t="s">
        <v>200</v>
      </c>
      <c r="BX913" s="2" t="s">
        <v>264</v>
      </c>
      <c r="BY913" s="2" t="s">
        <v>247</v>
      </c>
      <c r="BZ913" s="2" t="s">
        <v>212</v>
      </c>
      <c r="CA913" s="2" t="s">
        <v>4349</v>
      </c>
      <c r="CB913" s="2" t="s">
        <v>5383</v>
      </c>
      <c r="CC913" s="2" t="s">
        <v>213</v>
      </c>
      <c r="CD913" s="2" t="s">
        <v>200</v>
      </c>
      <c r="CE913" s="4">
        <v>335</v>
      </c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>
        <v>152</v>
      </c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</row>
    <row r="914">
      <c r="A914" s="2" t="s">
        <v>5384</v>
      </c>
      <c r="B914" s="2" t="s">
        <v>827</v>
      </c>
      <c r="C914" s="2" t="s">
        <v>231</v>
      </c>
      <c r="D914" s="2" t="s">
        <v>828</v>
      </c>
      <c r="E914" s="2" t="s">
        <v>1588</v>
      </c>
      <c r="F914" s="2" t="s">
        <v>5353</v>
      </c>
      <c r="G914" s="2" t="s">
        <v>5354</v>
      </c>
      <c r="H914" s="2" t="s">
        <v>5355</v>
      </c>
      <c r="I914" s="2" t="s">
        <v>5356</v>
      </c>
      <c r="J914" s="2" t="s">
        <v>1016</v>
      </c>
      <c r="K914" s="2" t="s">
        <v>257</v>
      </c>
      <c r="L914" s="3">
        <v>14.1</v>
      </c>
      <c r="M914" s="3">
        <v>14.8</v>
      </c>
      <c r="N914" s="3">
        <v>29.99</v>
      </c>
      <c r="O914" s="2" t="s">
        <v>212</v>
      </c>
      <c r="P914" s="2" t="s">
        <v>258</v>
      </c>
      <c r="Q914" s="2" t="s">
        <v>206</v>
      </c>
      <c r="R914" s="2" t="s">
        <v>200</v>
      </c>
      <c r="S914" s="2" t="s">
        <v>5385</v>
      </c>
      <c r="T914" s="2" t="s">
        <v>200</v>
      </c>
      <c r="U914" s="2" t="s">
        <v>200</v>
      </c>
      <c r="V914" s="2" t="s">
        <v>885</v>
      </c>
      <c r="W914" s="2" t="s">
        <v>419</v>
      </c>
      <c r="X914" s="2" t="s">
        <v>1588</v>
      </c>
      <c r="Y914" s="2" t="s">
        <v>261</v>
      </c>
      <c r="Z914" s="4">
        <v>223</v>
      </c>
      <c r="AA914" s="4">
        <f>=ROUNDDOWN(14.8666666666667,0)</f>
      </c>
      <c r="AB914" s="5">
        <v>15</v>
      </c>
      <c r="AC914" s="2" t="s">
        <v>120</v>
      </c>
      <c r="AD914" s="4">
        <v>120</v>
      </c>
      <c r="AE914" s="4">
        <v>388</v>
      </c>
      <c r="AF914" s="6">
        <v>65</v>
      </c>
      <c r="AG914" s="6"/>
      <c r="AH914" s="7">
        <v>1</v>
      </c>
      <c r="AI914" s="4"/>
      <c r="AJ914" s="4">
        <f>=ROUNDDOWN({0},0)</f>
      </c>
      <c r="AK914" s="5"/>
      <c r="AL914" s="2" t="s">
        <v>200</v>
      </c>
      <c r="AM914" s="4"/>
      <c r="AN914" s="4"/>
      <c r="AO914" s="7"/>
      <c r="AP914" s="4"/>
      <c r="AQ914" s="8"/>
      <c r="AR914" s="4"/>
      <c r="AS914" s="8"/>
      <c r="AT914" s="7"/>
      <c r="AU914" s="7"/>
      <c r="AV914" s="4" t="s">
        <v>200</v>
      </c>
      <c r="AW914" s="8" t="s">
        <v>200</v>
      </c>
      <c r="AX914" s="4" t="s">
        <v>200</v>
      </c>
      <c r="AY914" s="8" t="s">
        <v>200</v>
      </c>
      <c r="AZ914" s="7" t="s">
        <v>200</v>
      </c>
      <c r="BA914" s="7" t="s">
        <v>200</v>
      </c>
      <c r="BB914" s="7"/>
      <c r="BC914" s="4" t="s">
        <v>200</v>
      </c>
      <c r="BD914" s="8" t="s">
        <v>200</v>
      </c>
      <c r="BE914" s="4" t="s">
        <v>200</v>
      </c>
      <c r="BF914" s="8" t="s">
        <v>200</v>
      </c>
      <c r="BG914" s="7" t="s">
        <v>200</v>
      </c>
      <c r="BH914" s="7" t="s">
        <v>200</v>
      </c>
      <c r="BI914" s="7"/>
      <c r="BJ914" s="4">
        <v>19</v>
      </c>
      <c r="BK914" s="8">
        <v>235.72</v>
      </c>
      <c r="BL914" s="2" t="s">
        <v>5386</v>
      </c>
      <c r="BM914" s="7"/>
      <c r="BN914" s="7"/>
      <c r="BO914" s="4"/>
      <c r="BP914" s="8"/>
      <c r="BQ914" s="4"/>
      <c r="BR914" s="8"/>
      <c r="BS914" s="7"/>
      <c r="BT914" s="7"/>
      <c r="BU914" s="2" t="s">
        <v>5387</v>
      </c>
      <c r="BV914" s="2" t="s">
        <v>200</v>
      </c>
      <c r="BW914" s="2" t="s">
        <v>200</v>
      </c>
      <c r="BX914" s="2" t="s">
        <v>264</v>
      </c>
      <c r="BY914" s="2" t="s">
        <v>247</v>
      </c>
      <c r="BZ914" s="2" t="s">
        <v>212</v>
      </c>
      <c r="CA914" s="2" t="s">
        <v>265</v>
      </c>
      <c r="CB914" s="2" t="s">
        <v>1108</v>
      </c>
      <c r="CC914" s="2" t="s">
        <v>213</v>
      </c>
      <c r="CD914" s="2" t="s">
        <v>200</v>
      </c>
      <c r="CE914" s="4">
        <v>223</v>
      </c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>
        <v>120</v>
      </c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>
        <v>268</v>
      </c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</row>
    <row r="915">
      <c r="A915" s="2" t="s">
        <v>5388</v>
      </c>
      <c r="B915" s="2" t="s">
        <v>827</v>
      </c>
      <c r="C915" s="2" t="s">
        <v>231</v>
      </c>
      <c r="D915" s="2" t="s">
        <v>1084</v>
      </c>
      <c r="E915" s="2" t="s">
        <v>1085</v>
      </c>
      <c r="F915" s="2" t="s">
        <v>5353</v>
      </c>
      <c r="G915" s="2" t="s">
        <v>5354</v>
      </c>
      <c r="H915" s="2" t="s">
        <v>5355</v>
      </c>
      <c r="I915" s="2" t="s">
        <v>5365</v>
      </c>
      <c r="J915" s="2" t="s">
        <v>4040</v>
      </c>
      <c r="K915" s="2" t="s">
        <v>257</v>
      </c>
      <c r="L915" s="3">
        <v>12.42</v>
      </c>
      <c r="M915" s="3">
        <v>13.04</v>
      </c>
      <c r="N915" s="3">
        <v>26.99</v>
      </c>
      <c r="O915" s="2" t="s">
        <v>212</v>
      </c>
      <c r="P915" s="2" t="s">
        <v>258</v>
      </c>
      <c r="Q915" s="2" t="s">
        <v>206</v>
      </c>
      <c r="R915" s="2" t="s">
        <v>200</v>
      </c>
      <c r="S915" s="2" t="s">
        <v>5385</v>
      </c>
      <c r="T915" s="2" t="s">
        <v>200</v>
      </c>
      <c r="U915" s="2" t="s">
        <v>200</v>
      </c>
      <c r="V915" s="2" t="s">
        <v>885</v>
      </c>
      <c r="W915" s="2" t="s">
        <v>419</v>
      </c>
      <c r="X915" s="2" t="s">
        <v>200</v>
      </c>
      <c r="Y915" s="2" t="s">
        <v>4999</v>
      </c>
      <c r="Z915" s="4">
        <v>274</v>
      </c>
      <c r="AA915" s="4">
        <f>=ROUNDDOWN(24.9090909090909,0)</f>
      </c>
      <c r="AB915" s="5">
        <v>11</v>
      </c>
      <c r="AC915" s="2" t="s">
        <v>120</v>
      </c>
      <c r="AD915" s="4">
        <v>104</v>
      </c>
      <c r="AE915" s="4">
        <v>160</v>
      </c>
      <c r="AF915" s="6">
        <v>65</v>
      </c>
      <c r="AG915" s="6"/>
      <c r="AH915" s="7">
        <v>1</v>
      </c>
      <c r="AI915" s="4"/>
      <c r="AJ915" s="4">
        <f>=ROUNDDOWN({0},0)</f>
      </c>
      <c r="AK915" s="5"/>
      <c r="AL915" s="2" t="s">
        <v>200</v>
      </c>
      <c r="AM915" s="4"/>
      <c r="AN915" s="4"/>
      <c r="AO915" s="7"/>
      <c r="AP915" s="4"/>
      <c r="AQ915" s="8"/>
      <c r="AR915" s="4"/>
      <c r="AS915" s="8"/>
      <c r="AT915" s="7"/>
      <c r="AU915" s="7"/>
      <c r="AV915" s="4" t="s">
        <v>200</v>
      </c>
      <c r="AW915" s="8" t="s">
        <v>200</v>
      </c>
      <c r="AX915" s="4" t="s">
        <v>200</v>
      </c>
      <c r="AY915" s="8" t="s">
        <v>200</v>
      </c>
      <c r="AZ915" s="7" t="s">
        <v>200</v>
      </c>
      <c r="BA915" s="7" t="s">
        <v>200</v>
      </c>
      <c r="BB915" s="7"/>
      <c r="BC915" s="4" t="s">
        <v>200</v>
      </c>
      <c r="BD915" s="8" t="s">
        <v>200</v>
      </c>
      <c r="BE915" s="4" t="s">
        <v>200</v>
      </c>
      <c r="BF915" s="8" t="s">
        <v>200</v>
      </c>
      <c r="BG915" s="7" t="s">
        <v>200</v>
      </c>
      <c r="BH915" s="7" t="s">
        <v>200</v>
      </c>
      <c r="BI915" s="7"/>
      <c r="BJ915" s="4">
        <v>14</v>
      </c>
      <c r="BK915" s="8">
        <v>183.77</v>
      </c>
      <c r="BL915" s="2" t="s">
        <v>1756</v>
      </c>
      <c r="BM915" s="7"/>
      <c r="BN915" s="7"/>
      <c r="BO915" s="4"/>
      <c r="BP915" s="8"/>
      <c r="BQ915" s="4"/>
      <c r="BR915" s="8"/>
      <c r="BS915" s="7"/>
      <c r="BT915" s="7"/>
      <c r="BU915" s="2" t="s">
        <v>5389</v>
      </c>
      <c r="BV915" s="2" t="s">
        <v>200</v>
      </c>
      <c r="BW915" s="2" t="s">
        <v>200</v>
      </c>
      <c r="BX915" s="2" t="s">
        <v>264</v>
      </c>
      <c r="BY915" s="2" t="s">
        <v>247</v>
      </c>
      <c r="BZ915" s="2" t="s">
        <v>212</v>
      </c>
      <c r="CA915" s="2" t="s">
        <v>4349</v>
      </c>
      <c r="CB915" s="2" t="s">
        <v>2969</v>
      </c>
      <c r="CC915" s="2" t="s">
        <v>213</v>
      </c>
      <c r="CD915" s="2" t="s">
        <v>200</v>
      </c>
      <c r="CE915" s="4">
        <v>274</v>
      </c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>
        <v>104</v>
      </c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>
        <v>56</v>
      </c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</row>
    <row r="916">
      <c r="A916" s="2" t="s">
        <v>5390</v>
      </c>
      <c r="B916" s="2" t="s">
        <v>827</v>
      </c>
      <c r="C916" s="2" t="s">
        <v>231</v>
      </c>
      <c r="D916" s="2" t="s">
        <v>828</v>
      </c>
      <c r="E916" s="2" t="s">
        <v>1588</v>
      </c>
      <c r="F916" s="2" t="s">
        <v>5353</v>
      </c>
      <c r="G916" s="2" t="s">
        <v>5354</v>
      </c>
      <c r="H916" s="2" t="s">
        <v>5355</v>
      </c>
      <c r="I916" s="2" t="s">
        <v>5356</v>
      </c>
      <c r="J916" s="2" t="s">
        <v>1242</v>
      </c>
      <c r="K916" s="2" t="s">
        <v>613</v>
      </c>
      <c r="L916" s="3">
        <v>16.45</v>
      </c>
      <c r="M916" s="3">
        <v>17.27</v>
      </c>
      <c r="N916" s="3">
        <v>34.99</v>
      </c>
      <c r="O916" s="2" t="s">
        <v>212</v>
      </c>
      <c r="P916" s="2" t="s">
        <v>258</v>
      </c>
      <c r="Q916" s="2" t="s">
        <v>206</v>
      </c>
      <c r="R916" s="2" t="s">
        <v>200</v>
      </c>
      <c r="S916" s="2" t="s">
        <v>5391</v>
      </c>
      <c r="T916" s="2" t="s">
        <v>200</v>
      </c>
      <c r="U916" s="2" t="s">
        <v>200</v>
      </c>
      <c r="V916" s="2" t="s">
        <v>885</v>
      </c>
      <c r="W916" s="2" t="s">
        <v>419</v>
      </c>
      <c r="X916" s="2" t="s">
        <v>1588</v>
      </c>
      <c r="Y916" s="2" t="s">
        <v>261</v>
      </c>
      <c r="Z916" s="4">
        <v>76</v>
      </c>
      <c r="AA916" s="4">
        <f>=ROUNDDOWN(19,0)</f>
      </c>
      <c r="AB916" s="5">
        <v>4</v>
      </c>
      <c r="AC916" s="2" t="s">
        <v>119</v>
      </c>
      <c r="AD916" s="4">
        <v>80</v>
      </c>
      <c r="AE916" s="4">
        <v>80</v>
      </c>
      <c r="AF916" s="6">
        <v>65</v>
      </c>
      <c r="AG916" s="6"/>
      <c r="AH916" s="7">
        <v>1</v>
      </c>
      <c r="AI916" s="4"/>
      <c r="AJ916" s="4">
        <f>=ROUNDDOWN({0},0)</f>
      </c>
      <c r="AK916" s="5"/>
      <c r="AL916" s="2" t="s">
        <v>200</v>
      </c>
      <c r="AM916" s="4"/>
      <c r="AN916" s="4"/>
      <c r="AO916" s="7"/>
      <c r="AP916" s="4"/>
      <c r="AQ916" s="8"/>
      <c r="AR916" s="4"/>
      <c r="AS916" s="8"/>
      <c r="AT916" s="7"/>
      <c r="AU916" s="7"/>
      <c r="AV916" s="4" t="s">
        <v>200</v>
      </c>
      <c r="AW916" s="8" t="s">
        <v>200</v>
      </c>
      <c r="AX916" s="4" t="s">
        <v>200</v>
      </c>
      <c r="AY916" s="8" t="s">
        <v>200</v>
      </c>
      <c r="AZ916" s="7" t="s">
        <v>200</v>
      </c>
      <c r="BA916" s="7" t="s">
        <v>200</v>
      </c>
      <c r="BB916" s="7"/>
      <c r="BC916" s="4" t="s">
        <v>200</v>
      </c>
      <c r="BD916" s="8" t="s">
        <v>200</v>
      </c>
      <c r="BE916" s="4" t="s">
        <v>200</v>
      </c>
      <c r="BF916" s="8" t="s">
        <v>200</v>
      </c>
      <c r="BG916" s="7" t="s">
        <v>200</v>
      </c>
      <c r="BH916" s="7" t="s">
        <v>200</v>
      </c>
      <c r="BI916" s="7"/>
      <c r="BJ916" s="4">
        <v>8</v>
      </c>
      <c r="BK916" s="8">
        <v>371.56</v>
      </c>
      <c r="BL916" s="2" t="s">
        <v>5392</v>
      </c>
      <c r="BM916" s="7"/>
      <c r="BN916" s="7"/>
      <c r="BO916" s="4"/>
      <c r="BP916" s="8"/>
      <c r="BQ916" s="4"/>
      <c r="BR916" s="8"/>
      <c r="BS916" s="7"/>
      <c r="BT916" s="7"/>
      <c r="BU916" s="2" t="s">
        <v>5393</v>
      </c>
      <c r="BV916" s="2" t="s">
        <v>200</v>
      </c>
      <c r="BW916" s="2" t="s">
        <v>200</v>
      </c>
      <c r="BX916" s="2" t="s">
        <v>264</v>
      </c>
      <c r="BY916" s="2" t="s">
        <v>247</v>
      </c>
      <c r="BZ916" s="2" t="s">
        <v>212</v>
      </c>
      <c r="CA916" s="2" t="s">
        <v>265</v>
      </c>
      <c r="CB916" s="2" t="s">
        <v>5394</v>
      </c>
      <c r="CC916" s="2" t="s">
        <v>213</v>
      </c>
      <c r="CD916" s="2" t="s">
        <v>200</v>
      </c>
      <c r="CE916" s="4">
        <v>76</v>
      </c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>
        <v>80</v>
      </c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  <c r="GH916" s="4"/>
    </row>
    <row r="917">
      <c r="A917" s="2" t="s">
        <v>5395</v>
      </c>
      <c r="B917" s="2" t="s">
        <v>827</v>
      </c>
      <c r="C917" s="2" t="s">
        <v>231</v>
      </c>
      <c r="D917" s="2" t="s">
        <v>828</v>
      </c>
      <c r="E917" s="2" t="s">
        <v>5374</v>
      </c>
      <c r="F917" s="2" t="s">
        <v>5353</v>
      </c>
      <c r="G917" s="2" t="s">
        <v>5354</v>
      </c>
      <c r="H917" s="2" t="s">
        <v>5355</v>
      </c>
      <c r="I917" s="2" t="s">
        <v>5375</v>
      </c>
      <c r="J917" s="2" t="s">
        <v>5376</v>
      </c>
      <c r="K917" s="2" t="s">
        <v>613</v>
      </c>
      <c r="L917" s="3">
        <v>16.1</v>
      </c>
      <c r="M917" s="3">
        <v>16.9</v>
      </c>
      <c r="N917" s="3">
        <v>34.99</v>
      </c>
      <c r="O917" s="2" t="s">
        <v>212</v>
      </c>
      <c r="P917" s="2" t="s">
        <v>258</v>
      </c>
      <c r="Q917" s="2" t="s">
        <v>206</v>
      </c>
      <c r="R917" s="2" t="s">
        <v>200</v>
      </c>
      <c r="S917" s="2" t="s">
        <v>5391</v>
      </c>
      <c r="T917" s="2" t="s">
        <v>200</v>
      </c>
      <c r="U917" s="2" t="s">
        <v>200</v>
      </c>
      <c r="V917" s="2" t="s">
        <v>885</v>
      </c>
      <c r="W917" s="2" t="s">
        <v>419</v>
      </c>
      <c r="X917" s="2" t="s">
        <v>200</v>
      </c>
      <c r="Y917" s="2" t="s">
        <v>4999</v>
      </c>
      <c r="Z917" s="4">
        <v>340</v>
      </c>
      <c r="AA917" s="4">
        <f>=ROUNDDOWN(56.6666666666667,0)</f>
      </c>
      <c r="AB917" s="5">
        <v>6</v>
      </c>
      <c r="AC917" s="2" t="s">
        <v>200</v>
      </c>
      <c r="AD917" s="4"/>
      <c r="AE917" s="4"/>
      <c r="AF917" s="6">
        <v>65</v>
      </c>
      <c r="AG917" s="6"/>
      <c r="AH917" s="7">
        <v>1</v>
      </c>
      <c r="AI917" s="4"/>
      <c r="AJ917" s="4">
        <f>=ROUNDDOWN({0},0)</f>
      </c>
      <c r="AK917" s="5"/>
      <c r="AL917" s="2" t="s">
        <v>200</v>
      </c>
      <c r="AM917" s="4"/>
      <c r="AN917" s="4"/>
      <c r="AO917" s="7"/>
      <c r="AP917" s="4"/>
      <c r="AQ917" s="8"/>
      <c r="AR917" s="4"/>
      <c r="AS917" s="8"/>
      <c r="AT917" s="7"/>
      <c r="AU917" s="7"/>
      <c r="AV917" s="4" t="s">
        <v>200</v>
      </c>
      <c r="AW917" s="8" t="s">
        <v>200</v>
      </c>
      <c r="AX917" s="4" t="s">
        <v>200</v>
      </c>
      <c r="AY917" s="8" t="s">
        <v>200</v>
      </c>
      <c r="AZ917" s="7" t="s">
        <v>200</v>
      </c>
      <c r="BA917" s="7" t="s">
        <v>200</v>
      </c>
      <c r="BB917" s="7"/>
      <c r="BC917" s="4" t="s">
        <v>200</v>
      </c>
      <c r="BD917" s="8" t="s">
        <v>200</v>
      </c>
      <c r="BE917" s="4" t="s">
        <v>200</v>
      </c>
      <c r="BF917" s="8" t="s">
        <v>200</v>
      </c>
      <c r="BG917" s="7" t="s">
        <v>200</v>
      </c>
      <c r="BH917" s="7" t="s">
        <v>200</v>
      </c>
      <c r="BI917" s="7"/>
      <c r="BJ917" s="4">
        <v>14</v>
      </c>
      <c r="BK917" s="8">
        <v>291.3</v>
      </c>
      <c r="BL917" s="2" t="s">
        <v>5396</v>
      </c>
      <c r="BM917" s="7"/>
      <c r="BN917" s="7"/>
      <c r="BO917" s="4"/>
      <c r="BP917" s="8"/>
      <c r="BQ917" s="4"/>
      <c r="BR917" s="8"/>
      <c r="BS917" s="7"/>
      <c r="BT917" s="7"/>
      <c r="BU917" s="2" t="s">
        <v>5397</v>
      </c>
      <c r="BV917" s="2" t="s">
        <v>200</v>
      </c>
      <c r="BW917" s="2" t="s">
        <v>200</v>
      </c>
      <c r="BX917" s="2" t="s">
        <v>264</v>
      </c>
      <c r="BY917" s="2" t="s">
        <v>247</v>
      </c>
      <c r="BZ917" s="2" t="s">
        <v>212</v>
      </c>
      <c r="CA917" s="2" t="s">
        <v>4349</v>
      </c>
      <c r="CB917" s="2" t="s">
        <v>5398</v>
      </c>
      <c r="CC917" s="2" t="s">
        <v>213</v>
      </c>
      <c r="CD917" s="2" t="s">
        <v>200</v>
      </c>
      <c r="CE917" s="4">
        <v>340</v>
      </c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</row>
    <row r="918">
      <c r="A918" s="2" t="s">
        <v>5399</v>
      </c>
      <c r="B918" s="2" t="s">
        <v>827</v>
      </c>
      <c r="C918" s="2" t="s">
        <v>231</v>
      </c>
      <c r="D918" s="2" t="s">
        <v>1084</v>
      </c>
      <c r="E918" s="2" t="s">
        <v>1085</v>
      </c>
      <c r="F918" s="2" t="s">
        <v>5353</v>
      </c>
      <c r="G918" s="2" t="s">
        <v>5354</v>
      </c>
      <c r="H918" s="2" t="s">
        <v>5355</v>
      </c>
      <c r="I918" s="2" t="s">
        <v>5365</v>
      </c>
      <c r="J918" s="2" t="s">
        <v>4040</v>
      </c>
      <c r="K918" s="2" t="s">
        <v>613</v>
      </c>
      <c r="L918" s="3">
        <v>12.42</v>
      </c>
      <c r="M918" s="3">
        <v>13.04</v>
      </c>
      <c r="N918" s="3">
        <v>26.99</v>
      </c>
      <c r="O918" s="2" t="s">
        <v>212</v>
      </c>
      <c r="P918" s="2" t="s">
        <v>258</v>
      </c>
      <c r="Q918" s="2" t="s">
        <v>206</v>
      </c>
      <c r="R918" s="2" t="s">
        <v>200</v>
      </c>
      <c r="S918" s="2" t="s">
        <v>5391</v>
      </c>
      <c r="T918" s="2" t="s">
        <v>200</v>
      </c>
      <c r="U918" s="2" t="s">
        <v>200</v>
      </c>
      <c r="V918" s="2" t="s">
        <v>885</v>
      </c>
      <c r="W918" s="2" t="s">
        <v>419</v>
      </c>
      <c r="X918" s="2" t="s">
        <v>200</v>
      </c>
      <c r="Y918" s="2" t="s">
        <v>4999</v>
      </c>
      <c r="Z918" s="4">
        <v>221</v>
      </c>
      <c r="AA918" s="4">
        <f>=ROUNDDOWN(27.625,0)</f>
      </c>
      <c r="AB918" s="5">
        <v>8</v>
      </c>
      <c r="AC918" s="2" t="s">
        <v>119</v>
      </c>
      <c r="AD918" s="4">
        <v>104</v>
      </c>
      <c r="AE918" s="4">
        <v>104</v>
      </c>
      <c r="AF918" s="6">
        <v>65</v>
      </c>
      <c r="AG918" s="6"/>
      <c r="AH918" s="7">
        <v>1</v>
      </c>
      <c r="AI918" s="4"/>
      <c r="AJ918" s="4">
        <f>=ROUNDDOWN({0},0)</f>
      </c>
      <c r="AK918" s="5"/>
      <c r="AL918" s="2" t="s">
        <v>200</v>
      </c>
      <c r="AM918" s="4"/>
      <c r="AN918" s="4"/>
      <c r="AO918" s="7"/>
      <c r="AP918" s="4"/>
      <c r="AQ918" s="8"/>
      <c r="AR918" s="4"/>
      <c r="AS918" s="8"/>
      <c r="AT918" s="7"/>
      <c r="AU918" s="7"/>
      <c r="AV918" s="4" t="s">
        <v>200</v>
      </c>
      <c r="AW918" s="8" t="s">
        <v>200</v>
      </c>
      <c r="AX918" s="4" t="s">
        <v>200</v>
      </c>
      <c r="AY918" s="8" t="s">
        <v>200</v>
      </c>
      <c r="AZ918" s="7" t="s">
        <v>200</v>
      </c>
      <c r="BA918" s="7" t="s">
        <v>200</v>
      </c>
      <c r="BB918" s="7"/>
      <c r="BC918" s="4" t="s">
        <v>200</v>
      </c>
      <c r="BD918" s="8" t="s">
        <v>200</v>
      </c>
      <c r="BE918" s="4" t="s">
        <v>200</v>
      </c>
      <c r="BF918" s="8" t="s">
        <v>200</v>
      </c>
      <c r="BG918" s="7" t="s">
        <v>200</v>
      </c>
      <c r="BH918" s="7" t="s">
        <v>200</v>
      </c>
      <c r="BI918" s="7"/>
      <c r="BJ918" s="4">
        <v>10</v>
      </c>
      <c r="BK918" s="8">
        <v>119.41</v>
      </c>
      <c r="BL918" s="2" t="s">
        <v>1118</v>
      </c>
      <c r="BM918" s="7"/>
      <c r="BN918" s="7"/>
      <c r="BO918" s="4"/>
      <c r="BP918" s="8"/>
      <c r="BQ918" s="4"/>
      <c r="BR918" s="8"/>
      <c r="BS918" s="7"/>
      <c r="BT918" s="7"/>
      <c r="BU918" s="2" t="s">
        <v>5400</v>
      </c>
      <c r="BV918" s="2" t="s">
        <v>200</v>
      </c>
      <c r="BW918" s="2" t="s">
        <v>200</v>
      </c>
      <c r="BX918" s="2" t="s">
        <v>264</v>
      </c>
      <c r="BY918" s="2" t="s">
        <v>247</v>
      </c>
      <c r="BZ918" s="2" t="s">
        <v>212</v>
      </c>
      <c r="CA918" s="2" t="s">
        <v>4349</v>
      </c>
      <c r="CB918" s="2" t="s">
        <v>5401</v>
      </c>
      <c r="CC918" s="2" t="s">
        <v>213</v>
      </c>
      <c r="CD918" s="2" t="s">
        <v>200</v>
      </c>
      <c r="CE918" s="4">
        <v>221</v>
      </c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>
        <v>104</v>
      </c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</row>
    <row r="919">
      <c r="A919" s="2" t="s">
        <v>5402</v>
      </c>
      <c r="B919" s="2" t="s">
        <v>932</v>
      </c>
      <c r="C919" s="2" t="s">
        <v>5403</v>
      </c>
      <c r="D919" s="2" t="s">
        <v>1818</v>
      </c>
      <c r="E919" s="2" t="s">
        <v>2000</v>
      </c>
      <c r="F919" s="2" t="s">
        <v>5354</v>
      </c>
      <c r="G919" s="2" t="s">
        <v>5404</v>
      </c>
      <c r="H919" s="2" t="s">
        <v>4991</v>
      </c>
      <c r="I919" s="2" t="s">
        <v>5405</v>
      </c>
      <c r="J919" s="2" t="s">
        <v>256</v>
      </c>
      <c r="K919" s="2" t="s">
        <v>499</v>
      </c>
      <c r="L919" s="3">
        <v>33.33</v>
      </c>
      <c r="M919" s="3">
        <v>35</v>
      </c>
      <c r="N919" s="3">
        <v>69.99</v>
      </c>
      <c r="O919" s="2" t="s">
        <v>212</v>
      </c>
      <c r="P919" s="2" t="s">
        <v>750</v>
      </c>
      <c r="Q919" s="2" t="s">
        <v>206</v>
      </c>
      <c r="R919" s="2" t="s">
        <v>200</v>
      </c>
      <c r="S919" s="2" t="s">
        <v>5406</v>
      </c>
      <c r="T919" s="2" t="s">
        <v>312</v>
      </c>
      <c r="U919" s="2" t="s">
        <v>677</v>
      </c>
      <c r="V919" s="2" t="s">
        <v>1695</v>
      </c>
      <c r="W919" s="2" t="s">
        <v>241</v>
      </c>
      <c r="X919" s="2" t="s">
        <v>419</v>
      </c>
      <c r="Y919" s="2" t="s">
        <v>5407</v>
      </c>
      <c r="Z919" s="4">
        <v>165</v>
      </c>
      <c r="AA919" s="4">
        <f>=ROUNDDOWN(55,0)</f>
      </c>
      <c r="AB919" s="5">
        <v>3</v>
      </c>
      <c r="AC919" s="2" t="s">
        <v>200</v>
      </c>
      <c r="AD919" s="4"/>
      <c r="AE919" s="4"/>
      <c r="AF919" s="6">
        <v>65</v>
      </c>
      <c r="AG919" s="6"/>
      <c r="AH919" s="7">
        <v>1</v>
      </c>
      <c r="AI919" s="4"/>
      <c r="AJ919" s="4">
        <f>=ROUNDDOWN({0},0)</f>
      </c>
      <c r="AK919" s="5"/>
      <c r="AL919" s="2" t="s">
        <v>200</v>
      </c>
      <c r="AM919" s="4"/>
      <c r="AN919" s="4"/>
      <c r="AO919" s="7"/>
      <c r="AP919" s="4"/>
      <c r="AQ919" s="8"/>
      <c r="AR919" s="4"/>
      <c r="AS919" s="8"/>
      <c r="AT919" s="7"/>
      <c r="AU919" s="7"/>
      <c r="AV919" s="4"/>
      <c r="AW919" s="8"/>
      <c r="AX919" s="4"/>
      <c r="AY919" s="8"/>
      <c r="AZ919" s="7"/>
      <c r="BA919" s="7"/>
      <c r="BB919" s="7"/>
      <c r="BC919" s="4"/>
      <c r="BD919" s="8"/>
      <c r="BE919" s="4"/>
      <c r="BF919" s="8"/>
      <c r="BG919" s="7"/>
      <c r="BH919" s="7"/>
      <c r="BI919" s="7"/>
      <c r="BJ919" s="4">
        <v>30</v>
      </c>
      <c r="BK919" s="8">
        <v>1129.5</v>
      </c>
      <c r="BL919" s="2" t="s">
        <v>5408</v>
      </c>
      <c r="BM919" s="7"/>
      <c r="BN919" s="7"/>
      <c r="BO919" s="4"/>
      <c r="BP919" s="8"/>
      <c r="BQ919" s="4"/>
      <c r="BR919" s="8"/>
      <c r="BS919" s="7"/>
      <c r="BT919" s="7"/>
      <c r="BU919" s="2" t="s">
        <v>5409</v>
      </c>
      <c r="BV919" s="2" t="s">
        <v>200</v>
      </c>
      <c r="BW919" s="2" t="s">
        <v>200</v>
      </c>
      <c r="BX919" s="2" t="s">
        <v>264</v>
      </c>
      <c r="BY919" s="2" t="s">
        <v>247</v>
      </c>
      <c r="BZ919" s="2" t="s">
        <v>212</v>
      </c>
      <c r="CA919" s="2" t="s">
        <v>5410</v>
      </c>
      <c r="CB919" s="2" t="s">
        <v>952</v>
      </c>
      <c r="CC919" s="2" t="s">
        <v>213</v>
      </c>
      <c r="CD919" s="2" t="s">
        <v>200</v>
      </c>
      <c r="CE919" s="4">
        <v>165</v>
      </c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</row>
    <row r="920">
      <c r="A920" s="2" t="s">
        <v>5411</v>
      </c>
      <c r="B920" s="2" t="s">
        <v>744</v>
      </c>
      <c r="C920" s="2" t="s">
        <v>231</v>
      </c>
      <c r="D920" s="2" t="s">
        <v>746</v>
      </c>
      <c r="E920" s="2" t="s">
        <v>1422</v>
      </c>
      <c r="F920" s="2" t="s">
        <v>5412</v>
      </c>
      <c r="G920" s="2" t="s">
        <v>5413</v>
      </c>
      <c r="H920" s="2" t="s">
        <v>5414</v>
      </c>
      <c r="I920" s="2" t="s">
        <v>5415</v>
      </c>
      <c r="J920" s="2" t="s">
        <v>711</v>
      </c>
      <c r="K920" s="2" t="s">
        <v>5416</v>
      </c>
      <c r="L920" s="3">
        <v>110</v>
      </c>
      <c r="M920" s="3">
        <v>115.5</v>
      </c>
      <c r="N920" s="3">
        <v>229</v>
      </c>
      <c r="O920" s="2" t="s">
        <v>460</v>
      </c>
      <c r="P920" s="2" t="s">
        <v>285</v>
      </c>
      <c r="Q920" s="2" t="s">
        <v>206</v>
      </c>
      <c r="R920" s="2" t="s">
        <v>200</v>
      </c>
      <c r="S920" s="2" t="s">
        <v>200</v>
      </c>
      <c r="T920" s="2" t="s">
        <v>200</v>
      </c>
      <c r="U920" s="2" t="s">
        <v>270</v>
      </c>
      <c r="V920" s="2" t="s">
        <v>208</v>
      </c>
      <c r="W920" s="2" t="s">
        <v>379</v>
      </c>
      <c r="X920" s="2" t="s">
        <v>712</v>
      </c>
      <c r="Y920" s="2" t="s">
        <v>1049</v>
      </c>
      <c r="Z920" s="4">
        <v>48</v>
      </c>
      <c r="AA920" s="4">
        <f>=ROUNDDOWN(24,0)</f>
      </c>
      <c r="AB920" s="5">
        <v>2</v>
      </c>
      <c r="AC920" s="2" t="s">
        <v>200</v>
      </c>
      <c r="AD920" s="4"/>
      <c r="AE920" s="4"/>
      <c r="AF920" s="6">
        <v>66</v>
      </c>
      <c r="AG920" s="6"/>
      <c r="AH920" s="7">
        <v>1</v>
      </c>
      <c r="AI920" s="4"/>
      <c r="AJ920" s="4">
        <f>=ROUNDDOWN({0},0)</f>
      </c>
      <c r="AK920" s="5"/>
      <c r="AL920" s="2" t="s">
        <v>200</v>
      </c>
      <c r="AM920" s="4"/>
      <c r="AN920" s="4"/>
      <c r="AO920" s="7"/>
      <c r="AP920" s="4"/>
      <c r="AQ920" s="8"/>
      <c r="AR920" s="4"/>
      <c r="AS920" s="8"/>
      <c r="AT920" s="7"/>
      <c r="AU920" s="7"/>
      <c r="AV920" s="4"/>
      <c r="AW920" s="8"/>
      <c r="AX920" s="4"/>
      <c r="AY920" s="8"/>
      <c r="AZ920" s="7"/>
      <c r="BA920" s="7"/>
      <c r="BB920" s="7"/>
      <c r="BC920" s="4"/>
      <c r="BD920" s="8"/>
      <c r="BE920" s="4"/>
      <c r="BF920" s="8"/>
      <c r="BG920" s="7"/>
      <c r="BH920" s="7"/>
      <c r="BI920" s="7"/>
      <c r="BJ920" s="4">
        <v>14</v>
      </c>
      <c r="BK920" s="8">
        <v>978.3</v>
      </c>
      <c r="BL920" s="2" t="s">
        <v>5417</v>
      </c>
      <c r="BM920" s="7"/>
      <c r="BN920" s="7"/>
      <c r="BO920" s="4"/>
      <c r="BP920" s="8"/>
      <c r="BQ920" s="4"/>
      <c r="BR920" s="8"/>
      <c r="BS920" s="7"/>
      <c r="BT920" s="7"/>
      <c r="BU920" s="2" t="s">
        <v>5418</v>
      </c>
      <c r="BV920" s="2" t="s">
        <v>200</v>
      </c>
      <c r="BW920" s="2" t="s">
        <v>200</v>
      </c>
      <c r="BX920" s="2" t="s">
        <v>289</v>
      </c>
      <c r="BY920" s="2" t="s">
        <v>247</v>
      </c>
      <c r="BZ920" s="2" t="s">
        <v>212</v>
      </c>
      <c r="CA920" s="2" t="s">
        <v>852</v>
      </c>
      <c r="CB920" s="2" t="s">
        <v>5419</v>
      </c>
      <c r="CC920" s="2" t="s">
        <v>213</v>
      </c>
      <c r="CD920" s="2" t="s">
        <v>200</v>
      </c>
      <c r="CE920" s="4"/>
      <c r="CF920" s="4">
        <v>48</v>
      </c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</row>
    <row r="921">
      <c r="A921" s="2" t="s">
        <v>5420</v>
      </c>
      <c r="B921" s="2" t="s">
        <v>744</v>
      </c>
      <c r="C921" s="2" t="s">
        <v>730</v>
      </c>
      <c r="D921" s="2" t="s">
        <v>1275</v>
      </c>
      <c r="E921" s="2" t="s">
        <v>1276</v>
      </c>
      <c r="F921" s="2" t="s">
        <v>5421</v>
      </c>
      <c r="G921" s="2" t="s">
        <v>5421</v>
      </c>
      <c r="H921" s="2" t="s">
        <v>5421</v>
      </c>
      <c r="I921" s="2" t="s">
        <v>5422</v>
      </c>
      <c r="J921" s="2" t="s">
        <v>711</v>
      </c>
      <c r="K921" s="2" t="s">
        <v>1928</v>
      </c>
      <c r="L921" s="3">
        <v>256.5</v>
      </c>
      <c r="M921" s="3">
        <v>269.32</v>
      </c>
      <c r="N921" s="3">
        <v>549</v>
      </c>
      <c r="O921" s="2" t="s">
        <v>212</v>
      </c>
      <c r="P921" s="2" t="s">
        <v>1075</v>
      </c>
      <c r="Q921" s="2" t="s">
        <v>206</v>
      </c>
      <c r="R921" s="2" t="s">
        <v>200</v>
      </c>
      <c r="S921" s="2" t="s">
        <v>5423</v>
      </c>
      <c r="T921" s="2" t="s">
        <v>200</v>
      </c>
      <c r="U921" s="2" t="s">
        <v>270</v>
      </c>
      <c r="V921" s="2" t="s">
        <v>616</v>
      </c>
      <c r="W921" s="2" t="s">
        <v>1399</v>
      </c>
      <c r="X921" s="2" t="s">
        <v>737</v>
      </c>
      <c r="Y921" s="2" t="s">
        <v>1520</v>
      </c>
      <c r="Z921" s="4">
        <v>189</v>
      </c>
      <c r="AA921" s="4">
        <f>=ROUNDDOWN(23.625,0)</f>
      </c>
      <c r="AB921" s="5">
        <v>8</v>
      </c>
      <c r="AC921" s="2" t="s">
        <v>113</v>
      </c>
      <c r="AD921" s="4">
        <v>107</v>
      </c>
      <c r="AE921" s="4">
        <v>120</v>
      </c>
      <c r="AF921" s="6">
        <v>66</v>
      </c>
      <c r="AG921" s="6">
        <v>49</v>
      </c>
      <c r="AH921" s="7">
        <v>1</v>
      </c>
      <c r="AI921" s="4"/>
      <c r="AJ921" s="4">
        <f>=ROUNDDOWN({0},0)</f>
      </c>
      <c r="AK921" s="5"/>
      <c r="AL921" s="2" t="s">
        <v>200</v>
      </c>
      <c r="AM921" s="4"/>
      <c r="AN921" s="4"/>
      <c r="AO921" s="7"/>
      <c r="AP921" s="4"/>
      <c r="AQ921" s="8"/>
      <c r="AR921" s="4"/>
      <c r="AS921" s="8"/>
      <c r="AT921" s="7"/>
      <c r="AU921" s="7"/>
      <c r="AV921" s="4" t="s">
        <v>200</v>
      </c>
      <c r="AW921" s="8" t="s">
        <v>200</v>
      </c>
      <c r="AX921" s="4" t="s">
        <v>200</v>
      </c>
      <c r="AY921" s="8" t="s">
        <v>200</v>
      </c>
      <c r="AZ921" s="7" t="s">
        <v>200</v>
      </c>
      <c r="BA921" s="7" t="s">
        <v>200</v>
      </c>
      <c r="BB921" s="7" t="s">
        <v>200</v>
      </c>
      <c r="BC921" s="4" t="s">
        <v>200</v>
      </c>
      <c r="BD921" s="8" t="s">
        <v>200</v>
      </c>
      <c r="BE921" s="4" t="s">
        <v>200</v>
      </c>
      <c r="BF921" s="8" t="s">
        <v>200</v>
      </c>
      <c r="BG921" s="7" t="s">
        <v>200</v>
      </c>
      <c r="BH921" s="7" t="s">
        <v>200</v>
      </c>
      <c r="BI921" s="7"/>
      <c r="BJ921" s="4">
        <v>33</v>
      </c>
      <c r="BK921" s="8">
        <v>8061.96</v>
      </c>
      <c r="BL921" s="2" t="s">
        <v>5424</v>
      </c>
      <c r="BM921" s="7"/>
      <c r="BN921" s="7"/>
      <c r="BO921" s="4"/>
      <c r="BP921" s="8"/>
      <c r="BQ921" s="4"/>
      <c r="BR921" s="8"/>
      <c r="BS921" s="7"/>
      <c r="BT921" s="7"/>
      <c r="BU921" s="2" t="s">
        <v>5425</v>
      </c>
      <c r="BV921" s="2" t="s">
        <v>200</v>
      </c>
      <c r="BW921" s="2" t="s">
        <v>200</v>
      </c>
      <c r="BX921" s="2" t="s">
        <v>620</v>
      </c>
      <c r="BY921" s="2" t="s">
        <v>247</v>
      </c>
      <c r="BZ921" s="2" t="s">
        <v>212</v>
      </c>
      <c r="CA921" s="2" t="s">
        <v>5426</v>
      </c>
      <c r="CB921" s="2" t="s">
        <v>5427</v>
      </c>
      <c r="CC921" s="2" t="s">
        <v>213</v>
      </c>
      <c r="CD921" s="2" t="s">
        <v>200</v>
      </c>
      <c r="CE921" s="4"/>
      <c r="CF921" s="4">
        <v>168</v>
      </c>
      <c r="CG921" s="4"/>
      <c r="CH921" s="4">
        <v>21</v>
      </c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>
        <v>107</v>
      </c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>
        <v>13</v>
      </c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</row>
    <row r="922">
      <c r="A922" s="2" t="s">
        <v>5428</v>
      </c>
      <c r="B922" s="2" t="s">
        <v>744</v>
      </c>
      <c r="C922" s="2" t="s">
        <v>730</v>
      </c>
      <c r="D922" s="2" t="s">
        <v>1275</v>
      </c>
      <c r="E922" s="2" t="s">
        <v>1276</v>
      </c>
      <c r="F922" s="2" t="s">
        <v>5421</v>
      </c>
      <c r="G922" s="2" t="s">
        <v>5421</v>
      </c>
      <c r="H922" s="2" t="s">
        <v>5421</v>
      </c>
      <c r="I922" s="2" t="s">
        <v>3750</v>
      </c>
      <c r="J922" s="2" t="s">
        <v>711</v>
      </c>
      <c r="K922" s="2" t="s">
        <v>1928</v>
      </c>
      <c r="L922" s="3">
        <v>502.74</v>
      </c>
      <c r="M922" s="3">
        <v>527.88</v>
      </c>
      <c r="N922" s="3">
        <v>1079</v>
      </c>
      <c r="O922" s="2" t="s">
        <v>212</v>
      </c>
      <c r="P922" s="2" t="s">
        <v>802</v>
      </c>
      <c r="Q922" s="2" t="s">
        <v>206</v>
      </c>
      <c r="R922" s="2" t="s">
        <v>16</v>
      </c>
      <c r="S922" s="2" t="s">
        <v>5423</v>
      </c>
      <c r="T922" s="2" t="s">
        <v>200</v>
      </c>
      <c r="U922" s="2" t="s">
        <v>677</v>
      </c>
      <c r="V922" s="2" t="s">
        <v>616</v>
      </c>
      <c r="W922" s="2" t="s">
        <v>1399</v>
      </c>
      <c r="X922" s="2" t="s">
        <v>737</v>
      </c>
      <c r="Y922" s="2" t="s">
        <v>5429</v>
      </c>
      <c r="Z922" s="4">
        <v>97</v>
      </c>
      <c r="AA922" s="4">
        <f>=ROUNDDOWN({0},0)</f>
      </c>
      <c r="AB922" s="5"/>
      <c r="AC922" s="2" t="s">
        <v>113</v>
      </c>
      <c r="AD922" s="4">
        <v>53</v>
      </c>
      <c r="AE922" s="4">
        <v>59</v>
      </c>
      <c r="AF922" s="6"/>
      <c r="AG922" s="6"/>
      <c r="AH922" s="7">
        <v>1</v>
      </c>
      <c r="AI922" s="4"/>
      <c r="AJ922" s="4">
        <f>=ROUNDDOWN({0},0)</f>
      </c>
      <c r="AK922" s="5"/>
      <c r="AL922" s="2" t="s">
        <v>200</v>
      </c>
      <c r="AM922" s="4"/>
      <c r="AN922" s="4"/>
      <c r="AO922" s="7"/>
      <c r="AP922" s="4"/>
      <c r="AQ922" s="8"/>
      <c r="AR922" s="4"/>
      <c r="AS922" s="8"/>
      <c r="AT922" s="7"/>
      <c r="AU922" s="7"/>
      <c r="AV922" s="4" t="s">
        <v>200</v>
      </c>
      <c r="AW922" s="8" t="s">
        <v>200</v>
      </c>
      <c r="AX922" s="4" t="s">
        <v>200</v>
      </c>
      <c r="AY922" s="8" t="s">
        <v>200</v>
      </c>
      <c r="AZ922" s="7" t="s">
        <v>200</v>
      </c>
      <c r="BA922" s="7" t="s">
        <v>200</v>
      </c>
      <c r="BB922" s="7" t="s">
        <v>200</v>
      </c>
      <c r="BC922" s="4" t="s">
        <v>200</v>
      </c>
      <c r="BD922" s="8" t="s">
        <v>200</v>
      </c>
      <c r="BE922" s="4" t="s">
        <v>200</v>
      </c>
      <c r="BF922" s="8" t="s">
        <v>200</v>
      </c>
      <c r="BG922" s="7" t="s">
        <v>200</v>
      </c>
      <c r="BH922" s="7" t="s">
        <v>200</v>
      </c>
      <c r="BI922" s="7"/>
      <c r="BJ922" s="4"/>
      <c r="BK922" s="8"/>
      <c r="BL922" s="2" t="s">
        <v>200</v>
      </c>
      <c r="BM922" s="7"/>
      <c r="BN922" s="7"/>
      <c r="BO922" s="4"/>
      <c r="BP922" s="8"/>
      <c r="BQ922" s="4"/>
      <c r="BR922" s="8"/>
      <c r="BS922" s="7"/>
      <c r="BT922" s="7"/>
      <c r="BU922" s="2" t="s">
        <v>5430</v>
      </c>
      <c r="BV922" s="2" t="s">
        <v>200</v>
      </c>
      <c r="BW922" s="2" t="s">
        <v>200</v>
      </c>
      <c r="BX922" s="2" t="s">
        <v>620</v>
      </c>
      <c r="BY922" s="2" t="s">
        <v>247</v>
      </c>
      <c r="BZ922" s="2" t="s">
        <v>212</v>
      </c>
      <c r="CA922" s="2" t="s">
        <v>806</v>
      </c>
      <c r="CB922" s="2" t="s">
        <v>200</v>
      </c>
      <c r="CC922" s="2" t="s">
        <v>213</v>
      </c>
      <c r="CD922" s="2" t="s">
        <v>200</v>
      </c>
      <c r="CE922" s="4"/>
      <c r="CF922" s="4">
        <v>86</v>
      </c>
      <c r="CG922" s="4"/>
      <c r="CH922" s="4">
        <v>11</v>
      </c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>
        <v>53</v>
      </c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>
        <v>6</v>
      </c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</row>
    <row r="923">
      <c r="A923" s="2" t="s">
        <v>5431</v>
      </c>
      <c r="B923" s="2" t="s">
        <v>903</v>
      </c>
      <c r="C923" s="2" t="s">
        <v>231</v>
      </c>
      <c r="D923" s="2" t="s">
        <v>918</v>
      </c>
      <c r="E923" s="2" t="s">
        <v>919</v>
      </c>
      <c r="F923" s="2" t="s">
        <v>5421</v>
      </c>
      <c r="G923" s="2" t="s">
        <v>5432</v>
      </c>
      <c r="H923" s="2" t="s">
        <v>5433</v>
      </c>
      <c r="I923" s="2" t="s">
        <v>5434</v>
      </c>
      <c r="J923" s="2" t="s">
        <v>612</v>
      </c>
      <c r="K923" s="2" t="s">
        <v>387</v>
      </c>
      <c r="L923" s="3">
        <v>32.2</v>
      </c>
      <c r="M923" s="3">
        <v>33.81</v>
      </c>
      <c r="N923" s="3">
        <v>69.99</v>
      </c>
      <c r="O923" s="2" t="s">
        <v>212</v>
      </c>
      <c r="P923" s="2" t="s">
        <v>258</v>
      </c>
      <c r="Q923" s="2" t="s">
        <v>206</v>
      </c>
      <c r="R923" s="2" t="s">
        <v>200</v>
      </c>
      <c r="S923" s="2" t="s">
        <v>5435</v>
      </c>
      <c r="T923" s="2" t="s">
        <v>3721</v>
      </c>
      <c r="U923" s="2" t="s">
        <v>454</v>
      </c>
      <c r="V923" s="2" t="s">
        <v>940</v>
      </c>
      <c r="W923" s="2" t="s">
        <v>2691</v>
      </c>
      <c r="X923" s="2" t="s">
        <v>200</v>
      </c>
      <c r="Y923" s="2" t="s">
        <v>1720</v>
      </c>
      <c r="Z923" s="4">
        <v>316</v>
      </c>
      <c r="AA923" s="4">
        <f>=ROUNDDOWN(31.6,0)</f>
      </c>
      <c r="AB923" s="5">
        <v>10</v>
      </c>
      <c r="AC923" s="2" t="s">
        <v>116</v>
      </c>
      <c r="AD923" s="4">
        <v>80</v>
      </c>
      <c r="AE923" s="4">
        <v>80</v>
      </c>
      <c r="AF923" s="6">
        <v>65</v>
      </c>
      <c r="AG923" s="6">
        <v>73</v>
      </c>
      <c r="AH923" s="7">
        <v>1</v>
      </c>
      <c r="AI923" s="4"/>
      <c r="AJ923" s="4">
        <f>=ROUNDDOWN({0},0)</f>
      </c>
      <c r="AK923" s="5"/>
      <c r="AL923" s="2" t="s">
        <v>200</v>
      </c>
      <c r="AM923" s="4"/>
      <c r="AN923" s="4"/>
      <c r="AO923" s="7"/>
      <c r="AP923" s="4"/>
      <c r="AQ923" s="8"/>
      <c r="AR923" s="4"/>
      <c r="AS923" s="8"/>
      <c r="AT923" s="7"/>
      <c r="AU923" s="7"/>
      <c r="AV923" s="4"/>
      <c r="AW923" s="8"/>
      <c r="AX923" s="4"/>
      <c r="AY923" s="8"/>
      <c r="AZ923" s="7"/>
      <c r="BA923" s="7"/>
      <c r="BB923" s="7"/>
      <c r="BC923" s="4" t="s">
        <v>200</v>
      </c>
      <c r="BD923" s="8" t="s">
        <v>200</v>
      </c>
      <c r="BE923" s="4" t="s">
        <v>200</v>
      </c>
      <c r="BF923" s="8" t="s">
        <v>200</v>
      </c>
      <c r="BG923" s="7" t="s">
        <v>200</v>
      </c>
      <c r="BH923" s="7" t="s">
        <v>200</v>
      </c>
      <c r="BI923" s="7"/>
      <c r="BJ923" s="4">
        <v>71</v>
      </c>
      <c r="BK923" s="8">
        <v>2464.36</v>
      </c>
      <c r="BL923" s="2" t="s">
        <v>5436</v>
      </c>
      <c r="BM923" s="7"/>
      <c r="BN923" s="7"/>
      <c r="BO923" s="4"/>
      <c r="BP923" s="8"/>
      <c r="BQ923" s="4"/>
      <c r="BR923" s="8"/>
      <c r="BS923" s="7"/>
      <c r="BT923" s="7"/>
      <c r="BU923" s="2" t="s">
        <v>5437</v>
      </c>
      <c r="BV923" s="2" t="s">
        <v>200</v>
      </c>
      <c r="BW923" s="2" t="s">
        <v>200</v>
      </c>
      <c r="BX923" s="2" t="s">
        <v>264</v>
      </c>
      <c r="BY923" s="2" t="s">
        <v>247</v>
      </c>
      <c r="BZ923" s="2" t="s">
        <v>212</v>
      </c>
      <c r="CA923" s="2" t="s">
        <v>5438</v>
      </c>
      <c r="CB923" s="2" t="s">
        <v>2310</v>
      </c>
      <c r="CC923" s="2" t="s">
        <v>213</v>
      </c>
      <c r="CD923" s="2" t="s">
        <v>200</v>
      </c>
      <c r="CE923" s="4">
        <v>288</v>
      </c>
      <c r="CF923" s="4"/>
      <c r="CG923" s="4"/>
      <c r="CH923" s="4">
        <v>28</v>
      </c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>
        <v>80</v>
      </c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</row>
    <row r="924">
      <c r="A924" s="2" t="s">
        <v>5439</v>
      </c>
      <c r="B924" s="2" t="s">
        <v>195</v>
      </c>
      <c r="C924" s="2" t="s">
        <v>3397</v>
      </c>
      <c r="D924" s="2" t="s">
        <v>1168</v>
      </c>
      <c r="E924" s="2" t="s">
        <v>1169</v>
      </c>
      <c r="F924" s="2" t="s">
        <v>5440</v>
      </c>
      <c r="G924" s="2" t="s">
        <v>3755</v>
      </c>
      <c r="H924" s="2" t="s">
        <v>3755</v>
      </c>
      <c r="I924" s="2" t="s">
        <v>5441</v>
      </c>
      <c r="J924" s="2" t="s">
        <v>5442</v>
      </c>
      <c r="K924" s="2" t="s">
        <v>1153</v>
      </c>
      <c r="L924" s="3">
        <v>36</v>
      </c>
      <c r="M924" s="3">
        <v>37.8</v>
      </c>
      <c r="N924" s="3">
        <v>74.99</v>
      </c>
      <c r="O924" s="2" t="s">
        <v>460</v>
      </c>
      <c r="P924" s="2" t="s">
        <v>760</v>
      </c>
      <c r="Q924" s="2" t="s">
        <v>206</v>
      </c>
      <c r="R924" s="2" t="s">
        <v>200</v>
      </c>
      <c r="S924" s="2" t="s">
        <v>5443</v>
      </c>
      <c r="T924" s="2" t="s">
        <v>2604</v>
      </c>
      <c r="U924" s="2" t="s">
        <v>270</v>
      </c>
      <c r="V924" s="2" t="s">
        <v>1198</v>
      </c>
      <c r="W924" s="2" t="s">
        <v>1900</v>
      </c>
      <c r="X924" s="2" t="s">
        <v>1271</v>
      </c>
      <c r="Y924" s="2" t="s">
        <v>5444</v>
      </c>
      <c r="Z924" s="4">
        <v>2</v>
      </c>
      <c r="AA924" s="4">
        <f>=ROUNDDOWN(0.222222222222222,0)</f>
      </c>
      <c r="AB924" s="5">
        <v>9</v>
      </c>
      <c r="AC924" s="2" t="s">
        <v>200</v>
      </c>
      <c r="AD924" s="4"/>
      <c r="AE924" s="4"/>
      <c r="AF924" s="6">
        <v>61</v>
      </c>
      <c r="AG924" s="6"/>
      <c r="AH924" s="7">
        <v>1</v>
      </c>
      <c r="AI924" s="4"/>
      <c r="AJ924" s="4">
        <f>=ROUNDDOWN({0},0)</f>
      </c>
      <c r="AK924" s="5"/>
      <c r="AL924" s="2" t="s">
        <v>200</v>
      </c>
      <c r="AM924" s="4"/>
      <c r="AN924" s="4"/>
      <c r="AO924" s="7"/>
      <c r="AP924" s="4"/>
      <c r="AQ924" s="8"/>
      <c r="AR924" s="4"/>
      <c r="AS924" s="8"/>
      <c r="AT924" s="7"/>
      <c r="AU924" s="7"/>
      <c r="AV924" s="4"/>
      <c r="AW924" s="8"/>
      <c r="AX924" s="4"/>
      <c r="AY924" s="8"/>
      <c r="AZ924" s="7"/>
      <c r="BA924" s="7"/>
      <c r="BB924" s="7"/>
      <c r="BC924" s="4"/>
      <c r="BD924" s="8"/>
      <c r="BE924" s="4"/>
      <c r="BF924" s="8"/>
      <c r="BG924" s="7"/>
      <c r="BH924" s="7"/>
      <c r="BI924" s="7"/>
      <c r="BJ924" s="4">
        <v>88</v>
      </c>
      <c r="BK924" s="8">
        <v>2752.13</v>
      </c>
      <c r="BL924" s="2" t="s">
        <v>5445</v>
      </c>
      <c r="BM924" s="7"/>
      <c r="BN924" s="7"/>
      <c r="BO924" s="4"/>
      <c r="BP924" s="8"/>
      <c r="BQ924" s="4"/>
      <c r="BR924" s="8"/>
      <c r="BS924" s="7"/>
      <c r="BT924" s="7"/>
      <c r="BU924" s="2" t="s">
        <v>5446</v>
      </c>
      <c r="BV924" s="2" t="s">
        <v>200</v>
      </c>
      <c r="BW924" s="2" t="s">
        <v>200</v>
      </c>
      <c r="BX924" s="2" t="s">
        <v>289</v>
      </c>
      <c r="BY924" s="2" t="s">
        <v>247</v>
      </c>
      <c r="BZ924" s="2" t="s">
        <v>212</v>
      </c>
      <c r="CA924" s="2" t="s">
        <v>5447</v>
      </c>
      <c r="CB924" s="2" t="s">
        <v>3676</v>
      </c>
      <c r="CC924" s="2" t="s">
        <v>213</v>
      </c>
      <c r="CD924" s="2" t="s">
        <v>200</v>
      </c>
      <c r="CE924" s="4">
        <v>2</v>
      </c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</row>
    <row r="925">
      <c r="A925" s="2" t="s">
        <v>5448</v>
      </c>
      <c r="B925" s="2" t="s">
        <v>744</v>
      </c>
      <c r="C925" s="2" t="s">
        <v>730</v>
      </c>
      <c r="D925" s="2" t="s">
        <v>1275</v>
      </c>
      <c r="E925" s="2" t="s">
        <v>1276</v>
      </c>
      <c r="F925" s="2" t="s">
        <v>5449</v>
      </c>
      <c r="G925" s="2" t="s">
        <v>5449</v>
      </c>
      <c r="H925" s="2" t="s">
        <v>5449</v>
      </c>
      <c r="I925" s="2" t="s">
        <v>5450</v>
      </c>
      <c r="J925" s="2" t="s">
        <v>711</v>
      </c>
      <c r="K925" s="2" t="s">
        <v>2589</v>
      </c>
      <c r="L925" s="3">
        <v>214.2</v>
      </c>
      <c r="M925" s="3">
        <v>224.91</v>
      </c>
      <c r="N925" s="3">
        <v>449</v>
      </c>
      <c r="O925" s="2" t="s">
        <v>460</v>
      </c>
      <c r="P925" s="2" t="s">
        <v>285</v>
      </c>
      <c r="Q925" s="2" t="s">
        <v>206</v>
      </c>
      <c r="R925" s="2" t="s">
        <v>200</v>
      </c>
      <c r="S925" s="2" t="s">
        <v>200</v>
      </c>
      <c r="T925" s="2" t="s">
        <v>200</v>
      </c>
      <c r="U925" s="2" t="s">
        <v>270</v>
      </c>
      <c r="V925" s="2" t="s">
        <v>616</v>
      </c>
      <c r="W925" s="2" t="s">
        <v>419</v>
      </c>
      <c r="X925" s="2" t="s">
        <v>737</v>
      </c>
      <c r="Y925" s="2" t="s">
        <v>5451</v>
      </c>
      <c r="Z925" s="4">
        <v>61</v>
      </c>
      <c r="AA925" s="4">
        <f>=ROUNDDOWN(30.5,0)</f>
      </c>
      <c r="AB925" s="5">
        <v>2</v>
      </c>
      <c r="AC925" s="2" t="s">
        <v>200</v>
      </c>
      <c r="AD925" s="4"/>
      <c r="AE925" s="4"/>
      <c r="AF925" s="6">
        <v>74</v>
      </c>
      <c r="AG925" s="6"/>
      <c r="AH925" s="7">
        <v>1</v>
      </c>
      <c r="AI925" s="4"/>
      <c r="AJ925" s="4">
        <f>=ROUNDDOWN({0},0)</f>
      </c>
      <c r="AK925" s="5"/>
      <c r="AL925" s="2" t="s">
        <v>200</v>
      </c>
      <c r="AM925" s="4"/>
      <c r="AN925" s="4"/>
      <c r="AO925" s="7"/>
      <c r="AP925" s="4"/>
      <c r="AQ925" s="8"/>
      <c r="AR925" s="4"/>
      <c r="AS925" s="8"/>
      <c r="AT925" s="7"/>
      <c r="AU925" s="7"/>
      <c r="AV925" s="4"/>
      <c r="AW925" s="8"/>
      <c r="AX925" s="4"/>
      <c r="AY925" s="8"/>
      <c r="AZ925" s="7"/>
      <c r="BA925" s="7"/>
      <c r="BB925" s="7"/>
      <c r="BC925" s="4"/>
      <c r="BD925" s="8"/>
      <c r="BE925" s="4"/>
      <c r="BF925" s="8"/>
      <c r="BG925" s="7"/>
      <c r="BH925" s="7"/>
      <c r="BI925" s="7"/>
      <c r="BJ925" s="4">
        <v>6</v>
      </c>
      <c r="BK925" s="8">
        <v>823.16</v>
      </c>
      <c r="BL925" s="2" t="s">
        <v>1675</v>
      </c>
      <c r="BM925" s="7"/>
      <c r="BN925" s="7"/>
      <c r="BO925" s="4"/>
      <c r="BP925" s="8"/>
      <c r="BQ925" s="4"/>
      <c r="BR925" s="8"/>
      <c r="BS925" s="7"/>
      <c r="BT925" s="7"/>
      <c r="BU925" s="2" t="s">
        <v>5452</v>
      </c>
      <c r="BV925" s="2" t="s">
        <v>200</v>
      </c>
      <c r="BW925" s="2" t="s">
        <v>200</v>
      </c>
      <c r="BX925" s="2" t="s">
        <v>289</v>
      </c>
      <c r="BY925" s="2" t="s">
        <v>247</v>
      </c>
      <c r="BZ925" s="2" t="s">
        <v>212</v>
      </c>
      <c r="CA925" s="2" t="s">
        <v>5451</v>
      </c>
      <c r="CB925" s="2" t="s">
        <v>5453</v>
      </c>
      <c r="CC925" s="2" t="s">
        <v>213</v>
      </c>
      <c r="CD925" s="2" t="s">
        <v>200</v>
      </c>
      <c r="CE925" s="4"/>
      <c r="CF925" s="4">
        <v>61</v>
      </c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</row>
    <row r="926">
      <c r="A926" s="2" t="s">
        <v>5454</v>
      </c>
      <c r="B926" s="2" t="s">
        <v>744</v>
      </c>
      <c r="C926" s="2" t="s">
        <v>745</v>
      </c>
      <c r="D926" s="2" t="s">
        <v>988</v>
      </c>
      <c r="E926" s="2" t="s">
        <v>2832</v>
      </c>
      <c r="F926" s="2" t="s">
        <v>5455</v>
      </c>
      <c r="G926" s="2" t="s">
        <v>5455</v>
      </c>
      <c r="H926" s="2" t="s">
        <v>5455</v>
      </c>
      <c r="I926" s="2" t="s">
        <v>5456</v>
      </c>
      <c r="J926" s="2" t="s">
        <v>711</v>
      </c>
      <c r="K926" s="2" t="s">
        <v>1135</v>
      </c>
      <c r="L926" s="3">
        <v>430</v>
      </c>
      <c r="M926" s="3">
        <v>451.5</v>
      </c>
      <c r="N926" s="3">
        <v>899</v>
      </c>
      <c r="O926" s="2" t="s">
        <v>212</v>
      </c>
      <c r="P926" s="2" t="s">
        <v>750</v>
      </c>
      <c r="Q926" s="2" t="s">
        <v>206</v>
      </c>
      <c r="R926" s="2" t="s">
        <v>200</v>
      </c>
      <c r="S926" s="2" t="s">
        <v>200</v>
      </c>
      <c r="T926" s="2" t="s">
        <v>200</v>
      </c>
      <c r="U926" s="2" t="s">
        <v>270</v>
      </c>
      <c r="V926" s="2" t="s">
        <v>616</v>
      </c>
      <c r="W926" s="2" t="s">
        <v>712</v>
      </c>
      <c r="X926" s="2" t="s">
        <v>379</v>
      </c>
      <c r="Y926" s="2" t="s">
        <v>1875</v>
      </c>
      <c r="Z926" s="4">
        <v>94</v>
      </c>
      <c r="AA926" s="4">
        <f>=ROUNDDOWN(85.4545454545455,0)</f>
      </c>
      <c r="AB926" s="5">
        <v>1.1</v>
      </c>
      <c r="AC926" s="2" t="s">
        <v>200</v>
      </c>
      <c r="AD926" s="4"/>
      <c r="AE926" s="4"/>
      <c r="AF926" s="6">
        <v>74</v>
      </c>
      <c r="AG926" s="6"/>
      <c r="AH926" s="7">
        <v>1</v>
      </c>
      <c r="AI926" s="4"/>
      <c r="AJ926" s="4">
        <f>=ROUNDDOWN({0},0)</f>
      </c>
      <c r="AK926" s="5"/>
      <c r="AL926" s="2" t="s">
        <v>200</v>
      </c>
      <c r="AM926" s="4"/>
      <c r="AN926" s="4"/>
      <c r="AO926" s="7"/>
      <c r="AP926" s="4"/>
      <c r="AQ926" s="8"/>
      <c r="AR926" s="4"/>
      <c r="AS926" s="8"/>
      <c r="AT926" s="7"/>
      <c r="AU926" s="7"/>
      <c r="AV926" s="4"/>
      <c r="AW926" s="8"/>
      <c r="AX926" s="4"/>
      <c r="AY926" s="8"/>
      <c r="AZ926" s="7"/>
      <c r="BA926" s="7"/>
      <c r="BB926" s="7"/>
      <c r="BC926" s="4"/>
      <c r="BD926" s="8"/>
      <c r="BE926" s="4"/>
      <c r="BF926" s="8"/>
      <c r="BG926" s="7"/>
      <c r="BH926" s="7"/>
      <c r="BI926" s="7"/>
      <c r="BJ926" s="4">
        <v>3</v>
      </c>
      <c r="BK926" s="8">
        <v>1485.58</v>
      </c>
      <c r="BL926" s="2" t="s">
        <v>1675</v>
      </c>
      <c r="BM926" s="7"/>
      <c r="BN926" s="7"/>
      <c r="BO926" s="4"/>
      <c r="BP926" s="8"/>
      <c r="BQ926" s="4"/>
      <c r="BR926" s="8"/>
      <c r="BS926" s="7"/>
      <c r="BT926" s="7"/>
      <c r="BU926" s="2" t="s">
        <v>5457</v>
      </c>
      <c r="BV926" s="2" t="s">
        <v>200</v>
      </c>
      <c r="BW926" s="2" t="s">
        <v>200</v>
      </c>
      <c r="BX926" s="2" t="s">
        <v>264</v>
      </c>
      <c r="BY926" s="2" t="s">
        <v>247</v>
      </c>
      <c r="BZ926" s="2" t="s">
        <v>212</v>
      </c>
      <c r="CA926" s="2" t="s">
        <v>3643</v>
      </c>
      <c r="CB926" s="2" t="s">
        <v>4019</v>
      </c>
      <c r="CC926" s="2" t="s">
        <v>213</v>
      </c>
      <c r="CD926" s="2" t="s">
        <v>200</v>
      </c>
      <c r="CE926" s="4"/>
      <c r="CF926" s="4">
        <v>94</v>
      </c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</row>
    <row r="927">
      <c r="A927" s="2" t="s">
        <v>5458</v>
      </c>
      <c r="B927" s="2" t="s">
        <v>195</v>
      </c>
      <c r="C927" s="2" t="s">
        <v>231</v>
      </c>
      <c r="D927" s="2" t="s">
        <v>608</v>
      </c>
      <c r="E927" s="2" t="s">
        <v>1324</v>
      </c>
      <c r="F927" s="2" t="s">
        <v>5459</v>
      </c>
      <c r="G927" s="2" t="s">
        <v>3634</v>
      </c>
      <c r="H927" s="2" t="s">
        <v>3634</v>
      </c>
      <c r="I927" s="2" t="s">
        <v>5460</v>
      </c>
      <c r="J927" s="2" t="s">
        <v>612</v>
      </c>
      <c r="K927" s="2" t="s">
        <v>237</v>
      </c>
      <c r="L927" s="3">
        <v>47.61</v>
      </c>
      <c r="M927" s="3">
        <v>49.99</v>
      </c>
      <c r="N927" s="3">
        <v>99.99</v>
      </c>
      <c r="O927" s="2" t="s">
        <v>212</v>
      </c>
      <c r="P927" s="2" t="s">
        <v>205</v>
      </c>
      <c r="Q927" s="2" t="s">
        <v>206</v>
      </c>
      <c r="R927" s="2" t="s">
        <v>200</v>
      </c>
      <c r="S927" s="2" t="s">
        <v>5461</v>
      </c>
      <c r="T927" s="2" t="s">
        <v>1899</v>
      </c>
      <c r="U927" s="2" t="s">
        <v>454</v>
      </c>
      <c r="V927" s="2" t="s">
        <v>339</v>
      </c>
      <c r="W927" s="2" t="s">
        <v>242</v>
      </c>
      <c r="X927" s="2" t="s">
        <v>1399</v>
      </c>
      <c r="Y927" s="2" t="s">
        <v>5462</v>
      </c>
      <c r="Z927" s="4"/>
      <c r="AA927" s="4">
        <f>=ROUNDDOWN({0},0)</f>
      </c>
      <c r="AB927" s="5">
        <v>11</v>
      </c>
      <c r="AC927" s="2" t="s">
        <v>1040</v>
      </c>
      <c r="AD927" s="4">
        <v>200</v>
      </c>
      <c r="AE927" s="4">
        <v>400</v>
      </c>
      <c r="AF927" s="6">
        <v>65</v>
      </c>
      <c r="AG927" s="6"/>
      <c r="AH927" s="7">
        <v>0.0667</v>
      </c>
      <c r="AI927" s="4"/>
      <c r="AJ927" s="4">
        <f>=ROUNDDOWN({0},0)</f>
      </c>
      <c r="AK927" s="5"/>
      <c r="AL927" s="2" t="s">
        <v>200</v>
      </c>
      <c r="AM927" s="4"/>
      <c r="AN927" s="4"/>
      <c r="AO927" s="7"/>
      <c r="AP927" s="4"/>
      <c r="AQ927" s="8"/>
      <c r="AR927" s="4"/>
      <c r="AS927" s="8"/>
      <c r="AT927" s="7"/>
      <c r="AU927" s="7"/>
      <c r="AV927" s="4"/>
      <c r="AW927" s="8"/>
      <c r="AX927" s="4"/>
      <c r="AY927" s="8"/>
      <c r="AZ927" s="7"/>
      <c r="BA927" s="7"/>
      <c r="BB927" s="7"/>
      <c r="BC927" s="4" t="s">
        <v>200</v>
      </c>
      <c r="BD927" s="8" t="s">
        <v>200</v>
      </c>
      <c r="BE927" s="4" t="s">
        <v>200</v>
      </c>
      <c r="BF927" s="8" t="s">
        <v>200</v>
      </c>
      <c r="BG927" s="7" t="s">
        <v>200</v>
      </c>
      <c r="BH927" s="7" t="s">
        <v>200</v>
      </c>
      <c r="BI927" s="7"/>
      <c r="BJ927" s="4">
        <v>18</v>
      </c>
      <c r="BK927" s="8">
        <v>1025.98</v>
      </c>
      <c r="BL927" s="2" t="s">
        <v>5463</v>
      </c>
      <c r="BM927" s="7"/>
      <c r="BN927" s="7"/>
      <c r="BO927" s="4"/>
      <c r="BP927" s="8"/>
      <c r="BQ927" s="4"/>
      <c r="BR927" s="8"/>
      <c r="BS927" s="7"/>
      <c r="BT927" s="7"/>
      <c r="BU927" s="2" t="s">
        <v>5464</v>
      </c>
      <c r="BV927" s="2" t="s">
        <v>200</v>
      </c>
      <c r="BW927" s="2" t="s">
        <v>200</v>
      </c>
      <c r="BX927" s="2" t="s">
        <v>264</v>
      </c>
      <c r="BY927" s="2" t="s">
        <v>247</v>
      </c>
      <c r="BZ927" s="2" t="s">
        <v>212</v>
      </c>
      <c r="CA927" s="2" t="s">
        <v>1494</v>
      </c>
      <c r="CB927" s="2" t="s">
        <v>1373</v>
      </c>
      <c r="CC927" s="2" t="s">
        <v>213</v>
      </c>
      <c r="CD927" s="2" t="s">
        <v>200</v>
      </c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>
        <v>200</v>
      </c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>
        <v>200</v>
      </c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</row>
    <row r="928">
      <c r="A928" s="2" t="s">
        <v>5465</v>
      </c>
      <c r="B928" s="2" t="s">
        <v>992</v>
      </c>
      <c r="C928" s="2" t="s">
        <v>231</v>
      </c>
      <c r="D928" s="2" t="s">
        <v>992</v>
      </c>
      <c r="E928" s="2" t="s">
        <v>992</v>
      </c>
      <c r="F928" s="2" t="s">
        <v>5459</v>
      </c>
      <c r="G928" s="2" t="s">
        <v>1504</v>
      </c>
      <c r="H928" s="2" t="s">
        <v>5466</v>
      </c>
      <c r="I928" s="2" t="s">
        <v>5467</v>
      </c>
      <c r="J928" s="2" t="s">
        <v>5468</v>
      </c>
      <c r="K928" s="2" t="s">
        <v>1626</v>
      </c>
      <c r="L928" s="3">
        <v>25.5</v>
      </c>
      <c r="M928" s="3">
        <v>26.78</v>
      </c>
      <c r="N928" s="3">
        <v>59.99</v>
      </c>
      <c r="O928" s="2" t="s">
        <v>460</v>
      </c>
      <c r="P928" s="2" t="s">
        <v>285</v>
      </c>
      <c r="Q928" s="2" t="s">
        <v>206</v>
      </c>
      <c r="R928" s="2" t="s">
        <v>200</v>
      </c>
      <c r="S928" s="2" t="s">
        <v>5469</v>
      </c>
      <c r="T928" s="2" t="s">
        <v>200</v>
      </c>
      <c r="U928" s="2" t="s">
        <v>270</v>
      </c>
      <c r="V928" s="2" t="s">
        <v>1529</v>
      </c>
      <c r="W928" s="2" t="s">
        <v>736</v>
      </c>
      <c r="X928" s="2" t="s">
        <v>200</v>
      </c>
      <c r="Y928" s="2" t="s">
        <v>4438</v>
      </c>
      <c r="Z928" s="4">
        <v>24</v>
      </c>
      <c r="AA928" s="4">
        <f>=ROUNDDOWN(9.6,0)</f>
      </c>
      <c r="AB928" s="5">
        <v>2.5</v>
      </c>
      <c r="AC928" s="2" t="s">
        <v>200</v>
      </c>
      <c r="AD928" s="4"/>
      <c r="AE928" s="4"/>
      <c r="AF928" s="6">
        <v>63</v>
      </c>
      <c r="AG928" s="6"/>
      <c r="AH928" s="7">
        <v>0.9</v>
      </c>
      <c r="AI928" s="4"/>
      <c r="AJ928" s="4">
        <f>=ROUNDDOWN({0},0)</f>
      </c>
      <c r="AK928" s="5"/>
      <c r="AL928" s="2" t="s">
        <v>200</v>
      </c>
      <c r="AM928" s="4"/>
      <c r="AN928" s="4"/>
      <c r="AO928" s="7"/>
      <c r="AP928" s="4"/>
      <c r="AQ928" s="8"/>
      <c r="AR928" s="4"/>
      <c r="AS928" s="8"/>
      <c r="AT928" s="7"/>
      <c r="AU928" s="7"/>
      <c r="AV928" s="4" t="s">
        <v>200</v>
      </c>
      <c r="AW928" s="8" t="s">
        <v>200</v>
      </c>
      <c r="AX928" s="4" t="s">
        <v>200</v>
      </c>
      <c r="AY928" s="8" t="s">
        <v>200</v>
      </c>
      <c r="AZ928" s="7" t="s">
        <v>200</v>
      </c>
      <c r="BA928" s="7" t="s">
        <v>200</v>
      </c>
      <c r="BB928" s="7"/>
      <c r="BC928" s="4" t="s">
        <v>200</v>
      </c>
      <c r="BD928" s="8" t="s">
        <v>200</v>
      </c>
      <c r="BE928" s="4" t="s">
        <v>200</v>
      </c>
      <c r="BF928" s="8" t="s">
        <v>200</v>
      </c>
      <c r="BG928" s="7" t="s">
        <v>200</v>
      </c>
      <c r="BH928" s="7" t="s">
        <v>200</v>
      </c>
      <c r="BI928" s="7"/>
      <c r="BJ928" s="4">
        <v>1</v>
      </c>
      <c r="BK928" s="8">
        <v>14.73</v>
      </c>
      <c r="BL928" s="2" t="s">
        <v>3665</v>
      </c>
      <c r="BM928" s="7"/>
      <c r="BN928" s="7"/>
      <c r="BO928" s="4"/>
      <c r="BP928" s="8"/>
      <c r="BQ928" s="4"/>
      <c r="BR928" s="8"/>
      <c r="BS928" s="7"/>
      <c r="BT928" s="7"/>
      <c r="BU928" s="2" t="s">
        <v>5470</v>
      </c>
      <c r="BV928" s="2" t="s">
        <v>200</v>
      </c>
      <c r="BW928" s="2" t="s">
        <v>200</v>
      </c>
      <c r="BX928" s="2" t="s">
        <v>289</v>
      </c>
      <c r="BY928" s="2" t="s">
        <v>247</v>
      </c>
      <c r="BZ928" s="2" t="s">
        <v>212</v>
      </c>
      <c r="CA928" s="2" t="s">
        <v>4441</v>
      </c>
      <c r="CB928" s="2" t="s">
        <v>200</v>
      </c>
      <c r="CC928" s="2" t="s">
        <v>213</v>
      </c>
      <c r="CD928" s="2" t="s">
        <v>200</v>
      </c>
      <c r="CE928" s="4"/>
      <c r="CF928" s="4">
        <v>24</v>
      </c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</row>
    <row r="929">
      <c r="A929" s="2" t="s">
        <v>5471</v>
      </c>
      <c r="B929" s="2" t="s">
        <v>992</v>
      </c>
      <c r="C929" s="2" t="s">
        <v>231</v>
      </c>
      <c r="D929" s="2" t="s">
        <v>992</v>
      </c>
      <c r="E929" s="2" t="s">
        <v>992</v>
      </c>
      <c r="F929" s="2" t="s">
        <v>5459</v>
      </c>
      <c r="G929" s="2" t="s">
        <v>1504</v>
      </c>
      <c r="H929" s="2" t="s">
        <v>5466</v>
      </c>
      <c r="I929" s="2" t="s">
        <v>5467</v>
      </c>
      <c r="J929" s="2" t="s">
        <v>997</v>
      </c>
      <c r="K929" s="2" t="s">
        <v>1626</v>
      </c>
      <c r="L929" s="3">
        <v>70</v>
      </c>
      <c r="M929" s="3">
        <v>73.5</v>
      </c>
      <c r="N929" s="3">
        <v>159.99</v>
      </c>
      <c r="O929" s="2" t="s">
        <v>460</v>
      </c>
      <c r="P929" s="2" t="s">
        <v>285</v>
      </c>
      <c r="Q929" s="2" t="s">
        <v>206</v>
      </c>
      <c r="R929" s="2" t="s">
        <v>200</v>
      </c>
      <c r="S929" s="2" t="s">
        <v>5469</v>
      </c>
      <c r="T929" s="2" t="s">
        <v>200</v>
      </c>
      <c r="U929" s="2" t="s">
        <v>270</v>
      </c>
      <c r="V929" s="2" t="s">
        <v>1529</v>
      </c>
      <c r="W929" s="2" t="s">
        <v>736</v>
      </c>
      <c r="X929" s="2" t="s">
        <v>200</v>
      </c>
      <c r="Y929" s="2" t="s">
        <v>4438</v>
      </c>
      <c r="Z929" s="4">
        <v>31</v>
      </c>
      <c r="AA929" s="4">
        <f>=ROUNDDOWN(18.2352941176471,0)</f>
      </c>
      <c r="AB929" s="5">
        <v>1.7</v>
      </c>
      <c r="AC929" s="2" t="s">
        <v>200</v>
      </c>
      <c r="AD929" s="4"/>
      <c r="AE929" s="4"/>
      <c r="AF929" s="6">
        <v>63</v>
      </c>
      <c r="AG929" s="6"/>
      <c r="AH929" s="7">
        <v>1</v>
      </c>
      <c r="AI929" s="4"/>
      <c r="AJ929" s="4">
        <f>=ROUNDDOWN({0},0)</f>
      </c>
      <c r="AK929" s="5"/>
      <c r="AL929" s="2" t="s">
        <v>200</v>
      </c>
      <c r="AM929" s="4"/>
      <c r="AN929" s="4"/>
      <c r="AO929" s="7"/>
      <c r="AP929" s="4"/>
      <c r="AQ929" s="8"/>
      <c r="AR929" s="4"/>
      <c r="AS929" s="8"/>
      <c r="AT929" s="7"/>
      <c r="AU929" s="7"/>
      <c r="AV929" s="4" t="s">
        <v>200</v>
      </c>
      <c r="AW929" s="8" t="s">
        <v>200</v>
      </c>
      <c r="AX929" s="4" t="s">
        <v>200</v>
      </c>
      <c r="AY929" s="8" t="s">
        <v>200</v>
      </c>
      <c r="AZ929" s="7" t="s">
        <v>200</v>
      </c>
      <c r="BA929" s="7" t="s">
        <v>200</v>
      </c>
      <c r="BB929" s="7"/>
      <c r="BC929" s="4" t="s">
        <v>200</v>
      </c>
      <c r="BD929" s="8" t="s">
        <v>200</v>
      </c>
      <c r="BE929" s="4" t="s">
        <v>200</v>
      </c>
      <c r="BF929" s="8" t="s">
        <v>200</v>
      </c>
      <c r="BG929" s="7" t="s">
        <v>200</v>
      </c>
      <c r="BH929" s="7" t="s">
        <v>200</v>
      </c>
      <c r="BI929" s="7"/>
      <c r="BJ929" s="4">
        <v>1</v>
      </c>
      <c r="BK929" s="8">
        <v>159.99</v>
      </c>
      <c r="BL929" s="2" t="s">
        <v>5472</v>
      </c>
      <c r="BM929" s="7"/>
      <c r="BN929" s="7"/>
      <c r="BO929" s="4"/>
      <c r="BP929" s="8"/>
      <c r="BQ929" s="4"/>
      <c r="BR929" s="8"/>
      <c r="BS929" s="7"/>
      <c r="BT929" s="7"/>
      <c r="BU929" s="2" t="s">
        <v>5473</v>
      </c>
      <c r="BV929" s="2" t="s">
        <v>200</v>
      </c>
      <c r="BW929" s="2" t="s">
        <v>200</v>
      </c>
      <c r="BX929" s="2" t="s">
        <v>289</v>
      </c>
      <c r="BY929" s="2" t="s">
        <v>247</v>
      </c>
      <c r="BZ929" s="2" t="s">
        <v>212</v>
      </c>
      <c r="CA929" s="2" t="s">
        <v>4441</v>
      </c>
      <c r="CB929" s="2" t="s">
        <v>200</v>
      </c>
      <c r="CC929" s="2" t="s">
        <v>213</v>
      </c>
      <c r="CD929" s="2" t="s">
        <v>200</v>
      </c>
      <c r="CE929" s="4"/>
      <c r="CF929" s="4">
        <v>31</v>
      </c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</row>
    <row r="930">
      <c r="A930" s="2" t="s">
        <v>5474</v>
      </c>
      <c r="B930" s="2" t="s">
        <v>992</v>
      </c>
      <c r="C930" s="2" t="s">
        <v>231</v>
      </c>
      <c r="D930" s="2" t="s">
        <v>992</v>
      </c>
      <c r="E930" s="2" t="s">
        <v>992</v>
      </c>
      <c r="F930" s="2" t="s">
        <v>5459</v>
      </c>
      <c r="G930" s="2" t="s">
        <v>1504</v>
      </c>
      <c r="H930" s="2" t="s">
        <v>5466</v>
      </c>
      <c r="I930" s="2" t="s">
        <v>5467</v>
      </c>
      <c r="J930" s="2" t="s">
        <v>1585</v>
      </c>
      <c r="K930" s="2" t="s">
        <v>1626</v>
      </c>
      <c r="L930" s="3">
        <v>150</v>
      </c>
      <c r="M930" s="3">
        <v>157.5</v>
      </c>
      <c r="N930" s="3">
        <v>319.98</v>
      </c>
      <c r="O930" s="2" t="s">
        <v>460</v>
      </c>
      <c r="P930" s="2" t="s">
        <v>285</v>
      </c>
      <c r="Q930" s="2" t="s">
        <v>206</v>
      </c>
      <c r="R930" s="2" t="s">
        <v>200</v>
      </c>
      <c r="S930" s="2" t="s">
        <v>5469</v>
      </c>
      <c r="T930" s="2" t="s">
        <v>200</v>
      </c>
      <c r="U930" s="2" t="s">
        <v>270</v>
      </c>
      <c r="V930" s="2" t="s">
        <v>1529</v>
      </c>
      <c r="W930" s="2" t="s">
        <v>736</v>
      </c>
      <c r="X930" s="2" t="s">
        <v>200</v>
      </c>
      <c r="Y930" s="2" t="s">
        <v>4438</v>
      </c>
      <c r="Z930" s="4">
        <v>99</v>
      </c>
      <c r="AA930" s="4">
        <f>=ROUNDDOWN(70.7142857142857,0)</f>
      </c>
      <c r="AB930" s="5">
        <v>1.4</v>
      </c>
      <c r="AC930" s="2" t="s">
        <v>200</v>
      </c>
      <c r="AD930" s="4"/>
      <c r="AE930" s="4"/>
      <c r="AF930" s="6">
        <v>63</v>
      </c>
      <c r="AG930" s="6"/>
      <c r="AH930" s="7">
        <v>1</v>
      </c>
      <c r="AI930" s="4"/>
      <c r="AJ930" s="4">
        <f>=ROUNDDOWN({0},0)</f>
      </c>
      <c r="AK930" s="5"/>
      <c r="AL930" s="2" t="s">
        <v>200</v>
      </c>
      <c r="AM930" s="4"/>
      <c r="AN930" s="4"/>
      <c r="AO930" s="7"/>
      <c r="AP930" s="4"/>
      <c r="AQ930" s="8"/>
      <c r="AR930" s="4"/>
      <c r="AS930" s="8"/>
      <c r="AT930" s="7"/>
      <c r="AU930" s="7"/>
      <c r="AV930" s="4" t="s">
        <v>200</v>
      </c>
      <c r="AW930" s="8" t="s">
        <v>200</v>
      </c>
      <c r="AX930" s="4" t="s">
        <v>200</v>
      </c>
      <c r="AY930" s="8" t="s">
        <v>200</v>
      </c>
      <c r="AZ930" s="7" t="s">
        <v>200</v>
      </c>
      <c r="BA930" s="7" t="s">
        <v>200</v>
      </c>
      <c r="BB930" s="7"/>
      <c r="BC930" s="4" t="s">
        <v>200</v>
      </c>
      <c r="BD930" s="8" t="s">
        <v>200</v>
      </c>
      <c r="BE930" s="4" t="s">
        <v>200</v>
      </c>
      <c r="BF930" s="8" t="s">
        <v>200</v>
      </c>
      <c r="BG930" s="7" t="s">
        <v>200</v>
      </c>
      <c r="BH930" s="7" t="s">
        <v>200</v>
      </c>
      <c r="BI930" s="7"/>
      <c r="BJ930" s="4">
        <v>1</v>
      </c>
      <c r="BK930" s="8">
        <v>82.69</v>
      </c>
      <c r="BL930" s="2" t="s">
        <v>5475</v>
      </c>
      <c r="BM930" s="7"/>
      <c r="BN930" s="7"/>
      <c r="BO930" s="4"/>
      <c r="BP930" s="8"/>
      <c r="BQ930" s="4"/>
      <c r="BR930" s="8"/>
      <c r="BS930" s="7"/>
      <c r="BT930" s="7"/>
      <c r="BU930" s="2" t="s">
        <v>5476</v>
      </c>
      <c r="BV930" s="2" t="s">
        <v>200</v>
      </c>
      <c r="BW930" s="2" t="s">
        <v>200</v>
      </c>
      <c r="BX930" s="2" t="s">
        <v>289</v>
      </c>
      <c r="BY930" s="2" t="s">
        <v>247</v>
      </c>
      <c r="BZ930" s="2" t="s">
        <v>212</v>
      </c>
      <c r="CA930" s="2" t="s">
        <v>4441</v>
      </c>
      <c r="CB930" s="2" t="s">
        <v>200</v>
      </c>
      <c r="CC930" s="2" t="s">
        <v>213</v>
      </c>
      <c r="CD930" s="2" t="s">
        <v>200</v>
      </c>
      <c r="CE930" s="4"/>
      <c r="CF930" s="4">
        <v>99</v>
      </c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</row>
    <row r="931">
      <c r="A931" s="2" t="s">
        <v>5477</v>
      </c>
      <c r="B931" s="2" t="s">
        <v>903</v>
      </c>
      <c r="C931" s="2" t="s">
        <v>607</v>
      </c>
      <c r="D931" s="2" t="s">
        <v>608</v>
      </c>
      <c r="E931" s="2" t="s">
        <v>609</v>
      </c>
      <c r="F931" s="2" t="s">
        <v>5478</v>
      </c>
      <c r="G931" s="2" t="s">
        <v>5478</v>
      </c>
      <c r="H931" s="2" t="s">
        <v>5478</v>
      </c>
      <c r="I931" s="2" t="s">
        <v>5479</v>
      </c>
      <c r="J931" s="2" t="s">
        <v>297</v>
      </c>
      <c r="K931" s="2" t="s">
        <v>3793</v>
      </c>
      <c r="L931" s="3">
        <v>150</v>
      </c>
      <c r="M931" s="3">
        <v>157.5</v>
      </c>
      <c r="N931" s="3">
        <v>299.99</v>
      </c>
      <c r="O931" s="2" t="s">
        <v>212</v>
      </c>
      <c r="P931" s="2" t="s">
        <v>205</v>
      </c>
      <c r="Q931" s="2" t="s">
        <v>206</v>
      </c>
      <c r="R931" s="2" t="s">
        <v>200</v>
      </c>
      <c r="S931" s="2" t="s">
        <v>200</v>
      </c>
      <c r="T931" s="2" t="s">
        <v>1176</v>
      </c>
      <c r="U931" s="2" t="s">
        <v>689</v>
      </c>
      <c r="V931" s="2" t="s">
        <v>208</v>
      </c>
      <c r="W931" s="2" t="s">
        <v>200</v>
      </c>
      <c r="X931" s="2" t="s">
        <v>200</v>
      </c>
      <c r="Y931" s="2" t="s">
        <v>200</v>
      </c>
      <c r="Z931" s="4"/>
      <c r="AA931" s="4">
        <f>=ROUNDDOWN({0},0)</f>
      </c>
      <c r="AB931" s="5"/>
      <c r="AC931" s="2" t="s">
        <v>1435</v>
      </c>
      <c r="AD931" s="4">
        <v>70</v>
      </c>
      <c r="AE931" s="4">
        <v>70</v>
      </c>
      <c r="AF931" s="6">
        <v>64</v>
      </c>
      <c r="AG931" s="6"/>
      <c r="AH931" s="7"/>
      <c r="AI931" s="4"/>
      <c r="AJ931" s="4">
        <f>=ROUNDDOWN({0},0)</f>
      </c>
      <c r="AK931" s="5"/>
      <c r="AL931" s="2" t="s">
        <v>200</v>
      </c>
      <c r="AM931" s="4"/>
      <c r="AN931" s="4"/>
      <c r="AO931" s="7"/>
      <c r="AP931" s="4"/>
      <c r="AQ931" s="8"/>
      <c r="AR931" s="4"/>
      <c r="AS931" s="8"/>
      <c r="AT931" s="7"/>
      <c r="AU931" s="7"/>
      <c r="AV931" s="4" t="s">
        <v>200</v>
      </c>
      <c r="AW931" s="8" t="s">
        <v>200</v>
      </c>
      <c r="AX931" s="4" t="s">
        <v>200</v>
      </c>
      <c r="AY931" s="8" t="s">
        <v>200</v>
      </c>
      <c r="AZ931" s="7" t="s">
        <v>200</v>
      </c>
      <c r="BA931" s="7" t="s">
        <v>200</v>
      </c>
      <c r="BB931" s="7"/>
      <c r="BC931" s="4" t="s">
        <v>200</v>
      </c>
      <c r="BD931" s="8" t="s">
        <v>200</v>
      </c>
      <c r="BE931" s="4" t="s">
        <v>200</v>
      </c>
      <c r="BF931" s="8" t="s">
        <v>200</v>
      </c>
      <c r="BG931" s="7" t="s">
        <v>200</v>
      </c>
      <c r="BH931" s="7" t="s">
        <v>200</v>
      </c>
      <c r="BI931" s="7"/>
      <c r="BJ931" s="4"/>
      <c r="BK931" s="8"/>
      <c r="BL931" s="2" t="s">
        <v>200</v>
      </c>
      <c r="BM931" s="7"/>
      <c r="BN931" s="7"/>
      <c r="BO931" s="4"/>
      <c r="BP931" s="8"/>
      <c r="BQ931" s="4"/>
      <c r="BR931" s="8"/>
      <c r="BS931" s="7"/>
      <c r="BT931" s="7"/>
      <c r="BU931" s="2" t="s">
        <v>210</v>
      </c>
      <c r="BV931" s="2" t="s">
        <v>200</v>
      </c>
      <c r="BW931" s="2" t="s">
        <v>200</v>
      </c>
      <c r="BX931" s="2" t="s">
        <v>210</v>
      </c>
      <c r="BY931" s="2" t="s">
        <v>211</v>
      </c>
      <c r="BZ931" s="2" t="s">
        <v>212</v>
      </c>
      <c r="CA931" s="2" t="s">
        <v>200</v>
      </c>
      <c r="CB931" s="2" t="s">
        <v>200</v>
      </c>
      <c r="CC931" s="2" t="s">
        <v>213</v>
      </c>
      <c r="CD931" s="2" t="s">
        <v>200</v>
      </c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>
        <v>70</v>
      </c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</row>
    <row r="932">
      <c r="A932" s="2" t="s">
        <v>5480</v>
      </c>
      <c r="B932" s="2" t="s">
        <v>903</v>
      </c>
      <c r="C932" s="2" t="s">
        <v>607</v>
      </c>
      <c r="D932" s="2" t="s">
        <v>608</v>
      </c>
      <c r="E932" s="2" t="s">
        <v>609</v>
      </c>
      <c r="F932" s="2" t="s">
        <v>5478</v>
      </c>
      <c r="G932" s="2" t="s">
        <v>5478</v>
      </c>
      <c r="H932" s="2" t="s">
        <v>5478</v>
      </c>
      <c r="I932" s="2" t="s">
        <v>5479</v>
      </c>
      <c r="J932" s="2" t="s">
        <v>302</v>
      </c>
      <c r="K932" s="2" t="s">
        <v>3793</v>
      </c>
      <c r="L932" s="3">
        <v>175</v>
      </c>
      <c r="M932" s="3">
        <v>183.75</v>
      </c>
      <c r="N932" s="3">
        <v>349.99</v>
      </c>
      <c r="O932" s="2" t="s">
        <v>212</v>
      </c>
      <c r="P932" s="2" t="s">
        <v>205</v>
      </c>
      <c r="Q932" s="2" t="s">
        <v>206</v>
      </c>
      <c r="R932" s="2" t="s">
        <v>200</v>
      </c>
      <c r="S932" s="2" t="s">
        <v>200</v>
      </c>
      <c r="T932" s="2" t="s">
        <v>1176</v>
      </c>
      <c r="U932" s="2" t="s">
        <v>909</v>
      </c>
      <c r="V932" s="2" t="s">
        <v>208</v>
      </c>
      <c r="W932" s="2" t="s">
        <v>200</v>
      </c>
      <c r="X932" s="2" t="s">
        <v>200</v>
      </c>
      <c r="Y932" s="2" t="s">
        <v>200</v>
      </c>
      <c r="Z932" s="4"/>
      <c r="AA932" s="4">
        <f>=ROUNDDOWN({0},0)</f>
      </c>
      <c r="AB932" s="5"/>
      <c r="AC932" s="2" t="s">
        <v>1435</v>
      </c>
      <c r="AD932" s="4">
        <v>116</v>
      </c>
      <c r="AE932" s="4">
        <v>116</v>
      </c>
      <c r="AF932" s="6">
        <v>64</v>
      </c>
      <c r="AG932" s="6"/>
      <c r="AH932" s="7"/>
      <c r="AI932" s="4"/>
      <c r="AJ932" s="4">
        <f>=ROUNDDOWN({0},0)</f>
      </c>
      <c r="AK932" s="5"/>
      <c r="AL932" s="2" t="s">
        <v>200</v>
      </c>
      <c r="AM932" s="4"/>
      <c r="AN932" s="4"/>
      <c r="AO932" s="7"/>
      <c r="AP932" s="4"/>
      <c r="AQ932" s="8"/>
      <c r="AR932" s="4"/>
      <c r="AS932" s="8"/>
      <c r="AT932" s="7"/>
      <c r="AU932" s="7"/>
      <c r="AV932" s="4" t="s">
        <v>200</v>
      </c>
      <c r="AW932" s="8" t="s">
        <v>200</v>
      </c>
      <c r="AX932" s="4" t="s">
        <v>200</v>
      </c>
      <c r="AY932" s="8" t="s">
        <v>200</v>
      </c>
      <c r="AZ932" s="7" t="s">
        <v>200</v>
      </c>
      <c r="BA932" s="7" t="s">
        <v>200</v>
      </c>
      <c r="BB932" s="7"/>
      <c r="BC932" s="4" t="s">
        <v>200</v>
      </c>
      <c r="BD932" s="8" t="s">
        <v>200</v>
      </c>
      <c r="BE932" s="4" t="s">
        <v>200</v>
      </c>
      <c r="BF932" s="8" t="s">
        <v>200</v>
      </c>
      <c r="BG932" s="7" t="s">
        <v>200</v>
      </c>
      <c r="BH932" s="7" t="s">
        <v>200</v>
      </c>
      <c r="BI932" s="7"/>
      <c r="BJ932" s="4"/>
      <c r="BK932" s="8"/>
      <c r="BL932" s="2" t="s">
        <v>200</v>
      </c>
      <c r="BM932" s="7"/>
      <c r="BN932" s="7"/>
      <c r="BO932" s="4"/>
      <c r="BP932" s="8"/>
      <c r="BQ932" s="4"/>
      <c r="BR932" s="8"/>
      <c r="BS932" s="7"/>
      <c r="BT932" s="7"/>
      <c r="BU932" s="2" t="s">
        <v>210</v>
      </c>
      <c r="BV932" s="2" t="s">
        <v>200</v>
      </c>
      <c r="BW932" s="2" t="s">
        <v>200</v>
      </c>
      <c r="BX932" s="2" t="s">
        <v>210</v>
      </c>
      <c r="BY932" s="2" t="s">
        <v>211</v>
      </c>
      <c r="BZ932" s="2" t="s">
        <v>212</v>
      </c>
      <c r="CA932" s="2" t="s">
        <v>200</v>
      </c>
      <c r="CB932" s="2" t="s">
        <v>200</v>
      </c>
      <c r="CC932" s="2" t="s">
        <v>213</v>
      </c>
      <c r="CD932" s="2" t="s">
        <v>200</v>
      </c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>
        <v>116</v>
      </c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</row>
    <row r="933">
      <c r="A933" s="2" t="s">
        <v>5481</v>
      </c>
      <c r="B933" s="2" t="s">
        <v>903</v>
      </c>
      <c r="C933" s="2" t="s">
        <v>307</v>
      </c>
      <c r="D933" s="2" t="s">
        <v>608</v>
      </c>
      <c r="E933" s="2" t="s">
        <v>904</v>
      </c>
      <c r="F933" s="2" t="s">
        <v>5482</v>
      </c>
      <c r="G933" s="2" t="s">
        <v>5483</v>
      </c>
      <c r="H933" s="2" t="s">
        <v>5484</v>
      </c>
      <c r="I933" s="2" t="s">
        <v>5485</v>
      </c>
      <c r="J933" s="2" t="s">
        <v>302</v>
      </c>
      <c r="K933" s="2" t="s">
        <v>5486</v>
      </c>
      <c r="L933" s="3">
        <v>42.85</v>
      </c>
      <c r="M933" s="3">
        <v>44.99</v>
      </c>
      <c r="N933" s="3">
        <v>89.99</v>
      </c>
      <c r="O933" s="2" t="s">
        <v>212</v>
      </c>
      <c r="P933" s="2" t="s">
        <v>205</v>
      </c>
      <c r="Q933" s="2" t="s">
        <v>206</v>
      </c>
      <c r="R933" s="2" t="s">
        <v>200</v>
      </c>
      <c r="S933" s="2" t="s">
        <v>5487</v>
      </c>
      <c r="T933" s="2" t="s">
        <v>378</v>
      </c>
      <c r="U933" s="2" t="s">
        <v>1067</v>
      </c>
      <c r="V933" s="2" t="s">
        <v>339</v>
      </c>
      <c r="W933" s="2" t="s">
        <v>379</v>
      </c>
      <c r="X933" s="2" t="s">
        <v>200</v>
      </c>
      <c r="Y933" s="2" t="s">
        <v>2993</v>
      </c>
      <c r="Z933" s="4">
        <v>431</v>
      </c>
      <c r="AA933" s="4">
        <f>=ROUNDDOWN(61.5714285714286,0)</f>
      </c>
      <c r="AB933" s="5">
        <v>7</v>
      </c>
      <c r="AC933" s="2" t="s">
        <v>200</v>
      </c>
      <c r="AD933" s="4"/>
      <c r="AE933" s="4"/>
      <c r="AF933" s="6">
        <v>65</v>
      </c>
      <c r="AG933" s="6"/>
      <c r="AH933" s="7">
        <v>1</v>
      </c>
      <c r="AI933" s="4"/>
      <c r="AJ933" s="4">
        <f>=ROUNDDOWN({0},0)</f>
      </c>
      <c r="AK933" s="5"/>
      <c r="AL933" s="2" t="s">
        <v>200</v>
      </c>
      <c r="AM933" s="4"/>
      <c r="AN933" s="4"/>
      <c r="AO933" s="7"/>
      <c r="AP933" s="4"/>
      <c r="AQ933" s="8"/>
      <c r="AR933" s="4"/>
      <c r="AS933" s="8"/>
      <c r="AT933" s="7"/>
      <c r="AU933" s="7"/>
      <c r="AV933" s="4" t="s">
        <v>200</v>
      </c>
      <c r="AW933" s="8" t="s">
        <v>200</v>
      </c>
      <c r="AX933" s="4" t="s">
        <v>200</v>
      </c>
      <c r="AY933" s="8" t="s">
        <v>200</v>
      </c>
      <c r="AZ933" s="7" t="s">
        <v>200</v>
      </c>
      <c r="BA933" s="7" t="s">
        <v>200</v>
      </c>
      <c r="BB933" s="7"/>
      <c r="BC933" s="4" t="s">
        <v>200</v>
      </c>
      <c r="BD933" s="8" t="s">
        <v>200</v>
      </c>
      <c r="BE933" s="4" t="s">
        <v>200</v>
      </c>
      <c r="BF933" s="8" t="s">
        <v>200</v>
      </c>
      <c r="BG933" s="7" t="s">
        <v>200</v>
      </c>
      <c r="BH933" s="7" t="s">
        <v>200</v>
      </c>
      <c r="BI933" s="7"/>
      <c r="BJ933" s="4">
        <v>59</v>
      </c>
      <c r="BK933" s="8">
        <v>2813.32</v>
      </c>
      <c r="BL933" s="2" t="s">
        <v>2436</v>
      </c>
      <c r="BM933" s="7"/>
      <c r="BN933" s="7"/>
      <c r="BO933" s="4"/>
      <c r="BP933" s="8"/>
      <c r="BQ933" s="4"/>
      <c r="BR933" s="8"/>
      <c r="BS933" s="7"/>
      <c r="BT933" s="7"/>
      <c r="BU933" s="2" t="s">
        <v>5488</v>
      </c>
      <c r="BV933" s="2" t="s">
        <v>200</v>
      </c>
      <c r="BW933" s="2" t="s">
        <v>200</v>
      </c>
      <c r="BX933" s="2" t="s">
        <v>620</v>
      </c>
      <c r="BY933" s="2" t="s">
        <v>247</v>
      </c>
      <c r="BZ933" s="2" t="s">
        <v>212</v>
      </c>
      <c r="CA933" s="2" t="s">
        <v>3598</v>
      </c>
      <c r="CB933" s="2" t="s">
        <v>5489</v>
      </c>
      <c r="CC933" s="2" t="s">
        <v>213</v>
      </c>
      <c r="CD933" s="2" t="s">
        <v>200</v>
      </c>
      <c r="CE933" s="4">
        <v>431</v>
      </c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</row>
    <row r="934">
      <c r="A934" s="2" t="s">
        <v>5490</v>
      </c>
      <c r="B934" s="2" t="s">
        <v>903</v>
      </c>
      <c r="C934" s="2" t="s">
        <v>307</v>
      </c>
      <c r="D934" s="2" t="s">
        <v>608</v>
      </c>
      <c r="E934" s="2" t="s">
        <v>904</v>
      </c>
      <c r="F934" s="2" t="s">
        <v>5482</v>
      </c>
      <c r="G934" s="2" t="s">
        <v>5483</v>
      </c>
      <c r="H934" s="2" t="s">
        <v>5484</v>
      </c>
      <c r="I934" s="2" t="s">
        <v>5485</v>
      </c>
      <c r="J934" s="2" t="s">
        <v>236</v>
      </c>
      <c r="K934" s="2" t="s">
        <v>5486</v>
      </c>
      <c r="L934" s="3">
        <v>42.85</v>
      </c>
      <c r="M934" s="3">
        <v>44.99</v>
      </c>
      <c r="N934" s="3">
        <v>89.99</v>
      </c>
      <c r="O934" s="2" t="s">
        <v>212</v>
      </c>
      <c r="P934" s="2" t="s">
        <v>205</v>
      </c>
      <c r="Q934" s="2" t="s">
        <v>206</v>
      </c>
      <c r="R934" s="2" t="s">
        <v>200</v>
      </c>
      <c r="S934" s="2" t="s">
        <v>5487</v>
      </c>
      <c r="T934" s="2" t="s">
        <v>378</v>
      </c>
      <c r="U934" s="2" t="s">
        <v>1067</v>
      </c>
      <c r="V934" s="2" t="s">
        <v>339</v>
      </c>
      <c r="W934" s="2" t="s">
        <v>379</v>
      </c>
      <c r="X934" s="2" t="s">
        <v>200</v>
      </c>
      <c r="Y934" s="2" t="s">
        <v>2612</v>
      </c>
      <c r="Z934" s="4">
        <v>238</v>
      </c>
      <c r="AA934" s="4">
        <f>=ROUNDDOWN(47.6,0)</f>
      </c>
      <c r="AB934" s="5">
        <v>5</v>
      </c>
      <c r="AC934" s="2" t="s">
        <v>200</v>
      </c>
      <c r="AD934" s="4"/>
      <c r="AE934" s="4"/>
      <c r="AF934" s="6">
        <v>65</v>
      </c>
      <c r="AG934" s="6"/>
      <c r="AH934" s="7">
        <v>1</v>
      </c>
      <c r="AI934" s="4"/>
      <c r="AJ934" s="4">
        <f>=ROUNDDOWN({0},0)</f>
      </c>
      <c r="AK934" s="5"/>
      <c r="AL934" s="2" t="s">
        <v>200</v>
      </c>
      <c r="AM934" s="4"/>
      <c r="AN934" s="4"/>
      <c r="AO934" s="7"/>
      <c r="AP934" s="4"/>
      <c r="AQ934" s="8"/>
      <c r="AR934" s="4"/>
      <c r="AS934" s="8"/>
      <c r="AT934" s="7"/>
      <c r="AU934" s="7"/>
      <c r="AV934" s="4" t="s">
        <v>200</v>
      </c>
      <c r="AW934" s="8" t="s">
        <v>200</v>
      </c>
      <c r="AX934" s="4" t="s">
        <v>200</v>
      </c>
      <c r="AY934" s="8" t="s">
        <v>200</v>
      </c>
      <c r="AZ934" s="7" t="s">
        <v>200</v>
      </c>
      <c r="BA934" s="7" t="s">
        <v>200</v>
      </c>
      <c r="BB934" s="7"/>
      <c r="BC934" s="4" t="s">
        <v>200</v>
      </c>
      <c r="BD934" s="8" t="s">
        <v>200</v>
      </c>
      <c r="BE934" s="4" t="s">
        <v>200</v>
      </c>
      <c r="BF934" s="8" t="s">
        <v>200</v>
      </c>
      <c r="BG934" s="7" t="s">
        <v>200</v>
      </c>
      <c r="BH934" s="7" t="s">
        <v>200</v>
      </c>
      <c r="BI934" s="7"/>
      <c r="BJ934" s="4">
        <v>20</v>
      </c>
      <c r="BK934" s="8">
        <v>943.61</v>
      </c>
      <c r="BL934" s="2" t="s">
        <v>327</v>
      </c>
      <c r="BM934" s="7"/>
      <c r="BN934" s="7"/>
      <c r="BO934" s="4"/>
      <c r="BP934" s="8"/>
      <c r="BQ934" s="4"/>
      <c r="BR934" s="8"/>
      <c r="BS934" s="7"/>
      <c r="BT934" s="7"/>
      <c r="BU934" s="2" t="s">
        <v>5491</v>
      </c>
      <c r="BV934" s="2" t="s">
        <v>200</v>
      </c>
      <c r="BW934" s="2" t="s">
        <v>200</v>
      </c>
      <c r="BX934" s="2" t="s">
        <v>620</v>
      </c>
      <c r="BY934" s="2" t="s">
        <v>247</v>
      </c>
      <c r="BZ934" s="2" t="s">
        <v>212</v>
      </c>
      <c r="CA934" s="2" t="s">
        <v>3598</v>
      </c>
      <c r="CB934" s="2" t="s">
        <v>703</v>
      </c>
      <c r="CC934" s="2" t="s">
        <v>213</v>
      </c>
      <c r="CD934" s="2" t="s">
        <v>200</v>
      </c>
      <c r="CE934" s="4">
        <v>238</v>
      </c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</row>
    <row r="935">
      <c r="A935" s="2" t="s">
        <v>5492</v>
      </c>
      <c r="B935" s="2" t="s">
        <v>705</v>
      </c>
      <c r="C935" s="2" t="s">
        <v>745</v>
      </c>
      <c r="D935" s="2" t="s">
        <v>808</v>
      </c>
      <c r="E935" s="2" t="s">
        <v>809</v>
      </c>
      <c r="F935" s="2" t="s">
        <v>5493</v>
      </c>
      <c r="G935" s="2" t="s">
        <v>5493</v>
      </c>
      <c r="H935" s="2" t="s">
        <v>5493</v>
      </c>
      <c r="I935" s="2" t="s">
        <v>5494</v>
      </c>
      <c r="J935" s="2" t="s">
        <v>711</v>
      </c>
      <c r="K935" s="2" t="s">
        <v>237</v>
      </c>
      <c r="L935" s="3">
        <v>18.18</v>
      </c>
      <c r="M935" s="3">
        <v>19.09</v>
      </c>
      <c r="N935" s="3">
        <v>39.99</v>
      </c>
      <c r="O935" s="2" t="s">
        <v>460</v>
      </c>
      <c r="P935" s="2" t="s">
        <v>285</v>
      </c>
      <c r="Q935" s="2" t="s">
        <v>206</v>
      </c>
      <c r="R935" s="2" t="s">
        <v>200</v>
      </c>
      <c r="S935" s="2" t="s">
        <v>200</v>
      </c>
      <c r="T935" s="2" t="s">
        <v>200</v>
      </c>
      <c r="U935" s="2" t="s">
        <v>270</v>
      </c>
      <c r="V935" s="2" t="s">
        <v>616</v>
      </c>
      <c r="W935" s="2" t="s">
        <v>379</v>
      </c>
      <c r="X935" s="2" t="s">
        <v>200</v>
      </c>
      <c r="Y935" s="2" t="s">
        <v>812</v>
      </c>
      <c r="Z935" s="4">
        <v>99</v>
      </c>
      <c r="AA935" s="4">
        <f>=ROUNDDOWN(66,0)</f>
      </c>
      <c r="AB935" s="5">
        <v>1.5</v>
      </c>
      <c r="AC935" s="2" t="s">
        <v>200</v>
      </c>
      <c r="AD935" s="4"/>
      <c r="AE935" s="4"/>
      <c r="AF935" s="6">
        <v>65</v>
      </c>
      <c r="AG935" s="6"/>
      <c r="AH935" s="7">
        <v>1</v>
      </c>
      <c r="AI935" s="4"/>
      <c r="AJ935" s="4">
        <f>=ROUNDDOWN({0},0)</f>
      </c>
      <c r="AK935" s="5"/>
      <c r="AL935" s="2" t="s">
        <v>200</v>
      </c>
      <c r="AM935" s="4"/>
      <c r="AN935" s="4"/>
      <c r="AO935" s="7"/>
      <c r="AP935" s="4"/>
      <c r="AQ935" s="8"/>
      <c r="AR935" s="4"/>
      <c r="AS935" s="8"/>
      <c r="AT935" s="7"/>
      <c r="AU935" s="7"/>
      <c r="AV935" s="4"/>
      <c r="AW935" s="8"/>
      <c r="AX935" s="4"/>
      <c r="AY935" s="8"/>
      <c r="AZ935" s="7"/>
      <c r="BA935" s="7"/>
      <c r="BB935" s="7"/>
      <c r="BC935" s="4"/>
      <c r="BD935" s="8"/>
      <c r="BE935" s="4"/>
      <c r="BF935" s="8"/>
      <c r="BG935" s="7"/>
      <c r="BH935" s="7"/>
      <c r="BI935" s="7"/>
      <c r="BJ935" s="4">
        <v>1</v>
      </c>
      <c r="BK935" s="8">
        <v>63.63</v>
      </c>
      <c r="BL935" s="2" t="s">
        <v>813</v>
      </c>
      <c r="BM935" s="7"/>
      <c r="BN935" s="7"/>
      <c r="BO935" s="4"/>
      <c r="BP935" s="8"/>
      <c r="BQ935" s="4"/>
      <c r="BR935" s="8"/>
      <c r="BS935" s="7"/>
      <c r="BT935" s="7"/>
      <c r="BU935" s="2" t="s">
        <v>5495</v>
      </c>
      <c r="BV935" s="2" t="s">
        <v>200</v>
      </c>
      <c r="BW935" s="2" t="s">
        <v>200</v>
      </c>
      <c r="BX935" s="2" t="s">
        <v>289</v>
      </c>
      <c r="BY935" s="2" t="s">
        <v>247</v>
      </c>
      <c r="BZ935" s="2" t="s">
        <v>212</v>
      </c>
      <c r="CA935" s="2" t="s">
        <v>815</v>
      </c>
      <c r="CB935" s="2" t="s">
        <v>200</v>
      </c>
      <c r="CC935" s="2" t="s">
        <v>213</v>
      </c>
      <c r="CD935" s="2" t="s">
        <v>200</v>
      </c>
      <c r="CE935" s="4"/>
      <c r="CF935" s="4">
        <v>99</v>
      </c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</row>
    <row r="936">
      <c r="A936" s="2" t="s">
        <v>5496</v>
      </c>
      <c r="B936" s="2" t="s">
        <v>705</v>
      </c>
      <c r="C936" s="2" t="s">
        <v>745</v>
      </c>
      <c r="D936" s="2" t="s">
        <v>817</v>
      </c>
      <c r="E936" s="2" t="s">
        <v>818</v>
      </c>
      <c r="F936" s="2" t="s">
        <v>5497</v>
      </c>
      <c r="G936" s="2" t="s">
        <v>5497</v>
      </c>
      <c r="H936" s="2" t="s">
        <v>5497</v>
      </c>
      <c r="I936" s="2" t="s">
        <v>5498</v>
      </c>
      <c r="J936" s="2" t="s">
        <v>711</v>
      </c>
      <c r="K936" s="2" t="s">
        <v>387</v>
      </c>
      <c r="L936" s="3">
        <v>40.38</v>
      </c>
      <c r="M936" s="3">
        <v>42.4</v>
      </c>
      <c r="N936" s="3">
        <v>89.99</v>
      </c>
      <c r="O936" s="2" t="s">
        <v>212</v>
      </c>
      <c r="P936" s="2" t="s">
        <v>258</v>
      </c>
      <c r="Q936" s="2" t="s">
        <v>206</v>
      </c>
      <c r="R936" s="2" t="s">
        <v>200</v>
      </c>
      <c r="S936" s="2" t="s">
        <v>200</v>
      </c>
      <c r="T936" s="2" t="s">
        <v>200</v>
      </c>
      <c r="U936" s="2" t="s">
        <v>270</v>
      </c>
      <c r="V936" s="2" t="s">
        <v>616</v>
      </c>
      <c r="W936" s="2" t="s">
        <v>379</v>
      </c>
      <c r="X936" s="2" t="s">
        <v>200</v>
      </c>
      <c r="Y936" s="2" t="s">
        <v>1708</v>
      </c>
      <c r="Z936" s="4">
        <v>34</v>
      </c>
      <c r="AA936" s="4">
        <f>=ROUNDDOWN(11.3333333333333,0)</f>
      </c>
      <c r="AB936" s="5">
        <v>3</v>
      </c>
      <c r="AC936" s="2" t="s">
        <v>200</v>
      </c>
      <c r="AD936" s="4"/>
      <c r="AE936" s="4"/>
      <c r="AF936" s="6">
        <v>65</v>
      </c>
      <c r="AG936" s="6"/>
      <c r="AH936" s="7">
        <v>1</v>
      </c>
      <c r="AI936" s="4"/>
      <c r="AJ936" s="4">
        <f>=ROUNDDOWN({0},0)</f>
      </c>
      <c r="AK936" s="5"/>
      <c r="AL936" s="2" t="s">
        <v>200</v>
      </c>
      <c r="AM936" s="4"/>
      <c r="AN936" s="4"/>
      <c r="AO936" s="7"/>
      <c r="AP936" s="4"/>
      <c r="AQ936" s="8"/>
      <c r="AR936" s="4"/>
      <c r="AS936" s="8"/>
      <c r="AT936" s="7"/>
      <c r="AU936" s="7"/>
      <c r="AV936" s="4"/>
      <c r="AW936" s="8"/>
      <c r="AX936" s="4"/>
      <c r="AY936" s="8"/>
      <c r="AZ936" s="7"/>
      <c r="BA936" s="7"/>
      <c r="BB936" s="7"/>
      <c r="BC936" s="4"/>
      <c r="BD936" s="8"/>
      <c r="BE936" s="4"/>
      <c r="BF936" s="8"/>
      <c r="BG936" s="7"/>
      <c r="BH936" s="7"/>
      <c r="BI936" s="7"/>
      <c r="BJ936" s="4">
        <v>14</v>
      </c>
      <c r="BK936" s="8">
        <v>664.14</v>
      </c>
      <c r="BL936" s="2" t="s">
        <v>5499</v>
      </c>
      <c r="BM936" s="7"/>
      <c r="BN936" s="7"/>
      <c r="BO936" s="4"/>
      <c r="BP936" s="8"/>
      <c r="BQ936" s="4"/>
      <c r="BR936" s="8"/>
      <c r="BS936" s="7"/>
      <c r="BT936" s="7"/>
      <c r="BU936" s="2" t="s">
        <v>5500</v>
      </c>
      <c r="BV936" s="2" t="s">
        <v>200</v>
      </c>
      <c r="BW936" s="2" t="s">
        <v>200</v>
      </c>
      <c r="BX936" s="2" t="s">
        <v>264</v>
      </c>
      <c r="BY936" s="2" t="s">
        <v>247</v>
      </c>
      <c r="BZ936" s="2" t="s">
        <v>212</v>
      </c>
      <c r="CA936" s="2" t="s">
        <v>824</v>
      </c>
      <c r="CB936" s="2" t="s">
        <v>5501</v>
      </c>
      <c r="CC936" s="2" t="s">
        <v>213</v>
      </c>
      <c r="CD936" s="2" t="s">
        <v>200</v>
      </c>
      <c r="CE936" s="4"/>
      <c r="CF936" s="4">
        <v>34</v>
      </c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</row>
    <row r="937">
      <c r="A937" s="2" t="s">
        <v>5502</v>
      </c>
      <c r="B937" s="2" t="s">
        <v>903</v>
      </c>
      <c r="C937" s="2" t="s">
        <v>231</v>
      </c>
      <c r="D937" s="2" t="s">
        <v>608</v>
      </c>
      <c r="E937" s="2" t="s">
        <v>609</v>
      </c>
      <c r="F937" s="2" t="s">
        <v>5503</v>
      </c>
      <c r="G937" s="2" t="s">
        <v>5504</v>
      </c>
      <c r="H937" s="2" t="s">
        <v>5505</v>
      </c>
      <c r="I937" s="2" t="s">
        <v>5506</v>
      </c>
      <c r="J937" s="2" t="s">
        <v>297</v>
      </c>
      <c r="K937" s="2" t="s">
        <v>387</v>
      </c>
      <c r="L937" s="3">
        <v>45.71</v>
      </c>
      <c r="M937" s="3">
        <v>48</v>
      </c>
      <c r="N937" s="3">
        <v>99.99</v>
      </c>
      <c r="O937" s="2" t="s">
        <v>212</v>
      </c>
      <c r="P937" s="2" t="s">
        <v>258</v>
      </c>
      <c r="Q937" s="2" t="s">
        <v>206</v>
      </c>
      <c r="R937" s="2" t="s">
        <v>200</v>
      </c>
      <c r="S937" s="2" t="s">
        <v>5507</v>
      </c>
      <c r="T937" s="2" t="s">
        <v>378</v>
      </c>
      <c r="U937" s="2" t="s">
        <v>1067</v>
      </c>
      <c r="V937" s="2" t="s">
        <v>339</v>
      </c>
      <c r="W937" s="2" t="s">
        <v>910</v>
      </c>
      <c r="X937" s="2" t="s">
        <v>419</v>
      </c>
      <c r="Y937" s="2" t="s">
        <v>5508</v>
      </c>
      <c r="Z937" s="4">
        <v>3</v>
      </c>
      <c r="AA937" s="4">
        <f>=ROUNDDOWN(0.136363636363636,0)</f>
      </c>
      <c r="AB937" s="5">
        <v>22</v>
      </c>
      <c r="AC937" s="2" t="s">
        <v>122</v>
      </c>
      <c r="AD937" s="4">
        <v>410</v>
      </c>
      <c r="AE937" s="4">
        <v>810</v>
      </c>
      <c r="AF937" s="6">
        <v>69</v>
      </c>
      <c r="AG937" s="6"/>
      <c r="AH937" s="7">
        <v>0</v>
      </c>
      <c r="AI937" s="4"/>
      <c r="AJ937" s="4">
        <f>=ROUNDDOWN({0},0)</f>
      </c>
      <c r="AK937" s="5"/>
      <c r="AL937" s="2" t="s">
        <v>200</v>
      </c>
      <c r="AM937" s="4"/>
      <c r="AN937" s="4"/>
      <c r="AO937" s="7"/>
      <c r="AP937" s="4"/>
      <c r="AQ937" s="8"/>
      <c r="AR937" s="4"/>
      <c r="AS937" s="8"/>
      <c r="AT937" s="7"/>
      <c r="AU937" s="7"/>
      <c r="AV937" s="4" t="s">
        <v>200</v>
      </c>
      <c r="AW937" s="8" t="s">
        <v>200</v>
      </c>
      <c r="AX937" s="4" t="s">
        <v>200</v>
      </c>
      <c r="AY937" s="8" t="s">
        <v>200</v>
      </c>
      <c r="AZ937" s="7" t="s">
        <v>200</v>
      </c>
      <c r="BA937" s="7" t="s">
        <v>200</v>
      </c>
      <c r="BB937" s="7"/>
      <c r="BC937" s="4" t="s">
        <v>200</v>
      </c>
      <c r="BD937" s="8" t="s">
        <v>200</v>
      </c>
      <c r="BE937" s="4" t="s">
        <v>200</v>
      </c>
      <c r="BF937" s="8" t="s">
        <v>200</v>
      </c>
      <c r="BG937" s="7" t="s">
        <v>200</v>
      </c>
      <c r="BH937" s="7" t="s">
        <v>200</v>
      </c>
      <c r="BI937" s="7"/>
      <c r="BJ937" s="4"/>
      <c r="BK937" s="8"/>
      <c r="BL937" s="2" t="s">
        <v>200</v>
      </c>
      <c r="BM937" s="7"/>
      <c r="BN937" s="7"/>
      <c r="BO937" s="4"/>
      <c r="BP937" s="8"/>
      <c r="BQ937" s="4"/>
      <c r="BR937" s="8"/>
      <c r="BS937" s="7"/>
      <c r="BT937" s="7"/>
      <c r="BU937" s="2" t="s">
        <v>5509</v>
      </c>
      <c r="BV937" s="2" t="s">
        <v>200</v>
      </c>
      <c r="BW937" s="2" t="s">
        <v>200</v>
      </c>
      <c r="BX937" s="2" t="s">
        <v>264</v>
      </c>
      <c r="BY937" s="2" t="s">
        <v>247</v>
      </c>
      <c r="BZ937" s="2" t="s">
        <v>212</v>
      </c>
      <c r="CA937" s="2" t="s">
        <v>2185</v>
      </c>
      <c r="CB937" s="2" t="s">
        <v>2703</v>
      </c>
      <c r="CC937" s="2" t="s">
        <v>213</v>
      </c>
      <c r="CD937" s="2" t="s">
        <v>200</v>
      </c>
      <c r="CE937" s="4">
        <v>3</v>
      </c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>
        <v>410</v>
      </c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>
        <v>200</v>
      </c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>
        <v>200</v>
      </c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</row>
    <row r="938">
      <c r="A938" s="2" t="s">
        <v>5510</v>
      </c>
      <c r="B938" s="2" t="s">
        <v>903</v>
      </c>
      <c r="C938" s="2" t="s">
        <v>231</v>
      </c>
      <c r="D938" s="2" t="s">
        <v>608</v>
      </c>
      <c r="E938" s="2" t="s">
        <v>609</v>
      </c>
      <c r="F938" s="2" t="s">
        <v>5503</v>
      </c>
      <c r="G938" s="2" t="s">
        <v>5504</v>
      </c>
      <c r="H938" s="2" t="s">
        <v>5505</v>
      </c>
      <c r="I938" s="2" t="s">
        <v>5506</v>
      </c>
      <c r="J938" s="2" t="s">
        <v>302</v>
      </c>
      <c r="K938" s="2" t="s">
        <v>387</v>
      </c>
      <c r="L938" s="3">
        <v>50.28</v>
      </c>
      <c r="M938" s="3">
        <v>52.79</v>
      </c>
      <c r="N938" s="3">
        <v>109.99</v>
      </c>
      <c r="O938" s="2" t="s">
        <v>212</v>
      </c>
      <c r="P938" s="2" t="s">
        <v>258</v>
      </c>
      <c r="Q938" s="2" t="s">
        <v>206</v>
      </c>
      <c r="R938" s="2" t="s">
        <v>200</v>
      </c>
      <c r="S938" s="2" t="s">
        <v>5507</v>
      </c>
      <c r="T938" s="2" t="s">
        <v>378</v>
      </c>
      <c r="U938" s="2" t="s">
        <v>1067</v>
      </c>
      <c r="V938" s="2" t="s">
        <v>339</v>
      </c>
      <c r="W938" s="2" t="s">
        <v>910</v>
      </c>
      <c r="X938" s="2" t="s">
        <v>419</v>
      </c>
      <c r="Y938" s="2" t="s">
        <v>5508</v>
      </c>
      <c r="Z938" s="4">
        <v>4</v>
      </c>
      <c r="AA938" s="4">
        <f>=ROUNDDOWN(0.4,0)</f>
      </c>
      <c r="AB938" s="5">
        <v>10</v>
      </c>
      <c r="AC938" s="2" t="s">
        <v>122</v>
      </c>
      <c r="AD938" s="4">
        <v>217</v>
      </c>
      <c r="AE938" s="4">
        <v>470</v>
      </c>
      <c r="AF938" s="6">
        <v>69</v>
      </c>
      <c r="AG938" s="6"/>
      <c r="AH938" s="7">
        <v>0.1</v>
      </c>
      <c r="AI938" s="4"/>
      <c r="AJ938" s="4">
        <f>=ROUNDDOWN({0},0)</f>
      </c>
      <c r="AK938" s="5"/>
      <c r="AL938" s="2" t="s">
        <v>200</v>
      </c>
      <c r="AM938" s="4"/>
      <c r="AN938" s="4"/>
      <c r="AO938" s="7"/>
      <c r="AP938" s="4"/>
      <c r="AQ938" s="8"/>
      <c r="AR938" s="4"/>
      <c r="AS938" s="8"/>
      <c r="AT938" s="7"/>
      <c r="AU938" s="7"/>
      <c r="AV938" s="4" t="s">
        <v>200</v>
      </c>
      <c r="AW938" s="8" t="s">
        <v>200</v>
      </c>
      <c r="AX938" s="4" t="s">
        <v>200</v>
      </c>
      <c r="AY938" s="8" t="s">
        <v>200</v>
      </c>
      <c r="AZ938" s="7" t="s">
        <v>200</v>
      </c>
      <c r="BA938" s="7" t="s">
        <v>200</v>
      </c>
      <c r="BB938" s="7"/>
      <c r="BC938" s="4" t="s">
        <v>200</v>
      </c>
      <c r="BD938" s="8" t="s">
        <v>200</v>
      </c>
      <c r="BE938" s="4" t="s">
        <v>200</v>
      </c>
      <c r="BF938" s="8" t="s">
        <v>200</v>
      </c>
      <c r="BG938" s="7" t="s">
        <v>200</v>
      </c>
      <c r="BH938" s="7" t="s">
        <v>200</v>
      </c>
      <c r="BI938" s="7"/>
      <c r="BJ938" s="4">
        <v>5</v>
      </c>
      <c r="BK938" s="8">
        <v>280.86</v>
      </c>
      <c r="BL938" s="2" t="s">
        <v>2376</v>
      </c>
      <c r="BM938" s="7"/>
      <c r="BN938" s="7"/>
      <c r="BO938" s="4"/>
      <c r="BP938" s="8"/>
      <c r="BQ938" s="4"/>
      <c r="BR938" s="8"/>
      <c r="BS938" s="7"/>
      <c r="BT938" s="7"/>
      <c r="BU938" s="2" t="s">
        <v>5511</v>
      </c>
      <c r="BV938" s="2" t="s">
        <v>200</v>
      </c>
      <c r="BW938" s="2" t="s">
        <v>200</v>
      </c>
      <c r="BX938" s="2" t="s">
        <v>264</v>
      </c>
      <c r="BY938" s="2" t="s">
        <v>247</v>
      </c>
      <c r="BZ938" s="2" t="s">
        <v>212</v>
      </c>
      <c r="CA938" s="2" t="s">
        <v>2185</v>
      </c>
      <c r="CB938" s="2" t="s">
        <v>4196</v>
      </c>
      <c r="CC938" s="2" t="s">
        <v>213</v>
      </c>
      <c r="CD938" s="2" t="s">
        <v>200</v>
      </c>
      <c r="CE938" s="4">
        <v>4</v>
      </c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>
        <v>217</v>
      </c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>
        <v>100</v>
      </c>
      <c r="ED938" s="4"/>
      <c r="EE938" s="4"/>
      <c r="EF938" s="4"/>
      <c r="EG938" s="4"/>
      <c r="EH938" s="4">
        <v>53</v>
      </c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>
        <v>100</v>
      </c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</row>
    <row r="939">
      <c r="A939" s="2" t="s">
        <v>5512</v>
      </c>
      <c r="B939" s="2" t="s">
        <v>903</v>
      </c>
      <c r="C939" s="2" t="s">
        <v>231</v>
      </c>
      <c r="D939" s="2" t="s">
        <v>608</v>
      </c>
      <c r="E939" s="2" t="s">
        <v>609</v>
      </c>
      <c r="F939" s="2" t="s">
        <v>5503</v>
      </c>
      <c r="G939" s="2" t="s">
        <v>5504</v>
      </c>
      <c r="H939" s="2" t="s">
        <v>5505</v>
      </c>
      <c r="I939" s="2" t="s">
        <v>5506</v>
      </c>
      <c r="J939" s="2" t="s">
        <v>236</v>
      </c>
      <c r="K939" s="2" t="s">
        <v>387</v>
      </c>
      <c r="L939" s="3">
        <v>50.28</v>
      </c>
      <c r="M939" s="3">
        <v>52.79</v>
      </c>
      <c r="N939" s="3">
        <v>109.99</v>
      </c>
      <c r="O939" s="2" t="s">
        <v>212</v>
      </c>
      <c r="P939" s="2" t="s">
        <v>258</v>
      </c>
      <c r="Q939" s="2" t="s">
        <v>206</v>
      </c>
      <c r="R939" s="2" t="s">
        <v>200</v>
      </c>
      <c r="S939" s="2" t="s">
        <v>5507</v>
      </c>
      <c r="T939" s="2" t="s">
        <v>378</v>
      </c>
      <c r="U939" s="2" t="s">
        <v>1067</v>
      </c>
      <c r="V939" s="2" t="s">
        <v>339</v>
      </c>
      <c r="W939" s="2" t="s">
        <v>910</v>
      </c>
      <c r="X939" s="2" t="s">
        <v>419</v>
      </c>
      <c r="Y939" s="2" t="s">
        <v>5508</v>
      </c>
      <c r="Z939" s="4">
        <v>3</v>
      </c>
      <c r="AA939" s="4">
        <f>=ROUNDDOWN(0.428571428571429,0)</f>
      </c>
      <c r="AB939" s="5">
        <v>7</v>
      </c>
      <c r="AC939" s="2" t="s">
        <v>3403</v>
      </c>
      <c r="AD939" s="4">
        <v>100</v>
      </c>
      <c r="AE939" s="4">
        <v>320</v>
      </c>
      <c r="AF939" s="6">
        <v>69</v>
      </c>
      <c r="AG939" s="6"/>
      <c r="AH939" s="7">
        <v>0</v>
      </c>
      <c r="AI939" s="4"/>
      <c r="AJ939" s="4">
        <f>=ROUNDDOWN({0},0)</f>
      </c>
      <c r="AK939" s="5"/>
      <c r="AL939" s="2" t="s">
        <v>200</v>
      </c>
      <c r="AM939" s="4"/>
      <c r="AN939" s="4"/>
      <c r="AO939" s="7"/>
      <c r="AP939" s="4"/>
      <c r="AQ939" s="8"/>
      <c r="AR939" s="4"/>
      <c r="AS939" s="8"/>
      <c r="AT939" s="7"/>
      <c r="AU939" s="7"/>
      <c r="AV939" s="4" t="s">
        <v>200</v>
      </c>
      <c r="AW939" s="8" t="s">
        <v>200</v>
      </c>
      <c r="AX939" s="4" t="s">
        <v>200</v>
      </c>
      <c r="AY939" s="8" t="s">
        <v>200</v>
      </c>
      <c r="AZ939" s="7" t="s">
        <v>200</v>
      </c>
      <c r="BA939" s="7" t="s">
        <v>200</v>
      </c>
      <c r="BB939" s="7"/>
      <c r="BC939" s="4" t="s">
        <v>200</v>
      </c>
      <c r="BD939" s="8" t="s">
        <v>200</v>
      </c>
      <c r="BE939" s="4" t="s">
        <v>200</v>
      </c>
      <c r="BF939" s="8" t="s">
        <v>200</v>
      </c>
      <c r="BG939" s="7" t="s">
        <v>200</v>
      </c>
      <c r="BH939" s="7" t="s">
        <v>200</v>
      </c>
      <c r="BI939" s="7"/>
      <c r="BJ939" s="4"/>
      <c r="BK939" s="8"/>
      <c r="BL939" s="2" t="s">
        <v>200</v>
      </c>
      <c r="BM939" s="7"/>
      <c r="BN939" s="7"/>
      <c r="BO939" s="4"/>
      <c r="BP939" s="8"/>
      <c r="BQ939" s="4"/>
      <c r="BR939" s="8"/>
      <c r="BS939" s="7"/>
      <c r="BT939" s="7"/>
      <c r="BU939" s="2" t="s">
        <v>5513</v>
      </c>
      <c r="BV939" s="2" t="s">
        <v>200</v>
      </c>
      <c r="BW939" s="2" t="s">
        <v>200</v>
      </c>
      <c r="BX939" s="2" t="s">
        <v>264</v>
      </c>
      <c r="BY939" s="2" t="s">
        <v>247</v>
      </c>
      <c r="BZ939" s="2" t="s">
        <v>212</v>
      </c>
      <c r="CA939" s="2" t="s">
        <v>2185</v>
      </c>
      <c r="CB939" s="2" t="s">
        <v>3644</v>
      </c>
      <c r="CC939" s="2" t="s">
        <v>213</v>
      </c>
      <c r="CD939" s="2" t="s">
        <v>200</v>
      </c>
      <c r="CE939" s="4">
        <v>3</v>
      </c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>
        <v>100</v>
      </c>
      <c r="ED939" s="4"/>
      <c r="EE939" s="4"/>
      <c r="EF939" s="4"/>
      <c r="EG939" s="4"/>
      <c r="EH939" s="4">
        <v>120</v>
      </c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>
        <v>100</v>
      </c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</row>
    <row r="940">
      <c r="A940" s="2" t="s">
        <v>5514</v>
      </c>
      <c r="B940" s="2" t="s">
        <v>903</v>
      </c>
      <c r="C940" s="2" t="s">
        <v>231</v>
      </c>
      <c r="D940" s="2" t="s">
        <v>608</v>
      </c>
      <c r="E940" s="2" t="s">
        <v>609</v>
      </c>
      <c r="F940" s="2" t="s">
        <v>5503</v>
      </c>
      <c r="G940" s="2" t="s">
        <v>5504</v>
      </c>
      <c r="H940" s="2" t="s">
        <v>5505</v>
      </c>
      <c r="I940" s="2" t="s">
        <v>5506</v>
      </c>
      <c r="J940" s="2" t="s">
        <v>297</v>
      </c>
      <c r="K940" s="2" t="s">
        <v>801</v>
      </c>
      <c r="L940" s="3">
        <v>45.71</v>
      </c>
      <c r="M940" s="3">
        <v>48</v>
      </c>
      <c r="N940" s="3">
        <v>99.99</v>
      </c>
      <c r="O940" s="2" t="s">
        <v>212</v>
      </c>
      <c r="P940" s="2" t="s">
        <v>258</v>
      </c>
      <c r="Q940" s="2" t="s">
        <v>206</v>
      </c>
      <c r="R940" s="2" t="s">
        <v>200</v>
      </c>
      <c r="S940" s="2" t="s">
        <v>5515</v>
      </c>
      <c r="T940" s="2" t="s">
        <v>378</v>
      </c>
      <c r="U940" s="2" t="s">
        <v>1067</v>
      </c>
      <c r="V940" s="2" t="s">
        <v>339</v>
      </c>
      <c r="W940" s="2" t="s">
        <v>910</v>
      </c>
      <c r="X940" s="2" t="s">
        <v>419</v>
      </c>
      <c r="Y940" s="2" t="s">
        <v>5516</v>
      </c>
      <c r="Z940" s="4">
        <v>1</v>
      </c>
      <c r="AA940" s="4">
        <f>=ROUNDDOWN(0.0416666666666667,0)</f>
      </c>
      <c r="AB940" s="5">
        <v>24</v>
      </c>
      <c r="AC940" s="2" t="s">
        <v>122</v>
      </c>
      <c r="AD940" s="4">
        <v>320</v>
      </c>
      <c r="AE940" s="4">
        <v>780</v>
      </c>
      <c r="AF940" s="6">
        <v>69</v>
      </c>
      <c r="AG940" s="6"/>
      <c r="AH940" s="7">
        <v>0</v>
      </c>
      <c r="AI940" s="4"/>
      <c r="AJ940" s="4">
        <f>=ROUNDDOWN({0},0)</f>
      </c>
      <c r="AK940" s="5"/>
      <c r="AL940" s="2" t="s">
        <v>200</v>
      </c>
      <c r="AM940" s="4"/>
      <c r="AN940" s="4"/>
      <c r="AO940" s="7"/>
      <c r="AP940" s="4"/>
      <c r="AQ940" s="8"/>
      <c r="AR940" s="4"/>
      <c r="AS940" s="8"/>
      <c r="AT940" s="7"/>
      <c r="AU940" s="7"/>
      <c r="AV940" s="4" t="s">
        <v>200</v>
      </c>
      <c r="AW940" s="8" t="s">
        <v>200</v>
      </c>
      <c r="AX940" s="4" t="s">
        <v>200</v>
      </c>
      <c r="AY940" s="8" t="s">
        <v>200</v>
      </c>
      <c r="AZ940" s="7" t="s">
        <v>200</v>
      </c>
      <c r="BA940" s="7" t="s">
        <v>200</v>
      </c>
      <c r="BB940" s="7"/>
      <c r="BC940" s="4" t="s">
        <v>200</v>
      </c>
      <c r="BD940" s="8" t="s">
        <v>200</v>
      </c>
      <c r="BE940" s="4" t="s">
        <v>200</v>
      </c>
      <c r="BF940" s="8" t="s">
        <v>200</v>
      </c>
      <c r="BG940" s="7" t="s">
        <v>200</v>
      </c>
      <c r="BH940" s="7" t="s">
        <v>200</v>
      </c>
      <c r="BI940" s="7"/>
      <c r="BJ940" s="4"/>
      <c r="BK940" s="8"/>
      <c r="BL940" s="2" t="s">
        <v>200</v>
      </c>
      <c r="BM940" s="7"/>
      <c r="BN940" s="7"/>
      <c r="BO940" s="4"/>
      <c r="BP940" s="8"/>
      <c r="BQ940" s="4"/>
      <c r="BR940" s="8"/>
      <c r="BS940" s="7"/>
      <c r="BT940" s="7"/>
      <c r="BU940" s="2" t="s">
        <v>5517</v>
      </c>
      <c r="BV940" s="2" t="s">
        <v>200</v>
      </c>
      <c r="BW940" s="2" t="s">
        <v>200</v>
      </c>
      <c r="BX940" s="2" t="s">
        <v>264</v>
      </c>
      <c r="BY940" s="2" t="s">
        <v>247</v>
      </c>
      <c r="BZ940" s="2" t="s">
        <v>212</v>
      </c>
      <c r="CA940" s="2" t="s">
        <v>5518</v>
      </c>
      <c r="CB940" s="2" t="s">
        <v>2132</v>
      </c>
      <c r="CC940" s="2" t="s">
        <v>213</v>
      </c>
      <c r="CD940" s="2" t="s">
        <v>200</v>
      </c>
      <c r="CE940" s="4">
        <v>1</v>
      </c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>
        <v>320</v>
      </c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>
        <v>230</v>
      </c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>
        <v>230</v>
      </c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</row>
    <row r="941">
      <c r="A941" s="2" t="s">
        <v>5519</v>
      </c>
      <c r="B941" s="2" t="s">
        <v>903</v>
      </c>
      <c r="C941" s="2" t="s">
        <v>231</v>
      </c>
      <c r="D941" s="2" t="s">
        <v>608</v>
      </c>
      <c r="E941" s="2" t="s">
        <v>609</v>
      </c>
      <c r="F941" s="2" t="s">
        <v>5503</v>
      </c>
      <c r="G941" s="2" t="s">
        <v>5504</v>
      </c>
      <c r="H941" s="2" t="s">
        <v>5505</v>
      </c>
      <c r="I941" s="2" t="s">
        <v>5506</v>
      </c>
      <c r="J941" s="2" t="s">
        <v>302</v>
      </c>
      <c r="K941" s="2" t="s">
        <v>801</v>
      </c>
      <c r="L941" s="3">
        <v>50.28</v>
      </c>
      <c r="M941" s="3">
        <v>52.79</v>
      </c>
      <c r="N941" s="3">
        <v>109.99</v>
      </c>
      <c r="O941" s="2" t="s">
        <v>212</v>
      </c>
      <c r="P941" s="2" t="s">
        <v>258</v>
      </c>
      <c r="Q941" s="2" t="s">
        <v>206</v>
      </c>
      <c r="R941" s="2" t="s">
        <v>200</v>
      </c>
      <c r="S941" s="2" t="s">
        <v>5515</v>
      </c>
      <c r="T941" s="2" t="s">
        <v>378</v>
      </c>
      <c r="U941" s="2" t="s">
        <v>1067</v>
      </c>
      <c r="V941" s="2" t="s">
        <v>339</v>
      </c>
      <c r="W941" s="2" t="s">
        <v>910</v>
      </c>
      <c r="X941" s="2" t="s">
        <v>419</v>
      </c>
      <c r="Y941" s="2" t="s">
        <v>5516</v>
      </c>
      <c r="Z941" s="4">
        <v>1</v>
      </c>
      <c r="AA941" s="4">
        <f>=ROUNDDOWN(0.0625,0)</f>
      </c>
      <c r="AB941" s="5">
        <v>16</v>
      </c>
      <c r="AC941" s="2" t="s">
        <v>122</v>
      </c>
      <c r="AD941" s="4">
        <v>260</v>
      </c>
      <c r="AE941" s="4">
        <v>570</v>
      </c>
      <c r="AF941" s="6">
        <v>69</v>
      </c>
      <c r="AG941" s="6"/>
      <c r="AH941" s="7">
        <v>0</v>
      </c>
      <c r="AI941" s="4"/>
      <c r="AJ941" s="4">
        <f>=ROUNDDOWN({0},0)</f>
      </c>
      <c r="AK941" s="5"/>
      <c r="AL941" s="2" t="s">
        <v>200</v>
      </c>
      <c r="AM941" s="4"/>
      <c r="AN941" s="4"/>
      <c r="AO941" s="7"/>
      <c r="AP941" s="4"/>
      <c r="AQ941" s="8"/>
      <c r="AR941" s="4"/>
      <c r="AS941" s="8"/>
      <c r="AT941" s="7"/>
      <c r="AU941" s="7"/>
      <c r="AV941" s="4" t="s">
        <v>200</v>
      </c>
      <c r="AW941" s="8" t="s">
        <v>200</v>
      </c>
      <c r="AX941" s="4" t="s">
        <v>200</v>
      </c>
      <c r="AY941" s="8" t="s">
        <v>200</v>
      </c>
      <c r="AZ941" s="7" t="s">
        <v>200</v>
      </c>
      <c r="BA941" s="7" t="s">
        <v>200</v>
      </c>
      <c r="BB941" s="7"/>
      <c r="BC941" s="4" t="s">
        <v>200</v>
      </c>
      <c r="BD941" s="8" t="s">
        <v>200</v>
      </c>
      <c r="BE941" s="4" t="s">
        <v>200</v>
      </c>
      <c r="BF941" s="8" t="s">
        <v>200</v>
      </c>
      <c r="BG941" s="7" t="s">
        <v>200</v>
      </c>
      <c r="BH941" s="7" t="s">
        <v>200</v>
      </c>
      <c r="BI941" s="7"/>
      <c r="BJ941" s="4">
        <v>1</v>
      </c>
      <c r="BK941" s="8">
        <v>52.79</v>
      </c>
      <c r="BL941" s="2" t="s">
        <v>813</v>
      </c>
      <c r="BM941" s="7"/>
      <c r="BN941" s="7"/>
      <c r="BO941" s="4"/>
      <c r="BP941" s="8"/>
      <c r="BQ941" s="4"/>
      <c r="BR941" s="8"/>
      <c r="BS941" s="7"/>
      <c r="BT941" s="7"/>
      <c r="BU941" s="2" t="s">
        <v>5520</v>
      </c>
      <c r="BV941" s="2" t="s">
        <v>200</v>
      </c>
      <c r="BW941" s="2" t="s">
        <v>200</v>
      </c>
      <c r="BX941" s="2" t="s">
        <v>264</v>
      </c>
      <c r="BY941" s="2" t="s">
        <v>247</v>
      </c>
      <c r="BZ941" s="2" t="s">
        <v>212</v>
      </c>
      <c r="CA941" s="2" t="s">
        <v>2185</v>
      </c>
      <c r="CB941" s="2" t="s">
        <v>1368</v>
      </c>
      <c r="CC941" s="2" t="s">
        <v>213</v>
      </c>
      <c r="CD941" s="2" t="s">
        <v>200</v>
      </c>
      <c r="CE941" s="4">
        <v>1</v>
      </c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>
        <v>260</v>
      </c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>
        <v>150</v>
      </c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>
        <v>160</v>
      </c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</row>
    <row r="942">
      <c r="A942" s="2" t="s">
        <v>5521</v>
      </c>
      <c r="B942" s="2" t="s">
        <v>903</v>
      </c>
      <c r="C942" s="2" t="s">
        <v>231</v>
      </c>
      <c r="D942" s="2" t="s">
        <v>608</v>
      </c>
      <c r="E942" s="2" t="s">
        <v>609</v>
      </c>
      <c r="F942" s="2" t="s">
        <v>5503</v>
      </c>
      <c r="G942" s="2" t="s">
        <v>5504</v>
      </c>
      <c r="H942" s="2" t="s">
        <v>5505</v>
      </c>
      <c r="I942" s="2" t="s">
        <v>5506</v>
      </c>
      <c r="J942" s="2" t="s">
        <v>236</v>
      </c>
      <c r="K942" s="2" t="s">
        <v>801</v>
      </c>
      <c r="L942" s="3">
        <v>50.28</v>
      </c>
      <c r="M942" s="3">
        <v>52.79</v>
      </c>
      <c r="N942" s="3">
        <v>109.99</v>
      </c>
      <c r="O942" s="2" t="s">
        <v>212</v>
      </c>
      <c r="P942" s="2" t="s">
        <v>258</v>
      </c>
      <c r="Q942" s="2" t="s">
        <v>206</v>
      </c>
      <c r="R942" s="2" t="s">
        <v>200</v>
      </c>
      <c r="S942" s="2" t="s">
        <v>5515</v>
      </c>
      <c r="T942" s="2" t="s">
        <v>378</v>
      </c>
      <c r="U942" s="2" t="s">
        <v>1067</v>
      </c>
      <c r="V942" s="2" t="s">
        <v>339</v>
      </c>
      <c r="W942" s="2" t="s">
        <v>910</v>
      </c>
      <c r="X942" s="2" t="s">
        <v>419</v>
      </c>
      <c r="Y942" s="2" t="s">
        <v>5516</v>
      </c>
      <c r="Z942" s="4">
        <v>6</v>
      </c>
      <c r="AA942" s="4">
        <f>=ROUNDDOWN(0.461538461538462,0)</f>
      </c>
      <c r="AB942" s="5">
        <v>13</v>
      </c>
      <c r="AC942" s="2" t="s">
        <v>122</v>
      </c>
      <c r="AD942" s="4">
        <v>220</v>
      </c>
      <c r="AE942" s="4">
        <v>280</v>
      </c>
      <c r="AF942" s="6">
        <v>69</v>
      </c>
      <c r="AG942" s="6"/>
      <c r="AH942" s="7">
        <v>0</v>
      </c>
      <c r="AI942" s="4"/>
      <c r="AJ942" s="4">
        <f>=ROUNDDOWN({0},0)</f>
      </c>
      <c r="AK942" s="5"/>
      <c r="AL942" s="2" t="s">
        <v>200</v>
      </c>
      <c r="AM942" s="4"/>
      <c r="AN942" s="4"/>
      <c r="AO942" s="7">
        <v>0</v>
      </c>
      <c r="AP942" s="4"/>
      <c r="AQ942" s="8"/>
      <c r="AR942" s="4"/>
      <c r="AS942" s="8"/>
      <c r="AT942" s="7"/>
      <c r="AU942" s="7"/>
      <c r="AV942" s="4" t="s">
        <v>200</v>
      </c>
      <c r="AW942" s="8" t="s">
        <v>200</v>
      </c>
      <c r="AX942" s="4" t="s">
        <v>200</v>
      </c>
      <c r="AY942" s="8" t="s">
        <v>200</v>
      </c>
      <c r="AZ942" s="7" t="s">
        <v>200</v>
      </c>
      <c r="BA942" s="7" t="s">
        <v>200</v>
      </c>
      <c r="BB942" s="7"/>
      <c r="BC942" s="4" t="s">
        <v>200</v>
      </c>
      <c r="BD942" s="8" t="s">
        <v>200</v>
      </c>
      <c r="BE942" s="4" t="s">
        <v>200</v>
      </c>
      <c r="BF942" s="8" t="s">
        <v>200</v>
      </c>
      <c r="BG942" s="7" t="s">
        <v>200</v>
      </c>
      <c r="BH942" s="7" t="s">
        <v>200</v>
      </c>
      <c r="BI942" s="7"/>
      <c r="BJ942" s="4"/>
      <c r="BK942" s="8"/>
      <c r="BL942" s="2" t="s">
        <v>200</v>
      </c>
      <c r="BM942" s="7"/>
      <c r="BN942" s="7"/>
      <c r="BO942" s="4"/>
      <c r="BP942" s="8"/>
      <c r="BQ942" s="4"/>
      <c r="BR942" s="8"/>
      <c r="BS942" s="7"/>
      <c r="BT942" s="7"/>
      <c r="BU942" s="2" t="s">
        <v>5522</v>
      </c>
      <c r="BV942" s="2" t="s">
        <v>200</v>
      </c>
      <c r="BW942" s="2" t="s">
        <v>200</v>
      </c>
      <c r="BX942" s="2" t="s">
        <v>264</v>
      </c>
      <c r="BY942" s="2" t="s">
        <v>247</v>
      </c>
      <c r="BZ942" s="2" t="s">
        <v>212</v>
      </c>
      <c r="CA942" s="2" t="s">
        <v>2185</v>
      </c>
      <c r="CB942" s="2" t="s">
        <v>5518</v>
      </c>
      <c r="CC942" s="2" t="s">
        <v>213</v>
      </c>
      <c r="CD942" s="2" t="s">
        <v>200</v>
      </c>
      <c r="CE942" s="4">
        <v>6</v>
      </c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>
        <v>220</v>
      </c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>
        <v>60</v>
      </c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</row>
    <row r="943">
      <c r="A943" s="2" t="s">
        <v>5523</v>
      </c>
      <c r="B943" s="2" t="s">
        <v>744</v>
      </c>
      <c r="C943" s="2" t="s">
        <v>745</v>
      </c>
      <c r="D943" s="2" t="s">
        <v>795</v>
      </c>
      <c r="E943" s="2" t="s">
        <v>796</v>
      </c>
      <c r="F943" s="2" t="s">
        <v>5524</v>
      </c>
      <c r="G943" s="2" t="s">
        <v>5524</v>
      </c>
      <c r="H943" s="2" t="s">
        <v>5524</v>
      </c>
      <c r="I943" s="2" t="s">
        <v>5525</v>
      </c>
      <c r="J943" s="2" t="s">
        <v>711</v>
      </c>
      <c r="K943" s="2" t="s">
        <v>857</v>
      </c>
      <c r="L943" s="3">
        <v>239</v>
      </c>
      <c r="M943" s="3">
        <v>250.95</v>
      </c>
      <c r="N943" s="3">
        <v>499</v>
      </c>
      <c r="O943" s="2" t="s">
        <v>212</v>
      </c>
      <c r="P943" s="2" t="s">
        <v>205</v>
      </c>
      <c r="Q943" s="2" t="s">
        <v>206</v>
      </c>
      <c r="R943" s="2" t="s">
        <v>200</v>
      </c>
      <c r="S943" s="2" t="s">
        <v>200</v>
      </c>
      <c r="T943" s="2" t="s">
        <v>200</v>
      </c>
      <c r="U943" s="2" t="s">
        <v>270</v>
      </c>
      <c r="V943" s="2" t="s">
        <v>208</v>
      </c>
      <c r="W943" s="2" t="s">
        <v>379</v>
      </c>
      <c r="X943" s="2" t="s">
        <v>241</v>
      </c>
      <c r="Y943" s="2" t="s">
        <v>703</v>
      </c>
      <c r="Z943" s="4">
        <v>62</v>
      </c>
      <c r="AA943" s="4">
        <f>=ROUNDDOWN(62,0)</f>
      </c>
      <c r="AB943" s="5">
        <v>1</v>
      </c>
      <c r="AC943" s="2" t="s">
        <v>200</v>
      </c>
      <c r="AD943" s="4"/>
      <c r="AE943" s="4"/>
      <c r="AF943" s="6">
        <v>74</v>
      </c>
      <c r="AG943" s="6"/>
      <c r="AH943" s="7">
        <v>1</v>
      </c>
      <c r="AI943" s="4"/>
      <c r="AJ943" s="4">
        <f>=ROUNDDOWN({0},0)</f>
      </c>
      <c r="AK943" s="5"/>
      <c r="AL943" s="2" t="s">
        <v>200</v>
      </c>
      <c r="AM943" s="4"/>
      <c r="AN943" s="4"/>
      <c r="AO943" s="7"/>
      <c r="AP943" s="4"/>
      <c r="AQ943" s="8"/>
      <c r="AR943" s="4"/>
      <c r="AS943" s="8"/>
      <c r="AT943" s="7"/>
      <c r="AU943" s="7"/>
      <c r="AV943" s="4"/>
      <c r="AW943" s="8"/>
      <c r="AX943" s="4"/>
      <c r="AY943" s="8"/>
      <c r="AZ943" s="7"/>
      <c r="BA943" s="7"/>
      <c r="BB943" s="7"/>
      <c r="BC943" s="4" t="s">
        <v>200</v>
      </c>
      <c r="BD943" s="8" t="s">
        <v>200</v>
      </c>
      <c r="BE943" s="4" t="s">
        <v>200</v>
      </c>
      <c r="BF943" s="8" t="s">
        <v>200</v>
      </c>
      <c r="BG943" s="7" t="s">
        <v>200</v>
      </c>
      <c r="BH943" s="7" t="s">
        <v>200</v>
      </c>
      <c r="BI943" s="7"/>
      <c r="BJ943" s="4">
        <v>2</v>
      </c>
      <c r="BK943" s="8">
        <v>501.9</v>
      </c>
      <c r="BL943" s="2" t="s">
        <v>813</v>
      </c>
      <c r="BM943" s="7"/>
      <c r="BN943" s="7"/>
      <c r="BO943" s="4"/>
      <c r="BP943" s="8"/>
      <c r="BQ943" s="4"/>
      <c r="BR943" s="8"/>
      <c r="BS943" s="7"/>
      <c r="BT943" s="7"/>
      <c r="BU943" s="2" t="s">
        <v>5526</v>
      </c>
      <c r="BV943" s="2" t="s">
        <v>200</v>
      </c>
      <c r="BW943" s="2" t="s">
        <v>200</v>
      </c>
      <c r="BX943" s="2" t="s">
        <v>264</v>
      </c>
      <c r="BY943" s="2" t="s">
        <v>247</v>
      </c>
      <c r="BZ943" s="2" t="s">
        <v>212</v>
      </c>
      <c r="CA943" s="2" t="s">
        <v>3864</v>
      </c>
      <c r="CB943" s="2" t="s">
        <v>200</v>
      </c>
      <c r="CC943" s="2" t="s">
        <v>213</v>
      </c>
      <c r="CD943" s="2" t="s">
        <v>200</v>
      </c>
      <c r="CE943" s="4"/>
      <c r="CF943" s="4">
        <v>62</v>
      </c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</row>
    <row r="944">
      <c r="A944" s="2" t="s">
        <v>5527</v>
      </c>
      <c r="B944" s="2" t="s">
        <v>744</v>
      </c>
      <c r="C944" s="2" t="s">
        <v>745</v>
      </c>
      <c r="D944" s="2" t="s">
        <v>795</v>
      </c>
      <c r="E944" s="2" t="s">
        <v>796</v>
      </c>
      <c r="F944" s="2" t="s">
        <v>5524</v>
      </c>
      <c r="G944" s="2" t="s">
        <v>5524</v>
      </c>
      <c r="H944" s="2" t="s">
        <v>5524</v>
      </c>
      <c r="I944" s="2" t="s">
        <v>5525</v>
      </c>
      <c r="J944" s="2" t="s">
        <v>711</v>
      </c>
      <c r="K944" s="2" t="s">
        <v>416</v>
      </c>
      <c r="L944" s="3">
        <v>239</v>
      </c>
      <c r="M944" s="3">
        <v>250.95</v>
      </c>
      <c r="N944" s="3">
        <v>499</v>
      </c>
      <c r="O944" s="2" t="s">
        <v>212</v>
      </c>
      <c r="P944" s="2" t="s">
        <v>205</v>
      </c>
      <c r="Q944" s="2" t="s">
        <v>206</v>
      </c>
      <c r="R944" s="2" t="s">
        <v>200</v>
      </c>
      <c r="S944" s="2" t="s">
        <v>200</v>
      </c>
      <c r="T944" s="2" t="s">
        <v>200</v>
      </c>
      <c r="U944" s="2" t="s">
        <v>270</v>
      </c>
      <c r="V944" s="2" t="s">
        <v>208</v>
      </c>
      <c r="W944" s="2" t="s">
        <v>379</v>
      </c>
      <c r="X944" s="2" t="s">
        <v>241</v>
      </c>
      <c r="Y944" s="2" t="s">
        <v>703</v>
      </c>
      <c r="Z944" s="4">
        <v>51</v>
      </c>
      <c r="AA944" s="4">
        <f>=ROUNDDOWN(12.75,0)</f>
      </c>
      <c r="AB944" s="5">
        <v>4</v>
      </c>
      <c r="AC944" s="2" t="s">
        <v>5528</v>
      </c>
      <c r="AD944" s="4">
        <v>100</v>
      </c>
      <c r="AE944" s="4">
        <v>100</v>
      </c>
      <c r="AF944" s="6">
        <v>74</v>
      </c>
      <c r="AG944" s="6"/>
      <c r="AH944" s="7">
        <v>1</v>
      </c>
      <c r="AI944" s="4"/>
      <c r="AJ944" s="4">
        <f>=ROUNDDOWN({0},0)</f>
      </c>
      <c r="AK944" s="5"/>
      <c r="AL944" s="2" t="s">
        <v>200</v>
      </c>
      <c r="AM944" s="4"/>
      <c r="AN944" s="4"/>
      <c r="AO944" s="7"/>
      <c r="AP944" s="4"/>
      <c r="AQ944" s="8"/>
      <c r="AR944" s="4"/>
      <c r="AS944" s="8"/>
      <c r="AT944" s="7"/>
      <c r="AU944" s="7"/>
      <c r="AV944" s="4"/>
      <c r="AW944" s="8"/>
      <c r="AX944" s="4"/>
      <c r="AY944" s="8"/>
      <c r="AZ944" s="7"/>
      <c r="BA944" s="7"/>
      <c r="BB944" s="7"/>
      <c r="BC944" s="4" t="s">
        <v>200</v>
      </c>
      <c r="BD944" s="8" t="s">
        <v>200</v>
      </c>
      <c r="BE944" s="4" t="s">
        <v>200</v>
      </c>
      <c r="BF944" s="8" t="s">
        <v>200</v>
      </c>
      <c r="BG944" s="7" t="s">
        <v>200</v>
      </c>
      <c r="BH944" s="7" t="s">
        <v>200</v>
      </c>
      <c r="BI944" s="7"/>
      <c r="BJ944" s="4">
        <v>2</v>
      </c>
      <c r="BK944" s="8">
        <v>501.9</v>
      </c>
      <c r="BL944" s="2" t="s">
        <v>813</v>
      </c>
      <c r="BM944" s="7"/>
      <c r="BN944" s="7"/>
      <c r="BO944" s="4"/>
      <c r="BP944" s="8"/>
      <c r="BQ944" s="4"/>
      <c r="BR944" s="8"/>
      <c r="BS944" s="7"/>
      <c r="BT944" s="7"/>
      <c r="BU944" s="2" t="s">
        <v>5529</v>
      </c>
      <c r="BV944" s="2" t="s">
        <v>200</v>
      </c>
      <c r="BW944" s="2" t="s">
        <v>200</v>
      </c>
      <c r="BX944" s="2" t="s">
        <v>264</v>
      </c>
      <c r="BY944" s="2" t="s">
        <v>247</v>
      </c>
      <c r="BZ944" s="2" t="s">
        <v>212</v>
      </c>
      <c r="CA944" s="2" t="s">
        <v>3864</v>
      </c>
      <c r="CB944" s="2" t="s">
        <v>200</v>
      </c>
      <c r="CC944" s="2" t="s">
        <v>213</v>
      </c>
      <c r="CD944" s="2" t="s">
        <v>200</v>
      </c>
      <c r="CE944" s="4"/>
      <c r="CF944" s="4">
        <v>51</v>
      </c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>
        <v>100</v>
      </c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</row>
    <row r="945">
      <c r="A945" s="2" t="s">
        <v>5530</v>
      </c>
      <c r="B945" s="2" t="s">
        <v>719</v>
      </c>
      <c r="C945" s="2" t="s">
        <v>745</v>
      </c>
      <c r="D945" s="2" t="s">
        <v>1554</v>
      </c>
      <c r="E945" s="2" t="s">
        <v>721</v>
      </c>
      <c r="F945" s="2" t="s">
        <v>5531</v>
      </c>
      <c r="G945" s="2" t="s">
        <v>5531</v>
      </c>
      <c r="H945" s="2" t="s">
        <v>5531</v>
      </c>
      <c r="I945" s="2" t="s">
        <v>5532</v>
      </c>
      <c r="J945" s="2" t="s">
        <v>711</v>
      </c>
      <c r="K945" s="2" t="s">
        <v>733</v>
      </c>
      <c r="L945" s="3">
        <v>71.42</v>
      </c>
      <c r="M945" s="3">
        <v>74.99</v>
      </c>
      <c r="N945" s="3">
        <v>149.99</v>
      </c>
      <c r="O945" s="2" t="s">
        <v>212</v>
      </c>
      <c r="P945" s="2" t="s">
        <v>285</v>
      </c>
      <c r="Q945" s="2" t="s">
        <v>206</v>
      </c>
      <c r="R945" s="2" t="s">
        <v>200</v>
      </c>
      <c r="S945" s="2" t="s">
        <v>200</v>
      </c>
      <c r="T945" s="2" t="s">
        <v>200</v>
      </c>
      <c r="U945" s="2" t="s">
        <v>677</v>
      </c>
      <c r="V945" s="2" t="s">
        <v>885</v>
      </c>
      <c r="W945" s="2" t="s">
        <v>712</v>
      </c>
      <c r="X945" s="2" t="s">
        <v>419</v>
      </c>
      <c r="Y945" s="2" t="s">
        <v>5070</v>
      </c>
      <c r="Z945" s="4">
        <v>63</v>
      </c>
      <c r="AA945" s="4">
        <f>=ROUNDDOWN(78.75,0)</f>
      </c>
      <c r="AB945" s="5">
        <v>0.8</v>
      </c>
      <c r="AC945" s="2" t="s">
        <v>200</v>
      </c>
      <c r="AD945" s="4"/>
      <c r="AE945" s="4"/>
      <c r="AF945" s="6">
        <v>63</v>
      </c>
      <c r="AG945" s="6"/>
      <c r="AH945" s="7">
        <v>1</v>
      </c>
      <c r="AI945" s="4"/>
      <c r="AJ945" s="4">
        <f>=ROUNDDOWN({0},0)</f>
      </c>
      <c r="AK945" s="5"/>
      <c r="AL945" s="2" t="s">
        <v>200</v>
      </c>
      <c r="AM945" s="4"/>
      <c r="AN945" s="4"/>
      <c r="AO945" s="7"/>
      <c r="AP945" s="4"/>
      <c r="AQ945" s="8"/>
      <c r="AR945" s="4"/>
      <c r="AS945" s="8"/>
      <c r="AT945" s="7"/>
      <c r="AU945" s="7"/>
      <c r="AV945" s="4"/>
      <c r="AW945" s="8"/>
      <c r="AX945" s="4"/>
      <c r="AY945" s="8"/>
      <c r="AZ945" s="7"/>
      <c r="BA945" s="7"/>
      <c r="BB945" s="7"/>
      <c r="BC945" s="4"/>
      <c r="BD945" s="8"/>
      <c r="BE945" s="4"/>
      <c r="BF945" s="8"/>
      <c r="BG945" s="7"/>
      <c r="BH945" s="7"/>
      <c r="BI945" s="7"/>
      <c r="BJ945" s="4">
        <v>1</v>
      </c>
      <c r="BK945" s="8">
        <v>83.99</v>
      </c>
      <c r="BL945" s="2" t="s">
        <v>5533</v>
      </c>
      <c r="BM945" s="7"/>
      <c r="BN945" s="7"/>
      <c r="BO945" s="4"/>
      <c r="BP945" s="8"/>
      <c r="BQ945" s="4"/>
      <c r="BR945" s="8"/>
      <c r="BS945" s="7"/>
      <c r="BT945" s="7"/>
      <c r="BU945" s="2" t="s">
        <v>5534</v>
      </c>
      <c r="BV945" s="2" t="s">
        <v>200</v>
      </c>
      <c r="BW945" s="2" t="s">
        <v>200</v>
      </c>
      <c r="BX945" s="2" t="s">
        <v>289</v>
      </c>
      <c r="BY945" s="2" t="s">
        <v>247</v>
      </c>
      <c r="BZ945" s="2" t="s">
        <v>212</v>
      </c>
      <c r="CA945" s="2" t="s">
        <v>458</v>
      </c>
      <c r="CB945" s="2" t="s">
        <v>5535</v>
      </c>
      <c r="CC945" s="2" t="s">
        <v>213</v>
      </c>
      <c r="CD945" s="2" t="s">
        <v>200</v>
      </c>
      <c r="CE945" s="4"/>
      <c r="CF945" s="4">
        <v>63</v>
      </c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</row>
    <row r="946">
      <c r="A946" s="2" t="s">
        <v>5536</v>
      </c>
      <c r="B946" s="2" t="s">
        <v>744</v>
      </c>
      <c r="C946" s="2" t="s">
        <v>231</v>
      </c>
      <c r="D946" s="2" t="s">
        <v>1275</v>
      </c>
      <c r="E946" s="2" t="s">
        <v>1276</v>
      </c>
      <c r="F946" s="2" t="s">
        <v>5537</v>
      </c>
      <c r="G946" s="2" t="s">
        <v>5538</v>
      </c>
      <c r="H946" s="2" t="s">
        <v>5539</v>
      </c>
      <c r="I946" s="2" t="s">
        <v>5540</v>
      </c>
      <c r="J946" s="2" t="s">
        <v>711</v>
      </c>
      <c r="K946" s="2" t="s">
        <v>2589</v>
      </c>
      <c r="L946" s="3">
        <v>209.76</v>
      </c>
      <c r="M946" s="3">
        <v>220.25</v>
      </c>
      <c r="N946" s="3">
        <v>439</v>
      </c>
      <c r="O946" s="2" t="s">
        <v>212</v>
      </c>
      <c r="P946" s="2" t="s">
        <v>285</v>
      </c>
      <c r="Q946" s="2" t="s">
        <v>206</v>
      </c>
      <c r="R946" s="2" t="s">
        <v>200</v>
      </c>
      <c r="S946" s="2" t="s">
        <v>200</v>
      </c>
      <c r="T946" s="2" t="s">
        <v>200</v>
      </c>
      <c r="U946" s="2" t="s">
        <v>270</v>
      </c>
      <c r="V946" s="2" t="s">
        <v>616</v>
      </c>
      <c r="W946" s="2" t="s">
        <v>379</v>
      </c>
      <c r="X946" s="2" t="s">
        <v>1399</v>
      </c>
      <c r="Y946" s="2" t="s">
        <v>3064</v>
      </c>
      <c r="Z946" s="4">
        <v>1</v>
      </c>
      <c r="AA946" s="4">
        <f>=ROUNDDOWN(0.5,0)</f>
      </c>
      <c r="AB946" s="5">
        <v>2</v>
      </c>
      <c r="AC946" s="2" t="s">
        <v>200</v>
      </c>
      <c r="AD946" s="4"/>
      <c r="AE946" s="4"/>
      <c r="AF946" s="6">
        <v>65</v>
      </c>
      <c r="AG946" s="6"/>
      <c r="AH946" s="7">
        <v>1</v>
      </c>
      <c r="AI946" s="4"/>
      <c r="AJ946" s="4">
        <f>=ROUNDDOWN({0},0)</f>
      </c>
      <c r="AK946" s="5"/>
      <c r="AL946" s="2" t="s">
        <v>200</v>
      </c>
      <c r="AM946" s="4"/>
      <c r="AN946" s="4"/>
      <c r="AO946" s="7"/>
      <c r="AP946" s="4"/>
      <c r="AQ946" s="8"/>
      <c r="AR946" s="4"/>
      <c r="AS946" s="8"/>
      <c r="AT946" s="7"/>
      <c r="AU946" s="7"/>
      <c r="AV946" s="4"/>
      <c r="AW946" s="8"/>
      <c r="AX946" s="4"/>
      <c r="AY946" s="8"/>
      <c r="AZ946" s="7"/>
      <c r="BA946" s="7"/>
      <c r="BB946" s="7"/>
      <c r="BC946" s="4"/>
      <c r="BD946" s="8"/>
      <c r="BE946" s="4"/>
      <c r="BF946" s="8"/>
      <c r="BG946" s="7"/>
      <c r="BH946" s="7"/>
      <c r="BI946" s="7"/>
      <c r="BJ946" s="4">
        <v>11</v>
      </c>
      <c r="BK946" s="8">
        <v>475.48</v>
      </c>
      <c r="BL946" s="2" t="s">
        <v>5541</v>
      </c>
      <c r="BM946" s="7"/>
      <c r="BN946" s="7"/>
      <c r="BO946" s="4"/>
      <c r="BP946" s="8"/>
      <c r="BQ946" s="4"/>
      <c r="BR946" s="8"/>
      <c r="BS946" s="7"/>
      <c r="BT946" s="7"/>
      <c r="BU946" s="2" t="s">
        <v>5542</v>
      </c>
      <c r="BV946" s="2" t="s">
        <v>200</v>
      </c>
      <c r="BW946" s="2" t="s">
        <v>200</v>
      </c>
      <c r="BX946" s="2" t="s">
        <v>289</v>
      </c>
      <c r="BY946" s="2" t="s">
        <v>247</v>
      </c>
      <c r="BZ946" s="2" t="s">
        <v>212</v>
      </c>
      <c r="CA946" s="2" t="s">
        <v>5543</v>
      </c>
      <c r="CB946" s="2" t="s">
        <v>200</v>
      </c>
      <c r="CC946" s="2" t="s">
        <v>213</v>
      </c>
      <c r="CD946" s="2" t="s">
        <v>200</v>
      </c>
      <c r="CE946" s="4"/>
      <c r="CF946" s="4">
        <v>1</v>
      </c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</row>
    <row r="947">
      <c r="A947" s="2" t="s">
        <v>5544</v>
      </c>
      <c r="B947" s="2" t="s">
        <v>903</v>
      </c>
      <c r="C947" s="2" t="s">
        <v>231</v>
      </c>
      <c r="D947" s="2" t="s">
        <v>608</v>
      </c>
      <c r="E947" s="2" t="s">
        <v>609</v>
      </c>
      <c r="F947" s="2" t="s">
        <v>5545</v>
      </c>
      <c r="G947" s="2" t="s">
        <v>5546</v>
      </c>
      <c r="H947" s="2" t="s">
        <v>4384</v>
      </c>
      <c r="I947" s="2" t="s">
        <v>5547</v>
      </c>
      <c r="J947" s="2" t="s">
        <v>612</v>
      </c>
      <c r="K947" s="2" t="s">
        <v>565</v>
      </c>
      <c r="L947" s="3">
        <v>57.14</v>
      </c>
      <c r="M947" s="3">
        <v>60</v>
      </c>
      <c r="N947" s="3">
        <v>119.99</v>
      </c>
      <c r="O947" s="2" t="s">
        <v>460</v>
      </c>
      <c r="P947" s="2" t="s">
        <v>285</v>
      </c>
      <c r="Q947" s="2" t="s">
        <v>206</v>
      </c>
      <c r="R947" s="2" t="s">
        <v>200</v>
      </c>
      <c r="S947" s="2" t="s">
        <v>5548</v>
      </c>
      <c r="T947" s="2" t="s">
        <v>312</v>
      </c>
      <c r="U947" s="2" t="s">
        <v>615</v>
      </c>
      <c r="V947" s="2" t="s">
        <v>940</v>
      </c>
      <c r="W947" s="2" t="s">
        <v>2087</v>
      </c>
      <c r="X947" s="2" t="s">
        <v>241</v>
      </c>
      <c r="Y947" s="2" t="s">
        <v>1285</v>
      </c>
      <c r="Z947" s="4">
        <v>226</v>
      </c>
      <c r="AA947" s="4">
        <f>=ROUNDDOWN(188.333333333333,0)</f>
      </c>
      <c r="AB947" s="5">
        <v>1.2</v>
      </c>
      <c r="AC947" s="2" t="s">
        <v>200</v>
      </c>
      <c r="AD947" s="4"/>
      <c r="AE947" s="4"/>
      <c r="AF947" s="6">
        <v>65</v>
      </c>
      <c r="AG947" s="6"/>
      <c r="AH947" s="7">
        <v>1</v>
      </c>
      <c r="AI947" s="4"/>
      <c r="AJ947" s="4">
        <f>=ROUNDDOWN({0},0)</f>
      </c>
      <c r="AK947" s="5"/>
      <c r="AL947" s="2" t="s">
        <v>200</v>
      </c>
      <c r="AM947" s="4"/>
      <c r="AN947" s="4"/>
      <c r="AO947" s="7"/>
      <c r="AP947" s="4"/>
      <c r="AQ947" s="8"/>
      <c r="AR947" s="4"/>
      <c r="AS947" s="8"/>
      <c r="AT947" s="7"/>
      <c r="AU947" s="7"/>
      <c r="AV947" s="4"/>
      <c r="AW947" s="8"/>
      <c r="AX947" s="4"/>
      <c r="AY947" s="8"/>
      <c r="AZ947" s="7"/>
      <c r="BA947" s="7"/>
      <c r="BB947" s="7"/>
      <c r="BC947" s="4"/>
      <c r="BD947" s="8"/>
      <c r="BE947" s="4"/>
      <c r="BF947" s="8"/>
      <c r="BG947" s="7"/>
      <c r="BH947" s="7"/>
      <c r="BI947" s="7"/>
      <c r="BJ947" s="4">
        <v>4</v>
      </c>
      <c r="BK947" s="8">
        <v>172.25</v>
      </c>
      <c r="BL947" s="2" t="s">
        <v>3641</v>
      </c>
      <c r="BM947" s="7"/>
      <c r="BN947" s="7"/>
      <c r="BO947" s="4"/>
      <c r="BP947" s="8"/>
      <c r="BQ947" s="4"/>
      <c r="BR947" s="8"/>
      <c r="BS947" s="7"/>
      <c r="BT947" s="7"/>
      <c r="BU947" s="2" t="s">
        <v>5549</v>
      </c>
      <c r="BV947" s="2" t="s">
        <v>200</v>
      </c>
      <c r="BW947" s="2" t="s">
        <v>200</v>
      </c>
      <c r="BX947" s="2" t="s">
        <v>289</v>
      </c>
      <c r="BY947" s="2" t="s">
        <v>247</v>
      </c>
      <c r="BZ947" s="2" t="s">
        <v>212</v>
      </c>
      <c r="CA947" s="2" t="s">
        <v>5543</v>
      </c>
      <c r="CB947" s="2" t="s">
        <v>2425</v>
      </c>
      <c r="CC947" s="2" t="s">
        <v>213</v>
      </c>
      <c r="CD947" s="2" t="s">
        <v>200</v>
      </c>
      <c r="CE947" s="4">
        <v>226</v>
      </c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</row>
    <row r="948">
      <c r="A948" s="2" t="s">
        <v>5550</v>
      </c>
      <c r="B948" s="2" t="s">
        <v>744</v>
      </c>
      <c r="C948" s="2" t="s">
        <v>231</v>
      </c>
      <c r="D948" s="2" t="s">
        <v>795</v>
      </c>
      <c r="E948" s="2" t="s">
        <v>1403</v>
      </c>
      <c r="F948" s="2" t="s">
        <v>5551</v>
      </c>
      <c r="G948" s="2" t="s">
        <v>5552</v>
      </c>
      <c r="H948" s="2" t="s">
        <v>5553</v>
      </c>
      <c r="I948" s="2" t="s">
        <v>1407</v>
      </c>
      <c r="J948" s="2" t="s">
        <v>711</v>
      </c>
      <c r="K948" s="2" t="s">
        <v>5554</v>
      </c>
      <c r="L948" s="3">
        <v>261.25</v>
      </c>
      <c r="M948" s="3">
        <v>274.31</v>
      </c>
      <c r="N948" s="3">
        <v>549</v>
      </c>
      <c r="O948" s="2" t="s">
        <v>212</v>
      </c>
      <c r="P948" s="2" t="s">
        <v>750</v>
      </c>
      <c r="Q948" s="2" t="s">
        <v>206</v>
      </c>
      <c r="R948" s="2" t="s">
        <v>200</v>
      </c>
      <c r="S948" s="2" t="s">
        <v>5555</v>
      </c>
      <c r="T948" s="2" t="s">
        <v>200</v>
      </c>
      <c r="U948" s="2" t="s">
        <v>200</v>
      </c>
      <c r="V948" s="2" t="s">
        <v>208</v>
      </c>
      <c r="W948" s="2" t="s">
        <v>419</v>
      </c>
      <c r="X948" s="2" t="s">
        <v>200</v>
      </c>
      <c r="Y948" s="2" t="s">
        <v>5556</v>
      </c>
      <c r="Z948" s="4">
        <v>99</v>
      </c>
      <c r="AA948" s="4">
        <f>=ROUNDDOWN(19.8,0)</f>
      </c>
      <c r="AB948" s="5">
        <v>5</v>
      </c>
      <c r="AC948" s="2" t="s">
        <v>369</v>
      </c>
      <c r="AD948" s="4">
        <v>100</v>
      </c>
      <c r="AE948" s="4">
        <v>100</v>
      </c>
      <c r="AF948" s="6">
        <v>69</v>
      </c>
      <c r="AG948" s="6">
        <v>52</v>
      </c>
      <c r="AH948" s="7">
        <v>1</v>
      </c>
      <c r="AI948" s="4"/>
      <c r="AJ948" s="4">
        <f>=ROUNDDOWN({0},0)</f>
      </c>
      <c r="AK948" s="5"/>
      <c r="AL948" s="2" t="s">
        <v>200</v>
      </c>
      <c r="AM948" s="4"/>
      <c r="AN948" s="4"/>
      <c r="AO948" s="7"/>
      <c r="AP948" s="4"/>
      <c r="AQ948" s="8"/>
      <c r="AR948" s="4"/>
      <c r="AS948" s="8"/>
      <c r="AT948" s="7"/>
      <c r="AU948" s="7"/>
      <c r="AV948" s="4"/>
      <c r="AW948" s="8"/>
      <c r="AX948" s="4"/>
      <c r="AY948" s="8"/>
      <c r="AZ948" s="7"/>
      <c r="BA948" s="7"/>
      <c r="BB948" s="7"/>
      <c r="BC948" s="4"/>
      <c r="BD948" s="8"/>
      <c r="BE948" s="4"/>
      <c r="BF948" s="8"/>
      <c r="BG948" s="7"/>
      <c r="BH948" s="7"/>
      <c r="BI948" s="7"/>
      <c r="BJ948" s="4">
        <v>38</v>
      </c>
      <c r="BK948" s="8">
        <v>9178.83</v>
      </c>
      <c r="BL948" s="2" t="s">
        <v>5557</v>
      </c>
      <c r="BM948" s="7"/>
      <c r="BN948" s="7"/>
      <c r="BO948" s="4"/>
      <c r="BP948" s="8"/>
      <c r="BQ948" s="4"/>
      <c r="BR948" s="8"/>
      <c r="BS948" s="7"/>
      <c r="BT948" s="7"/>
      <c r="BU948" s="2" t="s">
        <v>5558</v>
      </c>
      <c r="BV948" s="2" t="s">
        <v>200</v>
      </c>
      <c r="BW948" s="2" t="s">
        <v>200</v>
      </c>
      <c r="BX948" s="2" t="s">
        <v>264</v>
      </c>
      <c r="BY948" s="2" t="s">
        <v>247</v>
      </c>
      <c r="BZ948" s="2" t="s">
        <v>212</v>
      </c>
      <c r="CA948" s="2" t="s">
        <v>5559</v>
      </c>
      <c r="CB948" s="2" t="s">
        <v>5560</v>
      </c>
      <c r="CC948" s="2" t="s">
        <v>213</v>
      </c>
      <c r="CD948" s="2" t="s">
        <v>200</v>
      </c>
      <c r="CE948" s="4"/>
      <c r="CF948" s="4">
        <v>99</v>
      </c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>
        <v>100</v>
      </c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</row>
    <row r="949">
      <c r="A949" s="2" t="s">
        <v>5561</v>
      </c>
      <c r="B949" s="2" t="s">
        <v>827</v>
      </c>
      <c r="C949" s="2" t="s">
        <v>1010</v>
      </c>
      <c r="D949" s="2" t="s">
        <v>828</v>
      </c>
      <c r="E949" s="2" t="s">
        <v>1011</v>
      </c>
      <c r="F949" s="2" t="s">
        <v>5562</v>
      </c>
      <c r="G949" s="2" t="s">
        <v>5563</v>
      </c>
      <c r="H949" s="2" t="s">
        <v>5564</v>
      </c>
      <c r="I949" s="2" t="s">
        <v>5565</v>
      </c>
      <c r="J949" s="2" t="s">
        <v>1242</v>
      </c>
      <c r="K949" s="2" t="s">
        <v>660</v>
      </c>
      <c r="L949" s="3">
        <v>18</v>
      </c>
      <c r="M949" s="3">
        <v>18.9</v>
      </c>
      <c r="N949" s="3">
        <v>39.99</v>
      </c>
      <c r="O949" s="2" t="s">
        <v>212</v>
      </c>
      <c r="P949" s="2" t="s">
        <v>258</v>
      </c>
      <c r="Q949" s="2" t="s">
        <v>206</v>
      </c>
      <c r="R949" s="2" t="s">
        <v>200</v>
      </c>
      <c r="S949" s="2" t="s">
        <v>5566</v>
      </c>
      <c r="T949" s="2" t="s">
        <v>200</v>
      </c>
      <c r="U949" s="2" t="s">
        <v>200</v>
      </c>
      <c r="V949" s="2" t="s">
        <v>348</v>
      </c>
      <c r="W949" s="2" t="s">
        <v>241</v>
      </c>
      <c r="X949" s="2" t="s">
        <v>2035</v>
      </c>
      <c r="Y949" s="2" t="s">
        <v>5567</v>
      </c>
      <c r="Z949" s="4">
        <v>279</v>
      </c>
      <c r="AA949" s="4">
        <f>=ROUNDDOWN(25.3636363636364,0)</f>
      </c>
      <c r="AB949" s="5">
        <v>11</v>
      </c>
      <c r="AC949" s="2" t="s">
        <v>1105</v>
      </c>
      <c r="AD949" s="4">
        <v>148</v>
      </c>
      <c r="AE949" s="4">
        <v>320</v>
      </c>
      <c r="AF949" s="6">
        <v>65</v>
      </c>
      <c r="AG949" s="6"/>
      <c r="AH949" s="7">
        <v>1</v>
      </c>
      <c r="AI949" s="4"/>
      <c r="AJ949" s="4">
        <f>=ROUNDDOWN({0},0)</f>
      </c>
      <c r="AK949" s="5"/>
      <c r="AL949" s="2" t="s">
        <v>200</v>
      </c>
      <c r="AM949" s="4"/>
      <c r="AN949" s="4"/>
      <c r="AO949" s="7"/>
      <c r="AP949" s="4"/>
      <c r="AQ949" s="8"/>
      <c r="AR949" s="4"/>
      <c r="AS949" s="8"/>
      <c r="AT949" s="7"/>
      <c r="AU949" s="7"/>
      <c r="AV949" s="4"/>
      <c r="AW949" s="8"/>
      <c r="AX949" s="4"/>
      <c r="AY949" s="8"/>
      <c r="AZ949" s="7"/>
      <c r="BA949" s="7"/>
      <c r="BB949" s="7"/>
      <c r="BC949" s="4"/>
      <c r="BD949" s="8"/>
      <c r="BE949" s="4"/>
      <c r="BF949" s="8"/>
      <c r="BG949" s="7"/>
      <c r="BH949" s="7"/>
      <c r="BI949" s="7"/>
      <c r="BJ949" s="4">
        <v>30</v>
      </c>
      <c r="BK949" s="8">
        <v>758.39</v>
      </c>
      <c r="BL949" s="2" t="s">
        <v>5568</v>
      </c>
      <c r="BM949" s="7"/>
      <c r="BN949" s="7"/>
      <c r="BO949" s="4"/>
      <c r="BP949" s="8"/>
      <c r="BQ949" s="4"/>
      <c r="BR949" s="8"/>
      <c r="BS949" s="7"/>
      <c r="BT949" s="7"/>
      <c r="BU949" s="2" t="s">
        <v>5569</v>
      </c>
      <c r="BV949" s="2" t="s">
        <v>200</v>
      </c>
      <c r="BW949" s="2" t="s">
        <v>200</v>
      </c>
      <c r="BX949" s="2" t="s">
        <v>264</v>
      </c>
      <c r="BY949" s="2" t="s">
        <v>247</v>
      </c>
      <c r="BZ949" s="2" t="s">
        <v>212</v>
      </c>
      <c r="CA949" s="2" t="s">
        <v>5570</v>
      </c>
      <c r="CB949" s="2" t="s">
        <v>2114</v>
      </c>
      <c r="CC949" s="2" t="s">
        <v>213</v>
      </c>
      <c r="CD949" s="2" t="s">
        <v>200</v>
      </c>
      <c r="CE949" s="4">
        <v>279</v>
      </c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>
        <v>148</v>
      </c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>
        <v>172</v>
      </c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</row>
    <row r="950">
      <c r="A950" s="2" t="s">
        <v>5571</v>
      </c>
      <c r="B950" s="2" t="s">
        <v>932</v>
      </c>
      <c r="C950" s="2" t="s">
        <v>1252</v>
      </c>
      <c r="D950" s="2" t="s">
        <v>1818</v>
      </c>
      <c r="E950" s="2" t="s">
        <v>2020</v>
      </c>
      <c r="F950" s="2" t="s">
        <v>5572</v>
      </c>
      <c r="G950" s="2" t="s">
        <v>5572</v>
      </c>
      <c r="H950" s="2" t="s">
        <v>5572</v>
      </c>
      <c r="I950" s="2" t="s">
        <v>5573</v>
      </c>
      <c r="J950" s="2" t="s">
        <v>1390</v>
      </c>
      <c r="K950" s="2" t="s">
        <v>499</v>
      </c>
      <c r="L950" s="3">
        <v>25</v>
      </c>
      <c r="M950" s="3">
        <v>26.25</v>
      </c>
      <c r="N950" s="3">
        <v>42.99</v>
      </c>
      <c r="O950" s="2" t="s">
        <v>460</v>
      </c>
      <c r="P950" s="2" t="s">
        <v>1258</v>
      </c>
      <c r="Q950" s="2" t="s">
        <v>206</v>
      </c>
      <c r="R950" s="2" t="s">
        <v>1259</v>
      </c>
      <c r="S950" s="2" t="s">
        <v>200</v>
      </c>
      <c r="T950" s="2" t="s">
        <v>200</v>
      </c>
      <c r="U950" s="2" t="s">
        <v>677</v>
      </c>
      <c r="V950" s="2" t="s">
        <v>208</v>
      </c>
      <c r="W950" s="2" t="s">
        <v>200</v>
      </c>
      <c r="X950" s="2" t="s">
        <v>200</v>
      </c>
      <c r="Y950" s="2" t="s">
        <v>5574</v>
      </c>
      <c r="Z950" s="4">
        <v>15</v>
      </c>
      <c r="AA950" s="4">
        <f>=ROUNDDOWN(7.5,0)</f>
      </c>
      <c r="AB950" s="5">
        <v>2</v>
      </c>
      <c r="AC950" s="2" t="s">
        <v>200</v>
      </c>
      <c r="AD950" s="4"/>
      <c r="AE950" s="4"/>
      <c r="AF950" s="6">
        <v>64</v>
      </c>
      <c r="AG950" s="6"/>
      <c r="AH950" s="7">
        <v>1</v>
      </c>
      <c r="AI950" s="4"/>
      <c r="AJ950" s="4">
        <f>=ROUNDDOWN({0},0)</f>
      </c>
      <c r="AK950" s="5"/>
      <c r="AL950" s="2" t="s">
        <v>200</v>
      </c>
      <c r="AM950" s="4"/>
      <c r="AN950" s="4"/>
      <c r="AO950" s="7"/>
      <c r="AP950" s="4"/>
      <c r="AQ950" s="8"/>
      <c r="AR950" s="4"/>
      <c r="AS950" s="8"/>
      <c r="AT950" s="7"/>
      <c r="AU950" s="7"/>
      <c r="AV950" s="4" t="s">
        <v>200</v>
      </c>
      <c r="AW950" s="8" t="s">
        <v>200</v>
      </c>
      <c r="AX950" s="4" t="s">
        <v>200</v>
      </c>
      <c r="AY950" s="8" t="s">
        <v>200</v>
      </c>
      <c r="AZ950" s="7" t="s">
        <v>200</v>
      </c>
      <c r="BA950" s="7" t="s">
        <v>200</v>
      </c>
      <c r="BB950" s="7"/>
      <c r="BC950" s="4" t="s">
        <v>200</v>
      </c>
      <c r="BD950" s="8" t="s">
        <v>200</v>
      </c>
      <c r="BE950" s="4" t="s">
        <v>200</v>
      </c>
      <c r="BF950" s="8" t="s">
        <v>200</v>
      </c>
      <c r="BG950" s="7" t="s">
        <v>200</v>
      </c>
      <c r="BH950" s="7" t="s">
        <v>200</v>
      </c>
      <c r="BI950" s="7"/>
      <c r="BJ950" s="4">
        <v>4</v>
      </c>
      <c r="BK950" s="8">
        <v>80</v>
      </c>
      <c r="BL950" s="2" t="s">
        <v>1029</v>
      </c>
      <c r="BM950" s="7"/>
      <c r="BN950" s="7"/>
      <c r="BO950" s="4"/>
      <c r="BP950" s="8"/>
      <c r="BQ950" s="4"/>
      <c r="BR950" s="8"/>
      <c r="BS950" s="7"/>
      <c r="BT950" s="7"/>
      <c r="BU950" s="2" t="s">
        <v>5575</v>
      </c>
      <c r="BV950" s="2" t="s">
        <v>200</v>
      </c>
      <c r="BW950" s="2" t="s">
        <v>200</v>
      </c>
      <c r="BX950" s="2" t="s">
        <v>289</v>
      </c>
      <c r="BY950" s="2" t="s">
        <v>247</v>
      </c>
      <c r="BZ950" s="2" t="s">
        <v>212</v>
      </c>
      <c r="CA950" s="2" t="s">
        <v>1263</v>
      </c>
      <c r="CB950" s="2" t="s">
        <v>2435</v>
      </c>
      <c r="CC950" s="2" t="s">
        <v>213</v>
      </c>
      <c r="CD950" s="2" t="s">
        <v>200</v>
      </c>
      <c r="CE950" s="4">
        <v>15</v>
      </c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</row>
    <row r="951">
      <c r="A951" s="2" t="s">
        <v>5576</v>
      </c>
      <c r="B951" s="2" t="s">
        <v>932</v>
      </c>
      <c r="C951" s="2" t="s">
        <v>1252</v>
      </c>
      <c r="D951" s="2" t="s">
        <v>1818</v>
      </c>
      <c r="E951" s="2" t="s">
        <v>2020</v>
      </c>
      <c r="F951" s="2" t="s">
        <v>5572</v>
      </c>
      <c r="G951" s="2" t="s">
        <v>5572</v>
      </c>
      <c r="H951" s="2" t="s">
        <v>5572</v>
      </c>
      <c r="I951" s="2" t="s">
        <v>5573</v>
      </c>
      <c r="J951" s="2" t="s">
        <v>612</v>
      </c>
      <c r="K951" s="2" t="s">
        <v>499</v>
      </c>
      <c r="L951" s="3">
        <v>31.8</v>
      </c>
      <c r="M951" s="3">
        <v>33.39</v>
      </c>
      <c r="N951" s="3">
        <v>52.99</v>
      </c>
      <c r="O951" s="2" t="s">
        <v>460</v>
      </c>
      <c r="P951" s="2" t="s">
        <v>1258</v>
      </c>
      <c r="Q951" s="2" t="s">
        <v>206</v>
      </c>
      <c r="R951" s="2" t="s">
        <v>1259</v>
      </c>
      <c r="S951" s="2" t="s">
        <v>200</v>
      </c>
      <c r="T951" s="2" t="s">
        <v>200</v>
      </c>
      <c r="U951" s="2" t="s">
        <v>454</v>
      </c>
      <c r="V951" s="2" t="s">
        <v>208</v>
      </c>
      <c r="W951" s="2" t="s">
        <v>200</v>
      </c>
      <c r="X951" s="2" t="s">
        <v>200</v>
      </c>
      <c r="Y951" s="2" t="s">
        <v>5574</v>
      </c>
      <c r="Z951" s="4">
        <v>31</v>
      </c>
      <c r="AA951" s="4">
        <f>=ROUNDDOWN(7.75,0)</f>
      </c>
      <c r="AB951" s="5">
        <v>4</v>
      </c>
      <c r="AC951" s="2" t="s">
        <v>200</v>
      </c>
      <c r="AD951" s="4"/>
      <c r="AE951" s="4"/>
      <c r="AF951" s="6">
        <v>64</v>
      </c>
      <c r="AG951" s="6"/>
      <c r="AH951" s="7">
        <v>1</v>
      </c>
      <c r="AI951" s="4"/>
      <c r="AJ951" s="4">
        <f>=ROUNDDOWN({0},0)</f>
      </c>
      <c r="AK951" s="5"/>
      <c r="AL951" s="2" t="s">
        <v>200</v>
      </c>
      <c r="AM951" s="4"/>
      <c r="AN951" s="4"/>
      <c r="AO951" s="7"/>
      <c r="AP951" s="4"/>
      <c r="AQ951" s="8"/>
      <c r="AR951" s="4"/>
      <c r="AS951" s="8"/>
      <c r="AT951" s="7"/>
      <c r="AU951" s="7"/>
      <c r="AV951" s="4" t="s">
        <v>200</v>
      </c>
      <c r="AW951" s="8" t="s">
        <v>200</v>
      </c>
      <c r="AX951" s="4" t="s">
        <v>200</v>
      </c>
      <c r="AY951" s="8" t="s">
        <v>200</v>
      </c>
      <c r="AZ951" s="7" t="s">
        <v>200</v>
      </c>
      <c r="BA951" s="7" t="s">
        <v>200</v>
      </c>
      <c r="BB951" s="7"/>
      <c r="BC951" s="4" t="s">
        <v>200</v>
      </c>
      <c r="BD951" s="8" t="s">
        <v>200</v>
      </c>
      <c r="BE951" s="4" t="s">
        <v>200</v>
      </c>
      <c r="BF951" s="8" t="s">
        <v>200</v>
      </c>
      <c r="BG951" s="7" t="s">
        <v>200</v>
      </c>
      <c r="BH951" s="7" t="s">
        <v>200</v>
      </c>
      <c r="BI951" s="7"/>
      <c r="BJ951" s="4">
        <v>21</v>
      </c>
      <c r="BK951" s="8">
        <v>534.24</v>
      </c>
      <c r="BL951" s="2" t="s">
        <v>1029</v>
      </c>
      <c r="BM951" s="7"/>
      <c r="BN951" s="7"/>
      <c r="BO951" s="4"/>
      <c r="BP951" s="8"/>
      <c r="BQ951" s="4"/>
      <c r="BR951" s="8"/>
      <c r="BS951" s="7"/>
      <c r="BT951" s="7"/>
      <c r="BU951" s="2" t="s">
        <v>5577</v>
      </c>
      <c r="BV951" s="2" t="s">
        <v>200</v>
      </c>
      <c r="BW951" s="2" t="s">
        <v>200</v>
      </c>
      <c r="BX951" s="2" t="s">
        <v>289</v>
      </c>
      <c r="BY951" s="2" t="s">
        <v>247</v>
      </c>
      <c r="BZ951" s="2" t="s">
        <v>212</v>
      </c>
      <c r="CA951" s="2" t="s">
        <v>1263</v>
      </c>
      <c r="CB951" s="2" t="s">
        <v>200</v>
      </c>
      <c r="CC951" s="2" t="s">
        <v>213</v>
      </c>
      <c r="CD951" s="2" t="s">
        <v>200</v>
      </c>
      <c r="CE951" s="4">
        <v>31</v>
      </c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</row>
    <row r="952">
      <c r="A952" s="2" t="s">
        <v>5578</v>
      </c>
      <c r="B952" s="2" t="s">
        <v>932</v>
      </c>
      <c r="C952" s="2" t="s">
        <v>1252</v>
      </c>
      <c r="D952" s="2" t="s">
        <v>1818</v>
      </c>
      <c r="E952" s="2" t="s">
        <v>2020</v>
      </c>
      <c r="F952" s="2" t="s">
        <v>5572</v>
      </c>
      <c r="G952" s="2" t="s">
        <v>5572</v>
      </c>
      <c r="H952" s="2" t="s">
        <v>5572</v>
      </c>
      <c r="I952" s="2" t="s">
        <v>5573</v>
      </c>
      <c r="J952" s="2" t="s">
        <v>302</v>
      </c>
      <c r="K952" s="2" t="s">
        <v>499</v>
      </c>
      <c r="L952" s="3">
        <v>36.8</v>
      </c>
      <c r="M952" s="3">
        <v>38.64</v>
      </c>
      <c r="N952" s="3">
        <v>59.99</v>
      </c>
      <c r="O952" s="2" t="s">
        <v>460</v>
      </c>
      <c r="P952" s="2" t="s">
        <v>1258</v>
      </c>
      <c r="Q952" s="2" t="s">
        <v>206</v>
      </c>
      <c r="R952" s="2" t="s">
        <v>1259</v>
      </c>
      <c r="S952" s="2" t="s">
        <v>200</v>
      </c>
      <c r="T952" s="2" t="s">
        <v>200</v>
      </c>
      <c r="U952" s="2" t="s">
        <v>454</v>
      </c>
      <c r="V952" s="2" t="s">
        <v>208</v>
      </c>
      <c r="W952" s="2" t="s">
        <v>200</v>
      </c>
      <c r="X952" s="2" t="s">
        <v>200</v>
      </c>
      <c r="Y952" s="2" t="s">
        <v>5574</v>
      </c>
      <c r="Z952" s="4">
        <v>66</v>
      </c>
      <c r="AA952" s="4">
        <f>=ROUNDDOWN(33,0)</f>
      </c>
      <c r="AB952" s="5">
        <v>2</v>
      </c>
      <c r="AC952" s="2" t="s">
        <v>200</v>
      </c>
      <c r="AD952" s="4"/>
      <c r="AE952" s="4"/>
      <c r="AF952" s="6">
        <v>64</v>
      </c>
      <c r="AG952" s="6"/>
      <c r="AH952" s="7">
        <v>1</v>
      </c>
      <c r="AI952" s="4"/>
      <c r="AJ952" s="4">
        <f>=ROUNDDOWN({0},0)</f>
      </c>
      <c r="AK952" s="5"/>
      <c r="AL952" s="2" t="s">
        <v>200</v>
      </c>
      <c r="AM952" s="4"/>
      <c r="AN952" s="4"/>
      <c r="AO952" s="7"/>
      <c r="AP952" s="4"/>
      <c r="AQ952" s="8"/>
      <c r="AR952" s="4"/>
      <c r="AS952" s="8"/>
      <c r="AT952" s="7"/>
      <c r="AU952" s="7"/>
      <c r="AV952" s="4" t="s">
        <v>200</v>
      </c>
      <c r="AW952" s="8" t="s">
        <v>200</v>
      </c>
      <c r="AX952" s="4" t="s">
        <v>200</v>
      </c>
      <c r="AY952" s="8" t="s">
        <v>200</v>
      </c>
      <c r="AZ952" s="7" t="s">
        <v>200</v>
      </c>
      <c r="BA952" s="7" t="s">
        <v>200</v>
      </c>
      <c r="BB952" s="7"/>
      <c r="BC952" s="4" t="s">
        <v>200</v>
      </c>
      <c r="BD952" s="8" t="s">
        <v>200</v>
      </c>
      <c r="BE952" s="4" t="s">
        <v>200</v>
      </c>
      <c r="BF952" s="8" t="s">
        <v>200</v>
      </c>
      <c r="BG952" s="7" t="s">
        <v>200</v>
      </c>
      <c r="BH952" s="7" t="s">
        <v>200</v>
      </c>
      <c r="BI952" s="7"/>
      <c r="BJ952" s="4">
        <v>13</v>
      </c>
      <c r="BK952" s="8">
        <v>287.04</v>
      </c>
      <c r="BL952" s="2" t="s">
        <v>1029</v>
      </c>
      <c r="BM952" s="7"/>
      <c r="BN952" s="7"/>
      <c r="BO952" s="4"/>
      <c r="BP952" s="8"/>
      <c r="BQ952" s="4"/>
      <c r="BR952" s="8"/>
      <c r="BS952" s="7"/>
      <c r="BT952" s="7"/>
      <c r="BU952" s="2" t="s">
        <v>5579</v>
      </c>
      <c r="BV952" s="2" t="s">
        <v>200</v>
      </c>
      <c r="BW952" s="2" t="s">
        <v>200</v>
      </c>
      <c r="BX952" s="2" t="s">
        <v>264</v>
      </c>
      <c r="BY952" s="2" t="s">
        <v>247</v>
      </c>
      <c r="BZ952" s="2" t="s">
        <v>212</v>
      </c>
      <c r="CA952" s="2" t="s">
        <v>1263</v>
      </c>
      <c r="CB952" s="2" t="s">
        <v>200</v>
      </c>
      <c r="CC952" s="2" t="s">
        <v>213</v>
      </c>
      <c r="CD952" s="2" t="s">
        <v>200</v>
      </c>
      <c r="CE952" s="4">
        <v>66</v>
      </c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</row>
    <row r="953">
      <c r="A953" s="2" t="s">
        <v>5580</v>
      </c>
      <c r="B953" s="2" t="s">
        <v>932</v>
      </c>
      <c r="C953" s="2" t="s">
        <v>1252</v>
      </c>
      <c r="D953" s="2" t="s">
        <v>1818</v>
      </c>
      <c r="E953" s="2" t="s">
        <v>2020</v>
      </c>
      <c r="F953" s="2" t="s">
        <v>5572</v>
      </c>
      <c r="G953" s="2" t="s">
        <v>5572</v>
      </c>
      <c r="H953" s="2" t="s">
        <v>5572</v>
      </c>
      <c r="I953" s="2" t="s">
        <v>5573</v>
      </c>
      <c r="J953" s="2" t="s">
        <v>1390</v>
      </c>
      <c r="K953" s="2" t="s">
        <v>203</v>
      </c>
      <c r="L953" s="3">
        <v>25</v>
      </c>
      <c r="M953" s="3">
        <v>26.25</v>
      </c>
      <c r="N953" s="3">
        <v>42.99</v>
      </c>
      <c r="O953" s="2" t="s">
        <v>460</v>
      </c>
      <c r="P953" s="2" t="s">
        <v>1258</v>
      </c>
      <c r="Q953" s="2" t="s">
        <v>206</v>
      </c>
      <c r="R953" s="2" t="s">
        <v>1259</v>
      </c>
      <c r="S953" s="2" t="s">
        <v>200</v>
      </c>
      <c r="T953" s="2" t="s">
        <v>200</v>
      </c>
      <c r="U953" s="2" t="s">
        <v>677</v>
      </c>
      <c r="V953" s="2" t="s">
        <v>208</v>
      </c>
      <c r="W953" s="2" t="s">
        <v>200</v>
      </c>
      <c r="X953" s="2" t="s">
        <v>200</v>
      </c>
      <c r="Y953" s="2" t="s">
        <v>5574</v>
      </c>
      <c r="Z953" s="4">
        <v>98</v>
      </c>
      <c r="AA953" s="4">
        <f>=ROUNDDOWN(49,0)</f>
      </c>
      <c r="AB953" s="5">
        <v>2</v>
      </c>
      <c r="AC953" s="2" t="s">
        <v>200</v>
      </c>
      <c r="AD953" s="4"/>
      <c r="AE953" s="4"/>
      <c r="AF953" s="6">
        <v>64</v>
      </c>
      <c r="AG953" s="6"/>
      <c r="AH953" s="7">
        <v>1</v>
      </c>
      <c r="AI953" s="4"/>
      <c r="AJ953" s="4">
        <f>=ROUNDDOWN({0},0)</f>
      </c>
      <c r="AK953" s="5"/>
      <c r="AL953" s="2" t="s">
        <v>200</v>
      </c>
      <c r="AM953" s="4"/>
      <c r="AN953" s="4"/>
      <c r="AO953" s="7"/>
      <c r="AP953" s="4"/>
      <c r="AQ953" s="8"/>
      <c r="AR953" s="4"/>
      <c r="AS953" s="8"/>
      <c r="AT953" s="7"/>
      <c r="AU953" s="7"/>
      <c r="AV953" s="4" t="s">
        <v>200</v>
      </c>
      <c r="AW953" s="8" t="s">
        <v>200</v>
      </c>
      <c r="AX953" s="4" t="s">
        <v>200</v>
      </c>
      <c r="AY953" s="8" t="s">
        <v>200</v>
      </c>
      <c r="AZ953" s="7" t="s">
        <v>200</v>
      </c>
      <c r="BA953" s="7" t="s">
        <v>200</v>
      </c>
      <c r="BB953" s="7"/>
      <c r="BC953" s="4" t="s">
        <v>200</v>
      </c>
      <c r="BD953" s="8" t="s">
        <v>200</v>
      </c>
      <c r="BE953" s="4" t="s">
        <v>200</v>
      </c>
      <c r="BF953" s="8" t="s">
        <v>200</v>
      </c>
      <c r="BG953" s="7" t="s">
        <v>200</v>
      </c>
      <c r="BH953" s="7" t="s">
        <v>200</v>
      </c>
      <c r="BI953" s="7"/>
      <c r="BJ953" s="4">
        <v>5</v>
      </c>
      <c r="BK953" s="8">
        <v>75</v>
      </c>
      <c r="BL953" s="2" t="s">
        <v>1029</v>
      </c>
      <c r="BM953" s="7"/>
      <c r="BN953" s="7"/>
      <c r="BO953" s="4"/>
      <c r="BP953" s="8"/>
      <c r="BQ953" s="4"/>
      <c r="BR953" s="8"/>
      <c r="BS953" s="7"/>
      <c r="BT953" s="7"/>
      <c r="BU953" s="2" t="s">
        <v>5581</v>
      </c>
      <c r="BV953" s="2" t="s">
        <v>200</v>
      </c>
      <c r="BW953" s="2" t="s">
        <v>200</v>
      </c>
      <c r="BX953" s="2" t="s">
        <v>264</v>
      </c>
      <c r="BY953" s="2" t="s">
        <v>247</v>
      </c>
      <c r="BZ953" s="2" t="s">
        <v>212</v>
      </c>
      <c r="CA953" s="2" t="s">
        <v>1263</v>
      </c>
      <c r="CB953" s="2" t="s">
        <v>200</v>
      </c>
      <c r="CC953" s="2" t="s">
        <v>213</v>
      </c>
      <c r="CD953" s="2" t="s">
        <v>200</v>
      </c>
      <c r="CE953" s="4">
        <v>98</v>
      </c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</row>
    <row r="954">
      <c r="A954" s="2" t="s">
        <v>5582</v>
      </c>
      <c r="B954" s="2" t="s">
        <v>932</v>
      </c>
      <c r="C954" s="2" t="s">
        <v>1252</v>
      </c>
      <c r="D954" s="2" t="s">
        <v>1818</v>
      </c>
      <c r="E954" s="2" t="s">
        <v>2020</v>
      </c>
      <c r="F954" s="2" t="s">
        <v>5572</v>
      </c>
      <c r="G954" s="2" t="s">
        <v>5572</v>
      </c>
      <c r="H954" s="2" t="s">
        <v>5572</v>
      </c>
      <c r="I954" s="2" t="s">
        <v>5573</v>
      </c>
      <c r="J954" s="2" t="s">
        <v>612</v>
      </c>
      <c r="K954" s="2" t="s">
        <v>203</v>
      </c>
      <c r="L954" s="3">
        <v>31.8</v>
      </c>
      <c r="M954" s="3">
        <v>33.39</v>
      </c>
      <c r="N954" s="3">
        <v>52.99</v>
      </c>
      <c r="O954" s="2" t="s">
        <v>460</v>
      </c>
      <c r="P954" s="2" t="s">
        <v>1258</v>
      </c>
      <c r="Q954" s="2" t="s">
        <v>206</v>
      </c>
      <c r="R954" s="2" t="s">
        <v>1259</v>
      </c>
      <c r="S954" s="2" t="s">
        <v>200</v>
      </c>
      <c r="T954" s="2" t="s">
        <v>200</v>
      </c>
      <c r="U954" s="2" t="s">
        <v>454</v>
      </c>
      <c r="V954" s="2" t="s">
        <v>208</v>
      </c>
      <c r="W954" s="2" t="s">
        <v>200</v>
      </c>
      <c r="X954" s="2" t="s">
        <v>200</v>
      </c>
      <c r="Y954" s="2" t="s">
        <v>5574</v>
      </c>
      <c r="Z954" s="4">
        <v>133</v>
      </c>
      <c r="AA954" s="4">
        <f>=ROUNDDOWN(44.3333333333333,0)</f>
      </c>
      <c r="AB954" s="5">
        <v>3</v>
      </c>
      <c r="AC954" s="2" t="s">
        <v>200</v>
      </c>
      <c r="AD954" s="4"/>
      <c r="AE954" s="4"/>
      <c r="AF954" s="6">
        <v>64</v>
      </c>
      <c r="AG954" s="6"/>
      <c r="AH954" s="7">
        <v>1</v>
      </c>
      <c r="AI954" s="4"/>
      <c r="AJ954" s="4">
        <f>=ROUNDDOWN({0},0)</f>
      </c>
      <c r="AK954" s="5"/>
      <c r="AL954" s="2" t="s">
        <v>200</v>
      </c>
      <c r="AM954" s="4"/>
      <c r="AN954" s="4"/>
      <c r="AO954" s="7"/>
      <c r="AP954" s="4"/>
      <c r="AQ954" s="8"/>
      <c r="AR954" s="4"/>
      <c r="AS954" s="8"/>
      <c r="AT954" s="7"/>
      <c r="AU954" s="7"/>
      <c r="AV954" s="4" t="s">
        <v>200</v>
      </c>
      <c r="AW954" s="8" t="s">
        <v>200</v>
      </c>
      <c r="AX954" s="4" t="s">
        <v>200</v>
      </c>
      <c r="AY954" s="8" t="s">
        <v>200</v>
      </c>
      <c r="AZ954" s="7" t="s">
        <v>200</v>
      </c>
      <c r="BA954" s="7" t="s">
        <v>200</v>
      </c>
      <c r="BB954" s="7"/>
      <c r="BC954" s="4" t="s">
        <v>200</v>
      </c>
      <c r="BD954" s="8" t="s">
        <v>200</v>
      </c>
      <c r="BE954" s="4" t="s">
        <v>200</v>
      </c>
      <c r="BF954" s="8" t="s">
        <v>200</v>
      </c>
      <c r="BG954" s="7" t="s">
        <v>200</v>
      </c>
      <c r="BH954" s="7" t="s">
        <v>200</v>
      </c>
      <c r="BI954" s="7"/>
      <c r="BJ954" s="4">
        <v>11</v>
      </c>
      <c r="BK954" s="8">
        <v>209.88</v>
      </c>
      <c r="BL954" s="2" t="s">
        <v>1029</v>
      </c>
      <c r="BM954" s="7"/>
      <c r="BN954" s="7"/>
      <c r="BO954" s="4"/>
      <c r="BP954" s="8"/>
      <c r="BQ954" s="4"/>
      <c r="BR954" s="8"/>
      <c r="BS954" s="7"/>
      <c r="BT954" s="7"/>
      <c r="BU954" s="2" t="s">
        <v>5583</v>
      </c>
      <c r="BV954" s="2" t="s">
        <v>200</v>
      </c>
      <c r="BW954" s="2" t="s">
        <v>200</v>
      </c>
      <c r="BX954" s="2" t="s">
        <v>264</v>
      </c>
      <c r="BY954" s="2" t="s">
        <v>247</v>
      </c>
      <c r="BZ954" s="2" t="s">
        <v>212</v>
      </c>
      <c r="CA954" s="2" t="s">
        <v>1263</v>
      </c>
      <c r="CB954" s="2" t="s">
        <v>200</v>
      </c>
      <c r="CC954" s="2" t="s">
        <v>213</v>
      </c>
      <c r="CD954" s="2" t="s">
        <v>200</v>
      </c>
      <c r="CE954" s="4">
        <v>133</v>
      </c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</row>
    <row r="955">
      <c r="A955" s="2" t="s">
        <v>5584</v>
      </c>
      <c r="B955" s="2" t="s">
        <v>932</v>
      </c>
      <c r="C955" s="2" t="s">
        <v>1252</v>
      </c>
      <c r="D955" s="2" t="s">
        <v>1818</v>
      </c>
      <c r="E955" s="2" t="s">
        <v>2020</v>
      </c>
      <c r="F955" s="2" t="s">
        <v>5572</v>
      </c>
      <c r="G955" s="2" t="s">
        <v>5572</v>
      </c>
      <c r="H955" s="2" t="s">
        <v>5572</v>
      </c>
      <c r="I955" s="2" t="s">
        <v>5573</v>
      </c>
      <c r="J955" s="2" t="s">
        <v>302</v>
      </c>
      <c r="K955" s="2" t="s">
        <v>203</v>
      </c>
      <c r="L955" s="3">
        <v>36.8</v>
      </c>
      <c r="M955" s="3">
        <v>38.64</v>
      </c>
      <c r="N955" s="3">
        <v>59.99</v>
      </c>
      <c r="O955" s="2" t="s">
        <v>460</v>
      </c>
      <c r="P955" s="2" t="s">
        <v>1258</v>
      </c>
      <c r="Q955" s="2" t="s">
        <v>206</v>
      </c>
      <c r="R955" s="2" t="s">
        <v>1259</v>
      </c>
      <c r="S955" s="2" t="s">
        <v>200</v>
      </c>
      <c r="T955" s="2" t="s">
        <v>200</v>
      </c>
      <c r="U955" s="2" t="s">
        <v>454</v>
      </c>
      <c r="V955" s="2" t="s">
        <v>208</v>
      </c>
      <c r="W955" s="2" t="s">
        <v>200</v>
      </c>
      <c r="X955" s="2" t="s">
        <v>200</v>
      </c>
      <c r="Y955" s="2" t="s">
        <v>5574</v>
      </c>
      <c r="Z955" s="4">
        <v>87</v>
      </c>
      <c r="AA955" s="4">
        <f>=ROUNDDOWN(217.5,0)</f>
      </c>
      <c r="AB955" s="5">
        <v>0.4</v>
      </c>
      <c r="AC955" s="2" t="s">
        <v>200</v>
      </c>
      <c r="AD955" s="4"/>
      <c r="AE955" s="4"/>
      <c r="AF955" s="6">
        <v>64</v>
      </c>
      <c r="AG955" s="6"/>
      <c r="AH955" s="7">
        <v>1</v>
      </c>
      <c r="AI955" s="4"/>
      <c r="AJ955" s="4">
        <f>=ROUNDDOWN({0},0)</f>
      </c>
      <c r="AK955" s="5"/>
      <c r="AL955" s="2" t="s">
        <v>200</v>
      </c>
      <c r="AM955" s="4"/>
      <c r="AN955" s="4"/>
      <c r="AO955" s="7"/>
      <c r="AP955" s="4"/>
      <c r="AQ955" s="8"/>
      <c r="AR955" s="4"/>
      <c r="AS955" s="8"/>
      <c r="AT955" s="7"/>
      <c r="AU955" s="7"/>
      <c r="AV955" s="4" t="s">
        <v>200</v>
      </c>
      <c r="AW955" s="8" t="s">
        <v>200</v>
      </c>
      <c r="AX955" s="4" t="s">
        <v>200</v>
      </c>
      <c r="AY955" s="8" t="s">
        <v>200</v>
      </c>
      <c r="AZ955" s="7" t="s">
        <v>200</v>
      </c>
      <c r="BA955" s="7" t="s">
        <v>200</v>
      </c>
      <c r="BB955" s="7"/>
      <c r="BC955" s="4" t="s">
        <v>200</v>
      </c>
      <c r="BD955" s="8" t="s">
        <v>200</v>
      </c>
      <c r="BE955" s="4" t="s">
        <v>200</v>
      </c>
      <c r="BF955" s="8" t="s">
        <v>200</v>
      </c>
      <c r="BG955" s="7" t="s">
        <v>200</v>
      </c>
      <c r="BH955" s="7" t="s">
        <v>200</v>
      </c>
      <c r="BI955" s="7"/>
      <c r="BJ955" s="4">
        <v>6</v>
      </c>
      <c r="BK955" s="8">
        <v>132.48</v>
      </c>
      <c r="BL955" s="2" t="s">
        <v>1261</v>
      </c>
      <c r="BM955" s="7"/>
      <c r="BN955" s="7"/>
      <c r="BO955" s="4"/>
      <c r="BP955" s="8"/>
      <c r="BQ955" s="4"/>
      <c r="BR955" s="8"/>
      <c r="BS955" s="7"/>
      <c r="BT955" s="7"/>
      <c r="BU955" s="2" t="s">
        <v>5585</v>
      </c>
      <c r="BV955" s="2" t="s">
        <v>200</v>
      </c>
      <c r="BW955" s="2" t="s">
        <v>200</v>
      </c>
      <c r="BX955" s="2" t="s">
        <v>264</v>
      </c>
      <c r="BY955" s="2" t="s">
        <v>247</v>
      </c>
      <c r="BZ955" s="2" t="s">
        <v>212</v>
      </c>
      <c r="CA955" s="2" t="s">
        <v>1263</v>
      </c>
      <c r="CB955" s="2" t="s">
        <v>200</v>
      </c>
      <c r="CC955" s="2" t="s">
        <v>213</v>
      </c>
      <c r="CD955" s="2" t="s">
        <v>200</v>
      </c>
      <c r="CE955" s="4">
        <v>87</v>
      </c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  <c r="GH955" s="4"/>
    </row>
    <row r="956">
      <c r="A956" s="2" t="s">
        <v>5586</v>
      </c>
      <c r="B956" s="2" t="s">
        <v>903</v>
      </c>
      <c r="C956" s="2" t="s">
        <v>1523</v>
      </c>
      <c r="D956" s="2" t="s">
        <v>608</v>
      </c>
      <c r="E956" s="2" t="s">
        <v>609</v>
      </c>
      <c r="F956" s="2" t="s">
        <v>5587</v>
      </c>
      <c r="G956" s="2" t="s">
        <v>5587</v>
      </c>
      <c r="H956" s="2" t="s">
        <v>5587</v>
      </c>
      <c r="I956" s="2" t="s">
        <v>1761</v>
      </c>
      <c r="J956" s="2" t="s">
        <v>297</v>
      </c>
      <c r="K956" s="2" t="s">
        <v>237</v>
      </c>
      <c r="L956" s="3">
        <v>178.75</v>
      </c>
      <c r="M956" s="3">
        <v>187.69</v>
      </c>
      <c r="N956" s="3">
        <v>499.99</v>
      </c>
      <c r="O956" s="2" t="s">
        <v>212</v>
      </c>
      <c r="P956" s="2" t="s">
        <v>205</v>
      </c>
      <c r="Q956" s="2" t="s">
        <v>206</v>
      </c>
      <c r="R956" s="2" t="s">
        <v>200</v>
      </c>
      <c r="S956" s="2" t="s">
        <v>200</v>
      </c>
      <c r="T956" s="2" t="s">
        <v>1176</v>
      </c>
      <c r="U956" s="2" t="s">
        <v>240</v>
      </c>
      <c r="V956" s="2" t="s">
        <v>419</v>
      </c>
      <c r="W956" s="2" t="s">
        <v>200</v>
      </c>
      <c r="X956" s="2" t="s">
        <v>200</v>
      </c>
      <c r="Y956" s="2" t="s">
        <v>200</v>
      </c>
      <c r="Z956" s="4"/>
      <c r="AA956" s="4">
        <f>=ROUNDDOWN({0},0)</f>
      </c>
      <c r="AB956" s="5"/>
      <c r="AC956" s="2" t="s">
        <v>200</v>
      </c>
      <c r="AD956" s="4"/>
      <c r="AE956" s="4"/>
      <c r="AF956" s="6"/>
      <c r="AG956" s="6"/>
      <c r="AH956" s="7"/>
      <c r="AI956" s="4"/>
      <c r="AJ956" s="4">
        <f>=ROUNDDOWN({0},0)</f>
      </c>
      <c r="AK956" s="5"/>
      <c r="AL956" s="2" t="s">
        <v>200</v>
      </c>
      <c r="AM956" s="4"/>
      <c r="AN956" s="4"/>
      <c r="AO956" s="7"/>
      <c r="AP956" s="4"/>
      <c r="AQ956" s="8"/>
      <c r="AR956" s="4"/>
      <c r="AS956" s="8"/>
      <c r="AT956" s="7"/>
      <c r="AU956" s="7"/>
      <c r="AV956" s="4" t="s">
        <v>200</v>
      </c>
      <c r="AW956" s="8" t="s">
        <v>200</v>
      </c>
      <c r="AX956" s="4" t="s">
        <v>200</v>
      </c>
      <c r="AY956" s="8" t="s">
        <v>200</v>
      </c>
      <c r="AZ956" s="7" t="s">
        <v>200</v>
      </c>
      <c r="BA956" s="7" t="s">
        <v>200</v>
      </c>
      <c r="BB956" s="7"/>
      <c r="BC956" s="4" t="s">
        <v>200</v>
      </c>
      <c r="BD956" s="8" t="s">
        <v>200</v>
      </c>
      <c r="BE956" s="4" t="s">
        <v>200</v>
      </c>
      <c r="BF956" s="8" t="s">
        <v>200</v>
      </c>
      <c r="BG956" s="7" t="s">
        <v>200</v>
      </c>
      <c r="BH956" s="7" t="s">
        <v>200</v>
      </c>
      <c r="BI956" s="7"/>
      <c r="BJ956" s="4"/>
      <c r="BK956" s="8"/>
      <c r="BL956" s="2" t="s">
        <v>200</v>
      </c>
      <c r="BM956" s="7"/>
      <c r="BN956" s="7"/>
      <c r="BO956" s="4"/>
      <c r="BP956" s="8"/>
      <c r="BQ956" s="4"/>
      <c r="BR956" s="8"/>
      <c r="BS956" s="7"/>
      <c r="BT956" s="7"/>
      <c r="BU956" s="2" t="s">
        <v>210</v>
      </c>
      <c r="BV956" s="2" t="s">
        <v>200</v>
      </c>
      <c r="BW956" s="2" t="s">
        <v>200</v>
      </c>
      <c r="BX956" s="2" t="s">
        <v>210</v>
      </c>
      <c r="BY956" s="2" t="s">
        <v>211</v>
      </c>
      <c r="BZ956" s="2" t="s">
        <v>212</v>
      </c>
      <c r="CA956" s="2" t="s">
        <v>200</v>
      </c>
      <c r="CB956" s="2" t="s">
        <v>200</v>
      </c>
      <c r="CC956" s="2" t="s">
        <v>213</v>
      </c>
      <c r="CD956" s="2" t="s">
        <v>200</v>
      </c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</row>
    <row r="957">
      <c r="A957" s="2" t="s">
        <v>5588</v>
      </c>
      <c r="B957" s="2" t="s">
        <v>903</v>
      </c>
      <c r="C957" s="2" t="s">
        <v>1523</v>
      </c>
      <c r="D957" s="2" t="s">
        <v>608</v>
      </c>
      <c r="E957" s="2" t="s">
        <v>609</v>
      </c>
      <c r="F957" s="2" t="s">
        <v>5587</v>
      </c>
      <c r="G957" s="2" t="s">
        <v>5587</v>
      </c>
      <c r="H957" s="2" t="s">
        <v>5587</v>
      </c>
      <c r="I957" s="2" t="s">
        <v>1761</v>
      </c>
      <c r="J957" s="2" t="s">
        <v>302</v>
      </c>
      <c r="K957" s="2" t="s">
        <v>237</v>
      </c>
      <c r="L957" s="3">
        <v>214.5</v>
      </c>
      <c r="M957" s="3">
        <v>225.23</v>
      </c>
      <c r="N957" s="3">
        <v>599.99</v>
      </c>
      <c r="O957" s="2" t="s">
        <v>212</v>
      </c>
      <c r="P957" s="2" t="s">
        <v>205</v>
      </c>
      <c r="Q957" s="2" t="s">
        <v>206</v>
      </c>
      <c r="R957" s="2" t="s">
        <v>200</v>
      </c>
      <c r="S957" s="2" t="s">
        <v>200</v>
      </c>
      <c r="T957" s="2" t="s">
        <v>1176</v>
      </c>
      <c r="U957" s="2" t="s">
        <v>240</v>
      </c>
      <c r="V957" s="2" t="s">
        <v>419</v>
      </c>
      <c r="W957" s="2" t="s">
        <v>200</v>
      </c>
      <c r="X957" s="2" t="s">
        <v>200</v>
      </c>
      <c r="Y957" s="2" t="s">
        <v>200</v>
      </c>
      <c r="Z957" s="4"/>
      <c r="AA957" s="4">
        <f>=ROUNDDOWN({0},0)</f>
      </c>
      <c r="AB957" s="5"/>
      <c r="AC957" s="2" t="s">
        <v>200</v>
      </c>
      <c r="AD957" s="4"/>
      <c r="AE957" s="4"/>
      <c r="AF957" s="6"/>
      <c r="AG957" s="6"/>
      <c r="AH957" s="7"/>
      <c r="AI957" s="4"/>
      <c r="AJ957" s="4">
        <f>=ROUNDDOWN({0},0)</f>
      </c>
      <c r="AK957" s="5"/>
      <c r="AL957" s="2" t="s">
        <v>200</v>
      </c>
      <c r="AM957" s="4"/>
      <c r="AN957" s="4"/>
      <c r="AO957" s="7"/>
      <c r="AP957" s="4"/>
      <c r="AQ957" s="8"/>
      <c r="AR957" s="4"/>
      <c r="AS957" s="8"/>
      <c r="AT957" s="7"/>
      <c r="AU957" s="7"/>
      <c r="AV957" s="4" t="s">
        <v>200</v>
      </c>
      <c r="AW957" s="8" t="s">
        <v>200</v>
      </c>
      <c r="AX957" s="4" t="s">
        <v>200</v>
      </c>
      <c r="AY957" s="8" t="s">
        <v>200</v>
      </c>
      <c r="AZ957" s="7" t="s">
        <v>200</v>
      </c>
      <c r="BA957" s="7" t="s">
        <v>200</v>
      </c>
      <c r="BB957" s="7"/>
      <c r="BC957" s="4" t="s">
        <v>200</v>
      </c>
      <c r="BD957" s="8" t="s">
        <v>200</v>
      </c>
      <c r="BE957" s="4" t="s">
        <v>200</v>
      </c>
      <c r="BF957" s="8" t="s">
        <v>200</v>
      </c>
      <c r="BG957" s="7" t="s">
        <v>200</v>
      </c>
      <c r="BH957" s="7" t="s">
        <v>200</v>
      </c>
      <c r="BI957" s="7"/>
      <c r="BJ957" s="4"/>
      <c r="BK957" s="8"/>
      <c r="BL957" s="2" t="s">
        <v>200</v>
      </c>
      <c r="BM957" s="7"/>
      <c r="BN957" s="7"/>
      <c r="BO957" s="4"/>
      <c r="BP957" s="8"/>
      <c r="BQ957" s="4"/>
      <c r="BR957" s="8"/>
      <c r="BS957" s="7"/>
      <c r="BT957" s="7"/>
      <c r="BU957" s="2" t="s">
        <v>210</v>
      </c>
      <c r="BV957" s="2" t="s">
        <v>200</v>
      </c>
      <c r="BW957" s="2" t="s">
        <v>200</v>
      </c>
      <c r="BX957" s="2" t="s">
        <v>210</v>
      </c>
      <c r="BY957" s="2" t="s">
        <v>211</v>
      </c>
      <c r="BZ957" s="2" t="s">
        <v>212</v>
      </c>
      <c r="CA957" s="2" t="s">
        <v>200</v>
      </c>
      <c r="CB957" s="2" t="s">
        <v>200</v>
      </c>
      <c r="CC957" s="2" t="s">
        <v>213</v>
      </c>
      <c r="CD957" s="2" t="s">
        <v>200</v>
      </c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</row>
    <row r="958">
      <c r="A958" s="2" t="s">
        <v>5589</v>
      </c>
      <c r="B958" s="2" t="s">
        <v>903</v>
      </c>
      <c r="C958" s="2" t="s">
        <v>1523</v>
      </c>
      <c r="D958" s="2" t="s">
        <v>608</v>
      </c>
      <c r="E958" s="2" t="s">
        <v>609</v>
      </c>
      <c r="F958" s="2" t="s">
        <v>5587</v>
      </c>
      <c r="G958" s="2" t="s">
        <v>5587</v>
      </c>
      <c r="H958" s="2" t="s">
        <v>5587</v>
      </c>
      <c r="I958" s="2" t="s">
        <v>1761</v>
      </c>
      <c r="J958" s="2" t="s">
        <v>236</v>
      </c>
      <c r="K958" s="2" t="s">
        <v>237</v>
      </c>
      <c r="L958" s="3">
        <v>214.5</v>
      </c>
      <c r="M958" s="3">
        <v>225.23</v>
      </c>
      <c r="N958" s="3">
        <v>599.99</v>
      </c>
      <c r="O958" s="2" t="s">
        <v>212</v>
      </c>
      <c r="P958" s="2" t="s">
        <v>205</v>
      </c>
      <c r="Q958" s="2" t="s">
        <v>206</v>
      </c>
      <c r="R958" s="2" t="s">
        <v>200</v>
      </c>
      <c r="S958" s="2" t="s">
        <v>200</v>
      </c>
      <c r="T958" s="2" t="s">
        <v>1176</v>
      </c>
      <c r="U958" s="2" t="s">
        <v>240</v>
      </c>
      <c r="V958" s="2" t="s">
        <v>419</v>
      </c>
      <c r="W958" s="2" t="s">
        <v>200</v>
      </c>
      <c r="X958" s="2" t="s">
        <v>200</v>
      </c>
      <c r="Y958" s="2" t="s">
        <v>200</v>
      </c>
      <c r="Z958" s="4"/>
      <c r="AA958" s="4">
        <f>=ROUNDDOWN({0},0)</f>
      </c>
      <c r="AB958" s="5"/>
      <c r="AC958" s="2" t="s">
        <v>200</v>
      </c>
      <c r="AD958" s="4"/>
      <c r="AE958" s="4"/>
      <c r="AF958" s="6"/>
      <c r="AG958" s="6"/>
      <c r="AH958" s="7"/>
      <c r="AI958" s="4"/>
      <c r="AJ958" s="4">
        <f>=ROUNDDOWN({0},0)</f>
      </c>
      <c r="AK958" s="5"/>
      <c r="AL958" s="2" t="s">
        <v>200</v>
      </c>
      <c r="AM958" s="4"/>
      <c r="AN958" s="4"/>
      <c r="AO958" s="7"/>
      <c r="AP958" s="4"/>
      <c r="AQ958" s="8"/>
      <c r="AR958" s="4"/>
      <c r="AS958" s="8"/>
      <c r="AT958" s="7"/>
      <c r="AU958" s="7"/>
      <c r="AV958" s="4" t="s">
        <v>200</v>
      </c>
      <c r="AW958" s="8" t="s">
        <v>200</v>
      </c>
      <c r="AX958" s="4" t="s">
        <v>200</v>
      </c>
      <c r="AY958" s="8" t="s">
        <v>200</v>
      </c>
      <c r="AZ958" s="7" t="s">
        <v>200</v>
      </c>
      <c r="BA958" s="7" t="s">
        <v>200</v>
      </c>
      <c r="BB958" s="7"/>
      <c r="BC958" s="4" t="s">
        <v>200</v>
      </c>
      <c r="BD958" s="8" t="s">
        <v>200</v>
      </c>
      <c r="BE958" s="4" t="s">
        <v>200</v>
      </c>
      <c r="BF958" s="8" t="s">
        <v>200</v>
      </c>
      <c r="BG958" s="7" t="s">
        <v>200</v>
      </c>
      <c r="BH958" s="7" t="s">
        <v>200</v>
      </c>
      <c r="BI958" s="7"/>
      <c r="BJ958" s="4"/>
      <c r="BK958" s="8"/>
      <c r="BL958" s="2" t="s">
        <v>200</v>
      </c>
      <c r="BM958" s="7"/>
      <c r="BN958" s="7"/>
      <c r="BO958" s="4"/>
      <c r="BP958" s="8"/>
      <c r="BQ958" s="4"/>
      <c r="BR958" s="8"/>
      <c r="BS958" s="7"/>
      <c r="BT958" s="7"/>
      <c r="BU958" s="2" t="s">
        <v>210</v>
      </c>
      <c r="BV958" s="2" t="s">
        <v>200</v>
      </c>
      <c r="BW958" s="2" t="s">
        <v>200</v>
      </c>
      <c r="BX958" s="2" t="s">
        <v>210</v>
      </c>
      <c r="BY958" s="2" t="s">
        <v>211</v>
      </c>
      <c r="BZ958" s="2" t="s">
        <v>212</v>
      </c>
      <c r="CA958" s="2" t="s">
        <v>200</v>
      </c>
      <c r="CB958" s="2" t="s">
        <v>200</v>
      </c>
      <c r="CC958" s="2" t="s">
        <v>213</v>
      </c>
      <c r="CD958" s="2" t="s">
        <v>200</v>
      </c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</row>
    <row r="959">
      <c r="A959" s="2" t="s">
        <v>5590</v>
      </c>
      <c r="B959" s="2" t="s">
        <v>2391</v>
      </c>
      <c r="C959" s="2" t="s">
        <v>946</v>
      </c>
      <c r="D959" s="2" t="s">
        <v>2392</v>
      </c>
      <c r="E959" s="2" t="s">
        <v>2393</v>
      </c>
      <c r="F959" s="2" t="s">
        <v>5591</v>
      </c>
      <c r="G959" s="2" t="s">
        <v>5591</v>
      </c>
      <c r="H959" s="2" t="s">
        <v>5591</v>
      </c>
      <c r="I959" s="2" t="s">
        <v>5592</v>
      </c>
      <c r="J959" s="2" t="s">
        <v>711</v>
      </c>
      <c r="K959" s="2" t="s">
        <v>1153</v>
      </c>
      <c r="L959" s="3">
        <v>6.54</v>
      </c>
      <c r="M959" s="3">
        <v>6.87</v>
      </c>
      <c r="N959" s="3">
        <v>14.99</v>
      </c>
      <c r="O959" s="2" t="s">
        <v>212</v>
      </c>
      <c r="P959" s="2" t="s">
        <v>205</v>
      </c>
      <c r="Q959" s="2" t="s">
        <v>206</v>
      </c>
      <c r="R959" s="2" t="s">
        <v>200</v>
      </c>
      <c r="S959" s="2" t="s">
        <v>200</v>
      </c>
      <c r="T959" s="2" t="s">
        <v>200</v>
      </c>
      <c r="U959" s="2" t="s">
        <v>270</v>
      </c>
      <c r="V959" s="2" t="s">
        <v>616</v>
      </c>
      <c r="W959" s="2" t="s">
        <v>241</v>
      </c>
      <c r="X959" s="2" t="s">
        <v>200</v>
      </c>
      <c r="Y959" s="2" t="s">
        <v>4784</v>
      </c>
      <c r="Z959" s="4">
        <v>580</v>
      </c>
      <c r="AA959" s="4">
        <f>=ROUNDDOWN(145,0)</f>
      </c>
      <c r="AB959" s="5">
        <v>4</v>
      </c>
      <c r="AC959" s="2" t="s">
        <v>200</v>
      </c>
      <c r="AD959" s="4"/>
      <c r="AE959" s="4"/>
      <c r="AF959" s="6">
        <v>65</v>
      </c>
      <c r="AG959" s="6"/>
      <c r="AH959" s="7">
        <v>1</v>
      </c>
      <c r="AI959" s="4"/>
      <c r="AJ959" s="4">
        <f>=ROUNDDOWN({0},0)</f>
      </c>
      <c r="AK959" s="5"/>
      <c r="AL959" s="2" t="s">
        <v>200</v>
      </c>
      <c r="AM959" s="4"/>
      <c r="AN959" s="4"/>
      <c r="AO959" s="7"/>
      <c r="AP959" s="4"/>
      <c r="AQ959" s="8"/>
      <c r="AR959" s="4"/>
      <c r="AS959" s="8"/>
      <c r="AT959" s="7"/>
      <c r="AU959" s="7"/>
      <c r="AV959" s="4"/>
      <c r="AW959" s="8"/>
      <c r="AX959" s="4"/>
      <c r="AY959" s="8"/>
      <c r="AZ959" s="7"/>
      <c r="BA959" s="7"/>
      <c r="BB959" s="7"/>
      <c r="BC959" s="4"/>
      <c r="BD959" s="8"/>
      <c r="BE959" s="4"/>
      <c r="BF959" s="8"/>
      <c r="BG959" s="7"/>
      <c r="BH959" s="7"/>
      <c r="BI959" s="7"/>
      <c r="BJ959" s="4">
        <v>1</v>
      </c>
      <c r="BK959" s="8">
        <v>7.52</v>
      </c>
      <c r="BL959" s="2" t="s">
        <v>1029</v>
      </c>
      <c r="BM959" s="7"/>
      <c r="BN959" s="7"/>
      <c r="BO959" s="4"/>
      <c r="BP959" s="8"/>
      <c r="BQ959" s="4"/>
      <c r="BR959" s="8"/>
      <c r="BS959" s="7"/>
      <c r="BT959" s="7"/>
      <c r="BU959" s="2" t="s">
        <v>5593</v>
      </c>
      <c r="BV959" s="2" t="s">
        <v>200</v>
      </c>
      <c r="BW959" s="2" t="s">
        <v>200</v>
      </c>
      <c r="BX959" s="2" t="s">
        <v>264</v>
      </c>
      <c r="BY959" s="2" t="s">
        <v>247</v>
      </c>
      <c r="BZ959" s="2" t="s">
        <v>212</v>
      </c>
      <c r="CA959" s="2" t="s">
        <v>473</v>
      </c>
      <c r="CB959" s="2" t="s">
        <v>200</v>
      </c>
      <c r="CC959" s="2" t="s">
        <v>213</v>
      </c>
      <c r="CD959" s="2" t="s">
        <v>200</v>
      </c>
      <c r="CE959" s="4"/>
      <c r="CF959" s="4">
        <v>293</v>
      </c>
      <c r="CG959" s="4"/>
      <c r="CH959" s="4">
        <v>287</v>
      </c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</row>
    <row r="960">
      <c r="A960" s="2" t="s">
        <v>5594</v>
      </c>
      <c r="B960" s="2" t="s">
        <v>719</v>
      </c>
      <c r="C960" s="2" t="s">
        <v>231</v>
      </c>
      <c r="D960" s="2" t="s">
        <v>1554</v>
      </c>
      <c r="E960" s="2" t="s">
        <v>1555</v>
      </c>
      <c r="F960" s="2" t="s">
        <v>5595</v>
      </c>
      <c r="G960" s="2" t="s">
        <v>5595</v>
      </c>
      <c r="H960" s="2" t="s">
        <v>5595</v>
      </c>
      <c r="I960" s="2" t="s">
        <v>5596</v>
      </c>
      <c r="J960" s="2" t="s">
        <v>711</v>
      </c>
      <c r="K960" s="2" t="s">
        <v>5597</v>
      </c>
      <c r="L960" s="3">
        <v>8.33</v>
      </c>
      <c r="M960" s="3">
        <v>8.75</v>
      </c>
      <c r="N960" s="3">
        <v>24.99</v>
      </c>
      <c r="O960" s="2" t="s">
        <v>212</v>
      </c>
      <c r="P960" s="2" t="s">
        <v>285</v>
      </c>
      <c r="Q960" s="2" t="s">
        <v>206</v>
      </c>
      <c r="R960" s="2" t="s">
        <v>200</v>
      </c>
      <c r="S960" s="2" t="s">
        <v>200</v>
      </c>
      <c r="T960" s="2" t="s">
        <v>200</v>
      </c>
      <c r="U960" s="2" t="s">
        <v>270</v>
      </c>
      <c r="V960" s="2" t="s">
        <v>1726</v>
      </c>
      <c r="W960" s="2" t="s">
        <v>419</v>
      </c>
      <c r="X960" s="2" t="s">
        <v>241</v>
      </c>
      <c r="Y960" s="2" t="s">
        <v>4876</v>
      </c>
      <c r="Z960" s="4">
        <v>53</v>
      </c>
      <c r="AA960" s="4">
        <f>=ROUNDDOWN(53,0)</f>
      </c>
      <c r="AB960" s="5">
        <v>1</v>
      </c>
      <c r="AC960" s="2" t="s">
        <v>200</v>
      </c>
      <c r="AD960" s="4"/>
      <c r="AE960" s="4"/>
      <c r="AF960" s="6">
        <v>63</v>
      </c>
      <c r="AG960" s="6"/>
      <c r="AH960" s="7">
        <v>1</v>
      </c>
      <c r="AI960" s="4"/>
      <c r="AJ960" s="4">
        <f>=ROUNDDOWN({0},0)</f>
      </c>
      <c r="AK960" s="5"/>
      <c r="AL960" s="2" t="s">
        <v>200</v>
      </c>
      <c r="AM960" s="4"/>
      <c r="AN960" s="4"/>
      <c r="AO960" s="7"/>
      <c r="AP960" s="4"/>
      <c r="AQ960" s="8"/>
      <c r="AR960" s="4"/>
      <c r="AS960" s="8"/>
      <c r="AT960" s="7"/>
      <c r="AU960" s="7"/>
      <c r="AV960" s="4"/>
      <c r="AW960" s="8"/>
      <c r="AX960" s="4"/>
      <c r="AY960" s="8"/>
      <c r="AZ960" s="7"/>
      <c r="BA960" s="7"/>
      <c r="BB960" s="7"/>
      <c r="BC960" s="4" t="s">
        <v>200</v>
      </c>
      <c r="BD960" s="8" t="s">
        <v>200</v>
      </c>
      <c r="BE960" s="4" t="s">
        <v>200</v>
      </c>
      <c r="BF960" s="8" t="s">
        <v>200</v>
      </c>
      <c r="BG960" s="7" t="s">
        <v>200</v>
      </c>
      <c r="BH960" s="7" t="s">
        <v>200</v>
      </c>
      <c r="BI960" s="7"/>
      <c r="BJ960" s="4">
        <v>3</v>
      </c>
      <c r="BK960" s="8">
        <v>29.38</v>
      </c>
      <c r="BL960" s="2" t="s">
        <v>2207</v>
      </c>
      <c r="BM960" s="7"/>
      <c r="BN960" s="7"/>
      <c r="BO960" s="4"/>
      <c r="BP960" s="8"/>
      <c r="BQ960" s="4"/>
      <c r="BR960" s="8"/>
      <c r="BS960" s="7"/>
      <c r="BT960" s="7"/>
      <c r="BU960" s="2" t="s">
        <v>5598</v>
      </c>
      <c r="BV960" s="2" t="s">
        <v>200</v>
      </c>
      <c r="BW960" s="2" t="s">
        <v>200</v>
      </c>
      <c r="BX960" s="2" t="s">
        <v>289</v>
      </c>
      <c r="BY960" s="2" t="s">
        <v>247</v>
      </c>
      <c r="BZ960" s="2" t="s">
        <v>212</v>
      </c>
      <c r="CA960" s="2" t="s">
        <v>3701</v>
      </c>
      <c r="CB960" s="2" t="s">
        <v>200</v>
      </c>
      <c r="CC960" s="2" t="s">
        <v>213</v>
      </c>
      <c r="CD960" s="2" t="s">
        <v>200</v>
      </c>
      <c r="CE960" s="4"/>
      <c r="CF960" s="4">
        <v>53</v>
      </c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</row>
    <row r="961">
      <c r="A961" s="2" t="s">
        <v>5599</v>
      </c>
      <c r="B961" s="2" t="s">
        <v>719</v>
      </c>
      <c r="C961" s="2" t="s">
        <v>231</v>
      </c>
      <c r="D961" s="2" t="s">
        <v>1554</v>
      </c>
      <c r="E961" s="2" t="s">
        <v>1555</v>
      </c>
      <c r="F961" s="2" t="s">
        <v>5595</v>
      </c>
      <c r="G961" s="2" t="s">
        <v>5595</v>
      </c>
      <c r="H961" s="2" t="s">
        <v>5595</v>
      </c>
      <c r="I961" s="2" t="s">
        <v>5600</v>
      </c>
      <c r="J961" s="2" t="s">
        <v>711</v>
      </c>
      <c r="K961" s="2" t="s">
        <v>5601</v>
      </c>
      <c r="L961" s="3">
        <v>8.33</v>
      </c>
      <c r="M961" s="3">
        <v>8.75</v>
      </c>
      <c r="N961" s="3">
        <v>24.99</v>
      </c>
      <c r="O961" s="2" t="s">
        <v>212</v>
      </c>
      <c r="P961" s="2" t="s">
        <v>285</v>
      </c>
      <c r="Q961" s="2" t="s">
        <v>206</v>
      </c>
      <c r="R961" s="2" t="s">
        <v>200</v>
      </c>
      <c r="S961" s="2" t="s">
        <v>200</v>
      </c>
      <c r="T961" s="2" t="s">
        <v>200</v>
      </c>
      <c r="U961" s="2" t="s">
        <v>270</v>
      </c>
      <c r="V961" s="2" t="s">
        <v>1726</v>
      </c>
      <c r="W961" s="2" t="s">
        <v>419</v>
      </c>
      <c r="X961" s="2" t="s">
        <v>241</v>
      </c>
      <c r="Y961" s="2" t="s">
        <v>4876</v>
      </c>
      <c r="Z961" s="4">
        <v>90</v>
      </c>
      <c r="AA961" s="4">
        <f>=ROUNDDOWN(90,0)</f>
      </c>
      <c r="AB961" s="5">
        <v>1</v>
      </c>
      <c r="AC961" s="2" t="s">
        <v>200</v>
      </c>
      <c r="AD961" s="4"/>
      <c r="AE961" s="4"/>
      <c r="AF961" s="6">
        <v>63</v>
      </c>
      <c r="AG961" s="6"/>
      <c r="AH961" s="7">
        <v>1</v>
      </c>
      <c r="AI961" s="4"/>
      <c r="AJ961" s="4">
        <f>=ROUNDDOWN({0},0)</f>
      </c>
      <c r="AK961" s="5"/>
      <c r="AL961" s="2" t="s">
        <v>200</v>
      </c>
      <c r="AM961" s="4"/>
      <c r="AN961" s="4"/>
      <c r="AO961" s="7"/>
      <c r="AP961" s="4"/>
      <c r="AQ961" s="8"/>
      <c r="AR961" s="4"/>
      <c r="AS961" s="8"/>
      <c r="AT961" s="7"/>
      <c r="AU961" s="7"/>
      <c r="AV961" s="4"/>
      <c r="AW961" s="8"/>
      <c r="AX961" s="4"/>
      <c r="AY961" s="8"/>
      <c r="AZ961" s="7"/>
      <c r="BA961" s="7"/>
      <c r="BB961" s="7"/>
      <c r="BC961" s="4" t="s">
        <v>200</v>
      </c>
      <c r="BD961" s="8" t="s">
        <v>200</v>
      </c>
      <c r="BE961" s="4" t="s">
        <v>200</v>
      </c>
      <c r="BF961" s="8" t="s">
        <v>200</v>
      </c>
      <c r="BG961" s="7" t="s">
        <v>200</v>
      </c>
      <c r="BH961" s="7" t="s">
        <v>200</v>
      </c>
      <c r="BI961" s="7"/>
      <c r="BJ961" s="4">
        <v>3</v>
      </c>
      <c r="BK961" s="8">
        <v>28.78</v>
      </c>
      <c r="BL961" s="2" t="s">
        <v>2509</v>
      </c>
      <c r="BM961" s="7"/>
      <c r="BN961" s="7"/>
      <c r="BO961" s="4"/>
      <c r="BP961" s="8"/>
      <c r="BQ961" s="4"/>
      <c r="BR961" s="8"/>
      <c r="BS961" s="7"/>
      <c r="BT961" s="7"/>
      <c r="BU961" s="2" t="s">
        <v>5602</v>
      </c>
      <c r="BV961" s="2" t="s">
        <v>200</v>
      </c>
      <c r="BW961" s="2" t="s">
        <v>200</v>
      </c>
      <c r="BX961" s="2" t="s">
        <v>289</v>
      </c>
      <c r="BY961" s="2" t="s">
        <v>247</v>
      </c>
      <c r="BZ961" s="2" t="s">
        <v>212</v>
      </c>
      <c r="CA961" s="2" t="s">
        <v>3701</v>
      </c>
      <c r="CB961" s="2" t="s">
        <v>200</v>
      </c>
      <c r="CC961" s="2" t="s">
        <v>213</v>
      </c>
      <c r="CD961" s="2" t="s">
        <v>200</v>
      </c>
      <c r="CE961" s="4"/>
      <c r="CF961" s="4">
        <v>90</v>
      </c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</row>
    <row r="962">
      <c r="A962" s="2" t="s">
        <v>5603</v>
      </c>
      <c r="B962" s="2" t="s">
        <v>719</v>
      </c>
      <c r="C962" s="2" t="s">
        <v>231</v>
      </c>
      <c r="D962" s="2" t="s">
        <v>1554</v>
      </c>
      <c r="E962" s="2" t="s">
        <v>1555</v>
      </c>
      <c r="F962" s="2" t="s">
        <v>5595</v>
      </c>
      <c r="G962" s="2" t="s">
        <v>5595</v>
      </c>
      <c r="H962" s="2" t="s">
        <v>5595</v>
      </c>
      <c r="I962" s="2" t="s">
        <v>5604</v>
      </c>
      <c r="J962" s="2" t="s">
        <v>711</v>
      </c>
      <c r="K962" s="2" t="s">
        <v>5605</v>
      </c>
      <c r="L962" s="3">
        <v>8.33</v>
      </c>
      <c r="M962" s="3">
        <v>8.75</v>
      </c>
      <c r="N962" s="3">
        <v>24.99</v>
      </c>
      <c r="O962" s="2" t="s">
        <v>212</v>
      </c>
      <c r="P962" s="2" t="s">
        <v>285</v>
      </c>
      <c r="Q962" s="2" t="s">
        <v>206</v>
      </c>
      <c r="R962" s="2" t="s">
        <v>200</v>
      </c>
      <c r="S962" s="2" t="s">
        <v>200</v>
      </c>
      <c r="T962" s="2" t="s">
        <v>200</v>
      </c>
      <c r="U962" s="2" t="s">
        <v>270</v>
      </c>
      <c r="V962" s="2" t="s">
        <v>1726</v>
      </c>
      <c r="W962" s="2" t="s">
        <v>419</v>
      </c>
      <c r="X962" s="2" t="s">
        <v>241</v>
      </c>
      <c r="Y962" s="2" t="s">
        <v>4876</v>
      </c>
      <c r="Z962" s="4">
        <v>85</v>
      </c>
      <c r="AA962" s="4">
        <f>=ROUNDDOWN(85,0)</f>
      </c>
      <c r="AB962" s="5">
        <v>1</v>
      </c>
      <c r="AC962" s="2" t="s">
        <v>200</v>
      </c>
      <c r="AD962" s="4"/>
      <c r="AE962" s="4"/>
      <c r="AF962" s="6">
        <v>63</v>
      </c>
      <c r="AG962" s="6"/>
      <c r="AH962" s="7">
        <v>1</v>
      </c>
      <c r="AI962" s="4"/>
      <c r="AJ962" s="4">
        <f>=ROUNDDOWN({0},0)</f>
      </c>
      <c r="AK962" s="5"/>
      <c r="AL962" s="2" t="s">
        <v>200</v>
      </c>
      <c r="AM962" s="4"/>
      <c r="AN962" s="4"/>
      <c r="AO962" s="7"/>
      <c r="AP962" s="4"/>
      <c r="AQ962" s="8"/>
      <c r="AR962" s="4"/>
      <c r="AS962" s="8"/>
      <c r="AT962" s="7"/>
      <c r="AU962" s="7"/>
      <c r="AV962" s="4"/>
      <c r="AW962" s="8"/>
      <c r="AX962" s="4"/>
      <c r="AY962" s="8"/>
      <c r="AZ962" s="7"/>
      <c r="BA962" s="7"/>
      <c r="BB962" s="7"/>
      <c r="BC962" s="4" t="s">
        <v>200</v>
      </c>
      <c r="BD962" s="8" t="s">
        <v>200</v>
      </c>
      <c r="BE962" s="4" t="s">
        <v>200</v>
      </c>
      <c r="BF962" s="8" t="s">
        <v>200</v>
      </c>
      <c r="BG962" s="7" t="s">
        <v>200</v>
      </c>
      <c r="BH962" s="7" t="s">
        <v>200</v>
      </c>
      <c r="BI962" s="7"/>
      <c r="BJ962" s="4"/>
      <c r="BK962" s="8"/>
      <c r="BL962" s="2" t="s">
        <v>200</v>
      </c>
      <c r="BM962" s="7"/>
      <c r="BN962" s="7"/>
      <c r="BO962" s="4"/>
      <c r="BP962" s="8"/>
      <c r="BQ962" s="4"/>
      <c r="BR962" s="8"/>
      <c r="BS962" s="7"/>
      <c r="BT962" s="7"/>
      <c r="BU962" s="2" t="s">
        <v>5606</v>
      </c>
      <c r="BV962" s="2" t="s">
        <v>200</v>
      </c>
      <c r="BW962" s="2" t="s">
        <v>200</v>
      </c>
      <c r="BX962" s="2" t="s">
        <v>289</v>
      </c>
      <c r="BY962" s="2" t="s">
        <v>247</v>
      </c>
      <c r="BZ962" s="2" t="s">
        <v>212</v>
      </c>
      <c r="CA962" s="2" t="s">
        <v>3701</v>
      </c>
      <c r="CB962" s="2" t="s">
        <v>200</v>
      </c>
      <c r="CC962" s="2" t="s">
        <v>213</v>
      </c>
      <c r="CD962" s="2" t="s">
        <v>200</v>
      </c>
      <c r="CE962" s="4"/>
      <c r="CF962" s="4">
        <v>85</v>
      </c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</row>
    <row r="963">
      <c r="A963" s="2" t="s">
        <v>5607</v>
      </c>
      <c r="B963" s="2" t="s">
        <v>932</v>
      </c>
      <c r="C963" s="2" t="s">
        <v>1839</v>
      </c>
      <c r="D963" s="2" t="s">
        <v>608</v>
      </c>
      <c r="E963" s="2" t="s">
        <v>1324</v>
      </c>
      <c r="F963" s="2" t="s">
        <v>5608</v>
      </c>
      <c r="G963" s="2" t="s">
        <v>5608</v>
      </c>
      <c r="H963" s="2" t="s">
        <v>2245</v>
      </c>
      <c r="I963" s="2" t="s">
        <v>5609</v>
      </c>
      <c r="J963" s="2" t="s">
        <v>1390</v>
      </c>
      <c r="K963" s="2" t="s">
        <v>203</v>
      </c>
      <c r="L963" s="3">
        <v>33.33</v>
      </c>
      <c r="M963" s="3">
        <v>35</v>
      </c>
      <c r="N963" s="3">
        <v>69.99</v>
      </c>
      <c r="O963" s="2" t="s">
        <v>212</v>
      </c>
      <c r="P963" s="2" t="s">
        <v>205</v>
      </c>
      <c r="Q963" s="2" t="s">
        <v>206</v>
      </c>
      <c r="R963" s="2" t="s">
        <v>200</v>
      </c>
      <c r="S963" s="2" t="s">
        <v>5610</v>
      </c>
      <c r="T963" s="2" t="s">
        <v>3009</v>
      </c>
      <c r="U963" s="2" t="s">
        <v>677</v>
      </c>
      <c r="V963" s="2" t="s">
        <v>208</v>
      </c>
      <c r="W963" s="2" t="s">
        <v>379</v>
      </c>
      <c r="X963" s="2" t="s">
        <v>241</v>
      </c>
      <c r="Y963" s="2" t="s">
        <v>4368</v>
      </c>
      <c r="Z963" s="4">
        <v>58</v>
      </c>
      <c r="AA963" s="4">
        <f>=ROUNDDOWN(29,0)</f>
      </c>
      <c r="AB963" s="5">
        <v>2</v>
      </c>
      <c r="AC963" s="2" t="s">
        <v>200</v>
      </c>
      <c r="AD963" s="4"/>
      <c r="AE963" s="4"/>
      <c r="AF963" s="6">
        <v>65</v>
      </c>
      <c r="AG963" s="6"/>
      <c r="AH963" s="7">
        <v>1</v>
      </c>
      <c r="AI963" s="4"/>
      <c r="AJ963" s="4">
        <f>=ROUNDDOWN({0},0)</f>
      </c>
      <c r="AK963" s="5"/>
      <c r="AL963" s="2" t="s">
        <v>200</v>
      </c>
      <c r="AM963" s="4"/>
      <c r="AN963" s="4"/>
      <c r="AO963" s="7"/>
      <c r="AP963" s="4"/>
      <c r="AQ963" s="8"/>
      <c r="AR963" s="4"/>
      <c r="AS963" s="8"/>
      <c r="AT963" s="7"/>
      <c r="AU963" s="7"/>
      <c r="AV963" s="4" t="s">
        <v>200</v>
      </c>
      <c r="AW963" s="8" t="s">
        <v>200</v>
      </c>
      <c r="AX963" s="4" t="s">
        <v>200</v>
      </c>
      <c r="AY963" s="8" t="s">
        <v>200</v>
      </c>
      <c r="AZ963" s="7" t="s">
        <v>200</v>
      </c>
      <c r="BA963" s="7" t="s">
        <v>200</v>
      </c>
      <c r="BB963" s="7"/>
      <c r="BC963" s="4" t="s">
        <v>200</v>
      </c>
      <c r="BD963" s="8" t="s">
        <v>200</v>
      </c>
      <c r="BE963" s="4" t="s">
        <v>200</v>
      </c>
      <c r="BF963" s="8" t="s">
        <v>200</v>
      </c>
      <c r="BG963" s="7" t="s">
        <v>200</v>
      </c>
      <c r="BH963" s="7" t="s">
        <v>200</v>
      </c>
      <c r="BI963" s="7"/>
      <c r="BJ963" s="4">
        <v>3</v>
      </c>
      <c r="BK963" s="8">
        <v>113.4</v>
      </c>
      <c r="BL963" s="2" t="s">
        <v>2436</v>
      </c>
      <c r="BM963" s="7"/>
      <c r="BN963" s="7"/>
      <c r="BO963" s="4"/>
      <c r="BP963" s="8"/>
      <c r="BQ963" s="4"/>
      <c r="BR963" s="8"/>
      <c r="BS963" s="7"/>
      <c r="BT963" s="7"/>
      <c r="BU963" s="2" t="s">
        <v>5611</v>
      </c>
      <c r="BV963" s="2" t="s">
        <v>200</v>
      </c>
      <c r="BW963" s="2" t="s">
        <v>200</v>
      </c>
      <c r="BX963" s="2" t="s">
        <v>264</v>
      </c>
      <c r="BY963" s="2" t="s">
        <v>247</v>
      </c>
      <c r="BZ963" s="2" t="s">
        <v>212</v>
      </c>
      <c r="CA963" s="2" t="s">
        <v>5314</v>
      </c>
      <c r="CB963" s="2" t="s">
        <v>911</v>
      </c>
      <c r="CC963" s="2" t="s">
        <v>213</v>
      </c>
      <c r="CD963" s="2" t="s">
        <v>200</v>
      </c>
      <c r="CE963" s="4">
        <v>58</v>
      </c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/>
      <c r="GE963" s="4"/>
      <c r="GF963" s="4"/>
      <c r="GG963" s="4"/>
      <c r="GH963" s="4"/>
    </row>
    <row r="964">
      <c r="A964" s="2" t="s">
        <v>5612</v>
      </c>
      <c r="B964" s="2" t="s">
        <v>932</v>
      </c>
      <c r="C964" s="2" t="s">
        <v>1839</v>
      </c>
      <c r="D964" s="2" t="s">
        <v>608</v>
      </c>
      <c r="E964" s="2" t="s">
        <v>1324</v>
      </c>
      <c r="F964" s="2" t="s">
        <v>5608</v>
      </c>
      <c r="G964" s="2" t="s">
        <v>5608</v>
      </c>
      <c r="H964" s="2" t="s">
        <v>2245</v>
      </c>
      <c r="I964" s="2" t="s">
        <v>5609</v>
      </c>
      <c r="J964" s="2" t="s">
        <v>612</v>
      </c>
      <c r="K964" s="2" t="s">
        <v>203</v>
      </c>
      <c r="L964" s="3">
        <v>38.09</v>
      </c>
      <c r="M964" s="3">
        <v>39.99</v>
      </c>
      <c r="N964" s="3">
        <v>79.99</v>
      </c>
      <c r="O964" s="2" t="s">
        <v>212</v>
      </c>
      <c r="P964" s="2" t="s">
        <v>205</v>
      </c>
      <c r="Q964" s="2" t="s">
        <v>206</v>
      </c>
      <c r="R964" s="2" t="s">
        <v>200</v>
      </c>
      <c r="S964" s="2" t="s">
        <v>5610</v>
      </c>
      <c r="T964" s="2" t="s">
        <v>3009</v>
      </c>
      <c r="U964" s="2" t="s">
        <v>454</v>
      </c>
      <c r="V964" s="2" t="s">
        <v>208</v>
      </c>
      <c r="W964" s="2" t="s">
        <v>379</v>
      </c>
      <c r="X964" s="2" t="s">
        <v>241</v>
      </c>
      <c r="Y964" s="2" t="s">
        <v>4368</v>
      </c>
      <c r="Z964" s="4">
        <v>254</v>
      </c>
      <c r="AA964" s="4">
        <f>=ROUNDDOWN(50.8,0)</f>
      </c>
      <c r="AB964" s="5">
        <v>5</v>
      </c>
      <c r="AC964" s="2" t="s">
        <v>200</v>
      </c>
      <c r="AD964" s="4"/>
      <c r="AE964" s="4"/>
      <c r="AF964" s="6">
        <v>65</v>
      </c>
      <c r="AG964" s="6"/>
      <c r="AH964" s="7">
        <v>1</v>
      </c>
      <c r="AI964" s="4"/>
      <c r="AJ964" s="4">
        <f>=ROUNDDOWN({0},0)</f>
      </c>
      <c r="AK964" s="5"/>
      <c r="AL964" s="2" t="s">
        <v>200</v>
      </c>
      <c r="AM964" s="4"/>
      <c r="AN964" s="4"/>
      <c r="AO964" s="7"/>
      <c r="AP964" s="4"/>
      <c r="AQ964" s="8"/>
      <c r="AR964" s="4"/>
      <c r="AS964" s="8"/>
      <c r="AT964" s="7"/>
      <c r="AU964" s="7"/>
      <c r="AV964" s="4" t="s">
        <v>200</v>
      </c>
      <c r="AW964" s="8" t="s">
        <v>200</v>
      </c>
      <c r="AX964" s="4" t="s">
        <v>200</v>
      </c>
      <c r="AY964" s="8" t="s">
        <v>200</v>
      </c>
      <c r="AZ964" s="7" t="s">
        <v>200</v>
      </c>
      <c r="BA964" s="7" t="s">
        <v>200</v>
      </c>
      <c r="BB964" s="7"/>
      <c r="BC964" s="4" t="s">
        <v>200</v>
      </c>
      <c r="BD964" s="8" t="s">
        <v>200</v>
      </c>
      <c r="BE964" s="4" t="s">
        <v>200</v>
      </c>
      <c r="BF964" s="8" t="s">
        <v>200</v>
      </c>
      <c r="BG964" s="7" t="s">
        <v>200</v>
      </c>
      <c r="BH964" s="7" t="s">
        <v>200</v>
      </c>
      <c r="BI964" s="7"/>
      <c r="BJ964" s="4">
        <v>26</v>
      </c>
      <c r="BK964" s="8">
        <v>1124.85</v>
      </c>
      <c r="BL964" s="2" t="s">
        <v>1111</v>
      </c>
      <c r="BM964" s="7"/>
      <c r="BN964" s="7"/>
      <c r="BO964" s="4"/>
      <c r="BP964" s="8"/>
      <c r="BQ964" s="4"/>
      <c r="BR964" s="8"/>
      <c r="BS964" s="7"/>
      <c r="BT964" s="7"/>
      <c r="BU964" s="2" t="s">
        <v>5613</v>
      </c>
      <c r="BV964" s="2" t="s">
        <v>200</v>
      </c>
      <c r="BW964" s="2" t="s">
        <v>200</v>
      </c>
      <c r="BX964" s="2" t="s">
        <v>264</v>
      </c>
      <c r="BY964" s="2" t="s">
        <v>247</v>
      </c>
      <c r="BZ964" s="2" t="s">
        <v>212</v>
      </c>
      <c r="CA964" s="2" t="s">
        <v>5314</v>
      </c>
      <c r="CB964" s="2" t="s">
        <v>3155</v>
      </c>
      <c r="CC964" s="2" t="s">
        <v>213</v>
      </c>
      <c r="CD964" s="2" t="s">
        <v>200</v>
      </c>
      <c r="CE964" s="4">
        <v>254</v>
      </c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</row>
    <row r="965">
      <c r="A965" s="2" t="s">
        <v>5614</v>
      </c>
      <c r="B965" s="2" t="s">
        <v>932</v>
      </c>
      <c r="C965" s="2" t="s">
        <v>1839</v>
      </c>
      <c r="D965" s="2" t="s">
        <v>608</v>
      </c>
      <c r="E965" s="2" t="s">
        <v>1324</v>
      </c>
      <c r="F965" s="2" t="s">
        <v>5608</v>
      </c>
      <c r="G965" s="2" t="s">
        <v>5608</v>
      </c>
      <c r="H965" s="2" t="s">
        <v>2245</v>
      </c>
      <c r="I965" s="2" t="s">
        <v>5609</v>
      </c>
      <c r="J965" s="2" t="s">
        <v>924</v>
      </c>
      <c r="K965" s="2" t="s">
        <v>203</v>
      </c>
      <c r="L965" s="3">
        <v>42.85</v>
      </c>
      <c r="M965" s="3">
        <v>44.99</v>
      </c>
      <c r="N965" s="3">
        <v>89.99</v>
      </c>
      <c r="O965" s="2" t="s">
        <v>212</v>
      </c>
      <c r="P965" s="2" t="s">
        <v>205</v>
      </c>
      <c r="Q965" s="2" t="s">
        <v>206</v>
      </c>
      <c r="R965" s="2" t="s">
        <v>200</v>
      </c>
      <c r="S965" s="2" t="s">
        <v>5610</v>
      </c>
      <c r="T965" s="2" t="s">
        <v>3009</v>
      </c>
      <c r="U965" s="2" t="s">
        <v>454</v>
      </c>
      <c r="V965" s="2" t="s">
        <v>208</v>
      </c>
      <c r="W965" s="2" t="s">
        <v>379</v>
      </c>
      <c r="X965" s="2" t="s">
        <v>241</v>
      </c>
      <c r="Y965" s="2" t="s">
        <v>4368</v>
      </c>
      <c r="Z965" s="4">
        <v>224</v>
      </c>
      <c r="AA965" s="4">
        <f>=ROUNDDOWN(74.6666666666667,0)</f>
      </c>
      <c r="AB965" s="5">
        <v>3</v>
      </c>
      <c r="AC965" s="2" t="s">
        <v>200</v>
      </c>
      <c r="AD965" s="4"/>
      <c r="AE965" s="4"/>
      <c r="AF965" s="6">
        <v>65</v>
      </c>
      <c r="AG965" s="6"/>
      <c r="AH965" s="7">
        <v>1</v>
      </c>
      <c r="AI965" s="4"/>
      <c r="AJ965" s="4">
        <f>=ROUNDDOWN({0},0)</f>
      </c>
      <c r="AK965" s="5"/>
      <c r="AL965" s="2" t="s">
        <v>200</v>
      </c>
      <c r="AM965" s="4"/>
      <c r="AN965" s="4"/>
      <c r="AO965" s="7"/>
      <c r="AP965" s="4"/>
      <c r="AQ965" s="8"/>
      <c r="AR965" s="4"/>
      <c r="AS965" s="8"/>
      <c r="AT965" s="7"/>
      <c r="AU965" s="7"/>
      <c r="AV965" s="4" t="s">
        <v>200</v>
      </c>
      <c r="AW965" s="8" t="s">
        <v>200</v>
      </c>
      <c r="AX965" s="4" t="s">
        <v>200</v>
      </c>
      <c r="AY965" s="8" t="s">
        <v>200</v>
      </c>
      <c r="AZ965" s="7" t="s">
        <v>200</v>
      </c>
      <c r="BA965" s="7" t="s">
        <v>200</v>
      </c>
      <c r="BB965" s="7"/>
      <c r="BC965" s="4" t="s">
        <v>200</v>
      </c>
      <c r="BD965" s="8" t="s">
        <v>200</v>
      </c>
      <c r="BE965" s="4" t="s">
        <v>200</v>
      </c>
      <c r="BF965" s="8" t="s">
        <v>200</v>
      </c>
      <c r="BG965" s="7" t="s">
        <v>200</v>
      </c>
      <c r="BH965" s="7" t="s">
        <v>200</v>
      </c>
      <c r="BI965" s="7"/>
      <c r="BJ965" s="4">
        <v>17</v>
      </c>
      <c r="BK965" s="8">
        <v>821.98</v>
      </c>
      <c r="BL965" s="2" t="s">
        <v>245</v>
      </c>
      <c r="BM965" s="7"/>
      <c r="BN965" s="7"/>
      <c r="BO965" s="4"/>
      <c r="BP965" s="8"/>
      <c r="BQ965" s="4"/>
      <c r="BR965" s="8"/>
      <c r="BS965" s="7"/>
      <c r="BT965" s="7"/>
      <c r="BU965" s="2" t="s">
        <v>5615</v>
      </c>
      <c r="BV965" s="2" t="s">
        <v>200</v>
      </c>
      <c r="BW965" s="2" t="s">
        <v>200</v>
      </c>
      <c r="BX965" s="2" t="s">
        <v>264</v>
      </c>
      <c r="BY965" s="2" t="s">
        <v>247</v>
      </c>
      <c r="BZ965" s="2" t="s">
        <v>212</v>
      </c>
      <c r="CA965" s="2" t="s">
        <v>5314</v>
      </c>
      <c r="CB965" s="2" t="s">
        <v>3554</v>
      </c>
      <c r="CC965" s="2" t="s">
        <v>213</v>
      </c>
      <c r="CD965" s="2" t="s">
        <v>200</v>
      </c>
      <c r="CE965" s="4">
        <v>224</v>
      </c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/>
      <c r="GF965" s="4"/>
      <c r="GG965" s="4"/>
      <c r="GH965" s="4"/>
    </row>
    <row r="966">
      <c r="A966" s="2" t="s">
        <v>5616</v>
      </c>
      <c r="B966" s="2" t="s">
        <v>932</v>
      </c>
      <c r="C966" s="2" t="s">
        <v>1839</v>
      </c>
      <c r="D966" s="2" t="s">
        <v>608</v>
      </c>
      <c r="E966" s="2" t="s">
        <v>1324</v>
      </c>
      <c r="F966" s="2" t="s">
        <v>5608</v>
      </c>
      <c r="G966" s="2" t="s">
        <v>5608</v>
      </c>
      <c r="H966" s="2" t="s">
        <v>2245</v>
      </c>
      <c r="I966" s="2" t="s">
        <v>5609</v>
      </c>
      <c r="J966" s="2" t="s">
        <v>1390</v>
      </c>
      <c r="K966" s="2" t="s">
        <v>257</v>
      </c>
      <c r="L966" s="3">
        <v>33.33</v>
      </c>
      <c r="M966" s="3">
        <v>35</v>
      </c>
      <c r="N966" s="3">
        <v>69.99</v>
      </c>
      <c r="O966" s="2" t="s">
        <v>212</v>
      </c>
      <c r="P966" s="2" t="s">
        <v>205</v>
      </c>
      <c r="Q966" s="2" t="s">
        <v>206</v>
      </c>
      <c r="R966" s="2" t="s">
        <v>200</v>
      </c>
      <c r="S966" s="2" t="s">
        <v>5617</v>
      </c>
      <c r="T966" s="2" t="s">
        <v>3009</v>
      </c>
      <c r="U966" s="2" t="s">
        <v>677</v>
      </c>
      <c r="V966" s="2" t="s">
        <v>208</v>
      </c>
      <c r="W966" s="2" t="s">
        <v>379</v>
      </c>
      <c r="X966" s="2" t="s">
        <v>241</v>
      </c>
      <c r="Y966" s="2" t="s">
        <v>4368</v>
      </c>
      <c r="Z966" s="4">
        <v>86</v>
      </c>
      <c r="AA966" s="4">
        <f>=ROUNDDOWN(107.5,0)</f>
      </c>
      <c r="AB966" s="5">
        <v>0.8</v>
      </c>
      <c r="AC966" s="2" t="s">
        <v>200</v>
      </c>
      <c r="AD966" s="4"/>
      <c r="AE966" s="4"/>
      <c r="AF966" s="6">
        <v>65</v>
      </c>
      <c r="AG966" s="6"/>
      <c r="AH966" s="7">
        <v>1</v>
      </c>
      <c r="AI966" s="4"/>
      <c r="AJ966" s="4">
        <f>=ROUNDDOWN({0},0)</f>
      </c>
      <c r="AK966" s="5"/>
      <c r="AL966" s="2" t="s">
        <v>200</v>
      </c>
      <c r="AM966" s="4"/>
      <c r="AN966" s="4"/>
      <c r="AO966" s="7"/>
      <c r="AP966" s="4"/>
      <c r="AQ966" s="8"/>
      <c r="AR966" s="4"/>
      <c r="AS966" s="8"/>
      <c r="AT966" s="7"/>
      <c r="AU966" s="7"/>
      <c r="AV966" s="4"/>
      <c r="AW966" s="8"/>
      <c r="AX966" s="4"/>
      <c r="AY966" s="8"/>
      <c r="AZ966" s="7"/>
      <c r="BA966" s="7"/>
      <c r="BB966" s="7"/>
      <c r="BC966" s="4" t="s">
        <v>200</v>
      </c>
      <c r="BD966" s="8" t="s">
        <v>200</v>
      </c>
      <c r="BE966" s="4" t="s">
        <v>200</v>
      </c>
      <c r="BF966" s="8" t="s">
        <v>200</v>
      </c>
      <c r="BG966" s="7" t="s">
        <v>200</v>
      </c>
      <c r="BH966" s="7" t="s">
        <v>200</v>
      </c>
      <c r="BI966" s="7"/>
      <c r="BJ966" s="4">
        <v>2</v>
      </c>
      <c r="BK966" s="8">
        <v>74.55</v>
      </c>
      <c r="BL966" s="2" t="s">
        <v>5618</v>
      </c>
      <c r="BM966" s="7"/>
      <c r="BN966" s="7"/>
      <c r="BO966" s="4"/>
      <c r="BP966" s="8"/>
      <c r="BQ966" s="4"/>
      <c r="BR966" s="8"/>
      <c r="BS966" s="7"/>
      <c r="BT966" s="7"/>
      <c r="BU966" s="2" t="s">
        <v>5619</v>
      </c>
      <c r="BV966" s="2" t="s">
        <v>200</v>
      </c>
      <c r="BW966" s="2" t="s">
        <v>200</v>
      </c>
      <c r="BX966" s="2" t="s">
        <v>264</v>
      </c>
      <c r="BY966" s="2" t="s">
        <v>247</v>
      </c>
      <c r="BZ966" s="2" t="s">
        <v>212</v>
      </c>
      <c r="CA966" s="2" t="s">
        <v>5314</v>
      </c>
      <c r="CB966" s="2" t="s">
        <v>1639</v>
      </c>
      <c r="CC966" s="2" t="s">
        <v>213</v>
      </c>
      <c r="CD966" s="2" t="s">
        <v>200</v>
      </c>
      <c r="CE966" s="4">
        <v>86</v>
      </c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</row>
    <row r="967">
      <c r="A967" s="2" t="s">
        <v>5620</v>
      </c>
      <c r="B967" s="2" t="s">
        <v>744</v>
      </c>
      <c r="C967" s="2" t="s">
        <v>1375</v>
      </c>
      <c r="D967" s="2" t="s">
        <v>1275</v>
      </c>
      <c r="E967" s="2" t="s">
        <v>1276</v>
      </c>
      <c r="F967" s="2" t="s">
        <v>5621</v>
      </c>
      <c r="G967" s="2" t="s">
        <v>5621</v>
      </c>
      <c r="H967" s="2" t="s">
        <v>5621</v>
      </c>
      <c r="I967" s="2" t="s">
        <v>5622</v>
      </c>
      <c r="J967" s="2" t="s">
        <v>711</v>
      </c>
      <c r="K967" s="2" t="s">
        <v>3685</v>
      </c>
      <c r="L967" s="3">
        <v>112.1</v>
      </c>
      <c r="M967" s="3">
        <v>117.7</v>
      </c>
      <c r="N967" s="3">
        <v>239</v>
      </c>
      <c r="O967" s="2" t="s">
        <v>212</v>
      </c>
      <c r="P967" s="2" t="s">
        <v>205</v>
      </c>
      <c r="Q967" s="2" t="s">
        <v>206</v>
      </c>
      <c r="R967" s="2" t="s">
        <v>200</v>
      </c>
      <c r="S967" s="2" t="s">
        <v>200</v>
      </c>
      <c r="T967" s="2" t="s">
        <v>200</v>
      </c>
      <c r="U967" s="2" t="s">
        <v>270</v>
      </c>
      <c r="V967" s="2" t="s">
        <v>616</v>
      </c>
      <c r="W967" s="2" t="s">
        <v>419</v>
      </c>
      <c r="X967" s="2" t="s">
        <v>379</v>
      </c>
      <c r="Y967" s="2" t="s">
        <v>3689</v>
      </c>
      <c r="Z967" s="4">
        <v>250</v>
      </c>
      <c r="AA967" s="4">
        <f>=ROUNDDOWN(227.272727272727,0)</f>
      </c>
      <c r="AB967" s="5">
        <v>1.1</v>
      </c>
      <c r="AC967" s="2" t="s">
        <v>200</v>
      </c>
      <c r="AD967" s="4"/>
      <c r="AE967" s="4"/>
      <c r="AF967" s="6">
        <v>76</v>
      </c>
      <c r="AG967" s="6"/>
      <c r="AH967" s="7">
        <v>1</v>
      </c>
      <c r="AI967" s="4"/>
      <c r="AJ967" s="4">
        <f>=ROUNDDOWN({0},0)</f>
      </c>
      <c r="AK967" s="5"/>
      <c r="AL967" s="2" t="s">
        <v>200</v>
      </c>
      <c r="AM967" s="4"/>
      <c r="AN967" s="4"/>
      <c r="AO967" s="7"/>
      <c r="AP967" s="4"/>
      <c r="AQ967" s="8"/>
      <c r="AR967" s="4"/>
      <c r="AS967" s="8"/>
      <c r="AT967" s="7"/>
      <c r="AU967" s="7"/>
      <c r="AV967" s="4"/>
      <c r="AW967" s="8"/>
      <c r="AX967" s="4"/>
      <c r="AY967" s="8"/>
      <c r="AZ967" s="7"/>
      <c r="BA967" s="7"/>
      <c r="BB967" s="7"/>
      <c r="BC967" s="4" t="s">
        <v>200</v>
      </c>
      <c r="BD967" s="8" t="s">
        <v>200</v>
      </c>
      <c r="BE967" s="4" t="s">
        <v>200</v>
      </c>
      <c r="BF967" s="8" t="s">
        <v>200</v>
      </c>
      <c r="BG967" s="7" t="s">
        <v>200</v>
      </c>
      <c r="BH967" s="7" t="s">
        <v>200</v>
      </c>
      <c r="BI967" s="7"/>
      <c r="BJ967" s="4">
        <v>4</v>
      </c>
      <c r="BK967" s="8">
        <v>513.3</v>
      </c>
      <c r="BL967" s="2" t="s">
        <v>791</v>
      </c>
      <c r="BM967" s="7"/>
      <c r="BN967" s="7"/>
      <c r="BO967" s="4"/>
      <c r="BP967" s="8"/>
      <c r="BQ967" s="4"/>
      <c r="BR967" s="8"/>
      <c r="BS967" s="7"/>
      <c r="BT967" s="7"/>
      <c r="BU967" s="2" t="s">
        <v>5623</v>
      </c>
      <c r="BV967" s="2" t="s">
        <v>200</v>
      </c>
      <c r="BW967" s="2" t="s">
        <v>200</v>
      </c>
      <c r="BX967" s="2" t="s">
        <v>264</v>
      </c>
      <c r="BY967" s="2" t="s">
        <v>247</v>
      </c>
      <c r="BZ967" s="2" t="s">
        <v>212</v>
      </c>
      <c r="CA967" s="2" t="s">
        <v>2220</v>
      </c>
      <c r="CB967" s="2" t="s">
        <v>200</v>
      </c>
      <c r="CC967" s="2" t="s">
        <v>213</v>
      </c>
      <c r="CD967" s="2" t="s">
        <v>200</v>
      </c>
      <c r="CE967" s="4"/>
      <c r="CF967" s="4">
        <v>250</v>
      </c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/>
      <c r="GF967" s="4"/>
      <c r="GG967" s="4"/>
      <c r="GH967" s="4"/>
    </row>
    <row r="968">
      <c r="A968" s="2" t="s">
        <v>5624</v>
      </c>
      <c r="B968" s="2" t="s">
        <v>744</v>
      </c>
      <c r="C968" s="2" t="s">
        <v>1375</v>
      </c>
      <c r="D968" s="2" t="s">
        <v>1275</v>
      </c>
      <c r="E968" s="2" t="s">
        <v>1276</v>
      </c>
      <c r="F968" s="2" t="s">
        <v>5621</v>
      </c>
      <c r="G968" s="2" t="s">
        <v>5621</v>
      </c>
      <c r="H968" s="2" t="s">
        <v>5621</v>
      </c>
      <c r="I968" s="2" t="s">
        <v>5622</v>
      </c>
      <c r="J968" s="2" t="s">
        <v>711</v>
      </c>
      <c r="K968" s="2" t="s">
        <v>2589</v>
      </c>
      <c r="L968" s="3">
        <v>112.1</v>
      </c>
      <c r="M968" s="3">
        <v>117.7</v>
      </c>
      <c r="N968" s="3">
        <v>239</v>
      </c>
      <c r="O968" s="2" t="s">
        <v>212</v>
      </c>
      <c r="P968" s="2" t="s">
        <v>205</v>
      </c>
      <c r="Q968" s="2" t="s">
        <v>206</v>
      </c>
      <c r="R968" s="2" t="s">
        <v>200</v>
      </c>
      <c r="S968" s="2" t="s">
        <v>200</v>
      </c>
      <c r="T968" s="2" t="s">
        <v>200</v>
      </c>
      <c r="U968" s="2" t="s">
        <v>270</v>
      </c>
      <c r="V968" s="2" t="s">
        <v>616</v>
      </c>
      <c r="W968" s="2" t="s">
        <v>419</v>
      </c>
      <c r="X968" s="2" t="s">
        <v>379</v>
      </c>
      <c r="Y968" s="2" t="s">
        <v>861</v>
      </c>
      <c r="Z968" s="4">
        <v>89</v>
      </c>
      <c r="AA968" s="4">
        <f>=ROUNDDOWN(44.5,0)</f>
      </c>
      <c r="AB968" s="5">
        <v>2</v>
      </c>
      <c r="AC968" s="2" t="s">
        <v>200</v>
      </c>
      <c r="AD968" s="4"/>
      <c r="AE968" s="4"/>
      <c r="AF968" s="6">
        <v>76</v>
      </c>
      <c r="AG968" s="6"/>
      <c r="AH968" s="7">
        <v>1</v>
      </c>
      <c r="AI968" s="4"/>
      <c r="AJ968" s="4">
        <f>=ROUNDDOWN({0},0)</f>
      </c>
      <c r="AK968" s="5"/>
      <c r="AL968" s="2" t="s">
        <v>200</v>
      </c>
      <c r="AM968" s="4"/>
      <c r="AN968" s="4"/>
      <c r="AO968" s="7"/>
      <c r="AP968" s="4"/>
      <c r="AQ968" s="8"/>
      <c r="AR968" s="4"/>
      <c r="AS968" s="8"/>
      <c r="AT968" s="7"/>
      <c r="AU968" s="7"/>
      <c r="AV968" s="4"/>
      <c r="AW968" s="8"/>
      <c r="AX968" s="4"/>
      <c r="AY968" s="8"/>
      <c r="AZ968" s="7"/>
      <c r="BA968" s="7"/>
      <c r="BB968" s="7"/>
      <c r="BC968" s="4" t="s">
        <v>200</v>
      </c>
      <c r="BD968" s="8" t="s">
        <v>200</v>
      </c>
      <c r="BE968" s="4" t="s">
        <v>200</v>
      </c>
      <c r="BF968" s="8" t="s">
        <v>200</v>
      </c>
      <c r="BG968" s="7" t="s">
        <v>200</v>
      </c>
      <c r="BH968" s="7" t="s">
        <v>200</v>
      </c>
      <c r="BI968" s="7"/>
      <c r="BJ968" s="4">
        <v>2</v>
      </c>
      <c r="BK968" s="8">
        <v>277.54</v>
      </c>
      <c r="BL968" s="2" t="s">
        <v>1292</v>
      </c>
      <c r="BM968" s="7"/>
      <c r="BN968" s="7"/>
      <c r="BO968" s="4"/>
      <c r="BP968" s="8"/>
      <c r="BQ968" s="4"/>
      <c r="BR968" s="8"/>
      <c r="BS968" s="7"/>
      <c r="BT968" s="7"/>
      <c r="BU968" s="2" t="s">
        <v>5625</v>
      </c>
      <c r="BV968" s="2" t="s">
        <v>200</v>
      </c>
      <c r="BW968" s="2" t="s">
        <v>200</v>
      </c>
      <c r="BX968" s="2" t="s">
        <v>264</v>
      </c>
      <c r="BY968" s="2" t="s">
        <v>247</v>
      </c>
      <c r="BZ968" s="2" t="s">
        <v>212</v>
      </c>
      <c r="CA968" s="2" t="s">
        <v>2612</v>
      </c>
      <c r="CB968" s="2" t="s">
        <v>916</v>
      </c>
      <c r="CC968" s="2" t="s">
        <v>213</v>
      </c>
      <c r="CD968" s="2" t="s">
        <v>200</v>
      </c>
      <c r="CE968" s="4"/>
      <c r="CF968" s="4">
        <v>89</v>
      </c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</row>
    <row r="969">
      <c r="A969" s="2" t="s">
        <v>5626</v>
      </c>
      <c r="B969" s="2" t="s">
        <v>744</v>
      </c>
      <c r="C969" s="2" t="s">
        <v>1375</v>
      </c>
      <c r="D969" s="2" t="s">
        <v>1275</v>
      </c>
      <c r="E969" s="2" t="s">
        <v>1276</v>
      </c>
      <c r="F969" s="2" t="s">
        <v>5621</v>
      </c>
      <c r="G969" s="2" t="s">
        <v>5621</v>
      </c>
      <c r="H969" s="2" t="s">
        <v>5621</v>
      </c>
      <c r="I969" s="2" t="s">
        <v>5622</v>
      </c>
      <c r="J969" s="2" t="s">
        <v>711</v>
      </c>
      <c r="K969" s="2" t="s">
        <v>1700</v>
      </c>
      <c r="L969" s="3">
        <v>112.1</v>
      </c>
      <c r="M969" s="3">
        <v>117.7</v>
      </c>
      <c r="N969" s="3">
        <v>239</v>
      </c>
      <c r="O969" s="2" t="s">
        <v>460</v>
      </c>
      <c r="P969" s="2" t="s">
        <v>285</v>
      </c>
      <c r="Q969" s="2" t="s">
        <v>206</v>
      </c>
      <c r="R969" s="2" t="s">
        <v>200</v>
      </c>
      <c r="S969" s="2" t="s">
        <v>200</v>
      </c>
      <c r="T969" s="2" t="s">
        <v>200</v>
      </c>
      <c r="U969" s="2" t="s">
        <v>270</v>
      </c>
      <c r="V969" s="2" t="s">
        <v>616</v>
      </c>
      <c r="W969" s="2" t="s">
        <v>419</v>
      </c>
      <c r="X969" s="2" t="s">
        <v>379</v>
      </c>
      <c r="Y969" s="2" t="s">
        <v>1509</v>
      </c>
      <c r="Z969" s="4">
        <v>19</v>
      </c>
      <c r="AA969" s="4">
        <f>=ROUNDDOWN(6.33333333333333,0)</f>
      </c>
      <c r="AB969" s="5">
        <v>3</v>
      </c>
      <c r="AC969" s="2" t="s">
        <v>200</v>
      </c>
      <c r="AD969" s="4"/>
      <c r="AE969" s="4"/>
      <c r="AF969" s="6">
        <v>74</v>
      </c>
      <c r="AG969" s="6"/>
      <c r="AH969" s="7">
        <v>1</v>
      </c>
      <c r="AI969" s="4"/>
      <c r="AJ969" s="4">
        <f>=ROUNDDOWN({0},0)</f>
      </c>
      <c r="AK969" s="5"/>
      <c r="AL969" s="2" t="s">
        <v>200</v>
      </c>
      <c r="AM969" s="4"/>
      <c r="AN969" s="4"/>
      <c r="AO969" s="7"/>
      <c r="AP969" s="4"/>
      <c r="AQ969" s="8"/>
      <c r="AR969" s="4"/>
      <c r="AS969" s="8"/>
      <c r="AT969" s="7"/>
      <c r="AU969" s="7"/>
      <c r="AV969" s="4"/>
      <c r="AW969" s="8"/>
      <c r="AX969" s="4"/>
      <c r="AY969" s="8"/>
      <c r="AZ969" s="7"/>
      <c r="BA969" s="7"/>
      <c r="BB969" s="7"/>
      <c r="BC969" s="4" t="s">
        <v>200</v>
      </c>
      <c r="BD969" s="8" t="s">
        <v>200</v>
      </c>
      <c r="BE969" s="4" t="s">
        <v>200</v>
      </c>
      <c r="BF969" s="8" t="s">
        <v>200</v>
      </c>
      <c r="BG969" s="7" t="s">
        <v>200</v>
      </c>
      <c r="BH969" s="7" t="s">
        <v>200</v>
      </c>
      <c r="BI969" s="7"/>
      <c r="BJ969" s="4">
        <v>5</v>
      </c>
      <c r="BK969" s="8">
        <v>630.97</v>
      </c>
      <c r="BL969" s="2" t="s">
        <v>5627</v>
      </c>
      <c r="BM969" s="7"/>
      <c r="BN969" s="7"/>
      <c r="BO969" s="4"/>
      <c r="BP969" s="8"/>
      <c r="BQ969" s="4"/>
      <c r="BR969" s="8"/>
      <c r="BS969" s="7"/>
      <c r="BT969" s="7"/>
      <c r="BU969" s="2" t="s">
        <v>210</v>
      </c>
      <c r="BV969" s="2" t="s">
        <v>200</v>
      </c>
      <c r="BW969" s="2" t="s">
        <v>200</v>
      </c>
      <c r="BX969" s="2" t="s">
        <v>289</v>
      </c>
      <c r="BY969" s="2" t="s">
        <v>5628</v>
      </c>
      <c r="BZ969" s="2" t="s">
        <v>212</v>
      </c>
      <c r="CA969" s="2" t="s">
        <v>200</v>
      </c>
      <c r="CB969" s="2" t="s">
        <v>200</v>
      </c>
      <c r="CC969" s="2" t="s">
        <v>213</v>
      </c>
      <c r="CD969" s="2" t="s">
        <v>200</v>
      </c>
      <c r="CE969" s="4"/>
      <c r="CF969" s="4">
        <v>19</v>
      </c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/>
      <c r="GG969" s="4"/>
      <c r="GH969" s="4"/>
    </row>
    <row r="970">
      <c r="A970" s="2" t="s">
        <v>5629</v>
      </c>
      <c r="B970" s="2" t="s">
        <v>827</v>
      </c>
      <c r="C970" s="2" t="s">
        <v>1375</v>
      </c>
      <c r="D970" s="2" t="s">
        <v>3257</v>
      </c>
      <c r="E970" s="2" t="s">
        <v>3257</v>
      </c>
      <c r="F970" s="2" t="s">
        <v>2781</v>
      </c>
      <c r="G970" s="2" t="s">
        <v>5630</v>
      </c>
      <c r="H970" s="2" t="s">
        <v>5630</v>
      </c>
      <c r="I970" s="2" t="s">
        <v>5631</v>
      </c>
      <c r="J970" s="2" t="s">
        <v>5632</v>
      </c>
      <c r="K970" s="2" t="s">
        <v>3793</v>
      </c>
      <c r="L970" s="3">
        <v>62.42</v>
      </c>
      <c r="M970" s="3">
        <v>65.54</v>
      </c>
      <c r="N970" s="3">
        <v>139.99</v>
      </c>
      <c r="O970" s="2" t="s">
        <v>212</v>
      </c>
      <c r="P970" s="2" t="s">
        <v>205</v>
      </c>
      <c r="Q970" s="2" t="s">
        <v>206</v>
      </c>
      <c r="R970" s="2" t="s">
        <v>200</v>
      </c>
      <c r="S970" s="2" t="s">
        <v>5633</v>
      </c>
      <c r="T970" s="2" t="s">
        <v>200</v>
      </c>
      <c r="U970" s="2" t="s">
        <v>270</v>
      </c>
      <c r="V970" s="2" t="s">
        <v>1695</v>
      </c>
      <c r="W970" s="2" t="s">
        <v>200</v>
      </c>
      <c r="X970" s="2" t="s">
        <v>200</v>
      </c>
      <c r="Y970" s="2" t="s">
        <v>1663</v>
      </c>
      <c r="Z970" s="4">
        <v>122</v>
      </c>
      <c r="AA970" s="4">
        <f>=ROUNDDOWN(24.4,0)</f>
      </c>
      <c r="AB970" s="5">
        <v>5</v>
      </c>
      <c r="AC970" s="2" t="s">
        <v>200</v>
      </c>
      <c r="AD970" s="4"/>
      <c r="AE970" s="4"/>
      <c r="AF970" s="6">
        <v>65</v>
      </c>
      <c r="AG970" s="6"/>
      <c r="AH970" s="7">
        <v>1</v>
      </c>
      <c r="AI970" s="4"/>
      <c r="AJ970" s="4">
        <f>=ROUNDDOWN({0},0)</f>
      </c>
      <c r="AK970" s="5"/>
      <c r="AL970" s="2" t="s">
        <v>200</v>
      </c>
      <c r="AM970" s="4"/>
      <c r="AN970" s="4"/>
      <c r="AO970" s="7"/>
      <c r="AP970" s="4"/>
      <c r="AQ970" s="8"/>
      <c r="AR970" s="4"/>
      <c r="AS970" s="8"/>
      <c r="AT970" s="7"/>
      <c r="AU970" s="7"/>
      <c r="AV970" s="4" t="s">
        <v>200</v>
      </c>
      <c r="AW970" s="8" t="s">
        <v>200</v>
      </c>
      <c r="AX970" s="4" t="s">
        <v>200</v>
      </c>
      <c r="AY970" s="8" t="s">
        <v>200</v>
      </c>
      <c r="AZ970" s="7" t="s">
        <v>200</v>
      </c>
      <c r="BA970" s="7" t="s">
        <v>200</v>
      </c>
      <c r="BB970" s="7"/>
      <c r="BC970" s="4" t="s">
        <v>200</v>
      </c>
      <c r="BD970" s="8" t="s">
        <v>200</v>
      </c>
      <c r="BE970" s="4" t="s">
        <v>200</v>
      </c>
      <c r="BF970" s="8" t="s">
        <v>200</v>
      </c>
      <c r="BG970" s="7" t="s">
        <v>200</v>
      </c>
      <c r="BH970" s="7" t="s">
        <v>200</v>
      </c>
      <c r="BI970" s="7"/>
      <c r="BJ970" s="4">
        <v>4</v>
      </c>
      <c r="BK970" s="8">
        <v>287.12</v>
      </c>
      <c r="BL970" s="2" t="s">
        <v>1259</v>
      </c>
      <c r="BM970" s="7"/>
      <c r="BN970" s="7"/>
      <c r="BO970" s="4"/>
      <c r="BP970" s="8"/>
      <c r="BQ970" s="4"/>
      <c r="BR970" s="8"/>
      <c r="BS970" s="7"/>
      <c r="BT970" s="7"/>
      <c r="BU970" s="2" t="s">
        <v>5634</v>
      </c>
      <c r="BV970" s="2" t="s">
        <v>200</v>
      </c>
      <c r="BW970" s="2" t="s">
        <v>200</v>
      </c>
      <c r="BX970" s="2" t="s">
        <v>3140</v>
      </c>
      <c r="BY970" s="2" t="s">
        <v>247</v>
      </c>
      <c r="BZ970" s="2" t="s">
        <v>212</v>
      </c>
      <c r="CA970" s="2" t="s">
        <v>5635</v>
      </c>
      <c r="CB970" s="2" t="s">
        <v>200</v>
      </c>
      <c r="CC970" s="2" t="s">
        <v>213</v>
      </c>
      <c r="CD970" s="2" t="s">
        <v>200</v>
      </c>
      <c r="CE970" s="4">
        <v>122</v>
      </c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</row>
    <row r="971">
      <c r="A971" s="2" t="s">
        <v>5636</v>
      </c>
      <c r="B971" s="2" t="s">
        <v>827</v>
      </c>
      <c r="C971" s="2" t="s">
        <v>1375</v>
      </c>
      <c r="D971" s="2" t="s">
        <v>3257</v>
      </c>
      <c r="E971" s="2" t="s">
        <v>3257</v>
      </c>
      <c r="F971" s="2" t="s">
        <v>2781</v>
      </c>
      <c r="G971" s="2" t="s">
        <v>5630</v>
      </c>
      <c r="H971" s="2" t="s">
        <v>5630</v>
      </c>
      <c r="I971" s="2" t="s">
        <v>5631</v>
      </c>
      <c r="J971" s="2" t="s">
        <v>5637</v>
      </c>
      <c r="K971" s="2" t="s">
        <v>3793</v>
      </c>
      <c r="L971" s="3">
        <v>93.63</v>
      </c>
      <c r="M971" s="3">
        <v>98.31</v>
      </c>
      <c r="N971" s="3">
        <v>209.99</v>
      </c>
      <c r="O971" s="2" t="s">
        <v>212</v>
      </c>
      <c r="P971" s="2" t="s">
        <v>205</v>
      </c>
      <c r="Q971" s="2" t="s">
        <v>206</v>
      </c>
      <c r="R971" s="2" t="s">
        <v>200</v>
      </c>
      <c r="S971" s="2" t="s">
        <v>5638</v>
      </c>
      <c r="T971" s="2" t="s">
        <v>200</v>
      </c>
      <c r="U971" s="2" t="s">
        <v>270</v>
      </c>
      <c r="V971" s="2" t="s">
        <v>1695</v>
      </c>
      <c r="W971" s="2" t="s">
        <v>200</v>
      </c>
      <c r="X971" s="2" t="s">
        <v>200</v>
      </c>
      <c r="Y971" s="2" t="s">
        <v>1663</v>
      </c>
      <c r="Z971" s="4">
        <v>120</v>
      </c>
      <c r="AA971" s="4">
        <f>=ROUNDDOWN(24,0)</f>
      </c>
      <c r="AB971" s="5">
        <v>5</v>
      </c>
      <c r="AC971" s="2" t="s">
        <v>200</v>
      </c>
      <c r="AD971" s="4"/>
      <c r="AE971" s="4"/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200</v>
      </c>
      <c r="AM971" s="4"/>
      <c r="AN971" s="4"/>
      <c r="AO971" s="7"/>
      <c r="AP971" s="4"/>
      <c r="AQ971" s="8"/>
      <c r="AR971" s="4"/>
      <c r="AS971" s="8"/>
      <c r="AT971" s="7"/>
      <c r="AU971" s="7"/>
      <c r="AV971" s="4" t="s">
        <v>200</v>
      </c>
      <c r="AW971" s="8" t="s">
        <v>200</v>
      </c>
      <c r="AX971" s="4" t="s">
        <v>200</v>
      </c>
      <c r="AY971" s="8" t="s">
        <v>200</v>
      </c>
      <c r="AZ971" s="7" t="s">
        <v>200</v>
      </c>
      <c r="BA971" s="7" t="s">
        <v>200</v>
      </c>
      <c r="BB971" s="7"/>
      <c r="BC971" s="4" t="s">
        <v>200</v>
      </c>
      <c r="BD971" s="8" t="s">
        <v>200</v>
      </c>
      <c r="BE971" s="4" t="s">
        <v>200</v>
      </c>
      <c r="BF971" s="8" t="s">
        <v>200</v>
      </c>
      <c r="BG971" s="7" t="s">
        <v>200</v>
      </c>
      <c r="BH971" s="7" t="s">
        <v>200</v>
      </c>
      <c r="BI971" s="7"/>
      <c r="BJ971" s="4">
        <v>4</v>
      </c>
      <c r="BK971" s="8">
        <v>430.68</v>
      </c>
      <c r="BL971" s="2" t="s">
        <v>1259</v>
      </c>
      <c r="BM971" s="7"/>
      <c r="BN971" s="7"/>
      <c r="BO971" s="4"/>
      <c r="BP971" s="8"/>
      <c r="BQ971" s="4"/>
      <c r="BR971" s="8"/>
      <c r="BS971" s="7"/>
      <c r="BT971" s="7"/>
      <c r="BU971" s="2" t="s">
        <v>5639</v>
      </c>
      <c r="BV971" s="2" t="s">
        <v>200</v>
      </c>
      <c r="BW971" s="2" t="s">
        <v>200</v>
      </c>
      <c r="BX971" s="2" t="s">
        <v>3140</v>
      </c>
      <c r="BY971" s="2" t="s">
        <v>247</v>
      </c>
      <c r="BZ971" s="2" t="s">
        <v>212</v>
      </c>
      <c r="CA971" s="2" t="s">
        <v>5635</v>
      </c>
      <c r="CB971" s="2" t="s">
        <v>200</v>
      </c>
      <c r="CC971" s="2" t="s">
        <v>213</v>
      </c>
      <c r="CD971" s="2" t="s">
        <v>200</v>
      </c>
      <c r="CE971" s="4">
        <v>120</v>
      </c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</row>
    <row r="972">
      <c r="A972" s="2" t="s">
        <v>5640</v>
      </c>
      <c r="B972" s="2" t="s">
        <v>827</v>
      </c>
      <c r="C972" s="2" t="s">
        <v>1375</v>
      </c>
      <c r="D972" s="2" t="s">
        <v>3257</v>
      </c>
      <c r="E972" s="2" t="s">
        <v>3257</v>
      </c>
      <c r="F972" s="2" t="s">
        <v>2781</v>
      </c>
      <c r="G972" s="2" t="s">
        <v>5630</v>
      </c>
      <c r="H972" s="2" t="s">
        <v>5630</v>
      </c>
      <c r="I972" s="2" t="s">
        <v>5631</v>
      </c>
      <c r="J972" s="2" t="s">
        <v>5637</v>
      </c>
      <c r="K972" s="2" t="s">
        <v>733</v>
      </c>
      <c r="L972" s="3">
        <v>93.63</v>
      </c>
      <c r="M972" s="3">
        <v>98.31</v>
      </c>
      <c r="N972" s="3">
        <v>209.99</v>
      </c>
      <c r="O972" s="2" t="s">
        <v>212</v>
      </c>
      <c r="P972" s="2" t="s">
        <v>205</v>
      </c>
      <c r="Q972" s="2" t="s">
        <v>206</v>
      </c>
      <c r="R972" s="2" t="s">
        <v>200</v>
      </c>
      <c r="S972" s="2" t="s">
        <v>5641</v>
      </c>
      <c r="T972" s="2" t="s">
        <v>200</v>
      </c>
      <c r="U972" s="2" t="s">
        <v>270</v>
      </c>
      <c r="V972" s="2" t="s">
        <v>1433</v>
      </c>
      <c r="W972" s="2" t="s">
        <v>200</v>
      </c>
      <c r="X972" s="2" t="s">
        <v>200</v>
      </c>
      <c r="Y972" s="2" t="s">
        <v>1663</v>
      </c>
      <c r="Z972" s="4">
        <v>183</v>
      </c>
      <c r="AA972" s="4">
        <f>=ROUNDDOWN(22.875,0)</f>
      </c>
      <c r="AB972" s="5">
        <v>8</v>
      </c>
      <c r="AC972" s="2" t="s">
        <v>200</v>
      </c>
      <c r="AD972" s="4"/>
      <c r="AE972" s="4"/>
      <c r="AF972" s="6">
        <v>65</v>
      </c>
      <c r="AG972" s="6"/>
      <c r="AH972" s="7">
        <v>1</v>
      </c>
      <c r="AI972" s="4"/>
      <c r="AJ972" s="4">
        <f>=ROUNDDOWN({0},0)</f>
      </c>
      <c r="AK972" s="5"/>
      <c r="AL972" s="2" t="s">
        <v>200</v>
      </c>
      <c r="AM972" s="4"/>
      <c r="AN972" s="4"/>
      <c r="AO972" s="7"/>
      <c r="AP972" s="4"/>
      <c r="AQ972" s="8"/>
      <c r="AR972" s="4"/>
      <c r="AS972" s="8"/>
      <c r="AT972" s="7"/>
      <c r="AU972" s="7"/>
      <c r="AV972" s="4"/>
      <c r="AW972" s="8"/>
      <c r="AX972" s="4"/>
      <c r="AY972" s="8"/>
      <c r="AZ972" s="7"/>
      <c r="BA972" s="7"/>
      <c r="BB972" s="7"/>
      <c r="BC972" s="4" t="s">
        <v>200</v>
      </c>
      <c r="BD972" s="8" t="s">
        <v>200</v>
      </c>
      <c r="BE972" s="4" t="s">
        <v>200</v>
      </c>
      <c r="BF972" s="8" t="s">
        <v>200</v>
      </c>
      <c r="BG972" s="7" t="s">
        <v>200</v>
      </c>
      <c r="BH972" s="7" t="s">
        <v>200</v>
      </c>
      <c r="BI972" s="7"/>
      <c r="BJ972" s="4">
        <v>12</v>
      </c>
      <c r="BK972" s="8">
        <v>1292.04</v>
      </c>
      <c r="BL972" s="2" t="s">
        <v>1259</v>
      </c>
      <c r="BM972" s="7"/>
      <c r="BN972" s="7"/>
      <c r="BO972" s="4"/>
      <c r="BP972" s="8"/>
      <c r="BQ972" s="4"/>
      <c r="BR972" s="8"/>
      <c r="BS972" s="7"/>
      <c r="BT972" s="7"/>
      <c r="BU972" s="2" t="s">
        <v>5642</v>
      </c>
      <c r="BV972" s="2" t="s">
        <v>200</v>
      </c>
      <c r="BW972" s="2" t="s">
        <v>200</v>
      </c>
      <c r="BX972" s="2" t="s">
        <v>3140</v>
      </c>
      <c r="BY972" s="2" t="s">
        <v>247</v>
      </c>
      <c r="BZ972" s="2" t="s">
        <v>212</v>
      </c>
      <c r="CA972" s="2" t="s">
        <v>5635</v>
      </c>
      <c r="CB972" s="2" t="s">
        <v>200</v>
      </c>
      <c r="CC972" s="2" t="s">
        <v>213</v>
      </c>
      <c r="CD972" s="2" t="s">
        <v>200</v>
      </c>
      <c r="CE972" s="4">
        <v>183</v>
      </c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</row>
    <row r="973">
      <c r="A973" s="2" t="s">
        <v>5643</v>
      </c>
      <c r="B973" s="2" t="s">
        <v>827</v>
      </c>
      <c r="C973" s="2" t="s">
        <v>1375</v>
      </c>
      <c r="D973" s="2" t="s">
        <v>3257</v>
      </c>
      <c r="E973" s="2" t="s">
        <v>3257</v>
      </c>
      <c r="F973" s="2" t="s">
        <v>2781</v>
      </c>
      <c r="G973" s="2" t="s">
        <v>5630</v>
      </c>
      <c r="H973" s="2" t="s">
        <v>5630</v>
      </c>
      <c r="I973" s="2" t="s">
        <v>5631</v>
      </c>
      <c r="J973" s="2" t="s">
        <v>5632</v>
      </c>
      <c r="K973" s="2" t="s">
        <v>3262</v>
      </c>
      <c r="L973" s="3">
        <v>62.42</v>
      </c>
      <c r="M973" s="3">
        <v>65.54</v>
      </c>
      <c r="N973" s="3">
        <v>139.99</v>
      </c>
      <c r="O973" s="2" t="s">
        <v>212</v>
      </c>
      <c r="P973" s="2" t="s">
        <v>205</v>
      </c>
      <c r="Q973" s="2" t="s">
        <v>206</v>
      </c>
      <c r="R973" s="2" t="s">
        <v>200</v>
      </c>
      <c r="S973" s="2" t="s">
        <v>5644</v>
      </c>
      <c r="T973" s="2" t="s">
        <v>200</v>
      </c>
      <c r="U973" s="2" t="s">
        <v>270</v>
      </c>
      <c r="V973" s="2" t="s">
        <v>339</v>
      </c>
      <c r="W973" s="2" t="s">
        <v>200</v>
      </c>
      <c r="X973" s="2" t="s">
        <v>200</v>
      </c>
      <c r="Y973" s="2" t="s">
        <v>1663</v>
      </c>
      <c r="Z973" s="4">
        <v>146</v>
      </c>
      <c r="AA973" s="4">
        <f>=ROUNDDOWN(24.3333333333333,0)</f>
      </c>
      <c r="AB973" s="5">
        <v>6</v>
      </c>
      <c r="AC973" s="2" t="s">
        <v>200</v>
      </c>
      <c r="AD973" s="4"/>
      <c r="AE973" s="4"/>
      <c r="AF973" s="6">
        <v>65</v>
      </c>
      <c r="AG973" s="6"/>
      <c r="AH973" s="7">
        <v>1</v>
      </c>
      <c r="AI973" s="4"/>
      <c r="AJ973" s="4">
        <f>=ROUNDDOWN({0},0)</f>
      </c>
      <c r="AK973" s="5"/>
      <c r="AL973" s="2" t="s">
        <v>200</v>
      </c>
      <c r="AM973" s="4"/>
      <c r="AN973" s="4"/>
      <c r="AO973" s="7"/>
      <c r="AP973" s="4"/>
      <c r="AQ973" s="8"/>
      <c r="AR973" s="4"/>
      <c r="AS973" s="8"/>
      <c r="AT973" s="7"/>
      <c r="AU973" s="7"/>
      <c r="AV973" s="4"/>
      <c r="AW973" s="8"/>
      <c r="AX973" s="4"/>
      <c r="AY973" s="8"/>
      <c r="AZ973" s="7"/>
      <c r="BA973" s="7"/>
      <c r="BB973" s="7"/>
      <c r="BC973" s="4" t="s">
        <v>200</v>
      </c>
      <c r="BD973" s="8" t="s">
        <v>200</v>
      </c>
      <c r="BE973" s="4" t="s">
        <v>200</v>
      </c>
      <c r="BF973" s="8" t="s">
        <v>200</v>
      </c>
      <c r="BG973" s="7" t="s">
        <v>200</v>
      </c>
      <c r="BH973" s="7" t="s">
        <v>200</v>
      </c>
      <c r="BI973" s="7"/>
      <c r="BJ973" s="4">
        <v>4</v>
      </c>
      <c r="BK973" s="8">
        <v>287.12</v>
      </c>
      <c r="BL973" s="2" t="s">
        <v>1259</v>
      </c>
      <c r="BM973" s="7"/>
      <c r="BN973" s="7"/>
      <c r="BO973" s="4"/>
      <c r="BP973" s="8"/>
      <c r="BQ973" s="4"/>
      <c r="BR973" s="8"/>
      <c r="BS973" s="7"/>
      <c r="BT973" s="7"/>
      <c r="BU973" s="2" t="s">
        <v>5645</v>
      </c>
      <c r="BV973" s="2" t="s">
        <v>200</v>
      </c>
      <c r="BW973" s="2" t="s">
        <v>200</v>
      </c>
      <c r="BX973" s="2" t="s">
        <v>3140</v>
      </c>
      <c r="BY973" s="2" t="s">
        <v>247</v>
      </c>
      <c r="BZ973" s="2" t="s">
        <v>212</v>
      </c>
      <c r="CA973" s="2" t="s">
        <v>5635</v>
      </c>
      <c r="CB973" s="2" t="s">
        <v>200</v>
      </c>
      <c r="CC973" s="2" t="s">
        <v>213</v>
      </c>
      <c r="CD973" s="2" t="s">
        <v>200</v>
      </c>
      <c r="CE973" s="4">
        <v>146</v>
      </c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</row>
    <row r="974">
      <c r="A974" s="2" t="s">
        <v>5646</v>
      </c>
      <c r="B974" s="2" t="s">
        <v>945</v>
      </c>
      <c r="C974" s="2" t="s">
        <v>946</v>
      </c>
      <c r="D974" s="2" t="s">
        <v>947</v>
      </c>
      <c r="E974" s="2" t="s">
        <v>948</v>
      </c>
      <c r="F974" s="2" t="s">
        <v>5647</v>
      </c>
      <c r="G974" s="2" t="s">
        <v>5647</v>
      </c>
      <c r="H974" s="2" t="s">
        <v>5647</v>
      </c>
      <c r="I974" s="2" t="s">
        <v>5648</v>
      </c>
      <c r="J974" s="2" t="s">
        <v>2136</v>
      </c>
      <c r="K974" s="2" t="s">
        <v>221</v>
      </c>
      <c r="L974" s="3">
        <v>17.07</v>
      </c>
      <c r="M974" s="3">
        <v>17.92</v>
      </c>
      <c r="N974" s="3">
        <v>37.99</v>
      </c>
      <c r="O974" s="2" t="s">
        <v>212</v>
      </c>
      <c r="P974" s="2" t="s">
        <v>285</v>
      </c>
      <c r="Q974" s="2" t="s">
        <v>206</v>
      </c>
      <c r="R974" s="2" t="s">
        <v>200</v>
      </c>
      <c r="S974" s="2" t="s">
        <v>200</v>
      </c>
      <c r="T974" s="2" t="s">
        <v>200</v>
      </c>
      <c r="U974" s="2" t="s">
        <v>270</v>
      </c>
      <c r="V974" s="2" t="s">
        <v>616</v>
      </c>
      <c r="W974" s="2" t="s">
        <v>241</v>
      </c>
      <c r="X974" s="2" t="s">
        <v>200</v>
      </c>
      <c r="Y974" s="2" t="s">
        <v>952</v>
      </c>
      <c r="Z974" s="4">
        <v>5</v>
      </c>
      <c r="AA974" s="4">
        <f>=ROUNDDOWN(0.833333333333333,0)</f>
      </c>
      <c r="AB974" s="5">
        <v>6</v>
      </c>
      <c r="AC974" s="2" t="s">
        <v>200</v>
      </c>
      <c r="AD974" s="4"/>
      <c r="AE974" s="4"/>
      <c r="AF974" s="6">
        <v>66</v>
      </c>
      <c r="AG974" s="6"/>
      <c r="AH974" s="7">
        <v>1</v>
      </c>
      <c r="AI974" s="4"/>
      <c r="AJ974" s="4">
        <f>=ROUNDDOWN({0},0)</f>
      </c>
      <c r="AK974" s="5"/>
      <c r="AL974" s="2" t="s">
        <v>200</v>
      </c>
      <c r="AM974" s="4"/>
      <c r="AN974" s="4"/>
      <c r="AO974" s="7"/>
      <c r="AP974" s="4"/>
      <c r="AQ974" s="8"/>
      <c r="AR974" s="4"/>
      <c r="AS974" s="8"/>
      <c r="AT974" s="7"/>
      <c r="AU974" s="7"/>
      <c r="AV974" s="4"/>
      <c r="AW974" s="8"/>
      <c r="AX974" s="4"/>
      <c r="AY974" s="8"/>
      <c r="AZ974" s="7"/>
      <c r="BA974" s="7"/>
      <c r="BB974" s="7"/>
      <c r="BC974" s="4"/>
      <c r="BD974" s="8"/>
      <c r="BE974" s="4"/>
      <c r="BF974" s="8"/>
      <c r="BG974" s="7"/>
      <c r="BH974" s="7"/>
      <c r="BI974" s="7"/>
      <c r="BJ974" s="4">
        <v>122</v>
      </c>
      <c r="BK974" s="8">
        <v>2395.45</v>
      </c>
      <c r="BL974" s="2" t="s">
        <v>5649</v>
      </c>
      <c r="BM974" s="7"/>
      <c r="BN974" s="7"/>
      <c r="BO974" s="4"/>
      <c r="BP974" s="8"/>
      <c r="BQ974" s="4"/>
      <c r="BR974" s="8"/>
      <c r="BS974" s="7"/>
      <c r="BT974" s="7"/>
      <c r="BU974" s="2" t="s">
        <v>5650</v>
      </c>
      <c r="BV974" s="2" t="s">
        <v>200</v>
      </c>
      <c r="BW974" s="2" t="s">
        <v>200</v>
      </c>
      <c r="BX974" s="2" t="s">
        <v>289</v>
      </c>
      <c r="BY974" s="2" t="s">
        <v>247</v>
      </c>
      <c r="BZ974" s="2" t="s">
        <v>212</v>
      </c>
      <c r="CA974" s="2" t="s">
        <v>3183</v>
      </c>
      <c r="CB974" s="2" t="s">
        <v>200</v>
      </c>
      <c r="CC974" s="2" t="s">
        <v>213</v>
      </c>
      <c r="CD974" s="2" t="s">
        <v>200</v>
      </c>
      <c r="CE974" s="4">
        <v>5</v>
      </c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</row>
    <row r="975">
      <c r="A975" s="2" t="s">
        <v>5651</v>
      </c>
      <c r="B975" s="2" t="s">
        <v>903</v>
      </c>
      <c r="C975" s="2" t="s">
        <v>231</v>
      </c>
      <c r="D975" s="2" t="s">
        <v>1818</v>
      </c>
      <c r="E975" s="2" t="s">
        <v>2000</v>
      </c>
      <c r="F975" s="2" t="s">
        <v>5652</v>
      </c>
      <c r="G975" s="2" t="s">
        <v>5493</v>
      </c>
      <c r="H975" s="2" t="s">
        <v>2266</v>
      </c>
      <c r="I975" s="2" t="s">
        <v>5653</v>
      </c>
      <c r="J975" s="2" t="s">
        <v>1390</v>
      </c>
      <c r="K975" s="2" t="s">
        <v>237</v>
      </c>
      <c r="L975" s="3">
        <v>28.34</v>
      </c>
      <c r="M975" s="3">
        <v>29.76</v>
      </c>
      <c r="N975" s="3">
        <v>54.99</v>
      </c>
      <c r="O975" s="2" t="s">
        <v>212</v>
      </c>
      <c r="P975" s="2" t="s">
        <v>258</v>
      </c>
      <c r="Q975" s="2" t="s">
        <v>206</v>
      </c>
      <c r="R975" s="2" t="s">
        <v>200</v>
      </c>
      <c r="S975" s="2" t="s">
        <v>5654</v>
      </c>
      <c r="T975" s="2" t="s">
        <v>378</v>
      </c>
      <c r="U975" s="2" t="s">
        <v>677</v>
      </c>
      <c r="V975" s="2" t="s">
        <v>339</v>
      </c>
      <c r="W975" s="2" t="s">
        <v>379</v>
      </c>
      <c r="X975" s="2" t="s">
        <v>200</v>
      </c>
      <c r="Y975" s="2" t="s">
        <v>5655</v>
      </c>
      <c r="Z975" s="4">
        <v>380</v>
      </c>
      <c r="AA975" s="4">
        <f>=ROUNDDOWN(47.5,0)</f>
      </c>
      <c r="AB975" s="5">
        <v>8</v>
      </c>
      <c r="AC975" s="2" t="s">
        <v>200</v>
      </c>
      <c r="AD975" s="4"/>
      <c r="AE975" s="4"/>
      <c r="AF975" s="6">
        <v>65</v>
      </c>
      <c r="AG975" s="6">
        <v>48</v>
      </c>
      <c r="AH975" s="7">
        <v>1</v>
      </c>
      <c r="AI975" s="4"/>
      <c r="AJ975" s="4">
        <f>=ROUNDDOWN({0},0)</f>
      </c>
      <c r="AK975" s="5"/>
      <c r="AL975" s="2" t="s">
        <v>200</v>
      </c>
      <c r="AM975" s="4"/>
      <c r="AN975" s="4"/>
      <c r="AO975" s="7"/>
      <c r="AP975" s="4"/>
      <c r="AQ975" s="8"/>
      <c r="AR975" s="4"/>
      <c r="AS975" s="8"/>
      <c r="AT975" s="7"/>
      <c r="AU975" s="7"/>
      <c r="AV975" s="4"/>
      <c r="AW975" s="8"/>
      <c r="AX975" s="4"/>
      <c r="AY975" s="8"/>
      <c r="AZ975" s="7"/>
      <c r="BA975" s="7"/>
      <c r="BB975" s="7"/>
      <c r="BC975" s="4"/>
      <c r="BD975" s="8"/>
      <c r="BE975" s="4"/>
      <c r="BF975" s="8"/>
      <c r="BG975" s="7"/>
      <c r="BH975" s="7"/>
      <c r="BI975" s="7"/>
      <c r="BJ975" s="4">
        <v>24</v>
      </c>
      <c r="BK975" s="8">
        <v>701.62</v>
      </c>
      <c r="BL975" s="2" t="s">
        <v>3911</v>
      </c>
      <c r="BM975" s="7"/>
      <c r="BN975" s="7"/>
      <c r="BO975" s="4"/>
      <c r="BP975" s="8"/>
      <c r="BQ975" s="4"/>
      <c r="BR975" s="8"/>
      <c r="BS975" s="7"/>
      <c r="BT975" s="7"/>
      <c r="BU975" s="2" t="s">
        <v>5656</v>
      </c>
      <c r="BV975" s="2" t="s">
        <v>200</v>
      </c>
      <c r="BW975" s="2" t="s">
        <v>200</v>
      </c>
      <c r="BX975" s="2" t="s">
        <v>620</v>
      </c>
      <c r="BY975" s="2" t="s">
        <v>247</v>
      </c>
      <c r="BZ975" s="2" t="s">
        <v>212</v>
      </c>
      <c r="CA975" s="2" t="s">
        <v>5657</v>
      </c>
      <c r="CB975" s="2" t="s">
        <v>5658</v>
      </c>
      <c r="CC975" s="2" t="s">
        <v>213</v>
      </c>
      <c r="CD975" s="2" t="s">
        <v>200</v>
      </c>
      <c r="CE975" s="4">
        <v>84</v>
      </c>
      <c r="CF975" s="4"/>
      <c r="CG975" s="4"/>
      <c r="CH975" s="4">
        <v>296</v>
      </c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</row>
    <row r="976">
      <c r="A976" s="2" t="s">
        <v>5659</v>
      </c>
      <c r="B976" s="2" t="s">
        <v>744</v>
      </c>
      <c r="C976" s="2" t="s">
        <v>745</v>
      </c>
      <c r="D976" s="2" t="s">
        <v>1806</v>
      </c>
      <c r="E976" s="2" t="s">
        <v>2569</v>
      </c>
      <c r="F976" s="2" t="s">
        <v>5660</v>
      </c>
      <c r="G976" s="2" t="s">
        <v>5660</v>
      </c>
      <c r="H976" s="2" t="s">
        <v>5660</v>
      </c>
      <c r="I976" s="2" t="s">
        <v>5661</v>
      </c>
      <c r="J976" s="2" t="s">
        <v>711</v>
      </c>
      <c r="K976" s="2" t="s">
        <v>5662</v>
      </c>
      <c r="L976" s="3">
        <v>210</v>
      </c>
      <c r="M976" s="3">
        <v>220.5</v>
      </c>
      <c r="N976" s="3">
        <v>449</v>
      </c>
      <c r="O976" s="2" t="s">
        <v>212</v>
      </c>
      <c r="P976" s="2" t="s">
        <v>205</v>
      </c>
      <c r="Q976" s="2" t="s">
        <v>206</v>
      </c>
      <c r="R976" s="2" t="s">
        <v>200</v>
      </c>
      <c r="S976" s="2" t="s">
        <v>200</v>
      </c>
      <c r="T976" s="2" t="s">
        <v>200</v>
      </c>
      <c r="U976" s="2" t="s">
        <v>270</v>
      </c>
      <c r="V976" s="2" t="s">
        <v>616</v>
      </c>
      <c r="W976" s="2" t="s">
        <v>379</v>
      </c>
      <c r="X976" s="2" t="s">
        <v>241</v>
      </c>
      <c r="Y976" s="2" t="s">
        <v>5663</v>
      </c>
      <c r="Z976" s="4">
        <v>98</v>
      </c>
      <c r="AA976" s="4">
        <f>=ROUNDDOWN(98,0)</f>
      </c>
      <c r="AB976" s="5">
        <v>1</v>
      </c>
      <c r="AC976" s="2" t="s">
        <v>200</v>
      </c>
      <c r="AD976" s="4"/>
      <c r="AE976" s="4"/>
      <c r="AF976" s="6">
        <v>76</v>
      </c>
      <c r="AG976" s="6"/>
      <c r="AH976" s="7">
        <v>1</v>
      </c>
      <c r="AI976" s="4"/>
      <c r="AJ976" s="4">
        <f>=ROUNDDOWN({0},0)</f>
      </c>
      <c r="AK976" s="5"/>
      <c r="AL976" s="2" t="s">
        <v>200</v>
      </c>
      <c r="AM976" s="4"/>
      <c r="AN976" s="4"/>
      <c r="AO976" s="7"/>
      <c r="AP976" s="4"/>
      <c r="AQ976" s="8"/>
      <c r="AR976" s="4"/>
      <c r="AS976" s="8"/>
      <c r="AT976" s="7"/>
      <c r="AU976" s="7"/>
      <c r="AV976" s="4"/>
      <c r="AW976" s="8"/>
      <c r="AX976" s="4"/>
      <c r="AY976" s="8"/>
      <c r="AZ976" s="7"/>
      <c r="BA976" s="7"/>
      <c r="BB976" s="7"/>
      <c r="BC976" s="4"/>
      <c r="BD976" s="8"/>
      <c r="BE976" s="4"/>
      <c r="BF976" s="8"/>
      <c r="BG976" s="7"/>
      <c r="BH976" s="7"/>
      <c r="BI976" s="7"/>
      <c r="BJ976" s="4">
        <v>1</v>
      </c>
      <c r="BK976" s="8">
        <v>198.45</v>
      </c>
      <c r="BL976" s="2" t="s">
        <v>813</v>
      </c>
      <c r="BM976" s="7"/>
      <c r="BN976" s="7"/>
      <c r="BO976" s="4"/>
      <c r="BP976" s="8"/>
      <c r="BQ976" s="4"/>
      <c r="BR976" s="8"/>
      <c r="BS976" s="7"/>
      <c r="BT976" s="7"/>
      <c r="BU976" s="2" t="s">
        <v>5664</v>
      </c>
      <c r="BV976" s="2" t="s">
        <v>200</v>
      </c>
      <c r="BW976" s="2" t="s">
        <v>200</v>
      </c>
      <c r="BX976" s="2" t="s">
        <v>264</v>
      </c>
      <c r="BY976" s="2" t="s">
        <v>247</v>
      </c>
      <c r="BZ976" s="2" t="s">
        <v>212</v>
      </c>
      <c r="CA976" s="2" t="s">
        <v>1427</v>
      </c>
      <c r="CB976" s="2" t="s">
        <v>200</v>
      </c>
      <c r="CC976" s="2" t="s">
        <v>213</v>
      </c>
      <c r="CD976" s="2" t="s">
        <v>200</v>
      </c>
      <c r="CE976" s="4"/>
      <c r="CF976" s="4">
        <v>98</v>
      </c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</row>
    <row r="977">
      <c r="A977" s="2" t="s">
        <v>5665</v>
      </c>
      <c r="B977" s="2" t="s">
        <v>705</v>
      </c>
      <c r="C977" s="2" t="s">
        <v>745</v>
      </c>
      <c r="D977" s="2" t="s">
        <v>1376</v>
      </c>
      <c r="E977" s="2" t="s">
        <v>1377</v>
      </c>
      <c r="F977" s="2" t="s">
        <v>5666</v>
      </c>
      <c r="G977" s="2" t="s">
        <v>5666</v>
      </c>
      <c r="H977" s="2" t="s">
        <v>5666</v>
      </c>
      <c r="I977" s="2" t="s">
        <v>5667</v>
      </c>
      <c r="J977" s="2" t="s">
        <v>711</v>
      </c>
      <c r="K977" s="2" t="s">
        <v>5668</v>
      </c>
      <c r="L977" s="3">
        <v>39.25</v>
      </c>
      <c r="M977" s="3">
        <v>41.21</v>
      </c>
      <c r="N977" s="3">
        <v>79.99</v>
      </c>
      <c r="O977" s="2" t="s">
        <v>460</v>
      </c>
      <c r="P977" s="2" t="s">
        <v>285</v>
      </c>
      <c r="Q977" s="2" t="s">
        <v>206</v>
      </c>
      <c r="R977" s="2" t="s">
        <v>200</v>
      </c>
      <c r="S977" s="2" t="s">
        <v>200</v>
      </c>
      <c r="T977" s="2" t="s">
        <v>200</v>
      </c>
      <c r="U977" s="2" t="s">
        <v>270</v>
      </c>
      <c r="V977" s="2" t="s">
        <v>616</v>
      </c>
      <c r="W977" s="2" t="s">
        <v>241</v>
      </c>
      <c r="X977" s="2" t="s">
        <v>200</v>
      </c>
      <c r="Y977" s="2" t="s">
        <v>1774</v>
      </c>
      <c r="Z977" s="4">
        <v>9</v>
      </c>
      <c r="AA977" s="4">
        <f>=ROUNDDOWN(10,0)</f>
      </c>
      <c r="AB977" s="5">
        <v>0.9</v>
      </c>
      <c r="AC977" s="2" t="s">
        <v>200</v>
      </c>
      <c r="AD977" s="4"/>
      <c r="AE977" s="4"/>
      <c r="AF977" s="6">
        <v>65</v>
      </c>
      <c r="AG977" s="6"/>
      <c r="AH977" s="7">
        <v>1</v>
      </c>
      <c r="AI977" s="4"/>
      <c r="AJ977" s="4">
        <f>=ROUNDDOWN({0},0)</f>
      </c>
      <c r="AK977" s="5"/>
      <c r="AL977" s="2" t="s">
        <v>200</v>
      </c>
      <c r="AM977" s="4"/>
      <c r="AN977" s="4"/>
      <c r="AO977" s="7"/>
      <c r="AP977" s="4"/>
      <c r="AQ977" s="8"/>
      <c r="AR977" s="4"/>
      <c r="AS977" s="8"/>
      <c r="AT977" s="7"/>
      <c r="AU977" s="7"/>
      <c r="AV977" s="4"/>
      <c r="AW977" s="8"/>
      <c r="AX977" s="4"/>
      <c r="AY977" s="8"/>
      <c r="AZ977" s="7"/>
      <c r="BA977" s="7"/>
      <c r="BB977" s="7"/>
      <c r="BC977" s="4"/>
      <c r="BD977" s="8"/>
      <c r="BE977" s="4"/>
      <c r="BF977" s="8"/>
      <c r="BG977" s="7"/>
      <c r="BH977" s="7"/>
      <c r="BI977" s="7"/>
      <c r="BJ977" s="4">
        <v>7</v>
      </c>
      <c r="BK977" s="8">
        <v>479.48</v>
      </c>
      <c r="BL977" s="2" t="s">
        <v>5669</v>
      </c>
      <c r="BM977" s="7"/>
      <c r="BN977" s="7"/>
      <c r="BO977" s="4"/>
      <c r="BP977" s="8"/>
      <c r="BQ977" s="4"/>
      <c r="BR977" s="8"/>
      <c r="BS977" s="7"/>
      <c r="BT977" s="7"/>
      <c r="BU977" s="2" t="s">
        <v>5670</v>
      </c>
      <c r="BV977" s="2" t="s">
        <v>200</v>
      </c>
      <c r="BW977" s="2" t="s">
        <v>200</v>
      </c>
      <c r="BX977" s="2" t="s">
        <v>289</v>
      </c>
      <c r="BY977" s="2" t="s">
        <v>247</v>
      </c>
      <c r="BZ977" s="2" t="s">
        <v>212</v>
      </c>
      <c r="CA977" s="2" t="s">
        <v>5159</v>
      </c>
      <c r="CB977" s="2" t="s">
        <v>5671</v>
      </c>
      <c r="CC977" s="2" t="s">
        <v>213</v>
      </c>
      <c r="CD977" s="2" t="s">
        <v>200</v>
      </c>
      <c r="CE977" s="4"/>
      <c r="CF977" s="4">
        <v>9</v>
      </c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</row>
    <row r="978">
      <c r="A978" s="2" t="s">
        <v>5672</v>
      </c>
      <c r="B978" s="2" t="s">
        <v>744</v>
      </c>
      <c r="C978" s="2" t="s">
        <v>231</v>
      </c>
      <c r="D978" s="2" t="s">
        <v>2677</v>
      </c>
      <c r="E978" s="2" t="s">
        <v>2678</v>
      </c>
      <c r="F978" s="2" t="s">
        <v>5673</v>
      </c>
      <c r="G978" s="2" t="s">
        <v>2001</v>
      </c>
      <c r="H978" s="2" t="s">
        <v>2870</v>
      </c>
      <c r="I978" s="2" t="s">
        <v>5674</v>
      </c>
      <c r="J978" s="2" t="s">
        <v>711</v>
      </c>
      <c r="K978" s="2" t="s">
        <v>387</v>
      </c>
      <c r="L978" s="3">
        <v>95</v>
      </c>
      <c r="M978" s="3">
        <v>99.75</v>
      </c>
      <c r="N978" s="3">
        <v>199</v>
      </c>
      <c r="O978" s="2" t="s">
        <v>212</v>
      </c>
      <c r="P978" s="2" t="s">
        <v>285</v>
      </c>
      <c r="Q978" s="2" t="s">
        <v>206</v>
      </c>
      <c r="R978" s="2" t="s">
        <v>200</v>
      </c>
      <c r="S978" s="2" t="s">
        <v>5675</v>
      </c>
      <c r="T978" s="2" t="s">
        <v>200</v>
      </c>
      <c r="U978" s="2" t="s">
        <v>200</v>
      </c>
      <c r="V978" s="2" t="s">
        <v>208</v>
      </c>
      <c r="W978" s="2" t="s">
        <v>379</v>
      </c>
      <c r="X978" s="2" t="s">
        <v>200</v>
      </c>
      <c r="Y978" s="2" t="s">
        <v>261</v>
      </c>
      <c r="Z978" s="4">
        <v>93</v>
      </c>
      <c r="AA978" s="4">
        <f>=ROUNDDOWN(31,0)</f>
      </c>
      <c r="AB978" s="5">
        <v>3</v>
      </c>
      <c r="AC978" s="2" t="s">
        <v>200</v>
      </c>
      <c r="AD978" s="4"/>
      <c r="AE978" s="4"/>
      <c r="AF978" s="6">
        <v>66</v>
      </c>
      <c r="AG978" s="6">
        <v>49</v>
      </c>
      <c r="AH978" s="7">
        <v>1</v>
      </c>
      <c r="AI978" s="4"/>
      <c r="AJ978" s="4">
        <f>=ROUNDDOWN({0},0)</f>
      </c>
      <c r="AK978" s="5"/>
      <c r="AL978" s="2" t="s">
        <v>200</v>
      </c>
      <c r="AM978" s="4"/>
      <c r="AN978" s="4"/>
      <c r="AO978" s="7"/>
      <c r="AP978" s="4"/>
      <c r="AQ978" s="8"/>
      <c r="AR978" s="4"/>
      <c r="AS978" s="8"/>
      <c r="AT978" s="7"/>
      <c r="AU978" s="7"/>
      <c r="AV978" s="4"/>
      <c r="AW978" s="8"/>
      <c r="AX978" s="4"/>
      <c r="AY978" s="8"/>
      <c r="AZ978" s="7"/>
      <c r="BA978" s="7"/>
      <c r="BB978" s="7"/>
      <c r="BC978" s="4" t="s">
        <v>200</v>
      </c>
      <c r="BD978" s="8" t="s">
        <v>200</v>
      </c>
      <c r="BE978" s="4" t="s">
        <v>200</v>
      </c>
      <c r="BF978" s="8" t="s">
        <v>200</v>
      </c>
      <c r="BG978" s="7" t="s">
        <v>200</v>
      </c>
      <c r="BH978" s="7" t="s">
        <v>200</v>
      </c>
      <c r="BI978" s="7"/>
      <c r="BJ978" s="4">
        <v>33</v>
      </c>
      <c r="BK978" s="8">
        <v>1733.48</v>
      </c>
      <c r="BL978" s="2" t="s">
        <v>5676</v>
      </c>
      <c r="BM978" s="7"/>
      <c r="BN978" s="7"/>
      <c r="BO978" s="4"/>
      <c r="BP978" s="8"/>
      <c r="BQ978" s="4"/>
      <c r="BR978" s="8"/>
      <c r="BS978" s="7"/>
      <c r="BT978" s="7"/>
      <c r="BU978" s="2" t="s">
        <v>5677</v>
      </c>
      <c r="BV978" s="2" t="s">
        <v>200</v>
      </c>
      <c r="BW978" s="2" t="s">
        <v>200</v>
      </c>
      <c r="BX978" s="2" t="s">
        <v>289</v>
      </c>
      <c r="BY978" s="2" t="s">
        <v>247</v>
      </c>
      <c r="BZ978" s="2" t="s">
        <v>212</v>
      </c>
      <c r="CA978" s="2" t="s">
        <v>265</v>
      </c>
      <c r="CB978" s="2" t="s">
        <v>1108</v>
      </c>
      <c r="CC978" s="2" t="s">
        <v>213</v>
      </c>
      <c r="CD978" s="2" t="s">
        <v>200</v>
      </c>
      <c r="CE978" s="4"/>
      <c r="CF978" s="4">
        <v>93</v>
      </c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</row>
    <row r="979">
      <c r="A979" s="2" t="s">
        <v>5678</v>
      </c>
      <c r="B979" s="2" t="s">
        <v>744</v>
      </c>
      <c r="C979" s="2" t="s">
        <v>231</v>
      </c>
      <c r="D979" s="2" t="s">
        <v>2677</v>
      </c>
      <c r="E979" s="2" t="s">
        <v>2678</v>
      </c>
      <c r="F979" s="2" t="s">
        <v>5673</v>
      </c>
      <c r="G979" s="2" t="s">
        <v>2001</v>
      </c>
      <c r="H979" s="2" t="s">
        <v>2870</v>
      </c>
      <c r="I979" s="2" t="s">
        <v>5674</v>
      </c>
      <c r="J979" s="2" t="s">
        <v>711</v>
      </c>
      <c r="K979" s="2" t="s">
        <v>2404</v>
      </c>
      <c r="L979" s="3">
        <v>95</v>
      </c>
      <c r="M979" s="3">
        <v>99.75</v>
      </c>
      <c r="N979" s="3">
        <v>199</v>
      </c>
      <c r="O979" s="2" t="s">
        <v>212</v>
      </c>
      <c r="P979" s="2" t="s">
        <v>285</v>
      </c>
      <c r="Q979" s="2" t="s">
        <v>206</v>
      </c>
      <c r="R979" s="2" t="s">
        <v>200</v>
      </c>
      <c r="S979" s="2" t="s">
        <v>5679</v>
      </c>
      <c r="T979" s="2" t="s">
        <v>200</v>
      </c>
      <c r="U979" s="2" t="s">
        <v>200</v>
      </c>
      <c r="V979" s="2" t="s">
        <v>208</v>
      </c>
      <c r="W979" s="2" t="s">
        <v>241</v>
      </c>
      <c r="X979" s="2" t="s">
        <v>200</v>
      </c>
      <c r="Y979" s="2" t="s">
        <v>261</v>
      </c>
      <c r="Z979" s="4">
        <v>21</v>
      </c>
      <c r="AA979" s="4">
        <f>=ROUNDDOWN(7,0)</f>
      </c>
      <c r="AB979" s="5">
        <v>3</v>
      </c>
      <c r="AC979" s="2" t="s">
        <v>200</v>
      </c>
      <c r="AD979" s="4"/>
      <c r="AE979" s="4"/>
      <c r="AF979" s="6">
        <v>65</v>
      </c>
      <c r="AG979" s="6"/>
      <c r="AH979" s="7">
        <v>1</v>
      </c>
      <c r="AI979" s="4"/>
      <c r="AJ979" s="4">
        <f>=ROUNDDOWN({0},0)</f>
      </c>
      <c r="AK979" s="5"/>
      <c r="AL979" s="2" t="s">
        <v>200</v>
      </c>
      <c r="AM979" s="4"/>
      <c r="AN979" s="4"/>
      <c r="AO979" s="7"/>
      <c r="AP979" s="4"/>
      <c r="AQ979" s="8"/>
      <c r="AR979" s="4"/>
      <c r="AS979" s="8"/>
      <c r="AT979" s="7"/>
      <c r="AU979" s="7"/>
      <c r="AV979" s="4"/>
      <c r="AW979" s="8"/>
      <c r="AX979" s="4"/>
      <c r="AY979" s="8"/>
      <c r="AZ979" s="7"/>
      <c r="BA979" s="7"/>
      <c r="BB979" s="7"/>
      <c r="BC979" s="4" t="s">
        <v>200</v>
      </c>
      <c r="BD979" s="8" t="s">
        <v>200</v>
      </c>
      <c r="BE979" s="4" t="s">
        <v>200</v>
      </c>
      <c r="BF979" s="8" t="s">
        <v>200</v>
      </c>
      <c r="BG979" s="7" t="s">
        <v>200</v>
      </c>
      <c r="BH979" s="7" t="s">
        <v>200</v>
      </c>
      <c r="BI979" s="7"/>
      <c r="BJ979" s="4">
        <v>8</v>
      </c>
      <c r="BK979" s="8">
        <v>718.29</v>
      </c>
      <c r="BL979" s="2" t="s">
        <v>5680</v>
      </c>
      <c r="BM979" s="7"/>
      <c r="BN979" s="7"/>
      <c r="BO979" s="4"/>
      <c r="BP979" s="8"/>
      <c r="BQ979" s="4"/>
      <c r="BR979" s="8"/>
      <c r="BS979" s="7"/>
      <c r="BT979" s="7"/>
      <c r="BU979" s="2" t="s">
        <v>5681</v>
      </c>
      <c r="BV979" s="2" t="s">
        <v>200</v>
      </c>
      <c r="BW979" s="2" t="s">
        <v>200</v>
      </c>
      <c r="BX979" s="2" t="s">
        <v>289</v>
      </c>
      <c r="BY979" s="2" t="s">
        <v>247</v>
      </c>
      <c r="BZ979" s="2" t="s">
        <v>212</v>
      </c>
      <c r="CA979" s="2" t="s">
        <v>5682</v>
      </c>
      <c r="CB979" s="2" t="s">
        <v>5683</v>
      </c>
      <c r="CC979" s="2" t="s">
        <v>213</v>
      </c>
      <c r="CD979" s="2" t="s">
        <v>200</v>
      </c>
      <c r="CE979" s="4"/>
      <c r="CF979" s="4">
        <v>21</v>
      </c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</row>
    <row r="980">
      <c r="A980" s="2" t="s">
        <v>5684</v>
      </c>
      <c r="B980" s="2" t="s">
        <v>744</v>
      </c>
      <c r="C980" s="2" t="s">
        <v>745</v>
      </c>
      <c r="D980" s="2" t="s">
        <v>2839</v>
      </c>
      <c r="E980" s="2" t="s">
        <v>2840</v>
      </c>
      <c r="F980" s="2" t="s">
        <v>5685</v>
      </c>
      <c r="G980" s="2" t="s">
        <v>5685</v>
      </c>
      <c r="H980" s="2" t="s">
        <v>5685</v>
      </c>
      <c r="I980" s="2" t="s">
        <v>5686</v>
      </c>
      <c r="J980" s="2" t="s">
        <v>711</v>
      </c>
      <c r="K980" s="2" t="s">
        <v>2842</v>
      </c>
      <c r="L980" s="3">
        <v>262.2</v>
      </c>
      <c r="M980" s="3">
        <v>275.31</v>
      </c>
      <c r="N980" s="3">
        <v>549</v>
      </c>
      <c r="O980" s="2" t="s">
        <v>212</v>
      </c>
      <c r="P980" s="2" t="s">
        <v>258</v>
      </c>
      <c r="Q980" s="2" t="s">
        <v>206</v>
      </c>
      <c r="R980" s="2" t="s">
        <v>200</v>
      </c>
      <c r="S980" s="2" t="s">
        <v>200</v>
      </c>
      <c r="T980" s="2" t="s">
        <v>200</v>
      </c>
      <c r="U980" s="2" t="s">
        <v>270</v>
      </c>
      <c r="V980" s="2" t="s">
        <v>616</v>
      </c>
      <c r="W980" s="2" t="s">
        <v>379</v>
      </c>
      <c r="X980" s="2" t="s">
        <v>241</v>
      </c>
      <c r="Y980" s="2" t="s">
        <v>5687</v>
      </c>
      <c r="Z980" s="4">
        <v>100</v>
      </c>
      <c r="AA980" s="4">
        <f>=ROUNDDOWN(19.2307692307692,0)</f>
      </c>
      <c r="AB980" s="5">
        <v>5.2</v>
      </c>
      <c r="AC980" s="2" t="s">
        <v>5688</v>
      </c>
      <c r="AD980" s="4">
        <v>150</v>
      </c>
      <c r="AE980" s="4">
        <v>150</v>
      </c>
      <c r="AF980" s="6">
        <v>66</v>
      </c>
      <c r="AG980" s="6"/>
      <c r="AH980" s="7">
        <v>1</v>
      </c>
      <c r="AI980" s="4"/>
      <c r="AJ980" s="4">
        <f>=ROUNDDOWN({0},0)</f>
      </c>
      <c r="AK980" s="5"/>
      <c r="AL980" s="2" t="s">
        <v>200</v>
      </c>
      <c r="AM980" s="4"/>
      <c r="AN980" s="4"/>
      <c r="AO980" s="7"/>
      <c r="AP980" s="4"/>
      <c r="AQ980" s="8"/>
      <c r="AR980" s="4"/>
      <c r="AS980" s="8"/>
      <c r="AT980" s="7"/>
      <c r="AU980" s="7"/>
      <c r="AV980" s="4"/>
      <c r="AW980" s="8"/>
      <c r="AX980" s="4"/>
      <c r="AY980" s="8"/>
      <c r="AZ980" s="7"/>
      <c r="BA980" s="7"/>
      <c r="BB980" s="7"/>
      <c r="BC980" s="4"/>
      <c r="BD980" s="8"/>
      <c r="BE980" s="4"/>
      <c r="BF980" s="8"/>
      <c r="BG980" s="7"/>
      <c r="BH980" s="7"/>
      <c r="BI980" s="7"/>
      <c r="BJ980" s="4">
        <v>12</v>
      </c>
      <c r="BK980" s="8">
        <v>3255.44</v>
      </c>
      <c r="BL980" s="2" t="s">
        <v>5689</v>
      </c>
      <c r="BM980" s="7"/>
      <c r="BN980" s="7"/>
      <c r="BO980" s="4"/>
      <c r="BP980" s="8"/>
      <c r="BQ980" s="4"/>
      <c r="BR980" s="8"/>
      <c r="BS980" s="7"/>
      <c r="BT980" s="7"/>
      <c r="BU980" s="2" t="s">
        <v>5690</v>
      </c>
      <c r="BV980" s="2" t="s">
        <v>200</v>
      </c>
      <c r="BW980" s="2" t="s">
        <v>200</v>
      </c>
      <c r="BX980" s="2" t="s">
        <v>264</v>
      </c>
      <c r="BY980" s="2" t="s">
        <v>247</v>
      </c>
      <c r="BZ980" s="2" t="s">
        <v>212</v>
      </c>
      <c r="CA980" s="2" t="s">
        <v>432</v>
      </c>
      <c r="CB980" s="2" t="s">
        <v>5691</v>
      </c>
      <c r="CC980" s="2" t="s">
        <v>213</v>
      </c>
      <c r="CD980" s="2" t="s">
        <v>200</v>
      </c>
      <c r="CE980" s="4"/>
      <c r="CF980" s="4">
        <v>100</v>
      </c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>
        <v>150</v>
      </c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</row>
    <row r="981">
      <c r="A981" s="2" t="s">
        <v>5692</v>
      </c>
      <c r="B981" s="2" t="s">
        <v>903</v>
      </c>
      <c r="C981" s="2" t="s">
        <v>624</v>
      </c>
      <c r="D981" s="2" t="s">
        <v>918</v>
      </c>
      <c r="E981" s="2" t="s">
        <v>919</v>
      </c>
      <c r="F981" s="2" t="s">
        <v>5693</v>
      </c>
      <c r="G981" s="2" t="s">
        <v>5693</v>
      </c>
      <c r="H981" s="2" t="s">
        <v>5693</v>
      </c>
      <c r="I981" s="2" t="s">
        <v>5694</v>
      </c>
      <c r="J981" s="2" t="s">
        <v>924</v>
      </c>
      <c r="K981" s="2" t="s">
        <v>387</v>
      </c>
      <c r="L981" s="3">
        <v>36.57</v>
      </c>
      <c r="M981" s="3">
        <v>38.4</v>
      </c>
      <c r="N981" s="3">
        <v>79.99</v>
      </c>
      <c r="O981" s="2" t="s">
        <v>417</v>
      </c>
      <c r="P981" s="2" t="s">
        <v>285</v>
      </c>
      <c r="Q981" s="2" t="s">
        <v>206</v>
      </c>
      <c r="R981" s="2" t="s">
        <v>200</v>
      </c>
      <c r="S981" s="2" t="s">
        <v>5695</v>
      </c>
      <c r="T981" s="2" t="s">
        <v>200</v>
      </c>
      <c r="U981" s="2" t="s">
        <v>454</v>
      </c>
      <c r="V981" s="2" t="s">
        <v>339</v>
      </c>
      <c r="W981" s="2" t="s">
        <v>241</v>
      </c>
      <c r="X981" s="2" t="s">
        <v>200</v>
      </c>
      <c r="Y981" s="2" t="s">
        <v>4906</v>
      </c>
      <c r="Z981" s="4"/>
      <c r="AA981" s="4">
        <f>=ROUNDDOWN({0},0)</f>
      </c>
      <c r="AB981" s="5">
        <v>0.6</v>
      </c>
      <c r="AC981" s="2" t="s">
        <v>200</v>
      </c>
      <c r="AD981" s="4"/>
      <c r="AE981" s="4"/>
      <c r="AF981" s="6">
        <v>65</v>
      </c>
      <c r="AG981" s="6"/>
      <c r="AH981" s="7">
        <v>0.9667</v>
      </c>
      <c r="AI981" s="4"/>
      <c r="AJ981" s="4">
        <f>=ROUNDDOWN({0},0)</f>
      </c>
      <c r="AK981" s="5"/>
      <c r="AL981" s="2" t="s">
        <v>200</v>
      </c>
      <c r="AM981" s="4"/>
      <c r="AN981" s="4"/>
      <c r="AO981" s="7"/>
      <c r="AP981" s="4"/>
      <c r="AQ981" s="8"/>
      <c r="AR981" s="4"/>
      <c r="AS981" s="8"/>
      <c r="AT981" s="7"/>
      <c r="AU981" s="7"/>
      <c r="AV981" s="4"/>
      <c r="AW981" s="8"/>
      <c r="AX981" s="4"/>
      <c r="AY981" s="8"/>
      <c r="AZ981" s="7"/>
      <c r="BA981" s="7"/>
      <c r="BB981" s="7"/>
      <c r="BC981" s="4"/>
      <c r="BD981" s="8"/>
      <c r="BE981" s="4"/>
      <c r="BF981" s="8"/>
      <c r="BG981" s="7"/>
      <c r="BH981" s="7"/>
      <c r="BI981" s="7"/>
      <c r="BJ981" s="4"/>
      <c r="BK981" s="8"/>
      <c r="BL981" s="2" t="s">
        <v>293</v>
      </c>
      <c r="BM981" s="7"/>
      <c r="BN981" s="7"/>
      <c r="BO981" s="4"/>
      <c r="BP981" s="8"/>
      <c r="BQ981" s="4"/>
      <c r="BR981" s="8"/>
      <c r="BS981" s="7"/>
      <c r="BT981" s="7"/>
      <c r="BU981" s="2" t="s">
        <v>5696</v>
      </c>
      <c r="BV981" s="2" t="s">
        <v>200</v>
      </c>
      <c r="BW981" s="2" t="s">
        <v>200</v>
      </c>
      <c r="BX981" s="2" t="s">
        <v>289</v>
      </c>
      <c r="BY981" s="2" t="s">
        <v>247</v>
      </c>
      <c r="BZ981" s="2" t="s">
        <v>212</v>
      </c>
      <c r="CA981" s="2" t="s">
        <v>4908</v>
      </c>
      <c r="CB981" s="2" t="s">
        <v>5697</v>
      </c>
      <c r="CC981" s="2" t="s">
        <v>213</v>
      </c>
      <c r="CD981" s="2" t="s">
        <v>200</v>
      </c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</row>
    <row r="982">
      <c r="A982" s="2" t="s">
        <v>5698</v>
      </c>
      <c r="B982" s="2" t="s">
        <v>992</v>
      </c>
      <c r="C982" s="2" t="s">
        <v>231</v>
      </c>
      <c r="D982" s="2" t="s">
        <v>992</v>
      </c>
      <c r="E982" s="2" t="s">
        <v>992</v>
      </c>
      <c r="F982" s="2" t="s">
        <v>5699</v>
      </c>
      <c r="G982" s="2" t="s">
        <v>5700</v>
      </c>
      <c r="H982" s="2" t="s">
        <v>5701</v>
      </c>
      <c r="I982" s="2" t="s">
        <v>5702</v>
      </c>
      <c r="J982" s="2" t="s">
        <v>1585</v>
      </c>
      <c r="K982" s="2" t="s">
        <v>4927</v>
      </c>
      <c r="L982" s="3">
        <v>125</v>
      </c>
      <c r="M982" s="3">
        <v>131.25</v>
      </c>
      <c r="N982" s="3">
        <v>279.98</v>
      </c>
      <c r="O982" s="2" t="s">
        <v>460</v>
      </c>
      <c r="P982" s="2" t="s">
        <v>285</v>
      </c>
      <c r="Q982" s="2" t="s">
        <v>206</v>
      </c>
      <c r="R982" s="2" t="s">
        <v>200</v>
      </c>
      <c r="S982" s="2" t="s">
        <v>5703</v>
      </c>
      <c r="T982" s="2" t="s">
        <v>200</v>
      </c>
      <c r="U982" s="2" t="s">
        <v>270</v>
      </c>
      <c r="V982" s="2" t="s">
        <v>3675</v>
      </c>
      <c r="W982" s="2" t="s">
        <v>1975</v>
      </c>
      <c r="X982" s="2" t="s">
        <v>200</v>
      </c>
      <c r="Y982" s="2" t="s">
        <v>1349</v>
      </c>
      <c r="Z982" s="4">
        <v>25</v>
      </c>
      <c r="AA982" s="4">
        <f>=ROUNDDOWN(4.90196078431372,0)</f>
      </c>
      <c r="AB982" s="5">
        <v>5.1</v>
      </c>
      <c r="AC982" s="2" t="s">
        <v>200</v>
      </c>
      <c r="AD982" s="4"/>
      <c r="AE982" s="4"/>
      <c r="AF982" s="6">
        <v>63</v>
      </c>
      <c r="AG982" s="6"/>
      <c r="AH982" s="7">
        <v>1</v>
      </c>
      <c r="AI982" s="4"/>
      <c r="AJ982" s="4">
        <f>=ROUNDDOWN({0},0)</f>
      </c>
      <c r="AK982" s="5"/>
      <c r="AL982" s="2" t="s">
        <v>200</v>
      </c>
      <c r="AM982" s="4"/>
      <c r="AN982" s="4"/>
      <c r="AO982" s="7"/>
      <c r="AP982" s="4"/>
      <c r="AQ982" s="8"/>
      <c r="AR982" s="4"/>
      <c r="AS982" s="8"/>
      <c r="AT982" s="7"/>
      <c r="AU982" s="7"/>
      <c r="AV982" s="4"/>
      <c r="AW982" s="8"/>
      <c r="AX982" s="4"/>
      <c r="AY982" s="8"/>
      <c r="AZ982" s="7"/>
      <c r="BA982" s="7"/>
      <c r="BB982" s="7"/>
      <c r="BC982" s="4"/>
      <c r="BD982" s="8"/>
      <c r="BE982" s="4"/>
      <c r="BF982" s="8"/>
      <c r="BG982" s="7"/>
      <c r="BH982" s="7"/>
      <c r="BI982" s="7"/>
      <c r="BJ982" s="4">
        <v>3</v>
      </c>
      <c r="BK982" s="8">
        <v>393.75</v>
      </c>
      <c r="BL982" s="2" t="s">
        <v>5704</v>
      </c>
      <c r="BM982" s="7"/>
      <c r="BN982" s="7"/>
      <c r="BO982" s="4"/>
      <c r="BP982" s="8"/>
      <c r="BQ982" s="4"/>
      <c r="BR982" s="8"/>
      <c r="BS982" s="7"/>
      <c r="BT982" s="7"/>
      <c r="BU982" s="2" t="s">
        <v>5705</v>
      </c>
      <c r="BV982" s="2" t="s">
        <v>200</v>
      </c>
      <c r="BW982" s="2" t="s">
        <v>200</v>
      </c>
      <c r="BX982" s="2" t="s">
        <v>289</v>
      </c>
      <c r="BY982" s="2" t="s">
        <v>247</v>
      </c>
      <c r="BZ982" s="2" t="s">
        <v>212</v>
      </c>
      <c r="CA982" s="2" t="s">
        <v>4438</v>
      </c>
      <c r="CB982" s="2" t="s">
        <v>5706</v>
      </c>
      <c r="CC982" s="2" t="s">
        <v>213</v>
      </c>
      <c r="CD982" s="2" t="s">
        <v>200</v>
      </c>
      <c r="CE982" s="4"/>
      <c r="CF982" s="4">
        <v>25</v>
      </c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</row>
    <row r="983">
      <c r="A983" s="2" t="s">
        <v>5707</v>
      </c>
      <c r="B983" s="2" t="s">
        <v>744</v>
      </c>
      <c r="C983" s="2" t="s">
        <v>231</v>
      </c>
      <c r="D983" s="2" t="s">
        <v>795</v>
      </c>
      <c r="E983" s="2" t="s">
        <v>1403</v>
      </c>
      <c r="F983" s="2" t="s">
        <v>5708</v>
      </c>
      <c r="G983" s="2" t="s">
        <v>5709</v>
      </c>
      <c r="H983" s="2" t="s">
        <v>5710</v>
      </c>
      <c r="I983" s="2" t="s">
        <v>1407</v>
      </c>
      <c r="J983" s="2" t="s">
        <v>711</v>
      </c>
      <c r="K983" s="2" t="s">
        <v>5711</v>
      </c>
      <c r="L983" s="3">
        <v>270.75</v>
      </c>
      <c r="M983" s="3">
        <v>284.29</v>
      </c>
      <c r="N983" s="3">
        <v>569</v>
      </c>
      <c r="O983" s="2" t="s">
        <v>212</v>
      </c>
      <c r="P983" s="2" t="s">
        <v>258</v>
      </c>
      <c r="Q983" s="2" t="s">
        <v>206</v>
      </c>
      <c r="R983" s="2" t="s">
        <v>200</v>
      </c>
      <c r="S983" s="2" t="s">
        <v>200</v>
      </c>
      <c r="T983" s="2" t="s">
        <v>200</v>
      </c>
      <c r="U983" s="2" t="s">
        <v>270</v>
      </c>
      <c r="V983" s="2" t="s">
        <v>885</v>
      </c>
      <c r="W983" s="2" t="s">
        <v>419</v>
      </c>
      <c r="X983" s="2" t="s">
        <v>736</v>
      </c>
      <c r="Y983" s="2" t="s">
        <v>5712</v>
      </c>
      <c r="Z983" s="4">
        <v>31</v>
      </c>
      <c r="AA983" s="4">
        <f>=ROUNDDOWN(7.75,0)</f>
      </c>
      <c r="AB983" s="5">
        <v>4</v>
      </c>
      <c r="AC983" s="2" t="s">
        <v>853</v>
      </c>
      <c r="AD983" s="4">
        <v>100</v>
      </c>
      <c r="AE983" s="4">
        <v>225</v>
      </c>
      <c r="AF983" s="6">
        <v>66</v>
      </c>
      <c r="AG983" s="6">
        <v>49</v>
      </c>
      <c r="AH983" s="7">
        <v>1</v>
      </c>
      <c r="AI983" s="4"/>
      <c r="AJ983" s="4">
        <f>=ROUNDDOWN({0},0)</f>
      </c>
      <c r="AK983" s="5"/>
      <c r="AL983" s="2" t="s">
        <v>200</v>
      </c>
      <c r="AM983" s="4"/>
      <c r="AN983" s="4"/>
      <c r="AO983" s="7"/>
      <c r="AP983" s="4"/>
      <c r="AQ983" s="8"/>
      <c r="AR983" s="4"/>
      <c r="AS983" s="8"/>
      <c r="AT983" s="7"/>
      <c r="AU983" s="7"/>
      <c r="AV983" s="4"/>
      <c r="AW983" s="8"/>
      <c r="AX983" s="4"/>
      <c r="AY983" s="8"/>
      <c r="AZ983" s="7"/>
      <c r="BA983" s="7"/>
      <c r="BB983" s="7"/>
      <c r="BC983" s="4"/>
      <c r="BD983" s="8"/>
      <c r="BE983" s="4"/>
      <c r="BF983" s="8"/>
      <c r="BG983" s="7"/>
      <c r="BH983" s="7"/>
      <c r="BI983" s="7"/>
      <c r="BJ983" s="4">
        <v>69</v>
      </c>
      <c r="BK983" s="8">
        <v>16877.42</v>
      </c>
      <c r="BL983" s="2" t="s">
        <v>5713</v>
      </c>
      <c r="BM983" s="7"/>
      <c r="BN983" s="7"/>
      <c r="BO983" s="4"/>
      <c r="BP983" s="8"/>
      <c r="BQ983" s="4"/>
      <c r="BR983" s="8"/>
      <c r="BS983" s="7"/>
      <c r="BT983" s="7"/>
      <c r="BU983" s="2" t="s">
        <v>5714</v>
      </c>
      <c r="BV983" s="2" t="s">
        <v>200</v>
      </c>
      <c r="BW983" s="2" t="s">
        <v>200</v>
      </c>
      <c r="BX983" s="2" t="s">
        <v>264</v>
      </c>
      <c r="BY983" s="2" t="s">
        <v>247</v>
      </c>
      <c r="BZ983" s="2" t="s">
        <v>212</v>
      </c>
      <c r="CA983" s="2" t="s">
        <v>5715</v>
      </c>
      <c r="CB983" s="2" t="s">
        <v>5716</v>
      </c>
      <c r="CC983" s="2" t="s">
        <v>213</v>
      </c>
      <c r="CD983" s="2" t="s">
        <v>200</v>
      </c>
      <c r="CE983" s="4"/>
      <c r="CF983" s="4">
        <v>31</v>
      </c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>
        <v>100</v>
      </c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>
        <v>125</v>
      </c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</row>
    <row r="984">
      <c r="A984" s="2" t="s">
        <v>5717</v>
      </c>
      <c r="B984" s="2" t="s">
        <v>744</v>
      </c>
      <c r="C984" s="2" t="s">
        <v>231</v>
      </c>
      <c r="D984" s="2" t="s">
        <v>783</v>
      </c>
      <c r="E984" s="2" t="s">
        <v>784</v>
      </c>
      <c r="F984" s="2" t="s">
        <v>5718</v>
      </c>
      <c r="G984" s="2" t="s">
        <v>5719</v>
      </c>
      <c r="H984" s="2" t="s">
        <v>5720</v>
      </c>
      <c r="I984" s="2" t="s">
        <v>5721</v>
      </c>
      <c r="J984" s="2" t="s">
        <v>711</v>
      </c>
      <c r="K984" s="2" t="s">
        <v>5722</v>
      </c>
      <c r="L984" s="3">
        <v>208</v>
      </c>
      <c r="M984" s="3">
        <v>218.4</v>
      </c>
      <c r="N984" s="3">
        <v>439</v>
      </c>
      <c r="O984" s="2" t="s">
        <v>460</v>
      </c>
      <c r="P984" s="2" t="s">
        <v>285</v>
      </c>
      <c r="Q984" s="2" t="s">
        <v>206</v>
      </c>
      <c r="R984" s="2" t="s">
        <v>200</v>
      </c>
      <c r="S984" s="2" t="s">
        <v>200</v>
      </c>
      <c r="T984" s="2" t="s">
        <v>200</v>
      </c>
      <c r="U984" s="2" t="s">
        <v>270</v>
      </c>
      <c r="V984" s="2" t="s">
        <v>616</v>
      </c>
      <c r="W984" s="2" t="s">
        <v>241</v>
      </c>
      <c r="X984" s="2" t="s">
        <v>379</v>
      </c>
      <c r="Y984" s="2" t="s">
        <v>2800</v>
      </c>
      <c r="Z984" s="4">
        <v>191</v>
      </c>
      <c r="AA984" s="4">
        <f>=ROUNDDOWN(636.666666666667,0)</f>
      </c>
      <c r="AB984" s="5">
        <v>0.3</v>
      </c>
      <c r="AC984" s="2" t="s">
        <v>200</v>
      </c>
      <c r="AD984" s="4"/>
      <c r="AE984" s="4"/>
      <c r="AF984" s="6">
        <v>74</v>
      </c>
      <c r="AG984" s="6"/>
      <c r="AH984" s="7">
        <v>1</v>
      </c>
      <c r="AI984" s="4"/>
      <c r="AJ984" s="4">
        <f>=ROUNDDOWN({0},0)</f>
      </c>
      <c r="AK984" s="5"/>
      <c r="AL984" s="2" t="s">
        <v>200</v>
      </c>
      <c r="AM984" s="4"/>
      <c r="AN984" s="4"/>
      <c r="AO984" s="7"/>
      <c r="AP984" s="4"/>
      <c r="AQ984" s="8"/>
      <c r="AR984" s="4"/>
      <c r="AS984" s="8"/>
      <c r="AT984" s="7"/>
      <c r="AU984" s="7"/>
      <c r="AV984" s="4"/>
      <c r="AW984" s="8"/>
      <c r="AX984" s="4"/>
      <c r="AY984" s="8"/>
      <c r="AZ984" s="7"/>
      <c r="BA984" s="7"/>
      <c r="BB984" s="7"/>
      <c r="BC984" s="4"/>
      <c r="BD984" s="8"/>
      <c r="BE984" s="4"/>
      <c r="BF984" s="8"/>
      <c r="BG984" s="7"/>
      <c r="BH984" s="7"/>
      <c r="BI984" s="7"/>
      <c r="BJ984" s="4">
        <v>2</v>
      </c>
      <c r="BK984" s="8">
        <v>383.68</v>
      </c>
      <c r="BL984" s="2" t="s">
        <v>2183</v>
      </c>
      <c r="BM984" s="7"/>
      <c r="BN984" s="7"/>
      <c r="BO984" s="4"/>
      <c r="BP984" s="8"/>
      <c r="BQ984" s="4"/>
      <c r="BR984" s="8"/>
      <c r="BS984" s="7"/>
      <c r="BT984" s="7"/>
      <c r="BU984" s="2" t="s">
        <v>5723</v>
      </c>
      <c r="BV984" s="2" t="s">
        <v>200</v>
      </c>
      <c r="BW984" s="2" t="s">
        <v>200</v>
      </c>
      <c r="BX984" s="2" t="s">
        <v>289</v>
      </c>
      <c r="BY984" s="2" t="s">
        <v>247</v>
      </c>
      <c r="BZ984" s="2" t="s">
        <v>212</v>
      </c>
      <c r="CA984" s="2" t="s">
        <v>815</v>
      </c>
      <c r="CB984" s="2" t="s">
        <v>1774</v>
      </c>
      <c r="CC984" s="2" t="s">
        <v>213</v>
      </c>
      <c r="CD984" s="2" t="s">
        <v>200</v>
      </c>
      <c r="CE984" s="4"/>
      <c r="CF984" s="4">
        <v>191</v>
      </c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</row>
    <row r="985">
      <c r="A985" s="2" t="s">
        <v>5724</v>
      </c>
      <c r="B985" s="2" t="s">
        <v>705</v>
      </c>
      <c r="C985" s="2" t="s">
        <v>745</v>
      </c>
      <c r="D985" s="2" t="s">
        <v>817</v>
      </c>
      <c r="E985" s="2" t="s">
        <v>818</v>
      </c>
      <c r="F985" s="2" t="s">
        <v>5725</v>
      </c>
      <c r="G985" s="2" t="s">
        <v>5725</v>
      </c>
      <c r="H985" s="2" t="s">
        <v>5725</v>
      </c>
      <c r="I985" s="2" t="s">
        <v>5726</v>
      </c>
      <c r="J985" s="2" t="s">
        <v>711</v>
      </c>
      <c r="K985" s="2" t="s">
        <v>5727</v>
      </c>
      <c r="L985" s="3">
        <v>45.36</v>
      </c>
      <c r="M985" s="3">
        <v>47.63</v>
      </c>
      <c r="N985" s="3">
        <v>104.99</v>
      </c>
      <c r="O985" s="2" t="s">
        <v>212</v>
      </c>
      <c r="P985" s="2" t="s">
        <v>750</v>
      </c>
      <c r="Q985" s="2" t="s">
        <v>206</v>
      </c>
      <c r="R985" s="2" t="s">
        <v>200</v>
      </c>
      <c r="S985" s="2" t="s">
        <v>200</v>
      </c>
      <c r="T985" s="2" t="s">
        <v>200</v>
      </c>
      <c r="U985" s="2" t="s">
        <v>270</v>
      </c>
      <c r="V985" s="2" t="s">
        <v>616</v>
      </c>
      <c r="W985" s="2" t="s">
        <v>2095</v>
      </c>
      <c r="X985" s="2" t="s">
        <v>200</v>
      </c>
      <c r="Y985" s="2" t="s">
        <v>899</v>
      </c>
      <c r="Z985" s="4">
        <v>99</v>
      </c>
      <c r="AA985" s="4">
        <f>=ROUNDDOWN(49.5,0)</f>
      </c>
      <c r="AB985" s="5">
        <v>2</v>
      </c>
      <c r="AC985" s="2" t="s">
        <v>200</v>
      </c>
      <c r="AD985" s="4"/>
      <c r="AE985" s="4"/>
      <c r="AF985" s="6">
        <v>65</v>
      </c>
      <c r="AG985" s="6"/>
      <c r="AH985" s="7">
        <v>1</v>
      </c>
      <c r="AI985" s="4"/>
      <c r="AJ985" s="4">
        <f>=ROUNDDOWN({0},0)</f>
      </c>
      <c r="AK985" s="5"/>
      <c r="AL985" s="2" t="s">
        <v>200</v>
      </c>
      <c r="AM985" s="4"/>
      <c r="AN985" s="4"/>
      <c r="AO985" s="7"/>
      <c r="AP985" s="4"/>
      <c r="AQ985" s="8"/>
      <c r="AR985" s="4"/>
      <c r="AS985" s="8"/>
      <c r="AT985" s="7"/>
      <c r="AU985" s="7"/>
      <c r="AV985" s="4"/>
      <c r="AW985" s="8"/>
      <c r="AX985" s="4"/>
      <c r="AY985" s="8"/>
      <c r="AZ985" s="7"/>
      <c r="BA985" s="7"/>
      <c r="BB985" s="7"/>
      <c r="BC985" s="4"/>
      <c r="BD985" s="8"/>
      <c r="BE985" s="4"/>
      <c r="BF985" s="8"/>
      <c r="BG985" s="7"/>
      <c r="BH985" s="7"/>
      <c r="BI985" s="7"/>
      <c r="BJ985" s="4">
        <v>11</v>
      </c>
      <c r="BK985" s="8">
        <v>587.18</v>
      </c>
      <c r="BL985" s="2" t="s">
        <v>5728</v>
      </c>
      <c r="BM985" s="7"/>
      <c r="BN985" s="7"/>
      <c r="BO985" s="4"/>
      <c r="BP985" s="8"/>
      <c r="BQ985" s="4"/>
      <c r="BR985" s="8"/>
      <c r="BS985" s="7"/>
      <c r="BT985" s="7"/>
      <c r="BU985" s="2" t="s">
        <v>5729</v>
      </c>
      <c r="BV985" s="2" t="s">
        <v>200</v>
      </c>
      <c r="BW985" s="2" t="s">
        <v>200</v>
      </c>
      <c r="BX985" s="2" t="s">
        <v>264</v>
      </c>
      <c r="BY985" s="2" t="s">
        <v>247</v>
      </c>
      <c r="BZ985" s="2" t="s">
        <v>212</v>
      </c>
      <c r="CA985" s="2" t="s">
        <v>4056</v>
      </c>
      <c r="CB985" s="2" t="s">
        <v>2130</v>
      </c>
      <c r="CC985" s="2" t="s">
        <v>213</v>
      </c>
      <c r="CD985" s="2" t="s">
        <v>200</v>
      </c>
      <c r="CE985" s="4"/>
      <c r="CF985" s="4">
        <v>99</v>
      </c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</row>
    <row r="986">
      <c r="A986" s="2" t="s">
        <v>5730</v>
      </c>
      <c r="B986" s="2" t="s">
        <v>744</v>
      </c>
      <c r="C986" s="2" t="s">
        <v>231</v>
      </c>
      <c r="D986" s="2" t="s">
        <v>746</v>
      </c>
      <c r="E986" s="2" t="s">
        <v>747</v>
      </c>
      <c r="F986" s="2" t="s">
        <v>5731</v>
      </c>
      <c r="G986" s="2" t="s">
        <v>5732</v>
      </c>
      <c r="H986" s="2" t="s">
        <v>5733</v>
      </c>
      <c r="I986" s="2" t="s">
        <v>5734</v>
      </c>
      <c r="J986" s="2" t="s">
        <v>711</v>
      </c>
      <c r="K986" s="2" t="s">
        <v>1135</v>
      </c>
      <c r="L986" s="3">
        <v>171</v>
      </c>
      <c r="M986" s="3">
        <v>179.55</v>
      </c>
      <c r="N986" s="3">
        <v>359</v>
      </c>
      <c r="O986" s="2" t="s">
        <v>460</v>
      </c>
      <c r="P986" s="2" t="s">
        <v>285</v>
      </c>
      <c r="Q986" s="2" t="s">
        <v>206</v>
      </c>
      <c r="R986" s="2" t="s">
        <v>200</v>
      </c>
      <c r="S986" s="2" t="s">
        <v>200</v>
      </c>
      <c r="T986" s="2" t="s">
        <v>200</v>
      </c>
      <c r="U986" s="2" t="s">
        <v>270</v>
      </c>
      <c r="V986" s="2" t="s">
        <v>616</v>
      </c>
      <c r="W986" s="2" t="s">
        <v>419</v>
      </c>
      <c r="X986" s="2" t="s">
        <v>200</v>
      </c>
      <c r="Y986" s="2" t="s">
        <v>4360</v>
      </c>
      <c r="Z986" s="4">
        <v>186</v>
      </c>
      <c r="AA986" s="4">
        <f>=ROUNDDOWN(93,0)</f>
      </c>
      <c r="AB986" s="5">
        <v>2</v>
      </c>
      <c r="AC986" s="2" t="s">
        <v>200</v>
      </c>
      <c r="AD986" s="4"/>
      <c r="AE986" s="4"/>
      <c r="AF986" s="6">
        <v>65</v>
      </c>
      <c r="AG986" s="6"/>
      <c r="AH986" s="7">
        <v>1</v>
      </c>
      <c r="AI986" s="4"/>
      <c r="AJ986" s="4">
        <f>=ROUNDDOWN({0},0)</f>
      </c>
      <c r="AK986" s="5"/>
      <c r="AL986" s="2" t="s">
        <v>200</v>
      </c>
      <c r="AM986" s="4"/>
      <c r="AN986" s="4"/>
      <c r="AO986" s="7"/>
      <c r="AP986" s="4"/>
      <c r="AQ986" s="8"/>
      <c r="AR986" s="4"/>
      <c r="AS986" s="8"/>
      <c r="AT986" s="7"/>
      <c r="AU986" s="7"/>
      <c r="AV986" s="4"/>
      <c r="AW986" s="8"/>
      <c r="AX986" s="4"/>
      <c r="AY986" s="8"/>
      <c r="AZ986" s="7"/>
      <c r="BA986" s="7"/>
      <c r="BB986" s="7"/>
      <c r="BC986" s="4"/>
      <c r="BD986" s="8"/>
      <c r="BE986" s="4"/>
      <c r="BF986" s="8"/>
      <c r="BG986" s="7"/>
      <c r="BH986" s="7"/>
      <c r="BI986" s="7"/>
      <c r="BJ986" s="4"/>
      <c r="BK986" s="8"/>
      <c r="BL986" s="2" t="s">
        <v>5735</v>
      </c>
      <c r="BM986" s="7"/>
      <c r="BN986" s="7"/>
      <c r="BO986" s="4"/>
      <c r="BP986" s="8"/>
      <c r="BQ986" s="4"/>
      <c r="BR986" s="8"/>
      <c r="BS986" s="7"/>
      <c r="BT986" s="7"/>
      <c r="BU986" s="2" t="s">
        <v>5736</v>
      </c>
      <c r="BV986" s="2" t="s">
        <v>200</v>
      </c>
      <c r="BW986" s="2" t="s">
        <v>200</v>
      </c>
      <c r="BX986" s="2" t="s">
        <v>289</v>
      </c>
      <c r="BY986" s="2" t="s">
        <v>247</v>
      </c>
      <c r="BZ986" s="2" t="s">
        <v>212</v>
      </c>
      <c r="CA986" s="2" t="s">
        <v>5737</v>
      </c>
      <c r="CB986" s="2" t="s">
        <v>5738</v>
      </c>
      <c r="CC986" s="2" t="s">
        <v>213</v>
      </c>
      <c r="CD986" s="2" t="s">
        <v>200</v>
      </c>
      <c r="CE986" s="4"/>
      <c r="CF986" s="4">
        <v>186</v>
      </c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</row>
    <row r="987">
      <c r="A987" s="2" t="s">
        <v>5739</v>
      </c>
      <c r="B987" s="2" t="s">
        <v>932</v>
      </c>
      <c r="C987" s="2" t="s">
        <v>2014</v>
      </c>
      <c r="D987" s="2" t="s">
        <v>608</v>
      </c>
      <c r="E987" s="2" t="s">
        <v>609</v>
      </c>
      <c r="F987" s="2" t="s">
        <v>5740</v>
      </c>
      <c r="G987" s="2" t="s">
        <v>5740</v>
      </c>
      <c r="H987" s="2" t="s">
        <v>5740</v>
      </c>
      <c r="I987" s="2" t="s">
        <v>5741</v>
      </c>
      <c r="J987" s="2" t="s">
        <v>256</v>
      </c>
      <c r="K987" s="2" t="s">
        <v>2359</v>
      </c>
      <c r="L987" s="3">
        <v>28.42</v>
      </c>
      <c r="M987" s="3">
        <v>29.84</v>
      </c>
      <c r="N987" s="3">
        <v>49</v>
      </c>
      <c r="O987" s="2" t="s">
        <v>460</v>
      </c>
      <c r="P987" s="2" t="s">
        <v>1258</v>
      </c>
      <c r="Q987" s="2" t="s">
        <v>206</v>
      </c>
      <c r="R987" s="2" t="s">
        <v>1259</v>
      </c>
      <c r="S987" s="2" t="s">
        <v>200</v>
      </c>
      <c r="T987" s="2" t="s">
        <v>200</v>
      </c>
      <c r="U987" s="2" t="s">
        <v>454</v>
      </c>
      <c r="V987" s="2" t="s">
        <v>1695</v>
      </c>
      <c r="W987" s="2" t="s">
        <v>200</v>
      </c>
      <c r="X987" s="2" t="s">
        <v>200</v>
      </c>
      <c r="Y987" s="2" t="s">
        <v>4482</v>
      </c>
      <c r="Z987" s="4">
        <v>198</v>
      </c>
      <c r="AA987" s="4">
        <f>=ROUNDDOWN(99,0)</f>
      </c>
      <c r="AB987" s="5">
        <v>2</v>
      </c>
      <c r="AC987" s="2" t="s">
        <v>200</v>
      </c>
      <c r="AD987" s="4"/>
      <c r="AE987" s="4"/>
      <c r="AF987" s="6">
        <v>65</v>
      </c>
      <c r="AG987" s="6"/>
      <c r="AH987" s="7">
        <v>1</v>
      </c>
      <c r="AI987" s="4"/>
      <c r="AJ987" s="4">
        <f>=ROUNDDOWN({0},0)</f>
      </c>
      <c r="AK987" s="5"/>
      <c r="AL987" s="2" t="s">
        <v>200</v>
      </c>
      <c r="AM987" s="4"/>
      <c r="AN987" s="4"/>
      <c r="AO987" s="7"/>
      <c r="AP987" s="4"/>
      <c r="AQ987" s="8"/>
      <c r="AR987" s="4"/>
      <c r="AS987" s="8"/>
      <c r="AT987" s="7"/>
      <c r="AU987" s="7"/>
      <c r="AV987" s="4"/>
      <c r="AW987" s="8"/>
      <c r="AX987" s="4"/>
      <c r="AY987" s="8"/>
      <c r="AZ987" s="7"/>
      <c r="BA987" s="7"/>
      <c r="BB987" s="7"/>
      <c r="BC987" s="4"/>
      <c r="BD987" s="8"/>
      <c r="BE987" s="4"/>
      <c r="BF987" s="8"/>
      <c r="BG987" s="7"/>
      <c r="BH987" s="7"/>
      <c r="BI987" s="7"/>
      <c r="BJ987" s="4">
        <v>3</v>
      </c>
      <c r="BK987" s="8">
        <v>58.83</v>
      </c>
      <c r="BL987" s="2" t="s">
        <v>1029</v>
      </c>
      <c r="BM987" s="7"/>
      <c r="BN987" s="7"/>
      <c r="BO987" s="4"/>
      <c r="BP987" s="8"/>
      <c r="BQ987" s="4"/>
      <c r="BR987" s="8"/>
      <c r="BS987" s="7"/>
      <c r="BT987" s="7"/>
      <c r="BU987" s="2" t="s">
        <v>5742</v>
      </c>
      <c r="BV987" s="2" t="s">
        <v>200</v>
      </c>
      <c r="BW987" s="2" t="s">
        <v>200</v>
      </c>
      <c r="BX987" s="2" t="s">
        <v>264</v>
      </c>
      <c r="BY987" s="2" t="s">
        <v>247</v>
      </c>
      <c r="BZ987" s="2" t="s">
        <v>212</v>
      </c>
      <c r="CA987" s="2" t="s">
        <v>774</v>
      </c>
      <c r="CB987" s="2" t="s">
        <v>5743</v>
      </c>
      <c r="CC987" s="2" t="s">
        <v>213</v>
      </c>
      <c r="CD987" s="2" t="s">
        <v>200</v>
      </c>
      <c r="CE987" s="4">
        <v>198</v>
      </c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</row>
    <row r="988">
      <c r="A988" s="2" t="s">
        <v>5744</v>
      </c>
      <c r="B988" s="2" t="s">
        <v>827</v>
      </c>
      <c r="C988" s="2" t="s">
        <v>231</v>
      </c>
      <c r="D988" s="2" t="s">
        <v>828</v>
      </c>
      <c r="E988" s="2" t="s">
        <v>863</v>
      </c>
      <c r="F988" s="2" t="s">
        <v>5745</v>
      </c>
      <c r="G988" s="2" t="s">
        <v>5746</v>
      </c>
      <c r="H988" s="2" t="s">
        <v>5621</v>
      </c>
      <c r="I988" s="2" t="s">
        <v>5747</v>
      </c>
      <c r="J988" s="2" t="s">
        <v>3091</v>
      </c>
      <c r="K988" s="2" t="s">
        <v>221</v>
      </c>
      <c r="L988" s="3">
        <v>31.05</v>
      </c>
      <c r="M988" s="3">
        <v>32.6</v>
      </c>
      <c r="N988" s="3">
        <v>66.99</v>
      </c>
      <c r="O988" s="2" t="s">
        <v>460</v>
      </c>
      <c r="P988" s="2" t="s">
        <v>285</v>
      </c>
      <c r="Q988" s="2" t="s">
        <v>206</v>
      </c>
      <c r="R988" s="2" t="s">
        <v>200</v>
      </c>
      <c r="S988" s="2" t="s">
        <v>5748</v>
      </c>
      <c r="T988" s="2" t="s">
        <v>378</v>
      </c>
      <c r="U988" s="2" t="s">
        <v>270</v>
      </c>
      <c r="V988" s="2" t="s">
        <v>208</v>
      </c>
      <c r="W988" s="2" t="s">
        <v>241</v>
      </c>
      <c r="X988" s="2" t="s">
        <v>200</v>
      </c>
      <c r="Y988" s="2" t="s">
        <v>836</v>
      </c>
      <c r="Z988" s="4">
        <v>388</v>
      </c>
      <c r="AA988" s="4">
        <f>=ROUNDDOWN(194,0)</f>
      </c>
      <c r="AB988" s="5">
        <v>2</v>
      </c>
      <c r="AC988" s="2" t="s">
        <v>200</v>
      </c>
      <c r="AD988" s="4"/>
      <c r="AE988" s="4"/>
      <c r="AF988" s="6">
        <v>65</v>
      </c>
      <c r="AG988" s="6"/>
      <c r="AH988" s="7">
        <v>1</v>
      </c>
      <c r="AI988" s="4"/>
      <c r="AJ988" s="4">
        <f>=ROUNDDOWN({0},0)</f>
      </c>
      <c r="AK988" s="5"/>
      <c r="AL988" s="2" t="s">
        <v>200</v>
      </c>
      <c r="AM988" s="4"/>
      <c r="AN988" s="4"/>
      <c r="AO988" s="7"/>
      <c r="AP988" s="4"/>
      <c r="AQ988" s="8"/>
      <c r="AR988" s="4"/>
      <c r="AS988" s="8"/>
      <c r="AT988" s="7"/>
      <c r="AU988" s="7"/>
      <c r="AV988" s="4" t="s">
        <v>200</v>
      </c>
      <c r="AW988" s="8" t="s">
        <v>200</v>
      </c>
      <c r="AX988" s="4" t="s">
        <v>200</v>
      </c>
      <c r="AY988" s="8" t="s">
        <v>200</v>
      </c>
      <c r="AZ988" s="7" t="s">
        <v>200</v>
      </c>
      <c r="BA988" s="7" t="s">
        <v>200</v>
      </c>
      <c r="BB988" s="7"/>
      <c r="BC988" s="4" t="s">
        <v>200</v>
      </c>
      <c r="BD988" s="8" t="s">
        <v>200</v>
      </c>
      <c r="BE988" s="4" t="s">
        <v>200</v>
      </c>
      <c r="BF988" s="8" t="s">
        <v>200</v>
      </c>
      <c r="BG988" s="7" t="s">
        <v>200</v>
      </c>
      <c r="BH988" s="7" t="s">
        <v>200</v>
      </c>
      <c r="BI988" s="7"/>
      <c r="BJ988" s="4">
        <v>32</v>
      </c>
      <c r="BK988" s="8">
        <v>654.73</v>
      </c>
      <c r="BL988" s="2" t="s">
        <v>5749</v>
      </c>
      <c r="BM988" s="7"/>
      <c r="BN988" s="7"/>
      <c r="BO988" s="4"/>
      <c r="BP988" s="8"/>
      <c r="BQ988" s="4"/>
      <c r="BR988" s="8"/>
      <c r="BS988" s="7"/>
      <c r="BT988" s="7"/>
      <c r="BU988" s="2" t="s">
        <v>5750</v>
      </c>
      <c r="BV988" s="2" t="s">
        <v>200</v>
      </c>
      <c r="BW988" s="2" t="s">
        <v>200</v>
      </c>
      <c r="BX988" s="2" t="s">
        <v>289</v>
      </c>
      <c r="BY988" s="2" t="s">
        <v>247</v>
      </c>
      <c r="BZ988" s="2" t="s">
        <v>212</v>
      </c>
      <c r="CA988" s="2" t="s">
        <v>839</v>
      </c>
      <c r="CB988" s="2" t="s">
        <v>4585</v>
      </c>
      <c r="CC988" s="2" t="s">
        <v>213</v>
      </c>
      <c r="CD988" s="2" t="s">
        <v>200</v>
      </c>
      <c r="CE988" s="4">
        <v>388</v>
      </c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  <c r="GH988" s="4"/>
    </row>
    <row r="989">
      <c r="A989" s="2" t="s">
        <v>5751</v>
      </c>
      <c r="B989" s="2" t="s">
        <v>827</v>
      </c>
      <c r="C989" s="2" t="s">
        <v>231</v>
      </c>
      <c r="D989" s="2" t="s">
        <v>828</v>
      </c>
      <c r="E989" s="2" t="s">
        <v>863</v>
      </c>
      <c r="F989" s="2" t="s">
        <v>5745</v>
      </c>
      <c r="G989" s="2" t="s">
        <v>5746</v>
      </c>
      <c r="H989" s="2" t="s">
        <v>5621</v>
      </c>
      <c r="I989" s="2" t="s">
        <v>5747</v>
      </c>
      <c r="J989" s="2" t="s">
        <v>4655</v>
      </c>
      <c r="K989" s="2" t="s">
        <v>221</v>
      </c>
      <c r="L989" s="3">
        <v>38.5</v>
      </c>
      <c r="M989" s="3">
        <v>40.43</v>
      </c>
      <c r="N989" s="3">
        <v>81.99</v>
      </c>
      <c r="O989" s="2" t="s">
        <v>460</v>
      </c>
      <c r="P989" s="2" t="s">
        <v>285</v>
      </c>
      <c r="Q989" s="2" t="s">
        <v>206</v>
      </c>
      <c r="R989" s="2" t="s">
        <v>200</v>
      </c>
      <c r="S989" s="2" t="s">
        <v>5748</v>
      </c>
      <c r="T989" s="2" t="s">
        <v>378</v>
      </c>
      <c r="U989" s="2" t="s">
        <v>270</v>
      </c>
      <c r="V989" s="2" t="s">
        <v>208</v>
      </c>
      <c r="W989" s="2" t="s">
        <v>241</v>
      </c>
      <c r="X989" s="2" t="s">
        <v>200</v>
      </c>
      <c r="Y989" s="2" t="s">
        <v>836</v>
      </c>
      <c r="Z989" s="4">
        <v>469</v>
      </c>
      <c r="AA989" s="4">
        <f>=ROUNDDOWN(469,0)</f>
      </c>
      <c r="AB989" s="5">
        <v>1</v>
      </c>
      <c r="AC989" s="2" t="s">
        <v>200</v>
      </c>
      <c r="AD989" s="4"/>
      <c r="AE989" s="4"/>
      <c r="AF989" s="6">
        <v>65</v>
      </c>
      <c r="AG989" s="6"/>
      <c r="AH989" s="7">
        <v>1</v>
      </c>
      <c r="AI989" s="4"/>
      <c r="AJ989" s="4">
        <f>=ROUNDDOWN({0},0)</f>
      </c>
      <c r="AK989" s="5"/>
      <c r="AL989" s="2" t="s">
        <v>200</v>
      </c>
      <c r="AM989" s="4"/>
      <c r="AN989" s="4"/>
      <c r="AO989" s="7"/>
      <c r="AP989" s="4"/>
      <c r="AQ989" s="8"/>
      <c r="AR989" s="4"/>
      <c r="AS989" s="8"/>
      <c r="AT989" s="7"/>
      <c r="AU989" s="7"/>
      <c r="AV989" s="4" t="s">
        <v>200</v>
      </c>
      <c r="AW989" s="8" t="s">
        <v>200</v>
      </c>
      <c r="AX989" s="4" t="s">
        <v>200</v>
      </c>
      <c r="AY989" s="8" t="s">
        <v>200</v>
      </c>
      <c r="AZ989" s="7" t="s">
        <v>200</v>
      </c>
      <c r="BA989" s="7" t="s">
        <v>200</v>
      </c>
      <c r="BB989" s="7"/>
      <c r="BC989" s="4" t="s">
        <v>200</v>
      </c>
      <c r="BD989" s="8" t="s">
        <v>200</v>
      </c>
      <c r="BE989" s="4" t="s">
        <v>200</v>
      </c>
      <c r="BF989" s="8" t="s">
        <v>200</v>
      </c>
      <c r="BG989" s="7" t="s">
        <v>200</v>
      </c>
      <c r="BH989" s="7" t="s">
        <v>200</v>
      </c>
      <c r="BI989" s="7"/>
      <c r="BJ989" s="4">
        <v>19</v>
      </c>
      <c r="BK989" s="8">
        <v>575.84</v>
      </c>
      <c r="BL989" s="2" t="s">
        <v>5752</v>
      </c>
      <c r="BM989" s="7"/>
      <c r="BN989" s="7"/>
      <c r="BO989" s="4"/>
      <c r="BP989" s="8"/>
      <c r="BQ989" s="4"/>
      <c r="BR989" s="8"/>
      <c r="BS989" s="7"/>
      <c r="BT989" s="7"/>
      <c r="BU989" s="2" t="s">
        <v>5753</v>
      </c>
      <c r="BV989" s="2" t="s">
        <v>200</v>
      </c>
      <c r="BW989" s="2" t="s">
        <v>200</v>
      </c>
      <c r="BX989" s="2" t="s">
        <v>289</v>
      </c>
      <c r="BY989" s="2" t="s">
        <v>247</v>
      </c>
      <c r="BZ989" s="2" t="s">
        <v>212</v>
      </c>
      <c r="CA989" s="2" t="s">
        <v>839</v>
      </c>
      <c r="CB989" s="2" t="s">
        <v>1485</v>
      </c>
      <c r="CC989" s="2" t="s">
        <v>213</v>
      </c>
      <c r="CD989" s="2" t="s">
        <v>200</v>
      </c>
      <c r="CE989" s="4">
        <v>469</v>
      </c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</row>
    <row r="990">
      <c r="A990" s="2" t="s">
        <v>5754</v>
      </c>
      <c r="B990" s="2" t="s">
        <v>903</v>
      </c>
      <c r="C990" s="2" t="s">
        <v>231</v>
      </c>
      <c r="D990" s="2" t="s">
        <v>608</v>
      </c>
      <c r="E990" s="2" t="s">
        <v>609</v>
      </c>
      <c r="F990" s="2" t="s">
        <v>5755</v>
      </c>
      <c r="G990" s="2" t="s">
        <v>5756</v>
      </c>
      <c r="H990" s="2" t="s">
        <v>5757</v>
      </c>
      <c r="I990" s="2" t="s">
        <v>5758</v>
      </c>
      <c r="J990" s="2" t="s">
        <v>297</v>
      </c>
      <c r="K990" s="2" t="s">
        <v>221</v>
      </c>
      <c r="L990" s="3">
        <v>42.85</v>
      </c>
      <c r="M990" s="3">
        <v>44.99</v>
      </c>
      <c r="N990" s="3">
        <v>89.99</v>
      </c>
      <c r="O990" s="2" t="s">
        <v>212</v>
      </c>
      <c r="P990" s="2" t="s">
        <v>258</v>
      </c>
      <c r="Q990" s="2" t="s">
        <v>206</v>
      </c>
      <c r="R990" s="2" t="s">
        <v>200</v>
      </c>
      <c r="S990" s="2" t="s">
        <v>5759</v>
      </c>
      <c r="T990" s="2" t="s">
        <v>378</v>
      </c>
      <c r="U990" s="2" t="s">
        <v>1067</v>
      </c>
      <c r="V990" s="2" t="s">
        <v>339</v>
      </c>
      <c r="W990" s="2" t="s">
        <v>910</v>
      </c>
      <c r="X990" s="2" t="s">
        <v>926</v>
      </c>
      <c r="Y990" s="2" t="s">
        <v>5760</v>
      </c>
      <c r="Z990" s="4"/>
      <c r="AA990" s="4">
        <f>=ROUNDDOWN({0},0)</f>
      </c>
      <c r="AB990" s="5">
        <v>29</v>
      </c>
      <c r="AC990" s="2" t="s">
        <v>5761</v>
      </c>
      <c r="AD990" s="4">
        <v>100</v>
      </c>
      <c r="AE990" s="4">
        <v>740</v>
      </c>
      <c r="AF990" s="6">
        <v>64</v>
      </c>
      <c r="AG990" s="6"/>
      <c r="AH990" s="7">
        <v>0</v>
      </c>
      <c r="AI990" s="4"/>
      <c r="AJ990" s="4">
        <f>=ROUNDDOWN({0},0)</f>
      </c>
      <c r="AK990" s="5"/>
      <c r="AL990" s="2" t="s">
        <v>200</v>
      </c>
      <c r="AM990" s="4"/>
      <c r="AN990" s="4"/>
      <c r="AO990" s="7"/>
      <c r="AP990" s="4"/>
      <c r="AQ990" s="8"/>
      <c r="AR990" s="4"/>
      <c r="AS990" s="8"/>
      <c r="AT990" s="7"/>
      <c r="AU990" s="7"/>
      <c r="AV990" s="4" t="s">
        <v>200</v>
      </c>
      <c r="AW990" s="8" t="s">
        <v>200</v>
      </c>
      <c r="AX990" s="4" t="s">
        <v>200</v>
      </c>
      <c r="AY990" s="8" t="s">
        <v>200</v>
      </c>
      <c r="AZ990" s="7" t="s">
        <v>200</v>
      </c>
      <c r="BA990" s="7" t="s">
        <v>200</v>
      </c>
      <c r="BB990" s="7"/>
      <c r="BC990" s="4" t="s">
        <v>200</v>
      </c>
      <c r="BD990" s="8" t="s">
        <v>200</v>
      </c>
      <c r="BE990" s="4" t="s">
        <v>200</v>
      </c>
      <c r="BF990" s="8" t="s">
        <v>200</v>
      </c>
      <c r="BG990" s="7" t="s">
        <v>200</v>
      </c>
      <c r="BH990" s="7" t="s">
        <v>200</v>
      </c>
      <c r="BI990" s="7"/>
      <c r="BJ990" s="4">
        <v>8</v>
      </c>
      <c r="BK990" s="8">
        <v>315.36</v>
      </c>
      <c r="BL990" s="2" t="s">
        <v>1259</v>
      </c>
      <c r="BM990" s="7"/>
      <c r="BN990" s="7"/>
      <c r="BO990" s="4"/>
      <c r="BP990" s="8"/>
      <c r="BQ990" s="4"/>
      <c r="BR990" s="8"/>
      <c r="BS990" s="7"/>
      <c r="BT990" s="7"/>
      <c r="BU990" s="2" t="s">
        <v>5762</v>
      </c>
      <c r="BV990" s="2" t="s">
        <v>200</v>
      </c>
      <c r="BW990" s="2" t="s">
        <v>200</v>
      </c>
      <c r="BX990" s="2" t="s">
        <v>289</v>
      </c>
      <c r="BY990" s="2" t="s">
        <v>247</v>
      </c>
      <c r="BZ990" s="2" t="s">
        <v>212</v>
      </c>
      <c r="CA990" s="2" t="s">
        <v>5763</v>
      </c>
      <c r="CB990" s="2" t="s">
        <v>4956</v>
      </c>
      <c r="CC990" s="2" t="s">
        <v>213</v>
      </c>
      <c r="CD990" s="2" t="s">
        <v>200</v>
      </c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>
        <v>100</v>
      </c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>
        <v>170</v>
      </c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>
        <v>240</v>
      </c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>
        <v>230</v>
      </c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/>
      <c r="GE990" s="4"/>
      <c r="GF990" s="4"/>
      <c r="GG990" s="4"/>
      <c r="GH990" s="4"/>
    </row>
    <row r="991">
      <c r="A991" s="2" t="s">
        <v>5764</v>
      </c>
      <c r="B991" s="2" t="s">
        <v>903</v>
      </c>
      <c r="C991" s="2" t="s">
        <v>231</v>
      </c>
      <c r="D991" s="2" t="s">
        <v>608</v>
      </c>
      <c r="E991" s="2" t="s">
        <v>609</v>
      </c>
      <c r="F991" s="2" t="s">
        <v>5755</v>
      </c>
      <c r="G991" s="2" t="s">
        <v>5756</v>
      </c>
      <c r="H991" s="2" t="s">
        <v>5757</v>
      </c>
      <c r="I991" s="2" t="s">
        <v>5758</v>
      </c>
      <c r="J991" s="2" t="s">
        <v>236</v>
      </c>
      <c r="K991" s="2" t="s">
        <v>221</v>
      </c>
      <c r="L991" s="3">
        <v>47.61</v>
      </c>
      <c r="M991" s="3">
        <v>49.99</v>
      </c>
      <c r="N991" s="3">
        <v>99.99</v>
      </c>
      <c r="O991" s="2" t="s">
        <v>212</v>
      </c>
      <c r="P991" s="2" t="s">
        <v>258</v>
      </c>
      <c r="Q991" s="2" t="s">
        <v>206</v>
      </c>
      <c r="R991" s="2" t="s">
        <v>200</v>
      </c>
      <c r="S991" s="2" t="s">
        <v>5759</v>
      </c>
      <c r="T991" s="2" t="s">
        <v>378</v>
      </c>
      <c r="U991" s="2" t="s">
        <v>1067</v>
      </c>
      <c r="V991" s="2" t="s">
        <v>339</v>
      </c>
      <c r="W991" s="2" t="s">
        <v>910</v>
      </c>
      <c r="X991" s="2" t="s">
        <v>926</v>
      </c>
      <c r="Y991" s="2" t="s">
        <v>5765</v>
      </c>
      <c r="Z991" s="4"/>
      <c r="AA991" s="4">
        <f>=ROUNDDOWN({0},0)</f>
      </c>
      <c r="AB991" s="5">
        <v>15</v>
      </c>
      <c r="AC991" s="2" t="s">
        <v>5761</v>
      </c>
      <c r="AD991" s="4">
        <v>60</v>
      </c>
      <c r="AE991" s="4">
        <v>380</v>
      </c>
      <c r="AF991" s="6">
        <v>64</v>
      </c>
      <c r="AG991" s="6"/>
      <c r="AH991" s="7">
        <v>0</v>
      </c>
      <c r="AI991" s="4"/>
      <c r="AJ991" s="4">
        <f>=ROUNDDOWN({0},0)</f>
      </c>
      <c r="AK991" s="5"/>
      <c r="AL991" s="2" t="s">
        <v>200</v>
      </c>
      <c r="AM991" s="4"/>
      <c r="AN991" s="4"/>
      <c r="AO991" s="7"/>
      <c r="AP991" s="4"/>
      <c r="AQ991" s="8"/>
      <c r="AR991" s="4"/>
      <c r="AS991" s="8"/>
      <c r="AT991" s="7"/>
      <c r="AU991" s="7"/>
      <c r="AV991" s="4" t="s">
        <v>200</v>
      </c>
      <c r="AW991" s="8" t="s">
        <v>200</v>
      </c>
      <c r="AX991" s="4" t="s">
        <v>200</v>
      </c>
      <c r="AY991" s="8" t="s">
        <v>200</v>
      </c>
      <c r="AZ991" s="7" t="s">
        <v>200</v>
      </c>
      <c r="BA991" s="7" t="s">
        <v>200</v>
      </c>
      <c r="BB991" s="7"/>
      <c r="BC991" s="4" t="s">
        <v>200</v>
      </c>
      <c r="BD991" s="8" t="s">
        <v>200</v>
      </c>
      <c r="BE991" s="4" t="s">
        <v>200</v>
      </c>
      <c r="BF991" s="8" t="s">
        <v>200</v>
      </c>
      <c r="BG991" s="7" t="s">
        <v>200</v>
      </c>
      <c r="BH991" s="7" t="s">
        <v>200</v>
      </c>
      <c r="BI991" s="7"/>
      <c r="BJ991" s="4">
        <v>4</v>
      </c>
      <c r="BK991" s="8">
        <v>175.2</v>
      </c>
      <c r="BL991" s="2" t="s">
        <v>1259</v>
      </c>
      <c r="BM991" s="7"/>
      <c r="BN991" s="7"/>
      <c r="BO991" s="4"/>
      <c r="BP991" s="8"/>
      <c r="BQ991" s="4"/>
      <c r="BR991" s="8"/>
      <c r="BS991" s="7"/>
      <c r="BT991" s="7"/>
      <c r="BU991" s="2" t="s">
        <v>5766</v>
      </c>
      <c r="BV991" s="2" t="s">
        <v>200</v>
      </c>
      <c r="BW991" s="2" t="s">
        <v>200</v>
      </c>
      <c r="BX991" s="2" t="s">
        <v>289</v>
      </c>
      <c r="BY991" s="2" t="s">
        <v>247</v>
      </c>
      <c r="BZ991" s="2" t="s">
        <v>212</v>
      </c>
      <c r="CA991" s="2" t="s">
        <v>5763</v>
      </c>
      <c r="CB991" s="2" t="s">
        <v>2132</v>
      </c>
      <c r="CC991" s="2" t="s">
        <v>213</v>
      </c>
      <c r="CD991" s="2" t="s">
        <v>200</v>
      </c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>
        <v>60</v>
      </c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>
        <v>80</v>
      </c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>
        <v>120</v>
      </c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>
        <v>120</v>
      </c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</row>
    <row r="992">
      <c r="A992" s="2" t="s">
        <v>5767</v>
      </c>
      <c r="B992" s="2" t="s">
        <v>903</v>
      </c>
      <c r="C992" s="2" t="s">
        <v>231</v>
      </c>
      <c r="D992" s="2" t="s">
        <v>608</v>
      </c>
      <c r="E992" s="2" t="s">
        <v>609</v>
      </c>
      <c r="F992" s="2" t="s">
        <v>5755</v>
      </c>
      <c r="G992" s="2" t="s">
        <v>5756</v>
      </c>
      <c r="H992" s="2" t="s">
        <v>5757</v>
      </c>
      <c r="I992" s="2" t="s">
        <v>5758</v>
      </c>
      <c r="J992" s="2" t="s">
        <v>297</v>
      </c>
      <c r="K992" s="2" t="s">
        <v>1700</v>
      </c>
      <c r="L992" s="3">
        <v>42.85</v>
      </c>
      <c r="M992" s="3">
        <v>44.99</v>
      </c>
      <c r="N992" s="3">
        <v>89.99</v>
      </c>
      <c r="O992" s="2" t="s">
        <v>212</v>
      </c>
      <c r="P992" s="2" t="s">
        <v>258</v>
      </c>
      <c r="Q992" s="2" t="s">
        <v>206</v>
      </c>
      <c r="R992" s="2" t="s">
        <v>200</v>
      </c>
      <c r="S992" s="2" t="s">
        <v>5768</v>
      </c>
      <c r="T992" s="2" t="s">
        <v>378</v>
      </c>
      <c r="U992" s="2" t="s">
        <v>1067</v>
      </c>
      <c r="V992" s="2" t="s">
        <v>339</v>
      </c>
      <c r="W992" s="2" t="s">
        <v>910</v>
      </c>
      <c r="X992" s="2" t="s">
        <v>926</v>
      </c>
      <c r="Y992" s="2" t="s">
        <v>5765</v>
      </c>
      <c r="Z992" s="4"/>
      <c r="AA992" s="4">
        <f>=ROUNDDOWN({0},0)</f>
      </c>
      <c r="AB992" s="5">
        <v>22</v>
      </c>
      <c r="AC992" s="2" t="s">
        <v>5761</v>
      </c>
      <c r="AD992" s="4">
        <v>140</v>
      </c>
      <c r="AE992" s="4">
        <v>610</v>
      </c>
      <c r="AF992" s="6">
        <v>64</v>
      </c>
      <c r="AG992" s="6"/>
      <c r="AH992" s="7">
        <v>0</v>
      </c>
      <c r="AI992" s="4"/>
      <c r="AJ992" s="4">
        <f>=ROUNDDOWN({0},0)</f>
      </c>
      <c r="AK992" s="5"/>
      <c r="AL992" s="2" t="s">
        <v>200</v>
      </c>
      <c r="AM992" s="4"/>
      <c r="AN992" s="4"/>
      <c r="AO992" s="7"/>
      <c r="AP992" s="4"/>
      <c r="AQ992" s="8"/>
      <c r="AR992" s="4"/>
      <c r="AS992" s="8"/>
      <c r="AT992" s="7"/>
      <c r="AU992" s="7"/>
      <c r="AV992" s="4" t="s">
        <v>200</v>
      </c>
      <c r="AW992" s="8" t="s">
        <v>200</v>
      </c>
      <c r="AX992" s="4" t="s">
        <v>200</v>
      </c>
      <c r="AY992" s="8" t="s">
        <v>200</v>
      </c>
      <c r="AZ992" s="7" t="s">
        <v>200</v>
      </c>
      <c r="BA992" s="7" t="s">
        <v>200</v>
      </c>
      <c r="BB992" s="7"/>
      <c r="BC992" s="4" t="s">
        <v>200</v>
      </c>
      <c r="BD992" s="8" t="s">
        <v>200</v>
      </c>
      <c r="BE992" s="4" t="s">
        <v>200</v>
      </c>
      <c r="BF992" s="8" t="s">
        <v>200</v>
      </c>
      <c r="BG992" s="7" t="s">
        <v>200</v>
      </c>
      <c r="BH992" s="7" t="s">
        <v>200</v>
      </c>
      <c r="BI992" s="7"/>
      <c r="BJ992" s="4"/>
      <c r="BK992" s="8"/>
      <c r="BL992" s="2" t="s">
        <v>200</v>
      </c>
      <c r="BM992" s="7"/>
      <c r="BN992" s="7"/>
      <c r="BO992" s="4"/>
      <c r="BP992" s="8"/>
      <c r="BQ992" s="4"/>
      <c r="BR992" s="8"/>
      <c r="BS992" s="7"/>
      <c r="BT992" s="7"/>
      <c r="BU992" s="2" t="s">
        <v>5769</v>
      </c>
      <c r="BV992" s="2" t="s">
        <v>200</v>
      </c>
      <c r="BW992" s="2" t="s">
        <v>200</v>
      </c>
      <c r="BX992" s="2" t="s">
        <v>289</v>
      </c>
      <c r="BY992" s="2" t="s">
        <v>247</v>
      </c>
      <c r="BZ992" s="2" t="s">
        <v>212</v>
      </c>
      <c r="CA992" s="2" t="s">
        <v>5763</v>
      </c>
      <c r="CB992" s="2" t="s">
        <v>3701</v>
      </c>
      <c r="CC992" s="2" t="s">
        <v>213</v>
      </c>
      <c r="CD992" s="2" t="s">
        <v>200</v>
      </c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>
        <v>140</v>
      </c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>
        <v>200</v>
      </c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>
        <v>130</v>
      </c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>
        <v>140</v>
      </c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/>
      <c r="GG992" s="4"/>
      <c r="GH992" s="4"/>
    </row>
    <row r="993">
      <c r="A993" s="2" t="s">
        <v>5770</v>
      </c>
      <c r="B993" s="2" t="s">
        <v>903</v>
      </c>
      <c r="C993" s="2" t="s">
        <v>231</v>
      </c>
      <c r="D993" s="2" t="s">
        <v>608</v>
      </c>
      <c r="E993" s="2" t="s">
        <v>609</v>
      </c>
      <c r="F993" s="2" t="s">
        <v>5755</v>
      </c>
      <c r="G993" s="2" t="s">
        <v>5756</v>
      </c>
      <c r="H993" s="2" t="s">
        <v>5757</v>
      </c>
      <c r="I993" s="2" t="s">
        <v>5758</v>
      </c>
      <c r="J993" s="2" t="s">
        <v>302</v>
      </c>
      <c r="K993" s="2" t="s">
        <v>1700</v>
      </c>
      <c r="L993" s="3">
        <v>47.61</v>
      </c>
      <c r="M993" s="3">
        <v>49.99</v>
      </c>
      <c r="N993" s="3">
        <v>99.99</v>
      </c>
      <c r="O993" s="2" t="s">
        <v>212</v>
      </c>
      <c r="P993" s="2" t="s">
        <v>258</v>
      </c>
      <c r="Q993" s="2" t="s">
        <v>206</v>
      </c>
      <c r="R993" s="2" t="s">
        <v>200</v>
      </c>
      <c r="S993" s="2" t="s">
        <v>5768</v>
      </c>
      <c r="T993" s="2" t="s">
        <v>378</v>
      </c>
      <c r="U993" s="2" t="s">
        <v>1067</v>
      </c>
      <c r="V993" s="2" t="s">
        <v>339</v>
      </c>
      <c r="W993" s="2" t="s">
        <v>910</v>
      </c>
      <c r="X993" s="2" t="s">
        <v>926</v>
      </c>
      <c r="Y993" s="2" t="s">
        <v>5765</v>
      </c>
      <c r="Z993" s="4"/>
      <c r="AA993" s="4">
        <f>=ROUNDDOWN({0},0)</f>
      </c>
      <c r="AB993" s="5">
        <v>21</v>
      </c>
      <c r="AC993" s="2" t="s">
        <v>5761</v>
      </c>
      <c r="AD993" s="4">
        <v>120</v>
      </c>
      <c r="AE993" s="4">
        <v>620</v>
      </c>
      <c r="AF993" s="6">
        <v>64</v>
      </c>
      <c r="AG993" s="6"/>
      <c r="AH993" s="7">
        <v>0</v>
      </c>
      <c r="AI993" s="4"/>
      <c r="AJ993" s="4">
        <f>=ROUNDDOWN({0},0)</f>
      </c>
      <c r="AK993" s="5"/>
      <c r="AL993" s="2" t="s">
        <v>200</v>
      </c>
      <c r="AM993" s="4"/>
      <c r="AN993" s="4"/>
      <c r="AO993" s="7"/>
      <c r="AP993" s="4"/>
      <c r="AQ993" s="8"/>
      <c r="AR993" s="4"/>
      <c r="AS993" s="8"/>
      <c r="AT993" s="7"/>
      <c r="AU993" s="7"/>
      <c r="AV993" s="4" t="s">
        <v>200</v>
      </c>
      <c r="AW993" s="8" t="s">
        <v>200</v>
      </c>
      <c r="AX993" s="4" t="s">
        <v>200</v>
      </c>
      <c r="AY993" s="8" t="s">
        <v>200</v>
      </c>
      <c r="AZ993" s="7" t="s">
        <v>200</v>
      </c>
      <c r="BA993" s="7" t="s">
        <v>200</v>
      </c>
      <c r="BB993" s="7"/>
      <c r="BC993" s="4" t="s">
        <v>200</v>
      </c>
      <c r="BD993" s="8" t="s">
        <v>200</v>
      </c>
      <c r="BE993" s="4" t="s">
        <v>200</v>
      </c>
      <c r="BF993" s="8" t="s">
        <v>200</v>
      </c>
      <c r="BG993" s="7" t="s">
        <v>200</v>
      </c>
      <c r="BH993" s="7" t="s">
        <v>200</v>
      </c>
      <c r="BI993" s="7"/>
      <c r="BJ993" s="4">
        <v>4</v>
      </c>
      <c r="BK993" s="8">
        <v>186.15</v>
      </c>
      <c r="BL993" s="2" t="s">
        <v>1259</v>
      </c>
      <c r="BM993" s="7"/>
      <c r="BN993" s="7"/>
      <c r="BO993" s="4"/>
      <c r="BP993" s="8"/>
      <c r="BQ993" s="4"/>
      <c r="BR993" s="8"/>
      <c r="BS993" s="7"/>
      <c r="BT993" s="7"/>
      <c r="BU993" s="2" t="s">
        <v>5771</v>
      </c>
      <c r="BV993" s="2" t="s">
        <v>200</v>
      </c>
      <c r="BW993" s="2" t="s">
        <v>200</v>
      </c>
      <c r="BX993" s="2" t="s">
        <v>289</v>
      </c>
      <c r="BY993" s="2" t="s">
        <v>247</v>
      </c>
      <c r="BZ993" s="2" t="s">
        <v>212</v>
      </c>
      <c r="CA993" s="2" t="s">
        <v>3767</v>
      </c>
      <c r="CB993" s="2" t="s">
        <v>2574</v>
      </c>
      <c r="CC993" s="2" t="s">
        <v>213</v>
      </c>
      <c r="CD993" s="2" t="s">
        <v>200</v>
      </c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>
        <v>120</v>
      </c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>
        <v>160</v>
      </c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>
        <v>170</v>
      </c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>
        <v>170</v>
      </c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</row>
    <row r="994">
      <c r="A994" s="2" t="s">
        <v>5772</v>
      </c>
      <c r="B994" s="2" t="s">
        <v>903</v>
      </c>
      <c r="C994" s="2" t="s">
        <v>231</v>
      </c>
      <c r="D994" s="2" t="s">
        <v>608</v>
      </c>
      <c r="E994" s="2" t="s">
        <v>609</v>
      </c>
      <c r="F994" s="2" t="s">
        <v>5755</v>
      </c>
      <c r="G994" s="2" t="s">
        <v>5756</v>
      </c>
      <c r="H994" s="2" t="s">
        <v>5757</v>
      </c>
      <c r="I994" s="2" t="s">
        <v>5758</v>
      </c>
      <c r="J994" s="2" t="s">
        <v>236</v>
      </c>
      <c r="K994" s="2" t="s">
        <v>1700</v>
      </c>
      <c r="L994" s="3">
        <v>47.61</v>
      </c>
      <c r="M994" s="3">
        <v>49.99</v>
      </c>
      <c r="N994" s="3">
        <v>99.99</v>
      </c>
      <c r="O994" s="2" t="s">
        <v>212</v>
      </c>
      <c r="P994" s="2" t="s">
        <v>258</v>
      </c>
      <c r="Q994" s="2" t="s">
        <v>206</v>
      </c>
      <c r="R994" s="2" t="s">
        <v>200</v>
      </c>
      <c r="S994" s="2" t="s">
        <v>5768</v>
      </c>
      <c r="T994" s="2" t="s">
        <v>378</v>
      </c>
      <c r="U994" s="2" t="s">
        <v>1067</v>
      </c>
      <c r="V994" s="2" t="s">
        <v>339</v>
      </c>
      <c r="W994" s="2" t="s">
        <v>910</v>
      </c>
      <c r="X994" s="2" t="s">
        <v>926</v>
      </c>
      <c r="Y994" s="2" t="s">
        <v>5765</v>
      </c>
      <c r="Z994" s="4"/>
      <c r="AA994" s="4">
        <f>=ROUNDDOWN({0},0)</f>
      </c>
      <c r="AB994" s="5">
        <v>12</v>
      </c>
      <c r="AC994" s="2" t="s">
        <v>5761</v>
      </c>
      <c r="AD994" s="4">
        <v>70</v>
      </c>
      <c r="AE994" s="4">
        <v>350</v>
      </c>
      <c r="AF994" s="6">
        <v>64</v>
      </c>
      <c r="AG994" s="6"/>
      <c r="AH994" s="7">
        <v>0</v>
      </c>
      <c r="AI994" s="4"/>
      <c r="AJ994" s="4">
        <f>=ROUNDDOWN({0},0)</f>
      </c>
      <c r="AK994" s="5"/>
      <c r="AL994" s="2" t="s">
        <v>200</v>
      </c>
      <c r="AM994" s="4"/>
      <c r="AN994" s="4"/>
      <c r="AO994" s="7"/>
      <c r="AP994" s="4"/>
      <c r="AQ994" s="8"/>
      <c r="AR994" s="4"/>
      <c r="AS994" s="8"/>
      <c r="AT994" s="7"/>
      <c r="AU994" s="7"/>
      <c r="AV994" s="4" t="s">
        <v>200</v>
      </c>
      <c r="AW994" s="8" t="s">
        <v>200</v>
      </c>
      <c r="AX994" s="4" t="s">
        <v>200</v>
      </c>
      <c r="AY994" s="8" t="s">
        <v>200</v>
      </c>
      <c r="AZ994" s="7" t="s">
        <v>200</v>
      </c>
      <c r="BA994" s="7" t="s">
        <v>200</v>
      </c>
      <c r="BB994" s="7"/>
      <c r="BC994" s="4" t="s">
        <v>200</v>
      </c>
      <c r="BD994" s="8" t="s">
        <v>200</v>
      </c>
      <c r="BE994" s="4" t="s">
        <v>200</v>
      </c>
      <c r="BF994" s="8" t="s">
        <v>200</v>
      </c>
      <c r="BG994" s="7" t="s">
        <v>200</v>
      </c>
      <c r="BH994" s="7" t="s">
        <v>200</v>
      </c>
      <c r="BI994" s="7"/>
      <c r="BJ994" s="4"/>
      <c r="BK994" s="8"/>
      <c r="BL994" s="2" t="s">
        <v>200</v>
      </c>
      <c r="BM994" s="7"/>
      <c r="BN994" s="7"/>
      <c r="BO994" s="4"/>
      <c r="BP994" s="8"/>
      <c r="BQ994" s="4"/>
      <c r="BR994" s="8"/>
      <c r="BS994" s="7"/>
      <c r="BT994" s="7"/>
      <c r="BU994" s="2" t="s">
        <v>5773</v>
      </c>
      <c r="BV994" s="2" t="s">
        <v>200</v>
      </c>
      <c r="BW994" s="2" t="s">
        <v>200</v>
      </c>
      <c r="BX994" s="2" t="s">
        <v>289</v>
      </c>
      <c r="BY994" s="2" t="s">
        <v>247</v>
      </c>
      <c r="BZ994" s="2" t="s">
        <v>212</v>
      </c>
      <c r="CA994" s="2" t="s">
        <v>3767</v>
      </c>
      <c r="CB994" s="2" t="s">
        <v>5774</v>
      </c>
      <c r="CC994" s="2" t="s">
        <v>213</v>
      </c>
      <c r="CD994" s="2" t="s">
        <v>200</v>
      </c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>
        <v>70</v>
      </c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>
        <v>90</v>
      </c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>
        <v>90</v>
      </c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>
        <v>100</v>
      </c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</row>
    <row r="995">
      <c r="A995" s="2" t="s">
        <v>5775</v>
      </c>
      <c r="B995" s="2" t="s">
        <v>719</v>
      </c>
      <c r="C995" s="2" t="s">
        <v>730</v>
      </c>
      <c r="D995" s="2" t="s">
        <v>1554</v>
      </c>
      <c r="E995" s="2" t="s">
        <v>721</v>
      </c>
      <c r="F995" s="2" t="s">
        <v>5776</v>
      </c>
      <c r="G995" s="2" t="s">
        <v>5776</v>
      </c>
      <c r="H995" s="2" t="s">
        <v>5776</v>
      </c>
      <c r="I995" s="2" t="s">
        <v>4551</v>
      </c>
      <c r="J995" s="2" t="s">
        <v>711</v>
      </c>
      <c r="K995" s="2" t="s">
        <v>733</v>
      </c>
      <c r="L995" s="3">
        <v>26.03</v>
      </c>
      <c r="M995" s="3">
        <v>27.33</v>
      </c>
      <c r="N995" s="3">
        <v>59.49</v>
      </c>
      <c r="O995" s="2" t="s">
        <v>212</v>
      </c>
      <c r="P995" s="2" t="s">
        <v>258</v>
      </c>
      <c r="Q995" s="2" t="s">
        <v>206</v>
      </c>
      <c r="R995" s="2" t="s">
        <v>200</v>
      </c>
      <c r="S995" s="2" t="s">
        <v>5777</v>
      </c>
      <c r="T995" s="2" t="s">
        <v>200</v>
      </c>
      <c r="U995" s="2" t="s">
        <v>270</v>
      </c>
      <c r="V995" s="2" t="s">
        <v>735</v>
      </c>
      <c r="W995" s="2" t="s">
        <v>736</v>
      </c>
      <c r="X995" s="2" t="s">
        <v>737</v>
      </c>
      <c r="Y995" s="2" t="s">
        <v>738</v>
      </c>
      <c r="Z995" s="4">
        <v>316</v>
      </c>
      <c r="AA995" s="4">
        <f>=ROUNDDOWN(34.3478260869565,0)</f>
      </c>
      <c r="AB995" s="5">
        <v>9.2</v>
      </c>
      <c r="AC995" s="2" t="s">
        <v>200</v>
      </c>
      <c r="AD995" s="4"/>
      <c r="AE995" s="4"/>
      <c r="AF995" s="6">
        <v>61</v>
      </c>
      <c r="AG995" s="6"/>
      <c r="AH995" s="7">
        <v>1</v>
      </c>
      <c r="AI995" s="4"/>
      <c r="AJ995" s="4">
        <f>=ROUNDDOWN({0},0)</f>
      </c>
      <c r="AK995" s="5"/>
      <c r="AL995" s="2" t="s">
        <v>200</v>
      </c>
      <c r="AM995" s="4"/>
      <c r="AN995" s="4"/>
      <c r="AO995" s="7"/>
      <c r="AP995" s="4"/>
      <c r="AQ995" s="8"/>
      <c r="AR995" s="4"/>
      <c r="AS995" s="8"/>
      <c r="AT995" s="7"/>
      <c r="AU995" s="7"/>
      <c r="AV995" s="4"/>
      <c r="AW995" s="8"/>
      <c r="AX995" s="4"/>
      <c r="AY995" s="8"/>
      <c r="AZ995" s="7"/>
      <c r="BA995" s="7"/>
      <c r="BB995" s="7"/>
      <c r="BC995" s="4"/>
      <c r="BD995" s="8"/>
      <c r="BE995" s="4"/>
      <c r="BF995" s="8"/>
      <c r="BG995" s="7"/>
      <c r="BH995" s="7"/>
      <c r="BI995" s="7"/>
      <c r="BJ995" s="4">
        <v>25</v>
      </c>
      <c r="BK995" s="8">
        <v>785.08</v>
      </c>
      <c r="BL995" s="2" t="s">
        <v>5778</v>
      </c>
      <c r="BM995" s="7"/>
      <c r="BN995" s="7"/>
      <c r="BO995" s="4"/>
      <c r="BP995" s="8"/>
      <c r="BQ995" s="4"/>
      <c r="BR995" s="8"/>
      <c r="BS995" s="7"/>
      <c r="BT995" s="7"/>
      <c r="BU995" s="2" t="s">
        <v>5779</v>
      </c>
      <c r="BV995" s="2" t="s">
        <v>200</v>
      </c>
      <c r="BW995" s="2" t="s">
        <v>200</v>
      </c>
      <c r="BX995" s="2" t="s">
        <v>264</v>
      </c>
      <c r="BY995" s="2" t="s">
        <v>247</v>
      </c>
      <c r="BZ995" s="2" t="s">
        <v>212</v>
      </c>
      <c r="CA995" s="2" t="s">
        <v>741</v>
      </c>
      <c r="CB995" s="2" t="s">
        <v>5780</v>
      </c>
      <c r="CC995" s="2" t="s">
        <v>213</v>
      </c>
      <c r="CD995" s="2" t="s">
        <v>200</v>
      </c>
      <c r="CE995" s="4"/>
      <c r="CF995" s="4">
        <v>316</v>
      </c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/>
      <c r="GE995" s="4"/>
      <c r="GF995" s="4"/>
      <c r="GG995" s="4"/>
      <c r="GH995" s="4"/>
    </row>
    <row r="996">
      <c r="A996" s="2" t="s">
        <v>5781</v>
      </c>
      <c r="B996" s="2" t="s">
        <v>744</v>
      </c>
      <c r="C996" s="2" t="s">
        <v>745</v>
      </c>
      <c r="D996" s="2" t="s">
        <v>783</v>
      </c>
      <c r="E996" s="2" t="s">
        <v>784</v>
      </c>
      <c r="F996" s="2" t="s">
        <v>5782</v>
      </c>
      <c r="G996" s="2" t="s">
        <v>5782</v>
      </c>
      <c r="H996" s="2" t="s">
        <v>5782</v>
      </c>
      <c r="I996" s="2" t="s">
        <v>784</v>
      </c>
      <c r="J996" s="2" t="s">
        <v>711</v>
      </c>
      <c r="K996" s="2" t="s">
        <v>5783</v>
      </c>
      <c r="L996" s="3">
        <v>310</v>
      </c>
      <c r="M996" s="3">
        <v>325.5</v>
      </c>
      <c r="N996" s="3">
        <v>649</v>
      </c>
      <c r="O996" s="2" t="s">
        <v>417</v>
      </c>
      <c r="P996" s="2" t="s">
        <v>285</v>
      </c>
      <c r="Q996" s="2" t="s">
        <v>206</v>
      </c>
      <c r="R996" s="2" t="s">
        <v>200</v>
      </c>
      <c r="S996" s="2" t="s">
        <v>200</v>
      </c>
      <c r="T996" s="2" t="s">
        <v>200</v>
      </c>
      <c r="U996" s="2" t="s">
        <v>270</v>
      </c>
      <c r="V996" s="2" t="s">
        <v>208</v>
      </c>
      <c r="W996" s="2" t="s">
        <v>2095</v>
      </c>
      <c r="X996" s="2" t="s">
        <v>379</v>
      </c>
      <c r="Y996" s="2" t="s">
        <v>3254</v>
      </c>
      <c r="Z996" s="4">
        <v>11</v>
      </c>
      <c r="AA996" s="4">
        <f>=ROUNDDOWN(2.89473684210526,0)</f>
      </c>
      <c r="AB996" s="5">
        <v>3.8</v>
      </c>
      <c r="AC996" s="2" t="s">
        <v>200</v>
      </c>
      <c r="AD996" s="4"/>
      <c r="AE996" s="4"/>
      <c r="AF996" s="6">
        <v>74</v>
      </c>
      <c r="AG996" s="6"/>
      <c r="AH996" s="7">
        <v>1</v>
      </c>
      <c r="AI996" s="4"/>
      <c r="AJ996" s="4">
        <f>=ROUNDDOWN({0},0)</f>
      </c>
      <c r="AK996" s="5"/>
      <c r="AL996" s="2" t="s">
        <v>200</v>
      </c>
      <c r="AM996" s="4"/>
      <c r="AN996" s="4"/>
      <c r="AO996" s="7"/>
      <c r="AP996" s="4"/>
      <c r="AQ996" s="8"/>
      <c r="AR996" s="4"/>
      <c r="AS996" s="8"/>
      <c r="AT996" s="7"/>
      <c r="AU996" s="7"/>
      <c r="AV996" s="4"/>
      <c r="AW996" s="8"/>
      <c r="AX996" s="4"/>
      <c r="AY996" s="8"/>
      <c r="AZ996" s="7"/>
      <c r="BA996" s="7"/>
      <c r="BB996" s="7"/>
      <c r="BC996" s="4"/>
      <c r="BD996" s="8"/>
      <c r="BE996" s="4"/>
      <c r="BF996" s="8"/>
      <c r="BG996" s="7"/>
      <c r="BH996" s="7"/>
      <c r="BI996" s="7"/>
      <c r="BJ996" s="4">
        <v>34</v>
      </c>
      <c r="BK996" s="8">
        <v>3847.73</v>
      </c>
      <c r="BL996" s="2" t="s">
        <v>5784</v>
      </c>
      <c r="BM996" s="7"/>
      <c r="BN996" s="7"/>
      <c r="BO996" s="4"/>
      <c r="BP996" s="8"/>
      <c r="BQ996" s="4"/>
      <c r="BR996" s="8"/>
      <c r="BS996" s="7"/>
      <c r="BT996" s="7"/>
      <c r="BU996" s="2" t="s">
        <v>5785</v>
      </c>
      <c r="BV996" s="2" t="s">
        <v>200</v>
      </c>
      <c r="BW996" s="2" t="s">
        <v>200</v>
      </c>
      <c r="BX996" s="2" t="s">
        <v>289</v>
      </c>
      <c r="BY996" s="2" t="s">
        <v>247</v>
      </c>
      <c r="BZ996" s="2" t="s">
        <v>212</v>
      </c>
      <c r="CA996" s="2" t="s">
        <v>3254</v>
      </c>
      <c r="CB996" s="2" t="s">
        <v>2159</v>
      </c>
      <c r="CC996" s="2" t="s">
        <v>213</v>
      </c>
      <c r="CD996" s="2" t="s">
        <v>200</v>
      </c>
      <c r="CE996" s="4"/>
      <c r="CF996" s="4">
        <v>11</v>
      </c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</row>
    <row r="997">
      <c r="A997" s="2" t="s">
        <v>5786</v>
      </c>
      <c r="B997" s="2" t="s">
        <v>705</v>
      </c>
      <c r="C997" s="2" t="s">
        <v>730</v>
      </c>
      <c r="D997" s="2" t="s">
        <v>817</v>
      </c>
      <c r="E997" s="2" t="s">
        <v>818</v>
      </c>
      <c r="F997" s="2" t="s">
        <v>5787</v>
      </c>
      <c r="G997" s="2" t="s">
        <v>5787</v>
      </c>
      <c r="H997" s="2" t="s">
        <v>5787</v>
      </c>
      <c r="I997" s="2" t="s">
        <v>5788</v>
      </c>
      <c r="J997" s="2" t="s">
        <v>711</v>
      </c>
      <c r="K997" s="2" t="s">
        <v>237</v>
      </c>
      <c r="L997" s="3">
        <v>22.5</v>
      </c>
      <c r="M997" s="3">
        <v>23.62</v>
      </c>
      <c r="N997" s="3">
        <v>54.99</v>
      </c>
      <c r="O997" s="2" t="s">
        <v>212</v>
      </c>
      <c r="P997" s="2" t="s">
        <v>285</v>
      </c>
      <c r="Q997" s="2" t="s">
        <v>206</v>
      </c>
      <c r="R997" s="2" t="s">
        <v>200</v>
      </c>
      <c r="S997" s="2" t="s">
        <v>200</v>
      </c>
      <c r="T997" s="2" t="s">
        <v>200</v>
      </c>
      <c r="U997" s="2" t="s">
        <v>270</v>
      </c>
      <c r="V997" s="2" t="s">
        <v>616</v>
      </c>
      <c r="W997" s="2" t="s">
        <v>736</v>
      </c>
      <c r="X997" s="2" t="s">
        <v>4808</v>
      </c>
      <c r="Y997" s="2" t="s">
        <v>4834</v>
      </c>
      <c r="Z997" s="4">
        <v>50</v>
      </c>
      <c r="AA997" s="4">
        <f>=ROUNDDOWN(50,0)</f>
      </c>
      <c r="AB997" s="5">
        <v>1</v>
      </c>
      <c r="AC997" s="2" t="s">
        <v>200</v>
      </c>
      <c r="AD997" s="4"/>
      <c r="AE997" s="4"/>
      <c r="AF997" s="6">
        <v>63</v>
      </c>
      <c r="AG997" s="6"/>
      <c r="AH997" s="7">
        <v>1</v>
      </c>
      <c r="AI997" s="4"/>
      <c r="AJ997" s="4">
        <f>=ROUNDDOWN({0},0)</f>
      </c>
      <c r="AK997" s="5"/>
      <c r="AL997" s="2" t="s">
        <v>200</v>
      </c>
      <c r="AM997" s="4"/>
      <c r="AN997" s="4"/>
      <c r="AO997" s="7"/>
      <c r="AP997" s="4"/>
      <c r="AQ997" s="8"/>
      <c r="AR997" s="4"/>
      <c r="AS997" s="8"/>
      <c r="AT997" s="7"/>
      <c r="AU997" s="7"/>
      <c r="AV997" s="4"/>
      <c r="AW997" s="8"/>
      <c r="AX997" s="4"/>
      <c r="AY997" s="8"/>
      <c r="AZ997" s="7"/>
      <c r="BA997" s="7"/>
      <c r="BB997" s="7"/>
      <c r="BC997" s="4"/>
      <c r="BD997" s="8"/>
      <c r="BE997" s="4"/>
      <c r="BF997" s="8"/>
      <c r="BG997" s="7"/>
      <c r="BH997" s="7"/>
      <c r="BI997" s="7"/>
      <c r="BJ997" s="4">
        <v>9</v>
      </c>
      <c r="BK997" s="8">
        <v>255.66</v>
      </c>
      <c r="BL997" s="2" t="s">
        <v>4660</v>
      </c>
      <c r="BM997" s="7"/>
      <c r="BN997" s="7"/>
      <c r="BO997" s="4"/>
      <c r="BP997" s="8"/>
      <c r="BQ997" s="4"/>
      <c r="BR997" s="8"/>
      <c r="BS997" s="7"/>
      <c r="BT997" s="7"/>
      <c r="BU997" s="2" t="s">
        <v>5789</v>
      </c>
      <c r="BV997" s="2" t="s">
        <v>200</v>
      </c>
      <c r="BW997" s="2" t="s">
        <v>200</v>
      </c>
      <c r="BX997" s="2" t="s">
        <v>289</v>
      </c>
      <c r="BY997" s="2" t="s">
        <v>247</v>
      </c>
      <c r="BZ997" s="2" t="s">
        <v>212</v>
      </c>
      <c r="CA997" s="2" t="s">
        <v>4837</v>
      </c>
      <c r="CB997" s="2" t="s">
        <v>4846</v>
      </c>
      <c r="CC997" s="2" t="s">
        <v>213</v>
      </c>
      <c r="CD997" s="2" t="s">
        <v>200</v>
      </c>
      <c r="CE997" s="4"/>
      <c r="CF997" s="4">
        <v>50</v>
      </c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/>
      <c r="GF997" s="4"/>
      <c r="GG997" s="4"/>
      <c r="GH997" s="4"/>
    </row>
    <row r="998">
      <c r="A998" s="2" t="s">
        <v>5790</v>
      </c>
      <c r="B998" s="2" t="s">
        <v>903</v>
      </c>
      <c r="C998" s="2" t="s">
        <v>231</v>
      </c>
      <c r="D998" s="2" t="s">
        <v>918</v>
      </c>
      <c r="E998" s="2" t="s">
        <v>919</v>
      </c>
      <c r="F998" s="2" t="s">
        <v>5791</v>
      </c>
      <c r="G998" s="2" t="s">
        <v>5791</v>
      </c>
      <c r="H998" s="2" t="s">
        <v>3378</v>
      </c>
      <c r="I998" s="2" t="s">
        <v>5792</v>
      </c>
      <c r="J998" s="2" t="s">
        <v>924</v>
      </c>
      <c r="K998" s="2" t="s">
        <v>5040</v>
      </c>
      <c r="L998" s="3">
        <v>38.09</v>
      </c>
      <c r="M998" s="3">
        <v>39.99</v>
      </c>
      <c r="N998" s="3">
        <v>79.99</v>
      </c>
      <c r="O998" s="2" t="s">
        <v>460</v>
      </c>
      <c r="P998" s="2" t="s">
        <v>285</v>
      </c>
      <c r="Q998" s="2" t="s">
        <v>206</v>
      </c>
      <c r="R998" s="2" t="s">
        <v>200</v>
      </c>
      <c r="S998" s="2" t="s">
        <v>5793</v>
      </c>
      <c r="T998" s="2" t="s">
        <v>378</v>
      </c>
      <c r="U998" s="2" t="s">
        <v>454</v>
      </c>
      <c r="V998" s="2" t="s">
        <v>339</v>
      </c>
      <c r="W998" s="2" t="s">
        <v>1975</v>
      </c>
      <c r="X998" s="2" t="s">
        <v>241</v>
      </c>
      <c r="Y998" s="2" t="s">
        <v>3608</v>
      </c>
      <c r="Z998" s="4">
        <v>127</v>
      </c>
      <c r="AA998" s="4">
        <f>=ROUNDDOWN(115.454545454545,0)</f>
      </c>
      <c r="AB998" s="5">
        <v>1.1</v>
      </c>
      <c r="AC998" s="2" t="s">
        <v>200</v>
      </c>
      <c r="AD998" s="4"/>
      <c r="AE998" s="4"/>
      <c r="AF998" s="6">
        <v>68</v>
      </c>
      <c r="AG998" s="6"/>
      <c r="AH998" s="7">
        <v>1</v>
      </c>
      <c r="AI998" s="4"/>
      <c r="AJ998" s="4">
        <f>=ROUNDDOWN({0},0)</f>
      </c>
      <c r="AK998" s="5"/>
      <c r="AL998" s="2" t="s">
        <v>200</v>
      </c>
      <c r="AM998" s="4"/>
      <c r="AN998" s="4"/>
      <c r="AO998" s="7"/>
      <c r="AP998" s="4"/>
      <c r="AQ998" s="8"/>
      <c r="AR998" s="4"/>
      <c r="AS998" s="8"/>
      <c r="AT998" s="7"/>
      <c r="AU998" s="7"/>
      <c r="AV998" s="4"/>
      <c r="AW998" s="8"/>
      <c r="AX998" s="4"/>
      <c r="AY998" s="8"/>
      <c r="AZ998" s="7"/>
      <c r="BA998" s="7"/>
      <c r="BB998" s="7"/>
      <c r="BC998" s="4"/>
      <c r="BD998" s="8"/>
      <c r="BE998" s="4"/>
      <c r="BF998" s="8"/>
      <c r="BG998" s="7"/>
      <c r="BH998" s="7"/>
      <c r="BI998" s="7"/>
      <c r="BJ998" s="4">
        <v>8</v>
      </c>
      <c r="BK998" s="8">
        <v>221.49</v>
      </c>
      <c r="BL998" s="2" t="s">
        <v>5794</v>
      </c>
      <c r="BM998" s="7"/>
      <c r="BN998" s="7"/>
      <c r="BO998" s="4"/>
      <c r="BP998" s="8"/>
      <c r="BQ998" s="4"/>
      <c r="BR998" s="8"/>
      <c r="BS998" s="7"/>
      <c r="BT998" s="7"/>
      <c r="BU998" s="2" t="s">
        <v>5795</v>
      </c>
      <c r="BV998" s="2" t="s">
        <v>200</v>
      </c>
      <c r="BW998" s="2" t="s">
        <v>200</v>
      </c>
      <c r="BX998" s="2" t="s">
        <v>289</v>
      </c>
      <c r="BY998" s="2" t="s">
        <v>247</v>
      </c>
      <c r="BZ998" s="2" t="s">
        <v>212</v>
      </c>
      <c r="CA998" s="2" t="s">
        <v>5796</v>
      </c>
      <c r="CB998" s="2" t="s">
        <v>5797</v>
      </c>
      <c r="CC998" s="2" t="s">
        <v>213</v>
      </c>
      <c r="CD998" s="2" t="s">
        <v>200</v>
      </c>
      <c r="CE998" s="4">
        <v>127</v>
      </c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</row>
    <row r="999">
      <c r="A999" s="2" t="s">
        <v>5798</v>
      </c>
      <c r="B999" s="2" t="s">
        <v>932</v>
      </c>
      <c r="C999" s="2" t="s">
        <v>877</v>
      </c>
      <c r="D999" s="2" t="s">
        <v>918</v>
      </c>
      <c r="E999" s="2" t="s">
        <v>919</v>
      </c>
      <c r="F999" s="2" t="s">
        <v>5466</v>
      </c>
      <c r="G999" s="2" t="s">
        <v>3187</v>
      </c>
      <c r="H999" s="2" t="s">
        <v>5799</v>
      </c>
      <c r="I999" s="2" t="s">
        <v>5800</v>
      </c>
      <c r="J999" s="2" t="s">
        <v>1390</v>
      </c>
      <c r="K999" s="2" t="s">
        <v>1843</v>
      </c>
      <c r="L999" s="3">
        <v>23.8</v>
      </c>
      <c r="M999" s="3">
        <v>24.99</v>
      </c>
      <c r="N999" s="3">
        <v>49.99</v>
      </c>
      <c r="O999" s="2" t="s">
        <v>212</v>
      </c>
      <c r="P999" s="2" t="s">
        <v>205</v>
      </c>
      <c r="Q999" s="2" t="s">
        <v>206</v>
      </c>
      <c r="R999" s="2" t="s">
        <v>200</v>
      </c>
      <c r="S999" s="2" t="s">
        <v>5801</v>
      </c>
      <c r="T999" s="2" t="s">
        <v>1176</v>
      </c>
      <c r="U999" s="2" t="s">
        <v>677</v>
      </c>
      <c r="V999" s="2" t="s">
        <v>1726</v>
      </c>
      <c r="W999" s="2" t="s">
        <v>379</v>
      </c>
      <c r="X999" s="2" t="s">
        <v>241</v>
      </c>
      <c r="Y999" s="2" t="s">
        <v>3155</v>
      </c>
      <c r="Z999" s="4">
        <v>34</v>
      </c>
      <c r="AA999" s="4">
        <f>=ROUNDDOWN(11.3333333333333,0)</f>
      </c>
      <c r="AB999" s="5">
        <v>3</v>
      </c>
      <c r="AC999" s="2" t="s">
        <v>5761</v>
      </c>
      <c r="AD999" s="4">
        <v>20</v>
      </c>
      <c r="AE999" s="4">
        <v>50</v>
      </c>
      <c r="AF999" s="6">
        <v>66</v>
      </c>
      <c r="AG999" s="6"/>
      <c r="AH999" s="7">
        <v>1</v>
      </c>
      <c r="AI999" s="4"/>
      <c r="AJ999" s="4">
        <f>=ROUNDDOWN({0},0)</f>
      </c>
      <c r="AK999" s="5"/>
      <c r="AL999" s="2" t="s">
        <v>200</v>
      </c>
      <c r="AM999" s="4"/>
      <c r="AN999" s="4"/>
      <c r="AO999" s="7"/>
      <c r="AP999" s="4"/>
      <c r="AQ999" s="8"/>
      <c r="AR999" s="4"/>
      <c r="AS999" s="8"/>
      <c r="AT999" s="7"/>
      <c r="AU999" s="7"/>
      <c r="AV999" s="4" t="s">
        <v>200</v>
      </c>
      <c r="AW999" s="8" t="s">
        <v>200</v>
      </c>
      <c r="AX999" s="4" t="s">
        <v>200</v>
      </c>
      <c r="AY999" s="8" t="s">
        <v>200</v>
      </c>
      <c r="AZ999" s="7" t="s">
        <v>200</v>
      </c>
      <c r="BA999" s="7" t="s">
        <v>200</v>
      </c>
      <c r="BB999" s="7"/>
      <c r="BC999" s="4" t="s">
        <v>200</v>
      </c>
      <c r="BD999" s="8" t="s">
        <v>200</v>
      </c>
      <c r="BE999" s="4" t="s">
        <v>200</v>
      </c>
      <c r="BF999" s="8" t="s">
        <v>200</v>
      </c>
      <c r="BG999" s="7" t="s">
        <v>200</v>
      </c>
      <c r="BH999" s="7" t="s">
        <v>200</v>
      </c>
      <c r="BI999" s="7"/>
      <c r="BJ999" s="4">
        <v>11</v>
      </c>
      <c r="BK999" s="8">
        <v>296.89</v>
      </c>
      <c r="BL999" s="2" t="s">
        <v>466</v>
      </c>
      <c r="BM999" s="7"/>
      <c r="BN999" s="7"/>
      <c r="BO999" s="4"/>
      <c r="BP999" s="8"/>
      <c r="BQ999" s="4"/>
      <c r="BR999" s="8"/>
      <c r="BS999" s="7"/>
      <c r="BT999" s="7"/>
      <c r="BU999" s="2" t="s">
        <v>5802</v>
      </c>
      <c r="BV999" s="2" t="s">
        <v>200</v>
      </c>
      <c r="BW999" s="2" t="s">
        <v>200</v>
      </c>
      <c r="BX999" s="2" t="s">
        <v>264</v>
      </c>
      <c r="BY999" s="2" t="s">
        <v>247</v>
      </c>
      <c r="BZ999" s="2" t="s">
        <v>212</v>
      </c>
      <c r="CA999" s="2" t="s">
        <v>963</v>
      </c>
      <c r="CB999" s="2" t="s">
        <v>915</v>
      </c>
      <c r="CC999" s="2" t="s">
        <v>213</v>
      </c>
      <c r="CD999" s="2" t="s">
        <v>200</v>
      </c>
      <c r="CE999" s="4">
        <v>34</v>
      </c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>
        <v>20</v>
      </c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>
        <v>30</v>
      </c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/>
      <c r="FZ999" s="4"/>
      <c r="GA999" s="4"/>
      <c r="GB999" s="4"/>
      <c r="GC999" s="4"/>
      <c r="GD999" s="4"/>
      <c r="GE999" s="4"/>
      <c r="GF999" s="4"/>
      <c r="GG999" s="4"/>
      <c r="GH999" s="4"/>
    </row>
    <row r="1000">
      <c r="A1000" s="2" t="s">
        <v>5803</v>
      </c>
      <c r="B1000" s="2" t="s">
        <v>932</v>
      </c>
      <c r="C1000" s="2" t="s">
        <v>877</v>
      </c>
      <c r="D1000" s="2" t="s">
        <v>918</v>
      </c>
      <c r="E1000" s="2" t="s">
        <v>919</v>
      </c>
      <c r="F1000" s="2" t="s">
        <v>5466</v>
      </c>
      <c r="G1000" s="2" t="s">
        <v>3187</v>
      </c>
      <c r="H1000" s="2" t="s">
        <v>5799</v>
      </c>
      <c r="I1000" s="2" t="s">
        <v>5800</v>
      </c>
      <c r="J1000" s="2" t="s">
        <v>612</v>
      </c>
      <c r="K1000" s="2" t="s">
        <v>1843</v>
      </c>
      <c r="L1000" s="3">
        <v>28.57</v>
      </c>
      <c r="M1000" s="3">
        <v>30</v>
      </c>
      <c r="N1000" s="3">
        <v>59.99</v>
      </c>
      <c r="O1000" s="2" t="s">
        <v>212</v>
      </c>
      <c r="P1000" s="2" t="s">
        <v>205</v>
      </c>
      <c r="Q1000" s="2" t="s">
        <v>206</v>
      </c>
      <c r="R1000" s="2" t="s">
        <v>200</v>
      </c>
      <c r="S1000" s="2" t="s">
        <v>5801</v>
      </c>
      <c r="T1000" s="2" t="s">
        <v>1176</v>
      </c>
      <c r="U1000" s="2" t="s">
        <v>454</v>
      </c>
      <c r="V1000" s="2" t="s">
        <v>1726</v>
      </c>
      <c r="W1000" s="2" t="s">
        <v>379</v>
      </c>
      <c r="X1000" s="2" t="s">
        <v>241</v>
      </c>
      <c r="Y1000" s="2" t="s">
        <v>3811</v>
      </c>
      <c r="Z1000" s="4">
        <v>3</v>
      </c>
      <c r="AA1000" s="4">
        <f>=ROUNDDOWN(0.375,0)</f>
      </c>
      <c r="AB1000" s="5">
        <v>8</v>
      </c>
      <c r="AC1000" s="2" t="s">
        <v>5761</v>
      </c>
      <c r="AD1000" s="4">
        <v>60</v>
      </c>
      <c r="AE1000" s="4">
        <v>160</v>
      </c>
      <c r="AF1000" s="6">
        <v>66</v>
      </c>
      <c r="AG1000" s="6"/>
      <c r="AH1000" s="7">
        <v>0.1</v>
      </c>
      <c r="AI1000" s="4"/>
      <c r="AJ1000" s="4">
        <f>=ROUNDDOWN({0},0)</f>
      </c>
      <c r="AK1000" s="5"/>
      <c r="AL1000" s="2" t="s">
        <v>200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 t="s">
        <v>200</v>
      </c>
      <c r="AW1000" s="8" t="s">
        <v>200</v>
      </c>
      <c r="AX1000" s="4" t="s">
        <v>200</v>
      </c>
      <c r="AY1000" s="8" t="s">
        <v>200</v>
      </c>
      <c r="AZ1000" s="7" t="s">
        <v>200</v>
      </c>
      <c r="BA1000" s="7" t="s">
        <v>200</v>
      </c>
      <c r="BB1000" s="7"/>
      <c r="BC1000" s="4" t="s">
        <v>200</v>
      </c>
      <c r="BD1000" s="8" t="s">
        <v>200</v>
      </c>
      <c r="BE1000" s="4" t="s">
        <v>200</v>
      </c>
      <c r="BF1000" s="8" t="s">
        <v>200</v>
      </c>
      <c r="BG1000" s="7" t="s">
        <v>200</v>
      </c>
      <c r="BH1000" s="7" t="s">
        <v>200</v>
      </c>
      <c r="BI1000" s="7"/>
      <c r="BJ1000" s="4">
        <v>6</v>
      </c>
      <c r="BK1000" s="8">
        <v>189.6</v>
      </c>
      <c r="BL1000" s="2" t="s">
        <v>5804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5805</v>
      </c>
      <c r="BV1000" s="2" t="s">
        <v>200</v>
      </c>
      <c r="BW1000" s="2" t="s">
        <v>200</v>
      </c>
      <c r="BX1000" s="2" t="s">
        <v>264</v>
      </c>
      <c r="BY1000" s="2" t="s">
        <v>247</v>
      </c>
      <c r="BZ1000" s="2" t="s">
        <v>212</v>
      </c>
      <c r="CA1000" s="2" t="s">
        <v>963</v>
      </c>
      <c r="CB1000" s="2" t="s">
        <v>2406</v>
      </c>
      <c r="CC1000" s="2" t="s">
        <v>213</v>
      </c>
      <c r="CD1000" s="2" t="s">
        <v>200</v>
      </c>
      <c r="CE1000" s="4">
        <v>3</v>
      </c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>
        <v>60</v>
      </c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>
        <v>100</v>
      </c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</row>
    <row r="1001">
      <c r="A1001" s="2" t="s">
        <v>5806</v>
      </c>
      <c r="B1001" s="2" t="s">
        <v>195</v>
      </c>
      <c r="C1001" s="2" t="s">
        <v>307</v>
      </c>
      <c r="D1001" s="2" t="s">
        <v>608</v>
      </c>
      <c r="E1001" s="2" t="s">
        <v>1324</v>
      </c>
      <c r="F1001" s="2" t="s">
        <v>5807</v>
      </c>
      <c r="G1001" s="2" t="s">
        <v>5808</v>
      </c>
      <c r="H1001" s="2" t="s">
        <v>5808</v>
      </c>
      <c r="I1001" s="2" t="s">
        <v>5809</v>
      </c>
      <c r="J1001" s="2" t="s">
        <v>1390</v>
      </c>
      <c r="K1001" s="2" t="s">
        <v>5810</v>
      </c>
      <c r="L1001" s="3">
        <v>19.46</v>
      </c>
      <c r="M1001" s="3">
        <v>20.43</v>
      </c>
      <c r="N1001" s="3">
        <v>39.99</v>
      </c>
      <c r="O1001" s="2" t="s">
        <v>212</v>
      </c>
      <c r="P1001" s="2" t="s">
        <v>258</v>
      </c>
      <c r="Q1001" s="2" t="s">
        <v>206</v>
      </c>
      <c r="R1001" s="2" t="s">
        <v>200</v>
      </c>
      <c r="S1001" s="2" t="s">
        <v>5811</v>
      </c>
      <c r="T1001" s="2" t="s">
        <v>378</v>
      </c>
      <c r="U1001" s="2" t="s">
        <v>200</v>
      </c>
      <c r="V1001" s="2" t="s">
        <v>208</v>
      </c>
      <c r="W1001" s="2" t="s">
        <v>241</v>
      </c>
      <c r="X1001" s="2" t="s">
        <v>200</v>
      </c>
      <c r="Y1001" s="2" t="s">
        <v>261</v>
      </c>
      <c r="Z1001" s="4">
        <v>352</v>
      </c>
      <c r="AA1001" s="4">
        <f>=ROUNDDOWN(58.6666666666667,0)</f>
      </c>
      <c r="AB1001" s="5">
        <v>6</v>
      </c>
      <c r="AC1001" s="2" t="s">
        <v>117</v>
      </c>
      <c r="AD1001" s="4">
        <v>60</v>
      </c>
      <c r="AE1001" s="4">
        <v>60</v>
      </c>
      <c r="AF1001" s="6">
        <v>65</v>
      </c>
      <c r="AG1001" s="6"/>
      <c r="AH1001" s="7">
        <v>1</v>
      </c>
      <c r="AI1001" s="4"/>
      <c r="AJ1001" s="4">
        <f>=ROUNDDOWN({0},0)</f>
      </c>
      <c r="AK1001" s="5"/>
      <c r="AL1001" s="2" t="s">
        <v>200</v>
      </c>
      <c r="AM1001" s="4"/>
      <c r="AN1001" s="4"/>
      <c r="AO1001" s="7"/>
      <c r="AP1001" s="4"/>
      <c r="AQ1001" s="8"/>
      <c r="AR1001" s="4"/>
      <c r="AS1001" s="8"/>
      <c r="AT1001" s="7"/>
      <c r="AU1001" s="7"/>
      <c r="AV1001" s="4"/>
      <c r="AW1001" s="8"/>
      <c r="AX1001" s="4"/>
      <c r="AY1001" s="8"/>
      <c r="AZ1001" s="7"/>
      <c r="BA1001" s="7"/>
      <c r="BB1001" s="7"/>
      <c r="BC1001" s="4" t="s">
        <v>200</v>
      </c>
      <c r="BD1001" s="8" t="s">
        <v>200</v>
      </c>
      <c r="BE1001" s="4" t="s">
        <v>200</v>
      </c>
      <c r="BF1001" s="8" t="s">
        <v>200</v>
      </c>
      <c r="BG1001" s="7" t="s">
        <v>200</v>
      </c>
      <c r="BH1001" s="7" t="s">
        <v>200</v>
      </c>
      <c r="BI1001" s="7"/>
      <c r="BJ1001" s="4">
        <v>58</v>
      </c>
      <c r="BK1001" s="8">
        <v>1204.17</v>
      </c>
      <c r="BL1001" s="2" t="s">
        <v>5812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5813</v>
      </c>
      <c r="BV1001" s="2" t="s">
        <v>200</v>
      </c>
      <c r="BW1001" s="2" t="s">
        <v>200</v>
      </c>
      <c r="BX1001" s="2" t="s">
        <v>264</v>
      </c>
      <c r="BY1001" s="2" t="s">
        <v>247</v>
      </c>
      <c r="BZ1001" s="2" t="s">
        <v>212</v>
      </c>
      <c r="CA1001" s="2" t="s">
        <v>265</v>
      </c>
      <c r="CB1001" s="2" t="s">
        <v>5814</v>
      </c>
      <c r="CC1001" s="2" t="s">
        <v>213</v>
      </c>
      <c r="CD1001" s="2" t="s">
        <v>200</v>
      </c>
      <c r="CE1001" s="4">
        <v>352</v>
      </c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>
        <v>60</v>
      </c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  <c r="GH1001" s="4"/>
    </row>
    <row r="1002">
      <c r="A1002" s="2" t="s">
        <v>5815</v>
      </c>
      <c r="B1002" s="2" t="s">
        <v>195</v>
      </c>
      <c r="C1002" s="2" t="s">
        <v>307</v>
      </c>
      <c r="D1002" s="2" t="s">
        <v>608</v>
      </c>
      <c r="E1002" s="2" t="s">
        <v>1324</v>
      </c>
      <c r="F1002" s="2" t="s">
        <v>5807</v>
      </c>
      <c r="G1002" s="2" t="s">
        <v>5808</v>
      </c>
      <c r="H1002" s="2" t="s">
        <v>5808</v>
      </c>
      <c r="I1002" s="2" t="s">
        <v>5809</v>
      </c>
      <c r="J1002" s="2" t="s">
        <v>1390</v>
      </c>
      <c r="K1002" s="2" t="s">
        <v>5816</v>
      </c>
      <c r="L1002" s="3">
        <v>19.46</v>
      </c>
      <c r="M1002" s="3">
        <v>20.43</v>
      </c>
      <c r="N1002" s="3">
        <v>39.99</v>
      </c>
      <c r="O1002" s="2" t="s">
        <v>212</v>
      </c>
      <c r="P1002" s="2" t="s">
        <v>258</v>
      </c>
      <c r="Q1002" s="2" t="s">
        <v>206</v>
      </c>
      <c r="R1002" s="2" t="s">
        <v>200</v>
      </c>
      <c r="S1002" s="2" t="s">
        <v>5817</v>
      </c>
      <c r="T1002" s="2" t="s">
        <v>378</v>
      </c>
      <c r="U1002" s="2" t="s">
        <v>200</v>
      </c>
      <c r="V1002" s="2" t="s">
        <v>208</v>
      </c>
      <c r="W1002" s="2" t="s">
        <v>241</v>
      </c>
      <c r="X1002" s="2" t="s">
        <v>200</v>
      </c>
      <c r="Y1002" s="2" t="s">
        <v>261</v>
      </c>
      <c r="Z1002" s="4">
        <v>348</v>
      </c>
      <c r="AA1002" s="4">
        <f>=ROUNDDOWN(43.5,0)</f>
      </c>
      <c r="AB1002" s="5">
        <v>8</v>
      </c>
      <c r="AC1002" s="2" t="s">
        <v>200</v>
      </c>
      <c r="AD1002" s="4"/>
      <c r="AE1002" s="4"/>
      <c r="AF1002" s="6">
        <v>65</v>
      </c>
      <c r="AG1002" s="6"/>
      <c r="AH1002" s="7">
        <v>1</v>
      </c>
      <c r="AI1002" s="4"/>
      <c r="AJ1002" s="4">
        <f>=ROUNDDOWN({0},0)</f>
      </c>
      <c r="AK1002" s="5"/>
      <c r="AL1002" s="2" t="s">
        <v>200</v>
      </c>
      <c r="AM1002" s="4"/>
      <c r="AN1002" s="4"/>
      <c r="AO1002" s="7"/>
      <c r="AP1002" s="4"/>
      <c r="AQ1002" s="8"/>
      <c r="AR1002" s="4"/>
      <c r="AS1002" s="8"/>
      <c r="AT1002" s="7"/>
      <c r="AU1002" s="7"/>
      <c r="AV1002" s="4"/>
      <c r="AW1002" s="8"/>
      <c r="AX1002" s="4"/>
      <c r="AY1002" s="8"/>
      <c r="AZ1002" s="7"/>
      <c r="BA1002" s="7"/>
      <c r="BB1002" s="7"/>
      <c r="BC1002" s="4" t="s">
        <v>200</v>
      </c>
      <c r="BD1002" s="8" t="s">
        <v>200</v>
      </c>
      <c r="BE1002" s="4" t="s">
        <v>200</v>
      </c>
      <c r="BF1002" s="8" t="s">
        <v>200</v>
      </c>
      <c r="BG1002" s="7" t="s">
        <v>200</v>
      </c>
      <c r="BH1002" s="7" t="s">
        <v>200</v>
      </c>
      <c r="BI1002" s="7"/>
      <c r="BJ1002" s="4">
        <v>46</v>
      </c>
      <c r="BK1002" s="8">
        <v>951.48</v>
      </c>
      <c r="BL1002" s="2" t="s">
        <v>5818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5819</v>
      </c>
      <c r="BV1002" s="2" t="s">
        <v>200</v>
      </c>
      <c r="BW1002" s="2" t="s">
        <v>200</v>
      </c>
      <c r="BX1002" s="2" t="s">
        <v>264</v>
      </c>
      <c r="BY1002" s="2" t="s">
        <v>247</v>
      </c>
      <c r="BZ1002" s="2" t="s">
        <v>212</v>
      </c>
      <c r="CA1002" s="2" t="s">
        <v>265</v>
      </c>
      <c r="CB1002" s="2" t="s">
        <v>1235</v>
      </c>
      <c r="CC1002" s="2" t="s">
        <v>213</v>
      </c>
      <c r="CD1002" s="2" t="s">
        <v>200</v>
      </c>
      <c r="CE1002" s="4">
        <v>348</v>
      </c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</row>
    <row r="1003">
      <c r="A1003" s="2" t="s">
        <v>5820</v>
      </c>
      <c r="B1003" s="2" t="s">
        <v>195</v>
      </c>
      <c r="C1003" s="2" t="s">
        <v>307</v>
      </c>
      <c r="D1003" s="2" t="s">
        <v>608</v>
      </c>
      <c r="E1003" s="2" t="s">
        <v>1324</v>
      </c>
      <c r="F1003" s="2" t="s">
        <v>5807</v>
      </c>
      <c r="G1003" s="2" t="s">
        <v>5808</v>
      </c>
      <c r="H1003" s="2" t="s">
        <v>5808</v>
      </c>
      <c r="I1003" s="2" t="s">
        <v>5809</v>
      </c>
      <c r="J1003" s="2" t="s">
        <v>302</v>
      </c>
      <c r="K1003" s="2" t="s">
        <v>5821</v>
      </c>
      <c r="L1003" s="3">
        <v>30.65</v>
      </c>
      <c r="M1003" s="3">
        <v>32.18</v>
      </c>
      <c r="N1003" s="3">
        <v>62.99</v>
      </c>
      <c r="O1003" s="2" t="s">
        <v>212</v>
      </c>
      <c r="P1003" s="2" t="s">
        <v>258</v>
      </c>
      <c r="Q1003" s="2" t="s">
        <v>206</v>
      </c>
      <c r="R1003" s="2" t="s">
        <v>200</v>
      </c>
      <c r="S1003" s="2" t="s">
        <v>5822</v>
      </c>
      <c r="T1003" s="2" t="s">
        <v>378</v>
      </c>
      <c r="U1003" s="2" t="s">
        <v>200</v>
      </c>
      <c r="V1003" s="2" t="s">
        <v>208</v>
      </c>
      <c r="W1003" s="2" t="s">
        <v>241</v>
      </c>
      <c r="X1003" s="2" t="s">
        <v>200</v>
      </c>
      <c r="Y1003" s="2" t="s">
        <v>261</v>
      </c>
      <c r="Z1003" s="4">
        <v>72</v>
      </c>
      <c r="AA1003" s="4">
        <f>=ROUNDDOWN(6,0)</f>
      </c>
      <c r="AB1003" s="5">
        <v>12</v>
      </c>
      <c r="AC1003" s="2" t="s">
        <v>5</v>
      </c>
      <c r="AD1003" s="4">
        <v>170</v>
      </c>
      <c r="AE1003" s="4">
        <v>250</v>
      </c>
      <c r="AF1003" s="6">
        <v>65</v>
      </c>
      <c r="AG1003" s="6"/>
      <c r="AH1003" s="7">
        <v>1</v>
      </c>
      <c r="AI1003" s="4"/>
      <c r="AJ1003" s="4">
        <f>=ROUNDDOWN({0},0)</f>
      </c>
      <c r="AK1003" s="5"/>
      <c r="AL1003" s="2" t="s">
        <v>200</v>
      </c>
      <c r="AM1003" s="4"/>
      <c r="AN1003" s="4"/>
      <c r="AO1003" s="7"/>
      <c r="AP1003" s="4"/>
      <c r="AQ1003" s="8"/>
      <c r="AR1003" s="4"/>
      <c r="AS1003" s="8"/>
      <c r="AT1003" s="7"/>
      <c r="AU1003" s="7"/>
      <c r="AV1003" s="4"/>
      <c r="AW1003" s="8"/>
      <c r="AX1003" s="4"/>
      <c r="AY1003" s="8"/>
      <c r="AZ1003" s="7"/>
      <c r="BA1003" s="7"/>
      <c r="BB1003" s="7"/>
      <c r="BC1003" s="4" t="s">
        <v>200</v>
      </c>
      <c r="BD1003" s="8" t="s">
        <v>200</v>
      </c>
      <c r="BE1003" s="4" t="s">
        <v>200</v>
      </c>
      <c r="BF1003" s="8" t="s">
        <v>200</v>
      </c>
      <c r="BG1003" s="7" t="s">
        <v>200</v>
      </c>
      <c r="BH1003" s="7" t="s">
        <v>200</v>
      </c>
      <c r="BI1003" s="7"/>
      <c r="BJ1003" s="4">
        <v>206</v>
      </c>
      <c r="BK1003" s="8">
        <v>6971.05</v>
      </c>
      <c r="BL1003" s="2" t="s">
        <v>5823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5824</v>
      </c>
      <c r="BV1003" s="2" t="s">
        <v>200</v>
      </c>
      <c r="BW1003" s="2" t="s">
        <v>200</v>
      </c>
      <c r="BX1003" s="2" t="s">
        <v>264</v>
      </c>
      <c r="BY1003" s="2" t="s">
        <v>247</v>
      </c>
      <c r="BZ1003" s="2" t="s">
        <v>212</v>
      </c>
      <c r="CA1003" s="2" t="s">
        <v>265</v>
      </c>
      <c r="CB1003" s="2" t="s">
        <v>5825</v>
      </c>
      <c r="CC1003" s="2" t="s">
        <v>213</v>
      </c>
      <c r="CD1003" s="2" t="s">
        <v>200</v>
      </c>
      <c r="CE1003" s="4">
        <v>72</v>
      </c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>
        <v>170</v>
      </c>
      <c r="CW1003" s="4"/>
      <c r="CX1003" s="4"/>
      <c r="CY1003" s="4"/>
      <c r="CZ1003" s="4"/>
      <c r="DA1003" s="4"/>
      <c r="DB1003" s="4"/>
      <c r="DC1003" s="4"/>
      <c r="DD1003" s="4">
        <v>80</v>
      </c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</row>
    <row r="1004">
      <c r="A1004" s="2" t="s">
        <v>5826</v>
      </c>
      <c r="B1004" s="2" t="s">
        <v>195</v>
      </c>
      <c r="C1004" s="2" t="s">
        <v>307</v>
      </c>
      <c r="D1004" s="2" t="s">
        <v>608</v>
      </c>
      <c r="E1004" s="2" t="s">
        <v>1324</v>
      </c>
      <c r="F1004" s="2" t="s">
        <v>5807</v>
      </c>
      <c r="G1004" s="2" t="s">
        <v>5808</v>
      </c>
      <c r="H1004" s="2" t="s">
        <v>5808</v>
      </c>
      <c r="I1004" s="2" t="s">
        <v>5809</v>
      </c>
      <c r="J1004" s="2" t="s">
        <v>1390</v>
      </c>
      <c r="K1004" s="2" t="s">
        <v>5827</v>
      </c>
      <c r="L1004" s="3">
        <v>19.46</v>
      </c>
      <c r="M1004" s="3">
        <v>20.43</v>
      </c>
      <c r="N1004" s="3">
        <v>39.99</v>
      </c>
      <c r="O1004" s="2" t="s">
        <v>212</v>
      </c>
      <c r="P1004" s="2" t="s">
        <v>258</v>
      </c>
      <c r="Q1004" s="2" t="s">
        <v>206</v>
      </c>
      <c r="R1004" s="2" t="s">
        <v>200</v>
      </c>
      <c r="S1004" s="2" t="s">
        <v>5828</v>
      </c>
      <c r="T1004" s="2" t="s">
        <v>378</v>
      </c>
      <c r="U1004" s="2" t="s">
        <v>200</v>
      </c>
      <c r="V1004" s="2" t="s">
        <v>208</v>
      </c>
      <c r="W1004" s="2" t="s">
        <v>241</v>
      </c>
      <c r="X1004" s="2" t="s">
        <v>200</v>
      </c>
      <c r="Y1004" s="2" t="s">
        <v>261</v>
      </c>
      <c r="Z1004" s="4">
        <v>355</v>
      </c>
      <c r="AA1004" s="4">
        <f>=ROUNDDOWN(47.972972972973,0)</f>
      </c>
      <c r="AB1004" s="5">
        <v>7.4</v>
      </c>
      <c r="AC1004" s="2" t="s">
        <v>5</v>
      </c>
      <c r="AD1004" s="4">
        <v>100</v>
      </c>
      <c r="AE1004" s="4">
        <v>100</v>
      </c>
      <c r="AF1004" s="6">
        <v>65</v>
      </c>
      <c r="AG1004" s="6"/>
      <c r="AH1004" s="7">
        <v>1</v>
      </c>
      <c r="AI1004" s="4"/>
      <c r="AJ1004" s="4">
        <f>=ROUNDDOWN({0},0)</f>
      </c>
      <c r="AK1004" s="5"/>
      <c r="AL1004" s="2" t="s">
        <v>200</v>
      </c>
      <c r="AM1004" s="4"/>
      <c r="AN1004" s="4"/>
      <c r="AO1004" s="7"/>
      <c r="AP1004" s="4"/>
      <c r="AQ1004" s="8"/>
      <c r="AR1004" s="4"/>
      <c r="AS1004" s="8"/>
      <c r="AT1004" s="7"/>
      <c r="AU1004" s="7"/>
      <c r="AV1004" s="4"/>
      <c r="AW1004" s="8"/>
      <c r="AX1004" s="4"/>
      <c r="AY1004" s="8"/>
      <c r="AZ1004" s="7"/>
      <c r="BA1004" s="7"/>
      <c r="BB1004" s="7"/>
      <c r="BC1004" s="4" t="s">
        <v>200</v>
      </c>
      <c r="BD1004" s="8" t="s">
        <v>200</v>
      </c>
      <c r="BE1004" s="4" t="s">
        <v>200</v>
      </c>
      <c r="BF1004" s="8" t="s">
        <v>200</v>
      </c>
      <c r="BG1004" s="7" t="s">
        <v>200</v>
      </c>
      <c r="BH1004" s="7" t="s">
        <v>200</v>
      </c>
      <c r="BI1004" s="7"/>
      <c r="BJ1004" s="4">
        <v>93</v>
      </c>
      <c r="BK1004" s="8">
        <v>1879.07</v>
      </c>
      <c r="BL1004" s="2" t="s">
        <v>5829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5830</v>
      </c>
      <c r="BV1004" s="2" t="s">
        <v>200</v>
      </c>
      <c r="BW1004" s="2" t="s">
        <v>200</v>
      </c>
      <c r="BX1004" s="2" t="s">
        <v>264</v>
      </c>
      <c r="BY1004" s="2" t="s">
        <v>247</v>
      </c>
      <c r="BZ1004" s="2" t="s">
        <v>212</v>
      </c>
      <c r="CA1004" s="2" t="s">
        <v>265</v>
      </c>
      <c r="CB1004" s="2" t="s">
        <v>5359</v>
      </c>
      <c r="CC1004" s="2" t="s">
        <v>213</v>
      </c>
      <c r="CD1004" s="2" t="s">
        <v>200</v>
      </c>
      <c r="CE1004" s="4">
        <v>355</v>
      </c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>
        <v>100</v>
      </c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  <c r="GH1004" s="4"/>
    </row>
    <row r="1005">
      <c r="A1005" s="2" t="s">
        <v>5831</v>
      </c>
      <c r="B1005" s="2" t="s">
        <v>1099</v>
      </c>
      <c r="C1005" s="2" t="s">
        <v>231</v>
      </c>
      <c r="D1005" s="2" t="s">
        <v>1100</v>
      </c>
      <c r="E1005" s="2" t="s">
        <v>1101</v>
      </c>
      <c r="F1005" s="2" t="s">
        <v>5832</v>
      </c>
      <c r="G1005" s="2" t="s">
        <v>5833</v>
      </c>
      <c r="H1005" s="2" t="s">
        <v>5834</v>
      </c>
      <c r="I1005" s="2" t="s">
        <v>5835</v>
      </c>
      <c r="J1005" s="2" t="s">
        <v>5836</v>
      </c>
      <c r="K1005" s="2" t="s">
        <v>1214</v>
      </c>
      <c r="L1005" s="3">
        <v>13.29</v>
      </c>
      <c r="M1005" s="3">
        <v>13.95</v>
      </c>
      <c r="N1005" s="3">
        <v>26.99</v>
      </c>
      <c r="O1005" s="2" t="s">
        <v>212</v>
      </c>
      <c r="P1005" s="2" t="s">
        <v>258</v>
      </c>
      <c r="Q1005" s="2" t="s">
        <v>206</v>
      </c>
      <c r="R1005" s="2" t="s">
        <v>200</v>
      </c>
      <c r="S1005" s="2" t="s">
        <v>5837</v>
      </c>
      <c r="T1005" s="2" t="s">
        <v>200</v>
      </c>
      <c r="U1005" s="2" t="s">
        <v>270</v>
      </c>
      <c r="V1005" s="2" t="s">
        <v>208</v>
      </c>
      <c r="W1005" s="2" t="s">
        <v>241</v>
      </c>
      <c r="X1005" s="2" t="s">
        <v>200</v>
      </c>
      <c r="Y1005" s="2" t="s">
        <v>3910</v>
      </c>
      <c r="Z1005" s="4">
        <v>354</v>
      </c>
      <c r="AA1005" s="4">
        <f>=ROUNDDOWN(35.4,0)</f>
      </c>
      <c r="AB1005" s="5">
        <v>10</v>
      </c>
      <c r="AC1005" s="2" t="s">
        <v>200</v>
      </c>
      <c r="AD1005" s="4"/>
      <c r="AE1005" s="4"/>
      <c r="AF1005" s="6">
        <v>69</v>
      </c>
      <c r="AG1005" s="6"/>
      <c r="AH1005" s="7">
        <v>1</v>
      </c>
      <c r="AI1005" s="4"/>
      <c r="AJ1005" s="4">
        <f>=ROUNDDOWN({0},0)</f>
      </c>
      <c r="AK1005" s="5"/>
      <c r="AL1005" s="2" t="s">
        <v>200</v>
      </c>
      <c r="AM1005" s="4"/>
      <c r="AN1005" s="4"/>
      <c r="AO1005" s="7"/>
      <c r="AP1005" s="4"/>
      <c r="AQ1005" s="8"/>
      <c r="AR1005" s="4"/>
      <c r="AS1005" s="8"/>
      <c r="AT1005" s="7"/>
      <c r="AU1005" s="7"/>
      <c r="AV1005" s="4"/>
      <c r="AW1005" s="8"/>
      <c r="AX1005" s="4"/>
      <c r="AY1005" s="8"/>
      <c r="AZ1005" s="7"/>
      <c r="BA1005" s="7"/>
      <c r="BB1005" s="7"/>
      <c r="BC1005" s="4"/>
      <c r="BD1005" s="8"/>
      <c r="BE1005" s="4"/>
      <c r="BF1005" s="8"/>
      <c r="BG1005" s="7"/>
      <c r="BH1005" s="7"/>
      <c r="BI1005" s="7"/>
      <c r="BJ1005" s="4">
        <v>50</v>
      </c>
      <c r="BK1005" s="8">
        <v>716.21</v>
      </c>
      <c r="BL1005" s="2" t="s">
        <v>5838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5839</v>
      </c>
      <c r="BV1005" s="2" t="s">
        <v>200</v>
      </c>
      <c r="BW1005" s="2" t="s">
        <v>200</v>
      </c>
      <c r="BX1005" s="2" t="s">
        <v>264</v>
      </c>
      <c r="BY1005" s="2" t="s">
        <v>247</v>
      </c>
      <c r="BZ1005" s="2" t="s">
        <v>212</v>
      </c>
      <c r="CA1005" s="2" t="s">
        <v>5840</v>
      </c>
      <c r="CB1005" s="2" t="s">
        <v>3427</v>
      </c>
      <c r="CC1005" s="2" t="s">
        <v>213</v>
      </c>
      <c r="CD1005" s="2" t="s">
        <v>200</v>
      </c>
      <c r="CE1005" s="4">
        <v>354</v>
      </c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</row>
    <row r="1006">
      <c r="A1006" s="2" t="s">
        <v>5841</v>
      </c>
      <c r="B1006" s="2" t="s">
        <v>903</v>
      </c>
      <c r="C1006" s="2" t="s">
        <v>231</v>
      </c>
      <c r="D1006" s="2" t="s">
        <v>608</v>
      </c>
      <c r="E1006" s="2" t="s">
        <v>609</v>
      </c>
      <c r="F1006" s="2" t="s">
        <v>5842</v>
      </c>
      <c r="G1006" s="2" t="s">
        <v>5843</v>
      </c>
      <c r="H1006" s="2" t="s">
        <v>5844</v>
      </c>
      <c r="I1006" s="2" t="s">
        <v>5845</v>
      </c>
      <c r="J1006" s="2" t="s">
        <v>236</v>
      </c>
      <c r="K1006" s="2" t="s">
        <v>436</v>
      </c>
      <c r="L1006" s="3">
        <v>63.06</v>
      </c>
      <c r="M1006" s="3">
        <v>66.21</v>
      </c>
      <c r="N1006" s="3">
        <v>119.99</v>
      </c>
      <c r="O1006" s="2" t="s">
        <v>212</v>
      </c>
      <c r="P1006" s="2" t="s">
        <v>258</v>
      </c>
      <c r="Q1006" s="2" t="s">
        <v>206</v>
      </c>
      <c r="R1006" s="2" t="s">
        <v>200</v>
      </c>
      <c r="S1006" s="2" t="s">
        <v>5846</v>
      </c>
      <c r="T1006" s="2" t="s">
        <v>5847</v>
      </c>
      <c r="U1006" s="2" t="s">
        <v>1067</v>
      </c>
      <c r="V1006" s="2" t="s">
        <v>208</v>
      </c>
      <c r="W1006" s="2" t="s">
        <v>242</v>
      </c>
      <c r="X1006" s="2" t="s">
        <v>379</v>
      </c>
      <c r="Y1006" s="2" t="s">
        <v>261</v>
      </c>
      <c r="Z1006" s="4">
        <v>385</v>
      </c>
      <c r="AA1006" s="4">
        <f>=ROUNDDOWN(55,0)</f>
      </c>
      <c r="AB1006" s="5">
        <v>7</v>
      </c>
      <c r="AC1006" s="2" t="s">
        <v>3916</v>
      </c>
      <c r="AD1006" s="4">
        <v>50</v>
      </c>
      <c r="AE1006" s="4">
        <v>50</v>
      </c>
      <c r="AF1006" s="6">
        <v>65</v>
      </c>
      <c r="AG1006" s="6">
        <v>48</v>
      </c>
      <c r="AH1006" s="7">
        <v>1</v>
      </c>
      <c r="AI1006" s="4"/>
      <c r="AJ1006" s="4">
        <f>=ROUNDDOWN({0},0)</f>
      </c>
      <c r="AK1006" s="5"/>
      <c r="AL1006" s="2" t="s">
        <v>200</v>
      </c>
      <c r="AM1006" s="4"/>
      <c r="AN1006" s="4"/>
      <c r="AO1006" s="7"/>
      <c r="AP1006" s="4"/>
      <c r="AQ1006" s="8"/>
      <c r="AR1006" s="4"/>
      <c r="AS1006" s="8"/>
      <c r="AT1006" s="7"/>
      <c r="AU1006" s="7"/>
      <c r="AV1006" s="4"/>
      <c r="AW1006" s="8"/>
      <c r="AX1006" s="4"/>
      <c r="AY1006" s="8"/>
      <c r="AZ1006" s="7"/>
      <c r="BA1006" s="7"/>
      <c r="BB1006" s="7"/>
      <c r="BC1006" s="4" t="s">
        <v>200</v>
      </c>
      <c r="BD1006" s="8" t="s">
        <v>200</v>
      </c>
      <c r="BE1006" s="4" t="s">
        <v>200</v>
      </c>
      <c r="BF1006" s="8" t="s">
        <v>200</v>
      </c>
      <c r="BG1006" s="7" t="s">
        <v>200</v>
      </c>
      <c r="BH1006" s="7" t="s">
        <v>200</v>
      </c>
      <c r="BI1006" s="7"/>
      <c r="BJ1006" s="4">
        <v>59</v>
      </c>
      <c r="BK1006" s="8">
        <v>4157</v>
      </c>
      <c r="BL1006" s="2" t="s">
        <v>5848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5849</v>
      </c>
      <c r="BV1006" s="2" t="s">
        <v>200</v>
      </c>
      <c r="BW1006" s="2" t="s">
        <v>200</v>
      </c>
      <c r="BX1006" s="2" t="s">
        <v>620</v>
      </c>
      <c r="BY1006" s="2" t="s">
        <v>247</v>
      </c>
      <c r="BZ1006" s="2" t="s">
        <v>212</v>
      </c>
      <c r="CA1006" s="2" t="s">
        <v>265</v>
      </c>
      <c r="CB1006" s="2" t="s">
        <v>1108</v>
      </c>
      <c r="CC1006" s="2" t="s">
        <v>213</v>
      </c>
      <c r="CD1006" s="2" t="s">
        <v>200</v>
      </c>
      <c r="CE1006" s="4">
        <v>81</v>
      </c>
      <c r="CF1006" s="4">
        <v>100</v>
      </c>
      <c r="CG1006" s="4"/>
      <c r="CH1006" s="4">
        <v>204</v>
      </c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>
        <v>50</v>
      </c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/>
      <c r="FZ1006" s="4"/>
      <c r="GA1006" s="4"/>
      <c r="GB1006" s="4"/>
      <c r="GC1006" s="4"/>
      <c r="GD1006" s="4"/>
      <c r="GE1006" s="4"/>
      <c r="GF1006" s="4"/>
      <c r="GG1006" s="4"/>
      <c r="GH1006" s="4"/>
    </row>
    <row r="1007">
      <c r="A1007" s="2" t="s">
        <v>5850</v>
      </c>
      <c r="B1007" s="2" t="s">
        <v>744</v>
      </c>
      <c r="C1007" s="2" t="s">
        <v>1375</v>
      </c>
      <c r="D1007" s="2" t="s">
        <v>783</v>
      </c>
      <c r="E1007" s="2" t="s">
        <v>784</v>
      </c>
      <c r="F1007" s="2" t="s">
        <v>5842</v>
      </c>
      <c r="G1007" s="2" t="s">
        <v>5842</v>
      </c>
      <c r="H1007" s="2" t="s">
        <v>5842</v>
      </c>
      <c r="I1007" s="2" t="s">
        <v>5851</v>
      </c>
      <c r="J1007" s="2" t="s">
        <v>711</v>
      </c>
      <c r="K1007" s="2" t="s">
        <v>4414</v>
      </c>
      <c r="L1007" s="3">
        <v>101.26</v>
      </c>
      <c r="M1007" s="3">
        <v>106.32</v>
      </c>
      <c r="N1007" s="3">
        <v>199.99</v>
      </c>
      <c r="O1007" s="2" t="s">
        <v>460</v>
      </c>
      <c r="P1007" s="2" t="s">
        <v>285</v>
      </c>
      <c r="Q1007" s="2" t="s">
        <v>206</v>
      </c>
      <c r="R1007" s="2" t="s">
        <v>200</v>
      </c>
      <c r="S1007" s="2" t="s">
        <v>200</v>
      </c>
      <c r="T1007" s="2" t="s">
        <v>200</v>
      </c>
      <c r="U1007" s="2" t="s">
        <v>200</v>
      </c>
      <c r="V1007" s="2" t="s">
        <v>616</v>
      </c>
      <c r="W1007" s="2" t="s">
        <v>379</v>
      </c>
      <c r="X1007" s="2" t="s">
        <v>419</v>
      </c>
      <c r="Y1007" s="2" t="s">
        <v>2556</v>
      </c>
      <c r="Z1007" s="4">
        <v>233</v>
      </c>
      <c r="AA1007" s="4">
        <f>=ROUNDDOWN(776.666666666667,0)</f>
      </c>
      <c r="AB1007" s="5">
        <v>0.3</v>
      </c>
      <c r="AC1007" s="2" t="s">
        <v>200</v>
      </c>
      <c r="AD1007" s="4"/>
      <c r="AE1007" s="4"/>
      <c r="AF1007" s="6">
        <v>74</v>
      </c>
      <c r="AG1007" s="6"/>
      <c r="AH1007" s="7">
        <v>1</v>
      </c>
      <c r="AI1007" s="4"/>
      <c r="AJ1007" s="4">
        <f>=ROUNDDOWN({0},0)</f>
      </c>
      <c r="AK1007" s="5"/>
      <c r="AL1007" s="2" t="s">
        <v>200</v>
      </c>
      <c r="AM1007" s="4"/>
      <c r="AN1007" s="4"/>
      <c r="AO1007" s="7"/>
      <c r="AP1007" s="4"/>
      <c r="AQ1007" s="8"/>
      <c r="AR1007" s="4"/>
      <c r="AS1007" s="8"/>
      <c r="AT1007" s="7"/>
      <c r="AU1007" s="7"/>
      <c r="AV1007" s="4"/>
      <c r="AW1007" s="8"/>
      <c r="AX1007" s="4"/>
      <c r="AY1007" s="8"/>
      <c r="AZ1007" s="7"/>
      <c r="BA1007" s="7"/>
      <c r="BB1007" s="7"/>
      <c r="BC1007" s="4" t="s">
        <v>200</v>
      </c>
      <c r="BD1007" s="8" t="s">
        <v>200</v>
      </c>
      <c r="BE1007" s="4" t="s">
        <v>200</v>
      </c>
      <c r="BF1007" s="8" t="s">
        <v>200</v>
      </c>
      <c r="BG1007" s="7" t="s">
        <v>200</v>
      </c>
      <c r="BH1007" s="7" t="s">
        <v>200</v>
      </c>
      <c r="BI1007" s="7"/>
      <c r="BJ1007" s="4">
        <v>2</v>
      </c>
      <c r="BK1007" s="8">
        <v>210.94</v>
      </c>
      <c r="BL1007" s="2" t="s">
        <v>5541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5852</v>
      </c>
      <c r="BV1007" s="2" t="s">
        <v>200</v>
      </c>
      <c r="BW1007" s="2" t="s">
        <v>200</v>
      </c>
      <c r="BX1007" s="2" t="s">
        <v>289</v>
      </c>
      <c r="BY1007" s="2" t="s">
        <v>247</v>
      </c>
      <c r="BZ1007" s="2" t="s">
        <v>212</v>
      </c>
      <c r="CA1007" s="2" t="s">
        <v>4827</v>
      </c>
      <c r="CB1007" s="2" t="s">
        <v>5853</v>
      </c>
      <c r="CC1007" s="2" t="s">
        <v>213</v>
      </c>
      <c r="CD1007" s="2" t="s">
        <v>200</v>
      </c>
      <c r="CE1007" s="4"/>
      <c r="CF1007" s="4">
        <v>233</v>
      </c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  <c r="GH1007" s="4"/>
    </row>
    <row r="1008">
      <c r="A1008" s="2" t="s">
        <v>5854</v>
      </c>
      <c r="B1008" s="2" t="s">
        <v>903</v>
      </c>
      <c r="C1008" s="2" t="s">
        <v>231</v>
      </c>
      <c r="D1008" s="2" t="s">
        <v>608</v>
      </c>
      <c r="E1008" s="2" t="s">
        <v>609</v>
      </c>
      <c r="F1008" s="2" t="s">
        <v>5842</v>
      </c>
      <c r="G1008" s="2" t="s">
        <v>5843</v>
      </c>
      <c r="H1008" s="2" t="s">
        <v>5844</v>
      </c>
      <c r="I1008" s="2" t="s">
        <v>5845</v>
      </c>
      <c r="J1008" s="2" t="s">
        <v>277</v>
      </c>
      <c r="K1008" s="2" t="s">
        <v>257</v>
      </c>
      <c r="L1008" s="3">
        <v>49.9</v>
      </c>
      <c r="M1008" s="3">
        <v>52.4</v>
      </c>
      <c r="N1008" s="3">
        <v>89.99</v>
      </c>
      <c r="O1008" s="2" t="s">
        <v>212</v>
      </c>
      <c r="P1008" s="2" t="s">
        <v>258</v>
      </c>
      <c r="Q1008" s="2" t="s">
        <v>206</v>
      </c>
      <c r="R1008" s="2" t="s">
        <v>200</v>
      </c>
      <c r="S1008" s="2" t="s">
        <v>5855</v>
      </c>
      <c r="T1008" s="2" t="s">
        <v>5847</v>
      </c>
      <c r="U1008" s="2" t="s">
        <v>1067</v>
      </c>
      <c r="V1008" s="2" t="s">
        <v>208</v>
      </c>
      <c r="W1008" s="2" t="s">
        <v>242</v>
      </c>
      <c r="X1008" s="2" t="s">
        <v>379</v>
      </c>
      <c r="Y1008" s="2" t="s">
        <v>261</v>
      </c>
      <c r="Z1008" s="4">
        <v>353</v>
      </c>
      <c r="AA1008" s="4">
        <f>=ROUNDDOWN(88.25,0)</f>
      </c>
      <c r="AB1008" s="5">
        <v>4</v>
      </c>
      <c r="AC1008" s="2" t="s">
        <v>200</v>
      </c>
      <c r="AD1008" s="4"/>
      <c r="AE1008" s="4"/>
      <c r="AF1008" s="6">
        <v>65</v>
      </c>
      <c r="AG1008" s="6">
        <v>48</v>
      </c>
      <c r="AH1008" s="7">
        <v>1</v>
      </c>
      <c r="AI1008" s="4"/>
      <c r="AJ1008" s="4">
        <f>=ROUNDDOWN({0},0)</f>
      </c>
      <c r="AK1008" s="5"/>
      <c r="AL1008" s="2" t="s">
        <v>200</v>
      </c>
      <c r="AM1008" s="4"/>
      <c r="AN1008" s="4"/>
      <c r="AO1008" s="7"/>
      <c r="AP1008" s="4"/>
      <c r="AQ1008" s="8"/>
      <c r="AR1008" s="4"/>
      <c r="AS1008" s="8"/>
      <c r="AT1008" s="7"/>
      <c r="AU1008" s="7"/>
      <c r="AV1008" s="4" t="s">
        <v>200</v>
      </c>
      <c r="AW1008" s="8" t="s">
        <v>200</v>
      </c>
      <c r="AX1008" s="4" t="s">
        <v>200</v>
      </c>
      <c r="AY1008" s="8" t="s">
        <v>200</v>
      </c>
      <c r="AZ1008" s="7" t="s">
        <v>200</v>
      </c>
      <c r="BA1008" s="7" t="s">
        <v>200</v>
      </c>
      <c r="BB1008" s="7"/>
      <c r="BC1008" s="4" t="s">
        <v>200</v>
      </c>
      <c r="BD1008" s="8" t="s">
        <v>200</v>
      </c>
      <c r="BE1008" s="4" t="s">
        <v>200</v>
      </c>
      <c r="BF1008" s="8" t="s">
        <v>200</v>
      </c>
      <c r="BG1008" s="7" t="s">
        <v>200</v>
      </c>
      <c r="BH1008" s="7" t="s">
        <v>200</v>
      </c>
      <c r="BI1008" s="7"/>
      <c r="BJ1008" s="4">
        <v>26</v>
      </c>
      <c r="BK1008" s="8">
        <v>1404.89</v>
      </c>
      <c r="BL1008" s="2" t="s">
        <v>5856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5857</v>
      </c>
      <c r="BV1008" s="2" t="s">
        <v>200</v>
      </c>
      <c r="BW1008" s="2" t="s">
        <v>200</v>
      </c>
      <c r="BX1008" s="2" t="s">
        <v>620</v>
      </c>
      <c r="BY1008" s="2" t="s">
        <v>247</v>
      </c>
      <c r="BZ1008" s="2" t="s">
        <v>212</v>
      </c>
      <c r="CA1008" s="2" t="s">
        <v>265</v>
      </c>
      <c r="CB1008" s="2" t="s">
        <v>1125</v>
      </c>
      <c r="CC1008" s="2" t="s">
        <v>213</v>
      </c>
      <c r="CD1008" s="2" t="s">
        <v>200</v>
      </c>
      <c r="CE1008" s="4">
        <v>49</v>
      </c>
      <c r="CF1008" s="4">
        <v>146</v>
      </c>
      <c r="CG1008" s="4"/>
      <c r="CH1008" s="4">
        <v>158</v>
      </c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  <c r="GG1008" s="4"/>
      <c r="GH1008" s="4"/>
    </row>
    <row r="1009">
      <c r="A1009" s="2" t="s">
        <v>5858</v>
      </c>
      <c r="B1009" s="2" t="s">
        <v>903</v>
      </c>
      <c r="C1009" s="2" t="s">
        <v>231</v>
      </c>
      <c r="D1009" s="2" t="s">
        <v>608</v>
      </c>
      <c r="E1009" s="2" t="s">
        <v>609</v>
      </c>
      <c r="F1009" s="2" t="s">
        <v>5842</v>
      </c>
      <c r="G1009" s="2" t="s">
        <v>5843</v>
      </c>
      <c r="H1009" s="2" t="s">
        <v>5844</v>
      </c>
      <c r="I1009" s="2" t="s">
        <v>5845</v>
      </c>
      <c r="J1009" s="2" t="s">
        <v>236</v>
      </c>
      <c r="K1009" s="2" t="s">
        <v>257</v>
      </c>
      <c r="L1009" s="3">
        <v>63.06</v>
      </c>
      <c r="M1009" s="3">
        <v>66.21</v>
      </c>
      <c r="N1009" s="3">
        <v>119.99</v>
      </c>
      <c r="O1009" s="2" t="s">
        <v>212</v>
      </c>
      <c r="P1009" s="2" t="s">
        <v>258</v>
      </c>
      <c r="Q1009" s="2" t="s">
        <v>206</v>
      </c>
      <c r="R1009" s="2" t="s">
        <v>200</v>
      </c>
      <c r="S1009" s="2" t="s">
        <v>5855</v>
      </c>
      <c r="T1009" s="2" t="s">
        <v>5847</v>
      </c>
      <c r="U1009" s="2" t="s">
        <v>1067</v>
      </c>
      <c r="V1009" s="2" t="s">
        <v>208</v>
      </c>
      <c r="W1009" s="2" t="s">
        <v>242</v>
      </c>
      <c r="X1009" s="2" t="s">
        <v>379</v>
      </c>
      <c r="Y1009" s="2" t="s">
        <v>261</v>
      </c>
      <c r="Z1009" s="4">
        <v>440</v>
      </c>
      <c r="AA1009" s="4">
        <f>=ROUNDDOWN(62.8571428571429,0)</f>
      </c>
      <c r="AB1009" s="5">
        <v>7</v>
      </c>
      <c r="AC1009" s="2" t="s">
        <v>200</v>
      </c>
      <c r="AD1009" s="4"/>
      <c r="AE1009" s="4"/>
      <c r="AF1009" s="6">
        <v>65</v>
      </c>
      <c r="AG1009" s="6">
        <v>48</v>
      </c>
      <c r="AH1009" s="7">
        <v>1</v>
      </c>
      <c r="AI1009" s="4"/>
      <c r="AJ1009" s="4">
        <f>=ROUNDDOWN({0},0)</f>
      </c>
      <c r="AK1009" s="5"/>
      <c r="AL1009" s="2" t="s">
        <v>200</v>
      </c>
      <c r="AM1009" s="4"/>
      <c r="AN1009" s="4"/>
      <c r="AO1009" s="7"/>
      <c r="AP1009" s="4"/>
      <c r="AQ1009" s="8"/>
      <c r="AR1009" s="4"/>
      <c r="AS1009" s="8"/>
      <c r="AT1009" s="7"/>
      <c r="AU1009" s="7"/>
      <c r="AV1009" s="4" t="s">
        <v>200</v>
      </c>
      <c r="AW1009" s="8" t="s">
        <v>200</v>
      </c>
      <c r="AX1009" s="4" t="s">
        <v>200</v>
      </c>
      <c r="AY1009" s="8" t="s">
        <v>200</v>
      </c>
      <c r="AZ1009" s="7" t="s">
        <v>200</v>
      </c>
      <c r="BA1009" s="7" t="s">
        <v>200</v>
      </c>
      <c r="BB1009" s="7"/>
      <c r="BC1009" s="4" t="s">
        <v>200</v>
      </c>
      <c r="BD1009" s="8" t="s">
        <v>200</v>
      </c>
      <c r="BE1009" s="4" t="s">
        <v>200</v>
      </c>
      <c r="BF1009" s="8" t="s">
        <v>200</v>
      </c>
      <c r="BG1009" s="7" t="s">
        <v>200</v>
      </c>
      <c r="BH1009" s="7" t="s">
        <v>200</v>
      </c>
      <c r="BI1009" s="7"/>
      <c r="BJ1009" s="4">
        <v>42</v>
      </c>
      <c r="BK1009" s="8">
        <v>2869.89</v>
      </c>
      <c r="BL1009" s="2" t="s">
        <v>5859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5860</v>
      </c>
      <c r="BV1009" s="2" t="s">
        <v>200</v>
      </c>
      <c r="BW1009" s="2" t="s">
        <v>200</v>
      </c>
      <c r="BX1009" s="2" t="s">
        <v>620</v>
      </c>
      <c r="BY1009" s="2" t="s">
        <v>247</v>
      </c>
      <c r="BZ1009" s="2" t="s">
        <v>212</v>
      </c>
      <c r="CA1009" s="2" t="s">
        <v>265</v>
      </c>
      <c r="CB1009" s="2" t="s">
        <v>1235</v>
      </c>
      <c r="CC1009" s="2" t="s">
        <v>213</v>
      </c>
      <c r="CD1009" s="2" t="s">
        <v>200</v>
      </c>
      <c r="CE1009" s="4">
        <v>62</v>
      </c>
      <c r="CF1009" s="4">
        <v>85</v>
      </c>
      <c r="CG1009" s="4"/>
      <c r="CH1009" s="4">
        <v>143</v>
      </c>
      <c r="CI1009" s="4"/>
      <c r="CJ1009" s="4"/>
      <c r="CK1009" s="4"/>
      <c r="CL1009" s="4"/>
      <c r="CM1009" s="4"/>
      <c r="CN1009" s="4"/>
      <c r="CO1009" s="4">
        <v>150</v>
      </c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</row>
    <row r="1010">
      <c r="A1010" s="2" t="s">
        <v>5861</v>
      </c>
      <c r="B1010" s="2" t="s">
        <v>744</v>
      </c>
      <c r="C1010" s="2" t="s">
        <v>607</v>
      </c>
      <c r="D1010" s="2" t="s">
        <v>988</v>
      </c>
      <c r="E1010" s="2" t="s">
        <v>210</v>
      </c>
      <c r="F1010" s="2" t="s">
        <v>5862</v>
      </c>
      <c r="G1010" s="2" t="s">
        <v>5862</v>
      </c>
      <c r="H1010" s="2" t="s">
        <v>5862</v>
      </c>
      <c r="I1010" s="2" t="s">
        <v>200</v>
      </c>
      <c r="J1010" s="2" t="s">
        <v>5863</v>
      </c>
      <c r="K1010" s="2" t="s">
        <v>237</v>
      </c>
      <c r="L1010" s="3">
        <v>180.71</v>
      </c>
      <c r="M1010" s="3"/>
      <c r="N1010" s="3"/>
      <c r="O1010" s="2" t="s">
        <v>204</v>
      </c>
      <c r="P1010" s="2" t="s">
        <v>200</v>
      </c>
      <c r="Q1010" s="2" t="s">
        <v>200</v>
      </c>
      <c r="R1010" s="2" t="s">
        <v>200</v>
      </c>
      <c r="S1010" s="2" t="s">
        <v>200</v>
      </c>
      <c r="T1010" s="2" t="s">
        <v>200</v>
      </c>
      <c r="U1010" s="2" t="s">
        <v>200</v>
      </c>
      <c r="V1010" s="2" t="s">
        <v>200</v>
      </c>
      <c r="W1010" s="2" t="s">
        <v>200</v>
      </c>
      <c r="X1010" s="2" t="s">
        <v>200</v>
      </c>
      <c r="Y1010" s="2" t="s">
        <v>200</v>
      </c>
      <c r="Z1010" s="4"/>
      <c r="AA1010" s="4">
        <f>=ROUNDDOWN({0},0)</f>
      </c>
      <c r="AB1010" s="5"/>
      <c r="AC1010" s="2" t="s">
        <v>200</v>
      </c>
      <c r="AD1010" s="4"/>
      <c r="AE1010" s="4"/>
      <c r="AF1010" s="6"/>
      <c r="AG1010" s="6"/>
      <c r="AH1010" s="7"/>
      <c r="AI1010" s="4"/>
      <c r="AJ1010" s="4">
        <f>=ROUNDDOWN({0},0)</f>
      </c>
      <c r="AK1010" s="5"/>
      <c r="AL1010" s="2" t="s">
        <v>200</v>
      </c>
      <c r="AM1010" s="4"/>
      <c r="AN1010" s="4"/>
      <c r="AO1010" s="7"/>
      <c r="AP1010" s="4"/>
      <c r="AQ1010" s="8"/>
      <c r="AR1010" s="4"/>
      <c r="AS1010" s="8"/>
      <c r="AT1010" s="7"/>
      <c r="AU1010" s="7"/>
      <c r="AV1010" s="4"/>
      <c r="AW1010" s="8"/>
      <c r="AX1010" s="4"/>
      <c r="AY1010" s="8"/>
      <c r="AZ1010" s="7"/>
      <c r="BA1010" s="7"/>
      <c r="BB1010" s="7"/>
      <c r="BC1010" s="4"/>
      <c r="BD1010" s="8"/>
      <c r="BE1010" s="4"/>
      <c r="BF1010" s="8"/>
      <c r="BG1010" s="7"/>
      <c r="BH1010" s="7"/>
      <c r="BI1010" s="7"/>
      <c r="BJ1010" s="4"/>
      <c r="BK1010" s="8"/>
      <c r="BL1010" s="2" t="s">
        <v>200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200</v>
      </c>
      <c r="BV1010" s="2" t="s">
        <v>200</v>
      </c>
      <c r="BW1010" s="2" t="s">
        <v>200</v>
      </c>
      <c r="BX1010" s="2" t="s">
        <v>200</v>
      </c>
      <c r="BY1010" s="2" t="s">
        <v>200</v>
      </c>
      <c r="BZ1010" s="2" t="s">
        <v>200</v>
      </c>
      <c r="CA1010" s="2" t="s">
        <v>200</v>
      </c>
      <c r="CB1010" s="2" t="s">
        <v>200</v>
      </c>
      <c r="CC1010" s="2" t="s">
        <v>200</v>
      </c>
      <c r="CD1010" s="2" t="s">
        <v>200</v>
      </c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  <c r="FX1010" s="4"/>
      <c r="FY1010" s="4"/>
      <c r="FZ1010" s="4"/>
      <c r="GA1010" s="4"/>
      <c r="GB1010" s="4"/>
      <c r="GC1010" s="4"/>
      <c r="GD1010" s="4"/>
      <c r="GE1010" s="4"/>
      <c r="GF1010" s="4"/>
      <c r="GG1010" s="4"/>
      <c r="GH1010" s="4"/>
    </row>
    <row r="1011">
      <c r="A1011" s="2" t="s">
        <v>5864</v>
      </c>
      <c r="B1011" s="2" t="s">
        <v>195</v>
      </c>
      <c r="C1011" s="2" t="s">
        <v>3397</v>
      </c>
      <c r="D1011" s="2" t="s">
        <v>608</v>
      </c>
      <c r="E1011" s="2" t="s">
        <v>1324</v>
      </c>
      <c r="F1011" s="2" t="s">
        <v>5865</v>
      </c>
      <c r="G1011" s="2" t="s">
        <v>5866</v>
      </c>
      <c r="H1011" s="2" t="s">
        <v>5866</v>
      </c>
      <c r="I1011" s="2" t="s">
        <v>5867</v>
      </c>
      <c r="J1011" s="2" t="s">
        <v>612</v>
      </c>
      <c r="K1011" s="2" t="s">
        <v>436</v>
      </c>
      <c r="L1011" s="3">
        <v>40.4</v>
      </c>
      <c r="M1011" s="3">
        <v>42.42</v>
      </c>
      <c r="N1011" s="3">
        <v>89.99</v>
      </c>
      <c r="O1011" s="2" t="s">
        <v>460</v>
      </c>
      <c r="P1011" s="2" t="s">
        <v>285</v>
      </c>
      <c r="Q1011" s="2" t="s">
        <v>206</v>
      </c>
      <c r="R1011" s="2" t="s">
        <v>200</v>
      </c>
      <c r="S1011" s="2" t="s">
        <v>5868</v>
      </c>
      <c r="T1011" s="2" t="s">
        <v>5055</v>
      </c>
      <c r="U1011" s="2" t="s">
        <v>454</v>
      </c>
      <c r="V1011" s="2" t="s">
        <v>208</v>
      </c>
      <c r="W1011" s="2" t="s">
        <v>241</v>
      </c>
      <c r="X1011" s="2" t="s">
        <v>200</v>
      </c>
      <c r="Y1011" s="2" t="s">
        <v>1008</v>
      </c>
      <c r="Z1011" s="4">
        <v>534</v>
      </c>
      <c r="AA1011" s="4">
        <f>=ROUNDDOWN(184.137931034483,0)</f>
      </c>
      <c r="AB1011" s="5">
        <v>2.9</v>
      </c>
      <c r="AC1011" s="2" t="s">
        <v>200</v>
      </c>
      <c r="AD1011" s="4"/>
      <c r="AE1011" s="4"/>
      <c r="AF1011" s="6">
        <v>65</v>
      </c>
      <c r="AG1011" s="6"/>
      <c r="AH1011" s="7">
        <v>1</v>
      </c>
      <c r="AI1011" s="4"/>
      <c r="AJ1011" s="4">
        <f>=ROUNDDOWN({0},0)</f>
      </c>
      <c r="AK1011" s="5"/>
      <c r="AL1011" s="2" t="s">
        <v>200</v>
      </c>
      <c r="AM1011" s="4"/>
      <c r="AN1011" s="4"/>
      <c r="AO1011" s="7"/>
      <c r="AP1011" s="4"/>
      <c r="AQ1011" s="8"/>
      <c r="AR1011" s="4"/>
      <c r="AS1011" s="8"/>
      <c r="AT1011" s="7"/>
      <c r="AU1011" s="7"/>
      <c r="AV1011" s="4"/>
      <c r="AW1011" s="8"/>
      <c r="AX1011" s="4"/>
      <c r="AY1011" s="8"/>
      <c r="AZ1011" s="7"/>
      <c r="BA1011" s="7"/>
      <c r="BB1011" s="7"/>
      <c r="BC1011" s="4"/>
      <c r="BD1011" s="8"/>
      <c r="BE1011" s="4"/>
      <c r="BF1011" s="8"/>
      <c r="BG1011" s="7"/>
      <c r="BH1011" s="7"/>
      <c r="BI1011" s="7"/>
      <c r="BJ1011" s="4">
        <v>13</v>
      </c>
      <c r="BK1011" s="8">
        <v>324.22</v>
      </c>
      <c r="BL1011" s="2" t="s">
        <v>5869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5870</v>
      </c>
      <c r="BV1011" s="2" t="s">
        <v>200</v>
      </c>
      <c r="BW1011" s="2" t="s">
        <v>200</v>
      </c>
      <c r="BX1011" s="2" t="s">
        <v>289</v>
      </c>
      <c r="BY1011" s="2" t="s">
        <v>247</v>
      </c>
      <c r="BZ1011" s="2" t="s">
        <v>212</v>
      </c>
      <c r="CA1011" s="2" t="s">
        <v>5871</v>
      </c>
      <c r="CB1011" s="2" t="s">
        <v>1777</v>
      </c>
      <c r="CC1011" s="2" t="s">
        <v>213</v>
      </c>
      <c r="CD1011" s="2" t="s">
        <v>200</v>
      </c>
      <c r="CE1011" s="4">
        <v>534</v>
      </c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</row>
    <row r="1012">
      <c r="A1012" s="2" t="s">
        <v>5872</v>
      </c>
      <c r="B1012" s="2" t="s">
        <v>903</v>
      </c>
      <c r="C1012" s="2" t="s">
        <v>231</v>
      </c>
      <c r="D1012" s="2" t="s">
        <v>608</v>
      </c>
      <c r="E1012" s="2" t="s">
        <v>904</v>
      </c>
      <c r="F1012" s="2" t="s">
        <v>5873</v>
      </c>
      <c r="G1012" s="2" t="s">
        <v>5874</v>
      </c>
      <c r="H1012" s="2" t="s">
        <v>5875</v>
      </c>
      <c r="I1012" s="2" t="s">
        <v>5876</v>
      </c>
      <c r="J1012" s="2" t="s">
        <v>302</v>
      </c>
      <c r="K1012" s="2" t="s">
        <v>1380</v>
      </c>
      <c r="L1012" s="3">
        <v>107.8</v>
      </c>
      <c r="M1012" s="3">
        <v>113.18</v>
      </c>
      <c r="N1012" s="3">
        <v>219.99</v>
      </c>
      <c r="O1012" s="2" t="s">
        <v>212</v>
      </c>
      <c r="P1012" s="2" t="s">
        <v>285</v>
      </c>
      <c r="Q1012" s="2" t="s">
        <v>206</v>
      </c>
      <c r="R1012" s="2" t="s">
        <v>200</v>
      </c>
      <c r="S1012" s="2" t="s">
        <v>5877</v>
      </c>
      <c r="T1012" s="2" t="s">
        <v>200</v>
      </c>
      <c r="U1012" s="2" t="s">
        <v>1930</v>
      </c>
      <c r="V1012" s="2" t="s">
        <v>1348</v>
      </c>
      <c r="W1012" s="2" t="s">
        <v>736</v>
      </c>
      <c r="X1012" s="2" t="s">
        <v>1825</v>
      </c>
      <c r="Y1012" s="2" t="s">
        <v>261</v>
      </c>
      <c r="Z1012" s="4">
        <v>216</v>
      </c>
      <c r="AA1012" s="4">
        <f>=ROUNDDOWN(30.8571428571429,0)</f>
      </c>
      <c r="AB1012" s="5">
        <v>7</v>
      </c>
      <c r="AC1012" s="2" t="s">
        <v>200</v>
      </c>
      <c r="AD1012" s="4"/>
      <c r="AE1012" s="4"/>
      <c r="AF1012" s="6">
        <v>65</v>
      </c>
      <c r="AG1012" s="6"/>
      <c r="AH1012" s="7">
        <v>1</v>
      </c>
      <c r="AI1012" s="4"/>
      <c r="AJ1012" s="4">
        <f>=ROUNDDOWN({0},0)</f>
      </c>
      <c r="AK1012" s="5"/>
      <c r="AL1012" s="2" t="s">
        <v>200</v>
      </c>
      <c r="AM1012" s="4"/>
      <c r="AN1012" s="4"/>
      <c r="AO1012" s="7"/>
      <c r="AP1012" s="4"/>
      <c r="AQ1012" s="8"/>
      <c r="AR1012" s="4"/>
      <c r="AS1012" s="8"/>
      <c r="AT1012" s="7"/>
      <c r="AU1012" s="7"/>
      <c r="AV1012" s="4"/>
      <c r="AW1012" s="8"/>
      <c r="AX1012" s="4"/>
      <c r="AY1012" s="8"/>
      <c r="AZ1012" s="7"/>
      <c r="BA1012" s="7"/>
      <c r="BB1012" s="7"/>
      <c r="BC1012" s="4"/>
      <c r="BD1012" s="8"/>
      <c r="BE1012" s="4"/>
      <c r="BF1012" s="8"/>
      <c r="BG1012" s="7"/>
      <c r="BH1012" s="7"/>
      <c r="BI1012" s="7"/>
      <c r="BJ1012" s="4">
        <v>31</v>
      </c>
      <c r="BK1012" s="8">
        <v>2673.35</v>
      </c>
      <c r="BL1012" s="2" t="s">
        <v>3035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5878</v>
      </c>
      <c r="BV1012" s="2" t="s">
        <v>200</v>
      </c>
      <c r="BW1012" s="2" t="s">
        <v>200</v>
      </c>
      <c r="BX1012" s="2" t="s">
        <v>289</v>
      </c>
      <c r="BY1012" s="2" t="s">
        <v>247</v>
      </c>
      <c r="BZ1012" s="2" t="s">
        <v>212</v>
      </c>
      <c r="CA1012" s="2" t="s">
        <v>5879</v>
      </c>
      <c r="CB1012" s="2" t="s">
        <v>5880</v>
      </c>
      <c r="CC1012" s="2" t="s">
        <v>213</v>
      </c>
      <c r="CD1012" s="2" t="s">
        <v>200</v>
      </c>
      <c r="CE1012" s="4">
        <v>216</v>
      </c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</row>
    <row r="1013">
      <c r="A1013" s="2" t="s">
        <v>5881</v>
      </c>
      <c r="B1013" s="2" t="s">
        <v>744</v>
      </c>
      <c r="C1013" s="2" t="s">
        <v>745</v>
      </c>
      <c r="D1013" s="2" t="s">
        <v>1806</v>
      </c>
      <c r="E1013" s="2" t="s">
        <v>1807</v>
      </c>
      <c r="F1013" s="2" t="s">
        <v>5882</v>
      </c>
      <c r="G1013" s="2" t="s">
        <v>5882</v>
      </c>
      <c r="H1013" s="2" t="s">
        <v>5882</v>
      </c>
      <c r="I1013" s="2" t="s">
        <v>5883</v>
      </c>
      <c r="J1013" s="2" t="s">
        <v>711</v>
      </c>
      <c r="K1013" s="2" t="s">
        <v>5884</v>
      </c>
      <c r="L1013" s="3">
        <v>225</v>
      </c>
      <c r="M1013" s="3">
        <v>236.25</v>
      </c>
      <c r="N1013" s="3">
        <v>459</v>
      </c>
      <c r="O1013" s="2" t="s">
        <v>212</v>
      </c>
      <c r="P1013" s="2" t="s">
        <v>205</v>
      </c>
      <c r="Q1013" s="2" t="s">
        <v>206</v>
      </c>
      <c r="R1013" s="2" t="s">
        <v>200</v>
      </c>
      <c r="S1013" s="2" t="s">
        <v>200</v>
      </c>
      <c r="T1013" s="2" t="s">
        <v>200</v>
      </c>
      <c r="U1013" s="2" t="s">
        <v>270</v>
      </c>
      <c r="V1013" s="2" t="s">
        <v>616</v>
      </c>
      <c r="W1013" s="2" t="s">
        <v>379</v>
      </c>
      <c r="X1013" s="2" t="s">
        <v>200</v>
      </c>
      <c r="Y1013" s="2" t="s">
        <v>5663</v>
      </c>
      <c r="Z1013" s="4">
        <v>99</v>
      </c>
      <c r="AA1013" s="4">
        <f>=ROUNDDOWN({0},0)</f>
      </c>
      <c r="AB1013" s="5"/>
      <c r="AC1013" s="2" t="s">
        <v>200</v>
      </c>
      <c r="AD1013" s="4"/>
      <c r="AE1013" s="4"/>
      <c r="AF1013" s="6">
        <v>76</v>
      </c>
      <c r="AG1013" s="6"/>
      <c r="AH1013" s="7">
        <v>1</v>
      </c>
      <c r="AI1013" s="4"/>
      <c r="AJ1013" s="4">
        <f>=ROUNDDOWN({0},0)</f>
      </c>
      <c r="AK1013" s="5"/>
      <c r="AL1013" s="2" t="s">
        <v>200</v>
      </c>
      <c r="AM1013" s="4"/>
      <c r="AN1013" s="4"/>
      <c r="AO1013" s="7"/>
      <c r="AP1013" s="4"/>
      <c r="AQ1013" s="8"/>
      <c r="AR1013" s="4"/>
      <c r="AS1013" s="8"/>
      <c r="AT1013" s="7"/>
      <c r="AU1013" s="7"/>
      <c r="AV1013" s="4"/>
      <c r="AW1013" s="8"/>
      <c r="AX1013" s="4"/>
      <c r="AY1013" s="8"/>
      <c r="AZ1013" s="7"/>
      <c r="BA1013" s="7"/>
      <c r="BB1013" s="7"/>
      <c r="BC1013" s="4"/>
      <c r="BD1013" s="8"/>
      <c r="BE1013" s="4"/>
      <c r="BF1013" s="8"/>
      <c r="BG1013" s="7"/>
      <c r="BH1013" s="7"/>
      <c r="BI1013" s="7"/>
      <c r="BJ1013" s="4"/>
      <c r="BK1013" s="8"/>
      <c r="BL1013" s="2" t="s">
        <v>200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5885</v>
      </c>
      <c r="BV1013" s="2" t="s">
        <v>200</v>
      </c>
      <c r="BW1013" s="2" t="s">
        <v>200</v>
      </c>
      <c r="BX1013" s="2" t="s">
        <v>264</v>
      </c>
      <c r="BY1013" s="2" t="s">
        <v>247</v>
      </c>
      <c r="BZ1013" s="2" t="s">
        <v>212</v>
      </c>
      <c r="CA1013" s="2" t="s">
        <v>3598</v>
      </c>
      <c r="CB1013" s="2" t="s">
        <v>200</v>
      </c>
      <c r="CC1013" s="2" t="s">
        <v>213</v>
      </c>
      <c r="CD1013" s="2" t="s">
        <v>200</v>
      </c>
      <c r="CE1013" s="4"/>
      <c r="CF1013" s="4">
        <v>99</v>
      </c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/>
      <c r="GD1013" s="4"/>
      <c r="GE1013" s="4"/>
      <c r="GF1013" s="4"/>
      <c r="GG1013" s="4"/>
      <c r="GH1013" s="4"/>
    </row>
    <row r="1014">
      <c r="A1014" s="2" t="s">
        <v>5886</v>
      </c>
      <c r="B1014" s="2" t="s">
        <v>719</v>
      </c>
      <c r="C1014" s="2" t="s">
        <v>231</v>
      </c>
      <c r="D1014" s="2" t="s">
        <v>1542</v>
      </c>
      <c r="E1014" s="2" t="s">
        <v>2060</v>
      </c>
      <c r="F1014" s="2" t="s">
        <v>5887</v>
      </c>
      <c r="G1014" s="2" t="s">
        <v>5888</v>
      </c>
      <c r="H1014" s="2" t="s">
        <v>5887</v>
      </c>
      <c r="I1014" s="2" t="s">
        <v>5889</v>
      </c>
      <c r="J1014" s="2" t="s">
        <v>711</v>
      </c>
      <c r="K1014" s="2" t="s">
        <v>4414</v>
      </c>
      <c r="L1014" s="3">
        <v>34.2</v>
      </c>
      <c r="M1014" s="3">
        <v>35.91</v>
      </c>
      <c r="N1014" s="3">
        <v>67.99</v>
      </c>
      <c r="O1014" s="2" t="s">
        <v>212</v>
      </c>
      <c r="P1014" s="2" t="s">
        <v>750</v>
      </c>
      <c r="Q1014" s="2" t="s">
        <v>206</v>
      </c>
      <c r="R1014" s="2" t="s">
        <v>200</v>
      </c>
      <c r="S1014" s="2" t="s">
        <v>5890</v>
      </c>
      <c r="T1014" s="2" t="s">
        <v>200</v>
      </c>
      <c r="U1014" s="2" t="s">
        <v>270</v>
      </c>
      <c r="V1014" s="2" t="s">
        <v>1348</v>
      </c>
      <c r="W1014" s="2" t="s">
        <v>1975</v>
      </c>
      <c r="X1014" s="2" t="s">
        <v>241</v>
      </c>
      <c r="Y1014" s="2" t="s">
        <v>4416</v>
      </c>
      <c r="Z1014" s="4">
        <v>85</v>
      </c>
      <c r="AA1014" s="4">
        <f>=ROUNDDOWN(21.25,0)</f>
      </c>
      <c r="AB1014" s="5">
        <v>4</v>
      </c>
      <c r="AC1014" s="2" t="s">
        <v>200</v>
      </c>
      <c r="AD1014" s="4"/>
      <c r="AE1014" s="4"/>
      <c r="AF1014" s="6">
        <v>63</v>
      </c>
      <c r="AG1014" s="6"/>
      <c r="AH1014" s="7">
        <v>0.9</v>
      </c>
      <c r="AI1014" s="4"/>
      <c r="AJ1014" s="4">
        <f>=ROUNDDOWN({0},0)</f>
      </c>
      <c r="AK1014" s="5"/>
      <c r="AL1014" s="2" t="s">
        <v>200</v>
      </c>
      <c r="AM1014" s="4"/>
      <c r="AN1014" s="4"/>
      <c r="AO1014" s="7"/>
      <c r="AP1014" s="4"/>
      <c r="AQ1014" s="8"/>
      <c r="AR1014" s="4"/>
      <c r="AS1014" s="8"/>
      <c r="AT1014" s="7"/>
      <c r="AU1014" s="7"/>
      <c r="AV1014" s="4"/>
      <c r="AW1014" s="8"/>
      <c r="AX1014" s="4"/>
      <c r="AY1014" s="8"/>
      <c r="AZ1014" s="7"/>
      <c r="BA1014" s="7"/>
      <c r="BB1014" s="7"/>
      <c r="BC1014" s="4"/>
      <c r="BD1014" s="8"/>
      <c r="BE1014" s="4"/>
      <c r="BF1014" s="8"/>
      <c r="BG1014" s="7"/>
      <c r="BH1014" s="7"/>
      <c r="BI1014" s="7"/>
      <c r="BJ1014" s="4">
        <v>25</v>
      </c>
      <c r="BK1014" s="8">
        <v>1051.09</v>
      </c>
      <c r="BL1014" s="2" t="s">
        <v>5891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5892</v>
      </c>
      <c r="BV1014" s="2" t="s">
        <v>200</v>
      </c>
      <c r="BW1014" s="2" t="s">
        <v>200</v>
      </c>
      <c r="BX1014" s="2" t="s">
        <v>264</v>
      </c>
      <c r="BY1014" s="2" t="s">
        <v>247</v>
      </c>
      <c r="BZ1014" s="2" t="s">
        <v>212</v>
      </c>
      <c r="CA1014" s="2" t="s">
        <v>4418</v>
      </c>
      <c r="CB1014" s="2" t="s">
        <v>5893</v>
      </c>
      <c r="CC1014" s="2" t="s">
        <v>213</v>
      </c>
      <c r="CD1014" s="2" t="s">
        <v>200</v>
      </c>
      <c r="CE1014" s="4"/>
      <c r="CF1014" s="4">
        <v>85</v>
      </c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</row>
    <row r="1015">
      <c r="A1015" s="2" t="s">
        <v>5894</v>
      </c>
      <c r="B1015" s="2" t="s">
        <v>903</v>
      </c>
      <c r="C1015" s="2" t="s">
        <v>231</v>
      </c>
      <c r="D1015" s="2" t="s">
        <v>608</v>
      </c>
      <c r="E1015" s="2" t="s">
        <v>609</v>
      </c>
      <c r="F1015" s="2" t="s">
        <v>5895</v>
      </c>
      <c r="G1015" s="2" t="s">
        <v>5896</v>
      </c>
      <c r="H1015" s="2" t="s">
        <v>5897</v>
      </c>
      <c r="I1015" s="2" t="s">
        <v>5898</v>
      </c>
      <c r="J1015" s="2" t="s">
        <v>924</v>
      </c>
      <c r="K1015" s="2" t="s">
        <v>565</v>
      </c>
      <c r="L1015" s="3">
        <v>50.28</v>
      </c>
      <c r="M1015" s="3">
        <v>52.79</v>
      </c>
      <c r="N1015" s="3">
        <v>109.99</v>
      </c>
      <c r="O1015" s="2" t="s">
        <v>212</v>
      </c>
      <c r="P1015" s="2" t="s">
        <v>205</v>
      </c>
      <c r="Q1015" s="2" t="s">
        <v>206</v>
      </c>
      <c r="R1015" s="2" t="s">
        <v>200</v>
      </c>
      <c r="S1015" s="2" t="s">
        <v>5899</v>
      </c>
      <c r="T1015" s="2" t="s">
        <v>2935</v>
      </c>
      <c r="U1015" s="2" t="s">
        <v>615</v>
      </c>
      <c r="V1015" s="2" t="s">
        <v>208</v>
      </c>
      <c r="W1015" s="2" t="s">
        <v>242</v>
      </c>
      <c r="X1015" s="2" t="s">
        <v>200</v>
      </c>
      <c r="Y1015" s="2" t="s">
        <v>3701</v>
      </c>
      <c r="Z1015" s="4"/>
      <c r="AA1015" s="4">
        <f>=ROUNDDOWN({0},0)</f>
      </c>
      <c r="AB1015" s="5">
        <v>15</v>
      </c>
      <c r="AC1015" s="2" t="s">
        <v>3916</v>
      </c>
      <c r="AD1015" s="4">
        <v>380</v>
      </c>
      <c r="AE1015" s="4">
        <v>430</v>
      </c>
      <c r="AF1015" s="6">
        <v>64</v>
      </c>
      <c r="AG1015" s="6"/>
      <c r="AH1015" s="7">
        <v>0</v>
      </c>
      <c r="AI1015" s="4"/>
      <c r="AJ1015" s="4">
        <f>=ROUNDDOWN({0},0)</f>
      </c>
      <c r="AK1015" s="5"/>
      <c r="AL1015" s="2" t="s">
        <v>200</v>
      </c>
      <c r="AM1015" s="4"/>
      <c r="AN1015" s="4"/>
      <c r="AO1015" s="7"/>
      <c r="AP1015" s="4"/>
      <c r="AQ1015" s="8"/>
      <c r="AR1015" s="4"/>
      <c r="AS1015" s="8"/>
      <c r="AT1015" s="7"/>
      <c r="AU1015" s="7"/>
      <c r="AV1015" s="4"/>
      <c r="AW1015" s="8"/>
      <c r="AX1015" s="4"/>
      <c r="AY1015" s="8"/>
      <c r="AZ1015" s="7"/>
      <c r="BA1015" s="7"/>
      <c r="BB1015" s="7"/>
      <c r="BC1015" s="4"/>
      <c r="BD1015" s="8"/>
      <c r="BE1015" s="4"/>
      <c r="BF1015" s="8"/>
      <c r="BG1015" s="7"/>
      <c r="BH1015" s="7"/>
      <c r="BI1015" s="7"/>
      <c r="BJ1015" s="4">
        <v>4</v>
      </c>
      <c r="BK1015" s="8">
        <v>231.28</v>
      </c>
      <c r="BL1015" s="2" t="s">
        <v>1259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5900</v>
      </c>
      <c r="BV1015" s="2" t="s">
        <v>200</v>
      </c>
      <c r="BW1015" s="2" t="s">
        <v>200</v>
      </c>
      <c r="BX1015" s="2" t="s">
        <v>264</v>
      </c>
      <c r="BY1015" s="2" t="s">
        <v>247</v>
      </c>
      <c r="BZ1015" s="2" t="s">
        <v>212</v>
      </c>
      <c r="CA1015" s="2" t="s">
        <v>2373</v>
      </c>
      <c r="CB1015" s="2" t="s">
        <v>2084</v>
      </c>
      <c r="CC1015" s="2" t="s">
        <v>213</v>
      </c>
      <c r="CD1015" s="2" t="s">
        <v>200</v>
      </c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>
        <v>380</v>
      </c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>
        <v>50</v>
      </c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</row>
    <row r="1016">
      <c r="A1016" s="2" t="s">
        <v>5901</v>
      </c>
      <c r="B1016" s="2" t="s">
        <v>827</v>
      </c>
      <c r="C1016" s="2" t="s">
        <v>231</v>
      </c>
      <c r="D1016" s="2" t="s">
        <v>828</v>
      </c>
      <c r="E1016" s="2" t="s">
        <v>1588</v>
      </c>
      <c r="F1016" s="2" t="s">
        <v>5902</v>
      </c>
      <c r="G1016" s="2" t="s">
        <v>5903</v>
      </c>
      <c r="H1016" s="2" t="s">
        <v>5904</v>
      </c>
      <c r="I1016" s="2" t="s">
        <v>5905</v>
      </c>
      <c r="J1016" s="2" t="s">
        <v>4001</v>
      </c>
      <c r="K1016" s="2" t="s">
        <v>1135</v>
      </c>
      <c r="L1016" s="3">
        <v>11.88</v>
      </c>
      <c r="M1016" s="3">
        <v>12.47</v>
      </c>
      <c r="N1016" s="3">
        <v>26.99</v>
      </c>
      <c r="O1016" s="2" t="s">
        <v>212</v>
      </c>
      <c r="P1016" s="2" t="s">
        <v>258</v>
      </c>
      <c r="Q1016" s="2" t="s">
        <v>206</v>
      </c>
      <c r="R1016" s="2" t="s">
        <v>200</v>
      </c>
      <c r="S1016" s="2" t="s">
        <v>5906</v>
      </c>
      <c r="T1016" s="2" t="s">
        <v>200</v>
      </c>
      <c r="U1016" s="2" t="s">
        <v>270</v>
      </c>
      <c r="V1016" s="2" t="s">
        <v>313</v>
      </c>
      <c r="W1016" s="2" t="s">
        <v>313</v>
      </c>
      <c r="X1016" s="2" t="s">
        <v>1588</v>
      </c>
      <c r="Y1016" s="2" t="s">
        <v>3418</v>
      </c>
      <c r="Z1016" s="4">
        <v>451</v>
      </c>
      <c r="AA1016" s="4">
        <f>=ROUNDDOWN(41,0)</f>
      </c>
      <c r="AB1016" s="5">
        <v>11</v>
      </c>
      <c r="AC1016" s="2" t="s">
        <v>119</v>
      </c>
      <c r="AD1016" s="4">
        <v>100</v>
      </c>
      <c r="AE1016" s="4">
        <v>340</v>
      </c>
      <c r="AF1016" s="6">
        <v>65</v>
      </c>
      <c r="AG1016" s="6"/>
      <c r="AH1016" s="7">
        <v>1</v>
      </c>
      <c r="AI1016" s="4"/>
      <c r="AJ1016" s="4">
        <f>=ROUNDDOWN({0},0)</f>
      </c>
      <c r="AK1016" s="5"/>
      <c r="AL1016" s="2" t="s">
        <v>200</v>
      </c>
      <c r="AM1016" s="4"/>
      <c r="AN1016" s="4"/>
      <c r="AO1016" s="7"/>
      <c r="AP1016" s="4"/>
      <c r="AQ1016" s="8"/>
      <c r="AR1016" s="4"/>
      <c r="AS1016" s="8"/>
      <c r="AT1016" s="7"/>
      <c r="AU1016" s="7"/>
      <c r="AV1016" s="4"/>
      <c r="AW1016" s="8"/>
      <c r="AX1016" s="4"/>
      <c r="AY1016" s="8"/>
      <c r="AZ1016" s="7"/>
      <c r="BA1016" s="7"/>
      <c r="BB1016" s="7"/>
      <c r="BC1016" s="4"/>
      <c r="BD1016" s="8"/>
      <c r="BE1016" s="4"/>
      <c r="BF1016" s="8"/>
      <c r="BG1016" s="7"/>
      <c r="BH1016" s="7"/>
      <c r="BI1016" s="7"/>
      <c r="BJ1016" s="4">
        <v>21</v>
      </c>
      <c r="BK1016" s="8">
        <v>262.1</v>
      </c>
      <c r="BL1016" s="2" t="s">
        <v>5907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5908</v>
      </c>
      <c r="BV1016" s="2" t="s">
        <v>200</v>
      </c>
      <c r="BW1016" s="2" t="s">
        <v>200</v>
      </c>
      <c r="BX1016" s="2" t="s">
        <v>620</v>
      </c>
      <c r="BY1016" s="2" t="s">
        <v>247</v>
      </c>
      <c r="BZ1016" s="2" t="s">
        <v>212</v>
      </c>
      <c r="CA1016" s="2" t="s">
        <v>5138</v>
      </c>
      <c r="CB1016" s="2" t="s">
        <v>5909</v>
      </c>
      <c r="CC1016" s="2" t="s">
        <v>213</v>
      </c>
      <c r="CD1016" s="2" t="s">
        <v>200</v>
      </c>
      <c r="CE1016" s="4">
        <v>451</v>
      </c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>
        <v>100</v>
      </c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>
        <v>240</v>
      </c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/>
      <c r="GF1016" s="4"/>
      <c r="GG1016" s="4"/>
      <c r="GH1016" s="4"/>
    </row>
    <row r="1017">
      <c r="A1017" s="2" t="s">
        <v>5910</v>
      </c>
      <c r="B1017" s="2" t="s">
        <v>744</v>
      </c>
      <c r="C1017" s="2" t="s">
        <v>745</v>
      </c>
      <c r="D1017" s="2" t="s">
        <v>1462</v>
      </c>
      <c r="E1017" s="2" t="s">
        <v>1463</v>
      </c>
      <c r="F1017" s="2" t="s">
        <v>5911</v>
      </c>
      <c r="G1017" s="2" t="s">
        <v>5911</v>
      </c>
      <c r="H1017" s="2" t="s">
        <v>5911</v>
      </c>
      <c r="I1017" s="2" t="s">
        <v>5912</v>
      </c>
      <c r="J1017" s="2" t="s">
        <v>711</v>
      </c>
      <c r="K1017" s="2" t="s">
        <v>2163</v>
      </c>
      <c r="L1017" s="3">
        <v>190</v>
      </c>
      <c r="M1017" s="3">
        <v>199.5</v>
      </c>
      <c r="N1017" s="3">
        <v>399</v>
      </c>
      <c r="O1017" s="2" t="s">
        <v>212</v>
      </c>
      <c r="P1017" s="2" t="s">
        <v>285</v>
      </c>
      <c r="Q1017" s="2" t="s">
        <v>206</v>
      </c>
      <c r="R1017" s="2" t="s">
        <v>200</v>
      </c>
      <c r="S1017" s="2" t="s">
        <v>200</v>
      </c>
      <c r="T1017" s="2" t="s">
        <v>200</v>
      </c>
      <c r="U1017" s="2" t="s">
        <v>677</v>
      </c>
      <c r="V1017" s="2" t="s">
        <v>208</v>
      </c>
      <c r="W1017" s="2" t="s">
        <v>379</v>
      </c>
      <c r="X1017" s="2" t="s">
        <v>712</v>
      </c>
      <c r="Y1017" s="2" t="s">
        <v>4603</v>
      </c>
      <c r="Z1017" s="4">
        <v>94</v>
      </c>
      <c r="AA1017" s="4">
        <f>=ROUNDDOWN(47,0)</f>
      </c>
      <c r="AB1017" s="5">
        <v>2</v>
      </c>
      <c r="AC1017" s="2" t="s">
        <v>200</v>
      </c>
      <c r="AD1017" s="4"/>
      <c r="AE1017" s="4"/>
      <c r="AF1017" s="6">
        <v>69</v>
      </c>
      <c r="AG1017" s="6"/>
      <c r="AH1017" s="7">
        <v>1</v>
      </c>
      <c r="AI1017" s="4"/>
      <c r="AJ1017" s="4">
        <f>=ROUNDDOWN({0},0)</f>
      </c>
      <c r="AK1017" s="5"/>
      <c r="AL1017" s="2" t="s">
        <v>200</v>
      </c>
      <c r="AM1017" s="4"/>
      <c r="AN1017" s="4"/>
      <c r="AO1017" s="7"/>
      <c r="AP1017" s="4"/>
      <c r="AQ1017" s="8"/>
      <c r="AR1017" s="4"/>
      <c r="AS1017" s="8"/>
      <c r="AT1017" s="7"/>
      <c r="AU1017" s="7"/>
      <c r="AV1017" s="4"/>
      <c r="AW1017" s="8"/>
      <c r="AX1017" s="4"/>
      <c r="AY1017" s="8"/>
      <c r="AZ1017" s="7"/>
      <c r="BA1017" s="7"/>
      <c r="BB1017" s="7"/>
      <c r="BC1017" s="4"/>
      <c r="BD1017" s="8"/>
      <c r="BE1017" s="4"/>
      <c r="BF1017" s="8"/>
      <c r="BG1017" s="7"/>
      <c r="BH1017" s="7"/>
      <c r="BI1017" s="7"/>
      <c r="BJ1017" s="4"/>
      <c r="BK1017" s="8"/>
      <c r="BL1017" s="2" t="s">
        <v>439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5913</v>
      </c>
      <c r="BV1017" s="2" t="s">
        <v>200</v>
      </c>
      <c r="BW1017" s="2" t="s">
        <v>200</v>
      </c>
      <c r="BX1017" s="2" t="s">
        <v>289</v>
      </c>
      <c r="BY1017" s="2" t="s">
        <v>247</v>
      </c>
      <c r="BZ1017" s="2" t="s">
        <v>212</v>
      </c>
      <c r="CA1017" s="2" t="s">
        <v>5914</v>
      </c>
      <c r="CB1017" s="2" t="s">
        <v>3018</v>
      </c>
      <c r="CC1017" s="2" t="s">
        <v>213</v>
      </c>
      <c r="CD1017" s="2" t="s">
        <v>200</v>
      </c>
      <c r="CE1017" s="4"/>
      <c r="CF1017" s="4">
        <v>94</v>
      </c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</row>
    <row r="1018">
      <c r="A1018" s="2" t="s">
        <v>5915</v>
      </c>
      <c r="B1018" s="2" t="s">
        <v>827</v>
      </c>
      <c r="C1018" s="2" t="s">
        <v>231</v>
      </c>
      <c r="D1018" s="2" t="s">
        <v>828</v>
      </c>
      <c r="E1018" s="2" t="s">
        <v>878</v>
      </c>
      <c r="F1018" s="2" t="s">
        <v>5916</v>
      </c>
      <c r="G1018" s="2" t="s">
        <v>5916</v>
      </c>
      <c r="H1018" s="2" t="s">
        <v>5916</v>
      </c>
      <c r="I1018" s="2" t="s">
        <v>5917</v>
      </c>
      <c r="J1018" s="2" t="s">
        <v>5918</v>
      </c>
      <c r="K1018" s="2" t="s">
        <v>257</v>
      </c>
      <c r="L1018" s="3">
        <v>12</v>
      </c>
      <c r="M1018" s="3">
        <v>12.6</v>
      </c>
      <c r="N1018" s="3">
        <v>22.99</v>
      </c>
      <c r="O1018" s="2" t="s">
        <v>212</v>
      </c>
      <c r="P1018" s="2" t="s">
        <v>675</v>
      </c>
      <c r="Q1018" s="2" t="s">
        <v>206</v>
      </c>
      <c r="R1018" s="2" t="s">
        <v>200</v>
      </c>
      <c r="S1018" s="2" t="s">
        <v>200</v>
      </c>
      <c r="T1018" s="2" t="s">
        <v>378</v>
      </c>
      <c r="U1018" s="2" t="s">
        <v>677</v>
      </c>
      <c r="V1018" s="2" t="s">
        <v>208</v>
      </c>
      <c r="W1018" s="2" t="s">
        <v>379</v>
      </c>
      <c r="X1018" s="2" t="s">
        <v>200</v>
      </c>
      <c r="Y1018" s="2" t="s">
        <v>200</v>
      </c>
      <c r="Z1018" s="4"/>
      <c r="AA1018" s="4">
        <f>=ROUNDDOWN({0},0)</f>
      </c>
      <c r="AB1018" s="5"/>
      <c r="AC1018" s="2" t="s">
        <v>125</v>
      </c>
      <c r="AD1018" s="4">
        <v>100</v>
      </c>
      <c r="AE1018" s="4">
        <v>200</v>
      </c>
      <c r="AF1018" s="6">
        <v>65</v>
      </c>
      <c r="AG1018" s="6"/>
      <c r="AH1018" s="7"/>
      <c r="AI1018" s="4"/>
      <c r="AJ1018" s="4">
        <f>=ROUNDDOWN({0},0)</f>
      </c>
      <c r="AK1018" s="5"/>
      <c r="AL1018" s="2" t="s">
        <v>200</v>
      </c>
      <c r="AM1018" s="4"/>
      <c r="AN1018" s="4"/>
      <c r="AO1018" s="7"/>
      <c r="AP1018" s="4"/>
      <c r="AQ1018" s="8"/>
      <c r="AR1018" s="4"/>
      <c r="AS1018" s="8"/>
      <c r="AT1018" s="7"/>
      <c r="AU1018" s="7"/>
      <c r="AV1018" s="4" t="s">
        <v>200</v>
      </c>
      <c r="AW1018" s="8" t="s">
        <v>200</v>
      </c>
      <c r="AX1018" s="4" t="s">
        <v>200</v>
      </c>
      <c r="AY1018" s="8" t="s">
        <v>200</v>
      </c>
      <c r="AZ1018" s="7" t="s">
        <v>200</v>
      </c>
      <c r="BA1018" s="7" t="s">
        <v>200</v>
      </c>
      <c r="BB1018" s="7"/>
      <c r="BC1018" s="4" t="s">
        <v>200</v>
      </c>
      <c r="BD1018" s="8" t="s">
        <v>200</v>
      </c>
      <c r="BE1018" s="4" t="s">
        <v>200</v>
      </c>
      <c r="BF1018" s="8" t="s">
        <v>200</v>
      </c>
      <c r="BG1018" s="7" t="s">
        <v>200</v>
      </c>
      <c r="BH1018" s="7" t="s">
        <v>200</v>
      </c>
      <c r="BI1018" s="7"/>
      <c r="BJ1018" s="4"/>
      <c r="BK1018" s="8"/>
      <c r="BL1018" s="2" t="s">
        <v>200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210</v>
      </c>
      <c r="BV1018" s="2" t="s">
        <v>200</v>
      </c>
      <c r="BW1018" s="2" t="s">
        <v>200</v>
      </c>
      <c r="BX1018" s="2" t="s">
        <v>210</v>
      </c>
      <c r="BY1018" s="2" t="s">
        <v>211</v>
      </c>
      <c r="BZ1018" s="2" t="s">
        <v>212</v>
      </c>
      <c r="CA1018" s="2" t="s">
        <v>200</v>
      </c>
      <c r="CB1018" s="2" t="s">
        <v>200</v>
      </c>
      <c r="CC1018" s="2" t="s">
        <v>213</v>
      </c>
      <c r="CD1018" s="2" t="s">
        <v>200</v>
      </c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>
        <v>100</v>
      </c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>
        <v>100</v>
      </c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</row>
    <row r="1019">
      <c r="A1019" s="2" t="s">
        <v>5919</v>
      </c>
      <c r="B1019" s="2" t="s">
        <v>827</v>
      </c>
      <c r="C1019" s="2" t="s">
        <v>231</v>
      </c>
      <c r="D1019" s="2" t="s">
        <v>828</v>
      </c>
      <c r="E1019" s="2" t="s">
        <v>878</v>
      </c>
      <c r="F1019" s="2" t="s">
        <v>5916</v>
      </c>
      <c r="G1019" s="2" t="s">
        <v>5916</v>
      </c>
      <c r="H1019" s="2" t="s">
        <v>5916</v>
      </c>
      <c r="I1019" s="2" t="s">
        <v>5917</v>
      </c>
      <c r="J1019" s="2" t="s">
        <v>1613</v>
      </c>
      <c r="K1019" s="2" t="s">
        <v>257</v>
      </c>
      <c r="L1019" s="3">
        <v>13</v>
      </c>
      <c r="M1019" s="3">
        <v>13.65</v>
      </c>
      <c r="N1019" s="3">
        <v>24.99</v>
      </c>
      <c r="O1019" s="2" t="s">
        <v>212</v>
      </c>
      <c r="P1019" s="2" t="s">
        <v>675</v>
      </c>
      <c r="Q1019" s="2" t="s">
        <v>206</v>
      </c>
      <c r="R1019" s="2" t="s">
        <v>200</v>
      </c>
      <c r="S1019" s="2" t="s">
        <v>200</v>
      </c>
      <c r="T1019" s="2" t="s">
        <v>378</v>
      </c>
      <c r="U1019" s="2" t="s">
        <v>677</v>
      </c>
      <c r="V1019" s="2" t="s">
        <v>208</v>
      </c>
      <c r="W1019" s="2" t="s">
        <v>379</v>
      </c>
      <c r="X1019" s="2" t="s">
        <v>200</v>
      </c>
      <c r="Y1019" s="2" t="s">
        <v>200</v>
      </c>
      <c r="Z1019" s="4"/>
      <c r="AA1019" s="4">
        <f>=ROUNDDOWN({0},0)</f>
      </c>
      <c r="AB1019" s="5"/>
      <c r="AC1019" s="2" t="s">
        <v>125</v>
      </c>
      <c r="AD1019" s="4">
        <v>500</v>
      </c>
      <c r="AE1019" s="4">
        <v>1000</v>
      </c>
      <c r="AF1019" s="6">
        <v>65</v>
      </c>
      <c r="AG1019" s="6"/>
      <c r="AH1019" s="7"/>
      <c r="AI1019" s="4"/>
      <c r="AJ1019" s="4">
        <f>=ROUNDDOWN({0},0)</f>
      </c>
      <c r="AK1019" s="5"/>
      <c r="AL1019" s="2" t="s">
        <v>200</v>
      </c>
      <c r="AM1019" s="4"/>
      <c r="AN1019" s="4"/>
      <c r="AO1019" s="7"/>
      <c r="AP1019" s="4"/>
      <c r="AQ1019" s="8"/>
      <c r="AR1019" s="4"/>
      <c r="AS1019" s="8"/>
      <c r="AT1019" s="7"/>
      <c r="AU1019" s="7"/>
      <c r="AV1019" s="4" t="s">
        <v>200</v>
      </c>
      <c r="AW1019" s="8" t="s">
        <v>200</v>
      </c>
      <c r="AX1019" s="4" t="s">
        <v>200</v>
      </c>
      <c r="AY1019" s="8" t="s">
        <v>200</v>
      </c>
      <c r="AZ1019" s="7" t="s">
        <v>200</v>
      </c>
      <c r="BA1019" s="7" t="s">
        <v>200</v>
      </c>
      <c r="BB1019" s="7"/>
      <c r="BC1019" s="4" t="s">
        <v>200</v>
      </c>
      <c r="BD1019" s="8" t="s">
        <v>200</v>
      </c>
      <c r="BE1019" s="4" t="s">
        <v>200</v>
      </c>
      <c r="BF1019" s="8" t="s">
        <v>200</v>
      </c>
      <c r="BG1019" s="7" t="s">
        <v>200</v>
      </c>
      <c r="BH1019" s="7" t="s">
        <v>200</v>
      </c>
      <c r="BI1019" s="7"/>
      <c r="BJ1019" s="4"/>
      <c r="BK1019" s="8"/>
      <c r="BL1019" s="2" t="s">
        <v>200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210</v>
      </c>
      <c r="BV1019" s="2" t="s">
        <v>200</v>
      </c>
      <c r="BW1019" s="2" t="s">
        <v>200</v>
      </c>
      <c r="BX1019" s="2" t="s">
        <v>210</v>
      </c>
      <c r="BY1019" s="2" t="s">
        <v>211</v>
      </c>
      <c r="BZ1019" s="2" t="s">
        <v>212</v>
      </c>
      <c r="CA1019" s="2" t="s">
        <v>200</v>
      </c>
      <c r="CB1019" s="2" t="s">
        <v>200</v>
      </c>
      <c r="CC1019" s="2" t="s">
        <v>213</v>
      </c>
      <c r="CD1019" s="2" t="s">
        <v>200</v>
      </c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>
        <v>500</v>
      </c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>
        <v>500</v>
      </c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</row>
    <row r="1020">
      <c r="A1020" s="2" t="s">
        <v>5920</v>
      </c>
      <c r="B1020" s="2" t="s">
        <v>827</v>
      </c>
      <c r="C1020" s="2" t="s">
        <v>231</v>
      </c>
      <c r="D1020" s="2" t="s">
        <v>828</v>
      </c>
      <c r="E1020" s="2" t="s">
        <v>878</v>
      </c>
      <c r="F1020" s="2" t="s">
        <v>5916</v>
      </c>
      <c r="G1020" s="2" t="s">
        <v>5916</v>
      </c>
      <c r="H1020" s="2" t="s">
        <v>5916</v>
      </c>
      <c r="I1020" s="2" t="s">
        <v>5917</v>
      </c>
      <c r="J1020" s="2" t="s">
        <v>5921</v>
      </c>
      <c r="K1020" s="2" t="s">
        <v>257</v>
      </c>
      <c r="L1020" s="3">
        <v>15.5</v>
      </c>
      <c r="M1020" s="3">
        <v>16.28</v>
      </c>
      <c r="N1020" s="3">
        <v>30.99</v>
      </c>
      <c r="O1020" s="2" t="s">
        <v>212</v>
      </c>
      <c r="P1020" s="2" t="s">
        <v>675</v>
      </c>
      <c r="Q1020" s="2" t="s">
        <v>206</v>
      </c>
      <c r="R1020" s="2" t="s">
        <v>200</v>
      </c>
      <c r="S1020" s="2" t="s">
        <v>200</v>
      </c>
      <c r="T1020" s="2" t="s">
        <v>378</v>
      </c>
      <c r="U1020" s="2" t="s">
        <v>677</v>
      </c>
      <c r="V1020" s="2" t="s">
        <v>208</v>
      </c>
      <c r="W1020" s="2" t="s">
        <v>379</v>
      </c>
      <c r="X1020" s="2" t="s">
        <v>200</v>
      </c>
      <c r="Y1020" s="2" t="s">
        <v>200</v>
      </c>
      <c r="Z1020" s="4"/>
      <c r="AA1020" s="4">
        <f>=ROUNDDOWN({0},0)</f>
      </c>
      <c r="AB1020" s="5"/>
      <c r="AC1020" s="2" t="s">
        <v>125</v>
      </c>
      <c r="AD1020" s="4">
        <v>252</v>
      </c>
      <c r="AE1020" s="4">
        <v>504</v>
      </c>
      <c r="AF1020" s="6">
        <v>65</v>
      </c>
      <c r="AG1020" s="6"/>
      <c r="AH1020" s="7"/>
      <c r="AI1020" s="4"/>
      <c r="AJ1020" s="4">
        <f>=ROUNDDOWN({0},0)</f>
      </c>
      <c r="AK1020" s="5"/>
      <c r="AL1020" s="2" t="s">
        <v>200</v>
      </c>
      <c r="AM1020" s="4"/>
      <c r="AN1020" s="4"/>
      <c r="AO1020" s="7"/>
      <c r="AP1020" s="4"/>
      <c r="AQ1020" s="8"/>
      <c r="AR1020" s="4"/>
      <c r="AS1020" s="8"/>
      <c r="AT1020" s="7"/>
      <c r="AU1020" s="7"/>
      <c r="AV1020" s="4" t="s">
        <v>200</v>
      </c>
      <c r="AW1020" s="8" t="s">
        <v>200</v>
      </c>
      <c r="AX1020" s="4" t="s">
        <v>200</v>
      </c>
      <c r="AY1020" s="8" t="s">
        <v>200</v>
      </c>
      <c r="AZ1020" s="7" t="s">
        <v>200</v>
      </c>
      <c r="BA1020" s="7" t="s">
        <v>200</v>
      </c>
      <c r="BB1020" s="7"/>
      <c r="BC1020" s="4" t="s">
        <v>200</v>
      </c>
      <c r="BD1020" s="8" t="s">
        <v>200</v>
      </c>
      <c r="BE1020" s="4" t="s">
        <v>200</v>
      </c>
      <c r="BF1020" s="8" t="s">
        <v>200</v>
      </c>
      <c r="BG1020" s="7" t="s">
        <v>200</v>
      </c>
      <c r="BH1020" s="7" t="s">
        <v>200</v>
      </c>
      <c r="BI1020" s="7"/>
      <c r="BJ1020" s="4"/>
      <c r="BK1020" s="8"/>
      <c r="BL1020" s="2" t="s">
        <v>200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210</v>
      </c>
      <c r="BV1020" s="2" t="s">
        <v>200</v>
      </c>
      <c r="BW1020" s="2" t="s">
        <v>200</v>
      </c>
      <c r="BX1020" s="2" t="s">
        <v>210</v>
      </c>
      <c r="BY1020" s="2" t="s">
        <v>211</v>
      </c>
      <c r="BZ1020" s="2" t="s">
        <v>212</v>
      </c>
      <c r="CA1020" s="2" t="s">
        <v>200</v>
      </c>
      <c r="CB1020" s="2" t="s">
        <v>200</v>
      </c>
      <c r="CC1020" s="2" t="s">
        <v>213</v>
      </c>
      <c r="CD1020" s="2" t="s">
        <v>200</v>
      </c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>
        <v>252</v>
      </c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>
        <v>252</v>
      </c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/>
      <c r="GC1020" s="4"/>
      <c r="GD1020" s="4"/>
      <c r="GE1020" s="4"/>
      <c r="GF1020" s="4"/>
      <c r="GG1020" s="4"/>
      <c r="GH1020" s="4"/>
    </row>
    <row r="1021">
      <c r="A1021" s="2" t="s">
        <v>5922</v>
      </c>
      <c r="B1021" s="2" t="s">
        <v>827</v>
      </c>
      <c r="C1021" s="2" t="s">
        <v>231</v>
      </c>
      <c r="D1021" s="2" t="s">
        <v>828</v>
      </c>
      <c r="E1021" s="2" t="s">
        <v>878</v>
      </c>
      <c r="F1021" s="2" t="s">
        <v>5916</v>
      </c>
      <c r="G1021" s="2" t="s">
        <v>5916</v>
      </c>
      <c r="H1021" s="2" t="s">
        <v>5916</v>
      </c>
      <c r="I1021" s="2" t="s">
        <v>5917</v>
      </c>
      <c r="J1021" s="2" t="s">
        <v>5923</v>
      </c>
      <c r="K1021" s="2" t="s">
        <v>257</v>
      </c>
      <c r="L1021" s="3">
        <v>17</v>
      </c>
      <c r="M1021" s="3">
        <v>17.85</v>
      </c>
      <c r="N1021" s="3">
        <v>38.99</v>
      </c>
      <c r="O1021" s="2" t="s">
        <v>212</v>
      </c>
      <c r="P1021" s="2" t="s">
        <v>675</v>
      </c>
      <c r="Q1021" s="2" t="s">
        <v>206</v>
      </c>
      <c r="R1021" s="2" t="s">
        <v>200</v>
      </c>
      <c r="S1021" s="2" t="s">
        <v>200</v>
      </c>
      <c r="T1021" s="2" t="s">
        <v>378</v>
      </c>
      <c r="U1021" s="2" t="s">
        <v>677</v>
      </c>
      <c r="V1021" s="2" t="s">
        <v>208</v>
      </c>
      <c r="W1021" s="2" t="s">
        <v>379</v>
      </c>
      <c r="X1021" s="2" t="s">
        <v>200</v>
      </c>
      <c r="Y1021" s="2" t="s">
        <v>200</v>
      </c>
      <c r="Z1021" s="4"/>
      <c r="AA1021" s="4">
        <f>=ROUNDDOWN({0},0)</f>
      </c>
      <c r="AB1021" s="5"/>
      <c r="AC1021" s="2" t="s">
        <v>125</v>
      </c>
      <c r="AD1021" s="4">
        <v>152</v>
      </c>
      <c r="AE1021" s="4">
        <v>304</v>
      </c>
      <c r="AF1021" s="6">
        <v>65</v>
      </c>
      <c r="AG1021" s="6"/>
      <c r="AH1021" s="7"/>
      <c r="AI1021" s="4"/>
      <c r="AJ1021" s="4">
        <f>=ROUNDDOWN({0},0)</f>
      </c>
      <c r="AK1021" s="5"/>
      <c r="AL1021" s="2" t="s">
        <v>200</v>
      </c>
      <c r="AM1021" s="4"/>
      <c r="AN1021" s="4"/>
      <c r="AO1021" s="7"/>
      <c r="AP1021" s="4"/>
      <c r="AQ1021" s="8"/>
      <c r="AR1021" s="4"/>
      <c r="AS1021" s="8"/>
      <c r="AT1021" s="7"/>
      <c r="AU1021" s="7"/>
      <c r="AV1021" s="4" t="s">
        <v>200</v>
      </c>
      <c r="AW1021" s="8" t="s">
        <v>200</v>
      </c>
      <c r="AX1021" s="4" t="s">
        <v>200</v>
      </c>
      <c r="AY1021" s="8" t="s">
        <v>200</v>
      </c>
      <c r="AZ1021" s="7" t="s">
        <v>200</v>
      </c>
      <c r="BA1021" s="7" t="s">
        <v>200</v>
      </c>
      <c r="BB1021" s="7"/>
      <c r="BC1021" s="4" t="s">
        <v>200</v>
      </c>
      <c r="BD1021" s="8" t="s">
        <v>200</v>
      </c>
      <c r="BE1021" s="4" t="s">
        <v>200</v>
      </c>
      <c r="BF1021" s="8" t="s">
        <v>200</v>
      </c>
      <c r="BG1021" s="7" t="s">
        <v>200</v>
      </c>
      <c r="BH1021" s="7" t="s">
        <v>200</v>
      </c>
      <c r="BI1021" s="7"/>
      <c r="BJ1021" s="4"/>
      <c r="BK1021" s="8"/>
      <c r="BL1021" s="2" t="s">
        <v>200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210</v>
      </c>
      <c r="BV1021" s="2" t="s">
        <v>200</v>
      </c>
      <c r="BW1021" s="2" t="s">
        <v>200</v>
      </c>
      <c r="BX1021" s="2" t="s">
        <v>210</v>
      </c>
      <c r="BY1021" s="2" t="s">
        <v>211</v>
      </c>
      <c r="BZ1021" s="2" t="s">
        <v>212</v>
      </c>
      <c r="CA1021" s="2" t="s">
        <v>200</v>
      </c>
      <c r="CB1021" s="2" t="s">
        <v>200</v>
      </c>
      <c r="CC1021" s="2" t="s">
        <v>213</v>
      </c>
      <c r="CD1021" s="2" t="s">
        <v>200</v>
      </c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>
        <v>152</v>
      </c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>
        <v>152</v>
      </c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</row>
    <row r="1022">
      <c r="A1022" s="2" t="s">
        <v>5924</v>
      </c>
      <c r="B1022" s="2" t="s">
        <v>827</v>
      </c>
      <c r="C1022" s="2" t="s">
        <v>231</v>
      </c>
      <c r="D1022" s="2" t="s">
        <v>828</v>
      </c>
      <c r="E1022" s="2" t="s">
        <v>878</v>
      </c>
      <c r="F1022" s="2" t="s">
        <v>5916</v>
      </c>
      <c r="G1022" s="2" t="s">
        <v>5916</v>
      </c>
      <c r="H1022" s="2" t="s">
        <v>5916</v>
      </c>
      <c r="I1022" s="2" t="s">
        <v>5917</v>
      </c>
      <c r="J1022" s="2" t="s">
        <v>5925</v>
      </c>
      <c r="K1022" s="2" t="s">
        <v>257</v>
      </c>
      <c r="L1022" s="3">
        <v>19</v>
      </c>
      <c r="M1022" s="3">
        <v>19.95</v>
      </c>
      <c r="N1022" s="3">
        <v>43.99</v>
      </c>
      <c r="O1022" s="2" t="s">
        <v>212</v>
      </c>
      <c r="P1022" s="2" t="s">
        <v>675</v>
      </c>
      <c r="Q1022" s="2" t="s">
        <v>206</v>
      </c>
      <c r="R1022" s="2" t="s">
        <v>200</v>
      </c>
      <c r="S1022" s="2" t="s">
        <v>200</v>
      </c>
      <c r="T1022" s="2" t="s">
        <v>378</v>
      </c>
      <c r="U1022" s="2" t="s">
        <v>677</v>
      </c>
      <c r="V1022" s="2" t="s">
        <v>208</v>
      </c>
      <c r="W1022" s="2" t="s">
        <v>379</v>
      </c>
      <c r="X1022" s="2" t="s">
        <v>200</v>
      </c>
      <c r="Y1022" s="2" t="s">
        <v>200</v>
      </c>
      <c r="Z1022" s="4"/>
      <c r="AA1022" s="4">
        <f>=ROUNDDOWN({0},0)</f>
      </c>
      <c r="AB1022" s="5"/>
      <c r="AC1022" s="2" t="s">
        <v>125</v>
      </c>
      <c r="AD1022" s="4">
        <v>100</v>
      </c>
      <c r="AE1022" s="4">
        <v>200</v>
      </c>
      <c r="AF1022" s="6">
        <v>65</v>
      </c>
      <c r="AG1022" s="6"/>
      <c r="AH1022" s="7"/>
      <c r="AI1022" s="4"/>
      <c r="AJ1022" s="4">
        <f>=ROUNDDOWN({0},0)</f>
      </c>
      <c r="AK1022" s="5"/>
      <c r="AL1022" s="2" t="s">
        <v>200</v>
      </c>
      <c r="AM1022" s="4"/>
      <c r="AN1022" s="4"/>
      <c r="AO1022" s="7"/>
      <c r="AP1022" s="4"/>
      <c r="AQ1022" s="8"/>
      <c r="AR1022" s="4"/>
      <c r="AS1022" s="8"/>
      <c r="AT1022" s="7"/>
      <c r="AU1022" s="7"/>
      <c r="AV1022" s="4" t="s">
        <v>200</v>
      </c>
      <c r="AW1022" s="8" t="s">
        <v>200</v>
      </c>
      <c r="AX1022" s="4" t="s">
        <v>200</v>
      </c>
      <c r="AY1022" s="8" t="s">
        <v>200</v>
      </c>
      <c r="AZ1022" s="7" t="s">
        <v>200</v>
      </c>
      <c r="BA1022" s="7" t="s">
        <v>200</v>
      </c>
      <c r="BB1022" s="7"/>
      <c r="BC1022" s="4" t="s">
        <v>200</v>
      </c>
      <c r="BD1022" s="8" t="s">
        <v>200</v>
      </c>
      <c r="BE1022" s="4" t="s">
        <v>200</v>
      </c>
      <c r="BF1022" s="8" t="s">
        <v>200</v>
      </c>
      <c r="BG1022" s="7" t="s">
        <v>200</v>
      </c>
      <c r="BH1022" s="7" t="s">
        <v>200</v>
      </c>
      <c r="BI1022" s="7"/>
      <c r="BJ1022" s="4"/>
      <c r="BK1022" s="8"/>
      <c r="BL1022" s="2" t="s">
        <v>200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210</v>
      </c>
      <c r="BV1022" s="2" t="s">
        <v>200</v>
      </c>
      <c r="BW1022" s="2" t="s">
        <v>200</v>
      </c>
      <c r="BX1022" s="2" t="s">
        <v>210</v>
      </c>
      <c r="BY1022" s="2" t="s">
        <v>211</v>
      </c>
      <c r="BZ1022" s="2" t="s">
        <v>212</v>
      </c>
      <c r="CA1022" s="2" t="s">
        <v>200</v>
      </c>
      <c r="CB1022" s="2" t="s">
        <v>200</v>
      </c>
      <c r="CC1022" s="2" t="s">
        <v>213</v>
      </c>
      <c r="CD1022" s="2" t="s">
        <v>200</v>
      </c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>
        <v>100</v>
      </c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>
        <v>100</v>
      </c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/>
      <c r="GG1022" s="4"/>
      <c r="GH1022" s="4"/>
    </row>
    <row r="1023">
      <c r="A1023" s="2" t="s">
        <v>5926</v>
      </c>
      <c r="B1023" s="2" t="s">
        <v>719</v>
      </c>
      <c r="C1023" s="2" t="s">
        <v>730</v>
      </c>
      <c r="D1023" s="2" t="s">
        <v>1542</v>
      </c>
      <c r="E1023" s="2" t="s">
        <v>5927</v>
      </c>
      <c r="F1023" s="2" t="s">
        <v>4111</v>
      </c>
      <c r="G1023" s="2" t="s">
        <v>4111</v>
      </c>
      <c r="H1023" s="2" t="s">
        <v>4111</v>
      </c>
      <c r="I1023" s="2" t="s">
        <v>5928</v>
      </c>
      <c r="J1023" s="2" t="s">
        <v>711</v>
      </c>
      <c r="K1023" s="2" t="s">
        <v>1843</v>
      </c>
      <c r="L1023" s="3">
        <v>40.47</v>
      </c>
      <c r="M1023" s="3">
        <v>42.49</v>
      </c>
      <c r="N1023" s="3">
        <v>84.99</v>
      </c>
      <c r="O1023" s="2" t="s">
        <v>212</v>
      </c>
      <c r="P1023" s="2" t="s">
        <v>285</v>
      </c>
      <c r="Q1023" s="2" t="s">
        <v>206</v>
      </c>
      <c r="R1023" s="2" t="s">
        <v>200</v>
      </c>
      <c r="S1023" s="2" t="s">
        <v>200</v>
      </c>
      <c r="T1023" s="2" t="s">
        <v>200</v>
      </c>
      <c r="U1023" s="2" t="s">
        <v>270</v>
      </c>
      <c r="V1023" s="2" t="s">
        <v>348</v>
      </c>
      <c r="W1023" s="2" t="s">
        <v>4808</v>
      </c>
      <c r="X1023" s="2" t="s">
        <v>1399</v>
      </c>
      <c r="Y1023" s="2" t="s">
        <v>4391</v>
      </c>
      <c r="Z1023" s="4">
        <v>4</v>
      </c>
      <c r="AA1023" s="4">
        <f>=ROUNDDOWN(2.66666666666667,0)</f>
      </c>
      <c r="AB1023" s="5">
        <v>1.5</v>
      </c>
      <c r="AC1023" s="2" t="s">
        <v>200</v>
      </c>
      <c r="AD1023" s="4"/>
      <c r="AE1023" s="4"/>
      <c r="AF1023" s="6">
        <v>65</v>
      </c>
      <c r="AG1023" s="6"/>
      <c r="AH1023" s="7">
        <v>1</v>
      </c>
      <c r="AI1023" s="4"/>
      <c r="AJ1023" s="4">
        <f>=ROUNDDOWN({0},0)</f>
      </c>
      <c r="AK1023" s="5"/>
      <c r="AL1023" s="2" t="s">
        <v>200</v>
      </c>
      <c r="AM1023" s="4"/>
      <c r="AN1023" s="4"/>
      <c r="AO1023" s="7"/>
      <c r="AP1023" s="4"/>
      <c r="AQ1023" s="8"/>
      <c r="AR1023" s="4"/>
      <c r="AS1023" s="8"/>
      <c r="AT1023" s="7"/>
      <c r="AU1023" s="7"/>
      <c r="AV1023" s="4"/>
      <c r="AW1023" s="8"/>
      <c r="AX1023" s="4"/>
      <c r="AY1023" s="8"/>
      <c r="AZ1023" s="7"/>
      <c r="BA1023" s="7"/>
      <c r="BB1023" s="7"/>
      <c r="BC1023" s="4"/>
      <c r="BD1023" s="8"/>
      <c r="BE1023" s="4"/>
      <c r="BF1023" s="8"/>
      <c r="BG1023" s="7"/>
      <c r="BH1023" s="7"/>
      <c r="BI1023" s="7"/>
      <c r="BJ1023" s="4">
        <v>8</v>
      </c>
      <c r="BK1023" s="8">
        <v>285.63</v>
      </c>
      <c r="BL1023" s="2" t="s">
        <v>5929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5930</v>
      </c>
      <c r="BV1023" s="2" t="s">
        <v>200</v>
      </c>
      <c r="BW1023" s="2" t="s">
        <v>200</v>
      </c>
      <c r="BX1023" s="2" t="s">
        <v>289</v>
      </c>
      <c r="BY1023" s="2" t="s">
        <v>247</v>
      </c>
      <c r="BZ1023" s="2" t="s">
        <v>212</v>
      </c>
      <c r="CA1023" s="2" t="s">
        <v>2180</v>
      </c>
      <c r="CB1023" s="2" t="s">
        <v>458</v>
      </c>
      <c r="CC1023" s="2" t="s">
        <v>213</v>
      </c>
      <c r="CD1023" s="2" t="s">
        <v>200</v>
      </c>
      <c r="CE1023" s="4"/>
      <c r="CF1023" s="4">
        <v>4</v>
      </c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  <c r="GH1023" s="4"/>
    </row>
    <row r="1024">
      <c r="A1024" s="2" t="s">
        <v>5931</v>
      </c>
      <c r="B1024" s="2" t="s">
        <v>744</v>
      </c>
      <c r="C1024" s="2" t="s">
        <v>231</v>
      </c>
      <c r="D1024" s="2" t="s">
        <v>1275</v>
      </c>
      <c r="E1024" s="2" t="s">
        <v>1276</v>
      </c>
      <c r="F1024" s="2" t="s">
        <v>5932</v>
      </c>
      <c r="G1024" s="2" t="s">
        <v>4925</v>
      </c>
      <c r="H1024" s="2" t="s">
        <v>3704</v>
      </c>
      <c r="I1024" s="2" t="s">
        <v>5933</v>
      </c>
      <c r="J1024" s="2" t="s">
        <v>711</v>
      </c>
      <c r="K1024" s="2" t="s">
        <v>1174</v>
      </c>
      <c r="L1024" s="3">
        <v>183.83</v>
      </c>
      <c r="M1024" s="3">
        <v>193.02</v>
      </c>
      <c r="N1024" s="3">
        <v>389</v>
      </c>
      <c r="O1024" s="2" t="s">
        <v>460</v>
      </c>
      <c r="P1024" s="2" t="s">
        <v>285</v>
      </c>
      <c r="Q1024" s="2" t="s">
        <v>206</v>
      </c>
      <c r="R1024" s="2" t="s">
        <v>200</v>
      </c>
      <c r="S1024" s="2" t="s">
        <v>200</v>
      </c>
      <c r="T1024" s="2" t="s">
        <v>200</v>
      </c>
      <c r="U1024" s="2" t="s">
        <v>270</v>
      </c>
      <c r="V1024" s="2" t="s">
        <v>616</v>
      </c>
      <c r="W1024" s="2" t="s">
        <v>419</v>
      </c>
      <c r="X1024" s="2" t="s">
        <v>241</v>
      </c>
      <c r="Y1024" s="2" t="s">
        <v>5453</v>
      </c>
      <c r="Z1024" s="4">
        <v>29</v>
      </c>
      <c r="AA1024" s="4">
        <f>=ROUNDDOWN(29,0)</f>
      </c>
      <c r="AB1024" s="5">
        <v>1</v>
      </c>
      <c r="AC1024" s="2" t="s">
        <v>200</v>
      </c>
      <c r="AD1024" s="4"/>
      <c r="AE1024" s="4"/>
      <c r="AF1024" s="6">
        <v>65</v>
      </c>
      <c r="AG1024" s="6"/>
      <c r="AH1024" s="7">
        <v>1</v>
      </c>
      <c r="AI1024" s="4"/>
      <c r="AJ1024" s="4">
        <f>=ROUNDDOWN({0},0)</f>
      </c>
      <c r="AK1024" s="5"/>
      <c r="AL1024" s="2" t="s">
        <v>200</v>
      </c>
      <c r="AM1024" s="4"/>
      <c r="AN1024" s="4"/>
      <c r="AO1024" s="7"/>
      <c r="AP1024" s="4"/>
      <c r="AQ1024" s="8"/>
      <c r="AR1024" s="4"/>
      <c r="AS1024" s="8"/>
      <c r="AT1024" s="7"/>
      <c r="AU1024" s="7"/>
      <c r="AV1024" s="4"/>
      <c r="AW1024" s="8"/>
      <c r="AX1024" s="4"/>
      <c r="AY1024" s="8"/>
      <c r="AZ1024" s="7"/>
      <c r="BA1024" s="7"/>
      <c r="BB1024" s="7"/>
      <c r="BC1024" s="4" t="s">
        <v>200</v>
      </c>
      <c r="BD1024" s="8" t="s">
        <v>200</v>
      </c>
      <c r="BE1024" s="4" t="s">
        <v>200</v>
      </c>
      <c r="BF1024" s="8" t="s">
        <v>200</v>
      </c>
      <c r="BG1024" s="7" t="s">
        <v>200</v>
      </c>
      <c r="BH1024" s="7" t="s">
        <v>200</v>
      </c>
      <c r="BI1024" s="7"/>
      <c r="BJ1024" s="4">
        <v>9</v>
      </c>
      <c r="BK1024" s="8">
        <v>888.82</v>
      </c>
      <c r="BL1024" s="2" t="s">
        <v>1675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5934</v>
      </c>
      <c r="BV1024" s="2" t="s">
        <v>200</v>
      </c>
      <c r="BW1024" s="2" t="s">
        <v>200</v>
      </c>
      <c r="BX1024" s="2" t="s">
        <v>289</v>
      </c>
      <c r="BY1024" s="2" t="s">
        <v>247</v>
      </c>
      <c r="BZ1024" s="2" t="s">
        <v>212</v>
      </c>
      <c r="CA1024" s="2" t="s">
        <v>5543</v>
      </c>
      <c r="CB1024" s="2" t="s">
        <v>4586</v>
      </c>
      <c r="CC1024" s="2" t="s">
        <v>213</v>
      </c>
      <c r="CD1024" s="2" t="s">
        <v>200</v>
      </c>
      <c r="CE1024" s="4"/>
      <c r="CF1024" s="4">
        <v>29</v>
      </c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/>
      <c r="GB1024" s="4"/>
      <c r="GC1024" s="4"/>
      <c r="GD1024" s="4"/>
      <c r="GE1024" s="4"/>
      <c r="GF1024" s="4"/>
      <c r="GG1024" s="4"/>
      <c r="GH1024" s="4"/>
    </row>
    <row r="1025">
      <c r="A1025" s="2" t="s">
        <v>5935</v>
      </c>
      <c r="B1025" s="2" t="s">
        <v>932</v>
      </c>
      <c r="C1025" s="2" t="s">
        <v>877</v>
      </c>
      <c r="D1025" s="2" t="s">
        <v>918</v>
      </c>
      <c r="E1025" s="2" t="s">
        <v>934</v>
      </c>
      <c r="F1025" s="2" t="s">
        <v>5932</v>
      </c>
      <c r="G1025" s="2" t="s">
        <v>5936</v>
      </c>
      <c r="H1025" s="2" t="s">
        <v>4433</v>
      </c>
      <c r="I1025" s="2" t="s">
        <v>5937</v>
      </c>
      <c r="J1025" s="2" t="s">
        <v>1390</v>
      </c>
      <c r="K1025" s="2" t="s">
        <v>5938</v>
      </c>
      <c r="L1025" s="3">
        <v>26.95</v>
      </c>
      <c r="M1025" s="3">
        <v>28.3</v>
      </c>
      <c r="N1025" s="3">
        <v>54.99</v>
      </c>
      <c r="O1025" s="2" t="s">
        <v>212</v>
      </c>
      <c r="P1025" s="2" t="s">
        <v>285</v>
      </c>
      <c r="Q1025" s="2" t="s">
        <v>206</v>
      </c>
      <c r="R1025" s="2" t="s">
        <v>200</v>
      </c>
      <c r="S1025" s="2" t="s">
        <v>5939</v>
      </c>
      <c r="T1025" s="2" t="s">
        <v>378</v>
      </c>
      <c r="U1025" s="2" t="s">
        <v>240</v>
      </c>
      <c r="V1025" s="2" t="s">
        <v>1726</v>
      </c>
      <c r="W1025" s="2" t="s">
        <v>242</v>
      </c>
      <c r="X1025" s="2" t="s">
        <v>970</v>
      </c>
      <c r="Y1025" s="2" t="s">
        <v>5940</v>
      </c>
      <c r="Z1025" s="4">
        <v>248</v>
      </c>
      <c r="AA1025" s="4">
        <f>=ROUNDDOWN(190.769230769231,0)</f>
      </c>
      <c r="AB1025" s="5">
        <v>1.3</v>
      </c>
      <c r="AC1025" s="2" t="s">
        <v>200</v>
      </c>
      <c r="AD1025" s="4"/>
      <c r="AE1025" s="4"/>
      <c r="AF1025" s="6">
        <v>64</v>
      </c>
      <c r="AG1025" s="6"/>
      <c r="AH1025" s="7">
        <v>1</v>
      </c>
      <c r="AI1025" s="4"/>
      <c r="AJ1025" s="4">
        <f>=ROUNDDOWN({0},0)</f>
      </c>
      <c r="AK1025" s="5"/>
      <c r="AL1025" s="2" t="s">
        <v>200</v>
      </c>
      <c r="AM1025" s="4"/>
      <c r="AN1025" s="4"/>
      <c r="AO1025" s="7"/>
      <c r="AP1025" s="4"/>
      <c r="AQ1025" s="8"/>
      <c r="AR1025" s="4"/>
      <c r="AS1025" s="8"/>
      <c r="AT1025" s="7"/>
      <c r="AU1025" s="7"/>
      <c r="AV1025" s="4"/>
      <c r="AW1025" s="8"/>
      <c r="AX1025" s="4"/>
      <c r="AY1025" s="8"/>
      <c r="AZ1025" s="7"/>
      <c r="BA1025" s="7"/>
      <c r="BB1025" s="7"/>
      <c r="BC1025" s="4" t="s">
        <v>200</v>
      </c>
      <c r="BD1025" s="8" t="s">
        <v>200</v>
      </c>
      <c r="BE1025" s="4" t="s">
        <v>200</v>
      </c>
      <c r="BF1025" s="8" t="s">
        <v>200</v>
      </c>
      <c r="BG1025" s="7" t="s">
        <v>200</v>
      </c>
      <c r="BH1025" s="7" t="s">
        <v>200</v>
      </c>
      <c r="BI1025" s="7"/>
      <c r="BJ1025" s="4">
        <v>10</v>
      </c>
      <c r="BK1025" s="8">
        <v>197.19</v>
      </c>
      <c r="BL1025" s="2" t="s">
        <v>5941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5942</v>
      </c>
      <c r="BV1025" s="2" t="s">
        <v>200</v>
      </c>
      <c r="BW1025" s="2" t="s">
        <v>200</v>
      </c>
      <c r="BX1025" s="2" t="s">
        <v>289</v>
      </c>
      <c r="BY1025" s="2" t="s">
        <v>247</v>
      </c>
      <c r="BZ1025" s="2" t="s">
        <v>212</v>
      </c>
      <c r="CA1025" s="2" t="s">
        <v>5940</v>
      </c>
      <c r="CB1025" s="2" t="s">
        <v>5943</v>
      </c>
      <c r="CC1025" s="2" t="s">
        <v>213</v>
      </c>
      <c r="CD1025" s="2" t="s">
        <v>200</v>
      </c>
      <c r="CE1025" s="4">
        <v>193</v>
      </c>
      <c r="CF1025" s="4">
        <v>55</v>
      </c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  <c r="GH1025" s="4"/>
    </row>
    <row r="1026">
      <c r="A1026" s="2" t="s">
        <v>5944</v>
      </c>
      <c r="B1026" s="2" t="s">
        <v>903</v>
      </c>
      <c r="C1026" s="2" t="s">
        <v>231</v>
      </c>
      <c r="D1026" s="2" t="s">
        <v>608</v>
      </c>
      <c r="E1026" s="2" t="s">
        <v>609</v>
      </c>
      <c r="F1026" s="2" t="s">
        <v>5945</v>
      </c>
      <c r="G1026" s="2" t="s">
        <v>5946</v>
      </c>
      <c r="H1026" s="2" t="s">
        <v>5947</v>
      </c>
      <c r="I1026" s="2" t="s">
        <v>5948</v>
      </c>
      <c r="J1026" s="2" t="s">
        <v>924</v>
      </c>
      <c r="K1026" s="2" t="s">
        <v>237</v>
      </c>
      <c r="L1026" s="3">
        <v>45.71</v>
      </c>
      <c r="M1026" s="3">
        <v>48</v>
      </c>
      <c r="N1026" s="3">
        <v>99.99</v>
      </c>
      <c r="O1026" s="2" t="s">
        <v>212</v>
      </c>
      <c r="P1026" s="2" t="s">
        <v>205</v>
      </c>
      <c r="Q1026" s="2" t="s">
        <v>206</v>
      </c>
      <c r="R1026" s="2" t="s">
        <v>200</v>
      </c>
      <c r="S1026" s="2" t="s">
        <v>5949</v>
      </c>
      <c r="T1026" s="2" t="s">
        <v>1833</v>
      </c>
      <c r="U1026" s="2" t="s">
        <v>662</v>
      </c>
      <c r="V1026" s="2" t="s">
        <v>1019</v>
      </c>
      <c r="W1026" s="2" t="s">
        <v>736</v>
      </c>
      <c r="X1026" s="2" t="s">
        <v>200</v>
      </c>
      <c r="Y1026" s="2" t="s">
        <v>5950</v>
      </c>
      <c r="Z1026" s="4">
        <v>270</v>
      </c>
      <c r="AA1026" s="4">
        <f>=ROUNDDOWN(45,0)</f>
      </c>
      <c r="AB1026" s="5">
        <v>6</v>
      </c>
      <c r="AC1026" s="2" t="s">
        <v>200</v>
      </c>
      <c r="AD1026" s="4"/>
      <c r="AE1026" s="4"/>
      <c r="AF1026" s="6">
        <v>64</v>
      </c>
      <c r="AG1026" s="6"/>
      <c r="AH1026" s="7">
        <v>1</v>
      </c>
      <c r="AI1026" s="4"/>
      <c r="AJ1026" s="4">
        <f>=ROUNDDOWN({0},0)</f>
      </c>
      <c r="AK1026" s="5"/>
      <c r="AL1026" s="2" t="s">
        <v>200</v>
      </c>
      <c r="AM1026" s="4"/>
      <c r="AN1026" s="4"/>
      <c r="AO1026" s="7"/>
      <c r="AP1026" s="4"/>
      <c r="AQ1026" s="8"/>
      <c r="AR1026" s="4"/>
      <c r="AS1026" s="8"/>
      <c r="AT1026" s="7"/>
      <c r="AU1026" s="7"/>
      <c r="AV1026" s="4"/>
      <c r="AW1026" s="8"/>
      <c r="AX1026" s="4"/>
      <c r="AY1026" s="8"/>
      <c r="AZ1026" s="7"/>
      <c r="BA1026" s="7"/>
      <c r="BB1026" s="7"/>
      <c r="BC1026" s="4" t="s">
        <v>200</v>
      </c>
      <c r="BD1026" s="8" t="s">
        <v>200</v>
      </c>
      <c r="BE1026" s="4" t="s">
        <v>200</v>
      </c>
      <c r="BF1026" s="8" t="s">
        <v>200</v>
      </c>
      <c r="BG1026" s="7" t="s">
        <v>200</v>
      </c>
      <c r="BH1026" s="7" t="s">
        <v>200</v>
      </c>
      <c r="BI1026" s="7"/>
      <c r="BJ1026" s="4">
        <v>20</v>
      </c>
      <c r="BK1026" s="8">
        <v>1037.35</v>
      </c>
      <c r="BL1026" s="2" t="s">
        <v>701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5951</v>
      </c>
      <c r="BV1026" s="2" t="s">
        <v>200</v>
      </c>
      <c r="BW1026" s="2" t="s">
        <v>200</v>
      </c>
      <c r="BX1026" s="2" t="s">
        <v>264</v>
      </c>
      <c r="BY1026" s="2" t="s">
        <v>247</v>
      </c>
      <c r="BZ1026" s="2" t="s">
        <v>212</v>
      </c>
      <c r="CA1026" s="2" t="s">
        <v>4253</v>
      </c>
      <c r="CB1026" s="2" t="s">
        <v>1963</v>
      </c>
      <c r="CC1026" s="2" t="s">
        <v>213</v>
      </c>
      <c r="CD1026" s="2" t="s">
        <v>200</v>
      </c>
      <c r="CE1026" s="4">
        <v>270</v>
      </c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/>
      <c r="GH1026" s="4"/>
    </row>
    <row r="1027">
      <c r="A1027" s="2" t="s">
        <v>5952</v>
      </c>
      <c r="B1027" s="2" t="s">
        <v>903</v>
      </c>
      <c r="C1027" s="2" t="s">
        <v>231</v>
      </c>
      <c r="D1027" s="2" t="s">
        <v>608</v>
      </c>
      <c r="E1027" s="2" t="s">
        <v>609</v>
      </c>
      <c r="F1027" s="2" t="s">
        <v>5945</v>
      </c>
      <c r="G1027" s="2" t="s">
        <v>5946</v>
      </c>
      <c r="H1027" s="2" t="s">
        <v>5947</v>
      </c>
      <c r="I1027" s="2" t="s">
        <v>5948</v>
      </c>
      <c r="J1027" s="2" t="s">
        <v>612</v>
      </c>
      <c r="K1027" s="2" t="s">
        <v>5953</v>
      </c>
      <c r="L1027" s="3">
        <v>41.14</v>
      </c>
      <c r="M1027" s="3">
        <v>43.2</v>
      </c>
      <c r="N1027" s="3">
        <v>89.99</v>
      </c>
      <c r="O1027" s="2" t="s">
        <v>212</v>
      </c>
      <c r="P1027" s="2" t="s">
        <v>205</v>
      </c>
      <c r="Q1027" s="2" t="s">
        <v>206</v>
      </c>
      <c r="R1027" s="2" t="s">
        <v>200</v>
      </c>
      <c r="S1027" s="2" t="s">
        <v>5954</v>
      </c>
      <c r="T1027" s="2" t="s">
        <v>1833</v>
      </c>
      <c r="U1027" s="2" t="s">
        <v>662</v>
      </c>
      <c r="V1027" s="2" t="s">
        <v>1019</v>
      </c>
      <c r="W1027" s="2" t="s">
        <v>736</v>
      </c>
      <c r="X1027" s="2" t="s">
        <v>200</v>
      </c>
      <c r="Y1027" s="2" t="s">
        <v>5950</v>
      </c>
      <c r="Z1027" s="4">
        <v>340</v>
      </c>
      <c r="AA1027" s="4">
        <f>=ROUNDDOWN(56.6666666666667,0)</f>
      </c>
      <c r="AB1027" s="5">
        <v>6</v>
      </c>
      <c r="AC1027" s="2" t="s">
        <v>200</v>
      </c>
      <c r="AD1027" s="4"/>
      <c r="AE1027" s="4"/>
      <c r="AF1027" s="6">
        <v>64</v>
      </c>
      <c r="AG1027" s="6"/>
      <c r="AH1027" s="7">
        <v>1</v>
      </c>
      <c r="AI1027" s="4"/>
      <c r="AJ1027" s="4">
        <f>=ROUNDDOWN({0},0)</f>
      </c>
      <c r="AK1027" s="5"/>
      <c r="AL1027" s="2" t="s">
        <v>200</v>
      </c>
      <c r="AM1027" s="4"/>
      <c r="AN1027" s="4"/>
      <c r="AO1027" s="7"/>
      <c r="AP1027" s="4"/>
      <c r="AQ1027" s="8"/>
      <c r="AR1027" s="4"/>
      <c r="AS1027" s="8"/>
      <c r="AT1027" s="7"/>
      <c r="AU1027" s="7"/>
      <c r="AV1027" s="4" t="s">
        <v>200</v>
      </c>
      <c r="AW1027" s="8" t="s">
        <v>200</v>
      </c>
      <c r="AX1027" s="4" t="s">
        <v>200</v>
      </c>
      <c r="AY1027" s="8" t="s">
        <v>200</v>
      </c>
      <c r="AZ1027" s="7" t="s">
        <v>200</v>
      </c>
      <c r="BA1027" s="7" t="s">
        <v>200</v>
      </c>
      <c r="BB1027" s="7"/>
      <c r="BC1027" s="4" t="s">
        <v>200</v>
      </c>
      <c r="BD1027" s="8" t="s">
        <v>200</v>
      </c>
      <c r="BE1027" s="4" t="s">
        <v>200</v>
      </c>
      <c r="BF1027" s="8" t="s">
        <v>200</v>
      </c>
      <c r="BG1027" s="7" t="s">
        <v>200</v>
      </c>
      <c r="BH1027" s="7" t="s">
        <v>200</v>
      </c>
      <c r="BI1027" s="7"/>
      <c r="BJ1027" s="4">
        <v>25</v>
      </c>
      <c r="BK1027" s="8">
        <v>1184.27</v>
      </c>
      <c r="BL1027" s="2" t="s">
        <v>701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5955</v>
      </c>
      <c r="BV1027" s="2" t="s">
        <v>200</v>
      </c>
      <c r="BW1027" s="2" t="s">
        <v>200</v>
      </c>
      <c r="BX1027" s="2" t="s">
        <v>264</v>
      </c>
      <c r="BY1027" s="2" t="s">
        <v>247</v>
      </c>
      <c r="BZ1027" s="2" t="s">
        <v>212</v>
      </c>
      <c r="CA1027" s="2" t="s">
        <v>4253</v>
      </c>
      <c r="CB1027" s="2" t="s">
        <v>2406</v>
      </c>
      <c r="CC1027" s="2" t="s">
        <v>213</v>
      </c>
      <c r="CD1027" s="2" t="s">
        <v>200</v>
      </c>
      <c r="CE1027" s="4">
        <v>340</v>
      </c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/>
      <c r="FZ1027" s="4"/>
      <c r="GA1027" s="4"/>
      <c r="GB1027" s="4"/>
      <c r="GC1027" s="4"/>
      <c r="GD1027" s="4"/>
      <c r="GE1027" s="4"/>
      <c r="GF1027" s="4"/>
      <c r="GG1027" s="4"/>
      <c r="GH1027" s="4"/>
    </row>
    <row r="1028">
      <c r="A1028" s="2" t="s">
        <v>5956</v>
      </c>
      <c r="B1028" s="2" t="s">
        <v>903</v>
      </c>
      <c r="C1028" s="2" t="s">
        <v>231</v>
      </c>
      <c r="D1028" s="2" t="s">
        <v>608</v>
      </c>
      <c r="E1028" s="2" t="s">
        <v>609</v>
      </c>
      <c r="F1028" s="2" t="s">
        <v>5945</v>
      </c>
      <c r="G1028" s="2" t="s">
        <v>5946</v>
      </c>
      <c r="H1028" s="2" t="s">
        <v>5947</v>
      </c>
      <c r="I1028" s="2" t="s">
        <v>5948</v>
      </c>
      <c r="J1028" s="2" t="s">
        <v>924</v>
      </c>
      <c r="K1028" s="2" t="s">
        <v>5953</v>
      </c>
      <c r="L1028" s="3">
        <v>45.71</v>
      </c>
      <c r="M1028" s="3">
        <v>48</v>
      </c>
      <c r="N1028" s="3">
        <v>99.99</v>
      </c>
      <c r="O1028" s="2" t="s">
        <v>212</v>
      </c>
      <c r="P1028" s="2" t="s">
        <v>205</v>
      </c>
      <c r="Q1028" s="2" t="s">
        <v>206</v>
      </c>
      <c r="R1028" s="2" t="s">
        <v>200</v>
      </c>
      <c r="S1028" s="2" t="s">
        <v>5954</v>
      </c>
      <c r="T1028" s="2" t="s">
        <v>1833</v>
      </c>
      <c r="U1028" s="2" t="s">
        <v>662</v>
      </c>
      <c r="V1028" s="2" t="s">
        <v>1019</v>
      </c>
      <c r="W1028" s="2" t="s">
        <v>736</v>
      </c>
      <c r="X1028" s="2" t="s">
        <v>200</v>
      </c>
      <c r="Y1028" s="2" t="s">
        <v>5950</v>
      </c>
      <c r="Z1028" s="4">
        <v>286</v>
      </c>
      <c r="AA1028" s="4">
        <f>=ROUNDDOWN(47.6666666666667,0)</f>
      </c>
      <c r="AB1028" s="5">
        <v>6</v>
      </c>
      <c r="AC1028" s="2" t="s">
        <v>200</v>
      </c>
      <c r="AD1028" s="4"/>
      <c r="AE1028" s="4"/>
      <c r="AF1028" s="6">
        <v>64</v>
      </c>
      <c r="AG1028" s="6"/>
      <c r="AH1028" s="7">
        <v>1</v>
      </c>
      <c r="AI1028" s="4"/>
      <c r="AJ1028" s="4">
        <f>=ROUNDDOWN({0},0)</f>
      </c>
      <c r="AK1028" s="5"/>
      <c r="AL1028" s="2" t="s">
        <v>200</v>
      </c>
      <c r="AM1028" s="4"/>
      <c r="AN1028" s="4"/>
      <c r="AO1028" s="7"/>
      <c r="AP1028" s="4"/>
      <c r="AQ1028" s="8"/>
      <c r="AR1028" s="4"/>
      <c r="AS1028" s="8"/>
      <c r="AT1028" s="7"/>
      <c r="AU1028" s="7"/>
      <c r="AV1028" s="4" t="s">
        <v>200</v>
      </c>
      <c r="AW1028" s="8" t="s">
        <v>200</v>
      </c>
      <c r="AX1028" s="4" t="s">
        <v>200</v>
      </c>
      <c r="AY1028" s="8" t="s">
        <v>200</v>
      </c>
      <c r="AZ1028" s="7" t="s">
        <v>200</v>
      </c>
      <c r="BA1028" s="7" t="s">
        <v>200</v>
      </c>
      <c r="BB1028" s="7"/>
      <c r="BC1028" s="4" t="s">
        <v>200</v>
      </c>
      <c r="BD1028" s="8" t="s">
        <v>200</v>
      </c>
      <c r="BE1028" s="4" t="s">
        <v>200</v>
      </c>
      <c r="BF1028" s="8" t="s">
        <v>200</v>
      </c>
      <c r="BG1028" s="7" t="s">
        <v>200</v>
      </c>
      <c r="BH1028" s="7" t="s">
        <v>200</v>
      </c>
      <c r="BI1028" s="7"/>
      <c r="BJ1028" s="4">
        <v>23</v>
      </c>
      <c r="BK1028" s="8">
        <v>1211.46</v>
      </c>
      <c r="BL1028" s="2" t="s">
        <v>1987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5957</v>
      </c>
      <c r="BV1028" s="2" t="s">
        <v>200</v>
      </c>
      <c r="BW1028" s="2" t="s">
        <v>200</v>
      </c>
      <c r="BX1028" s="2" t="s">
        <v>264</v>
      </c>
      <c r="BY1028" s="2" t="s">
        <v>247</v>
      </c>
      <c r="BZ1028" s="2" t="s">
        <v>212</v>
      </c>
      <c r="CA1028" s="2" t="s">
        <v>4253</v>
      </c>
      <c r="CB1028" s="2" t="s">
        <v>1295</v>
      </c>
      <c r="CC1028" s="2" t="s">
        <v>213</v>
      </c>
      <c r="CD1028" s="2" t="s">
        <v>200</v>
      </c>
      <c r="CE1028" s="4">
        <v>286</v>
      </c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  <c r="GH1028" s="4"/>
    </row>
    <row r="1029">
      <c r="A1029" s="2" t="s">
        <v>5958</v>
      </c>
      <c r="B1029" s="2" t="s">
        <v>719</v>
      </c>
      <c r="C1029" s="2" t="s">
        <v>231</v>
      </c>
      <c r="D1029" s="2" t="s">
        <v>720</v>
      </c>
      <c r="E1029" s="2" t="s">
        <v>721</v>
      </c>
      <c r="F1029" s="2" t="s">
        <v>5959</v>
      </c>
      <c r="G1029" s="2" t="s">
        <v>5959</v>
      </c>
      <c r="H1029" s="2" t="s">
        <v>5959</v>
      </c>
      <c r="I1029" s="2" t="s">
        <v>5960</v>
      </c>
      <c r="J1029" s="2" t="s">
        <v>711</v>
      </c>
      <c r="K1029" s="2" t="s">
        <v>1135</v>
      </c>
      <c r="L1029" s="3">
        <v>21.78</v>
      </c>
      <c r="M1029" s="3">
        <v>22.87</v>
      </c>
      <c r="N1029" s="3">
        <v>46.74</v>
      </c>
      <c r="O1029" s="2" t="s">
        <v>212</v>
      </c>
      <c r="P1029" s="2" t="s">
        <v>750</v>
      </c>
      <c r="Q1029" s="2" t="s">
        <v>206</v>
      </c>
      <c r="R1029" s="2" t="s">
        <v>200</v>
      </c>
      <c r="S1029" s="2" t="s">
        <v>200</v>
      </c>
      <c r="T1029" s="2" t="s">
        <v>200</v>
      </c>
      <c r="U1029" s="2" t="s">
        <v>677</v>
      </c>
      <c r="V1029" s="2" t="s">
        <v>348</v>
      </c>
      <c r="W1029" s="2" t="s">
        <v>1399</v>
      </c>
      <c r="X1029" s="2" t="s">
        <v>241</v>
      </c>
      <c r="Y1029" s="2" t="s">
        <v>4943</v>
      </c>
      <c r="Z1029" s="4">
        <v>86</v>
      </c>
      <c r="AA1029" s="4">
        <f>=ROUNDDOWN(29.6551724137931,0)</f>
      </c>
      <c r="AB1029" s="5">
        <v>2.9</v>
      </c>
      <c r="AC1029" s="2" t="s">
        <v>200</v>
      </c>
      <c r="AD1029" s="4"/>
      <c r="AE1029" s="4"/>
      <c r="AF1029" s="6">
        <v>61</v>
      </c>
      <c r="AG1029" s="6"/>
      <c r="AH1029" s="7">
        <v>1</v>
      </c>
      <c r="AI1029" s="4"/>
      <c r="AJ1029" s="4">
        <f>=ROUNDDOWN({0},0)</f>
      </c>
      <c r="AK1029" s="5"/>
      <c r="AL1029" s="2" t="s">
        <v>200</v>
      </c>
      <c r="AM1029" s="4"/>
      <c r="AN1029" s="4"/>
      <c r="AO1029" s="7"/>
      <c r="AP1029" s="4"/>
      <c r="AQ1029" s="8"/>
      <c r="AR1029" s="4"/>
      <c r="AS1029" s="8"/>
      <c r="AT1029" s="7"/>
      <c r="AU1029" s="7"/>
      <c r="AV1029" s="4"/>
      <c r="AW1029" s="8"/>
      <c r="AX1029" s="4"/>
      <c r="AY1029" s="8"/>
      <c r="AZ1029" s="7"/>
      <c r="BA1029" s="7"/>
      <c r="BB1029" s="7"/>
      <c r="BC1029" s="4"/>
      <c r="BD1029" s="8"/>
      <c r="BE1029" s="4"/>
      <c r="BF1029" s="8"/>
      <c r="BG1029" s="7"/>
      <c r="BH1029" s="7"/>
      <c r="BI1029" s="7"/>
      <c r="BJ1029" s="4">
        <v>9</v>
      </c>
      <c r="BK1029" s="8">
        <v>210.71</v>
      </c>
      <c r="BL1029" s="2" t="s">
        <v>5961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5962</v>
      </c>
      <c r="BV1029" s="2" t="s">
        <v>200</v>
      </c>
      <c r="BW1029" s="2" t="s">
        <v>200</v>
      </c>
      <c r="BX1029" s="2" t="s">
        <v>264</v>
      </c>
      <c r="BY1029" s="2" t="s">
        <v>247</v>
      </c>
      <c r="BZ1029" s="2" t="s">
        <v>212</v>
      </c>
      <c r="CA1029" s="2" t="s">
        <v>5963</v>
      </c>
      <c r="CB1029" s="2" t="s">
        <v>5964</v>
      </c>
      <c r="CC1029" s="2" t="s">
        <v>213</v>
      </c>
      <c r="CD1029" s="2" t="s">
        <v>200</v>
      </c>
      <c r="CE1029" s="4"/>
      <c r="CF1029" s="4">
        <v>86</v>
      </c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/>
      <c r="FZ1029" s="4"/>
      <c r="GA1029" s="4"/>
      <c r="GB1029" s="4"/>
      <c r="GC1029" s="4"/>
      <c r="GD1029" s="4"/>
      <c r="GE1029" s="4"/>
      <c r="GF1029" s="4"/>
      <c r="GG1029" s="4"/>
      <c r="GH1029" s="4"/>
    </row>
    <row r="1030">
      <c r="A1030" s="2" t="s">
        <v>5965</v>
      </c>
      <c r="B1030" s="2" t="s">
        <v>744</v>
      </c>
      <c r="C1030" s="2" t="s">
        <v>231</v>
      </c>
      <c r="D1030" s="2" t="s">
        <v>2677</v>
      </c>
      <c r="E1030" s="2" t="s">
        <v>4855</v>
      </c>
      <c r="F1030" s="2" t="s">
        <v>5966</v>
      </c>
      <c r="G1030" s="2" t="s">
        <v>5967</v>
      </c>
      <c r="H1030" s="2" t="s">
        <v>5968</v>
      </c>
      <c r="I1030" s="2" t="s">
        <v>5969</v>
      </c>
      <c r="J1030" s="2" t="s">
        <v>711</v>
      </c>
      <c r="K1030" s="2" t="s">
        <v>1214</v>
      </c>
      <c r="L1030" s="3">
        <v>173.25</v>
      </c>
      <c r="M1030" s="3">
        <v>181.91</v>
      </c>
      <c r="N1030" s="3">
        <v>369</v>
      </c>
      <c r="O1030" s="2" t="s">
        <v>460</v>
      </c>
      <c r="P1030" s="2" t="s">
        <v>285</v>
      </c>
      <c r="Q1030" s="2" t="s">
        <v>206</v>
      </c>
      <c r="R1030" s="2" t="s">
        <v>200</v>
      </c>
      <c r="S1030" s="2" t="s">
        <v>200</v>
      </c>
      <c r="T1030" s="2" t="s">
        <v>200</v>
      </c>
      <c r="U1030" s="2" t="s">
        <v>200</v>
      </c>
      <c r="V1030" s="2" t="s">
        <v>208</v>
      </c>
      <c r="W1030" s="2" t="s">
        <v>736</v>
      </c>
      <c r="X1030" s="2" t="s">
        <v>200</v>
      </c>
      <c r="Y1030" s="2" t="s">
        <v>5085</v>
      </c>
      <c r="Z1030" s="4">
        <v>182</v>
      </c>
      <c r="AA1030" s="4">
        <f>=ROUNDDOWN(39.5652173913043,0)</f>
      </c>
      <c r="AB1030" s="5">
        <v>4.6</v>
      </c>
      <c r="AC1030" s="2" t="s">
        <v>200</v>
      </c>
      <c r="AD1030" s="4"/>
      <c r="AE1030" s="4"/>
      <c r="AF1030" s="6">
        <v>65</v>
      </c>
      <c r="AG1030" s="6"/>
      <c r="AH1030" s="7">
        <v>1</v>
      </c>
      <c r="AI1030" s="4"/>
      <c r="AJ1030" s="4">
        <f>=ROUNDDOWN({0},0)</f>
      </c>
      <c r="AK1030" s="5"/>
      <c r="AL1030" s="2" t="s">
        <v>200</v>
      </c>
      <c r="AM1030" s="4"/>
      <c r="AN1030" s="4"/>
      <c r="AO1030" s="7"/>
      <c r="AP1030" s="4"/>
      <c r="AQ1030" s="8"/>
      <c r="AR1030" s="4"/>
      <c r="AS1030" s="8"/>
      <c r="AT1030" s="7"/>
      <c r="AU1030" s="7"/>
      <c r="AV1030" s="4"/>
      <c r="AW1030" s="8"/>
      <c r="AX1030" s="4"/>
      <c r="AY1030" s="8"/>
      <c r="AZ1030" s="7"/>
      <c r="BA1030" s="7"/>
      <c r="BB1030" s="7"/>
      <c r="BC1030" s="4"/>
      <c r="BD1030" s="8"/>
      <c r="BE1030" s="4"/>
      <c r="BF1030" s="8"/>
      <c r="BG1030" s="7"/>
      <c r="BH1030" s="7"/>
      <c r="BI1030" s="7"/>
      <c r="BJ1030" s="4">
        <v>27</v>
      </c>
      <c r="BK1030" s="8">
        <v>1103.48</v>
      </c>
      <c r="BL1030" s="2" t="s">
        <v>5970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5971</v>
      </c>
      <c r="BV1030" s="2" t="s">
        <v>200</v>
      </c>
      <c r="BW1030" s="2" t="s">
        <v>200</v>
      </c>
      <c r="BX1030" s="2" t="s">
        <v>289</v>
      </c>
      <c r="BY1030" s="2" t="s">
        <v>247</v>
      </c>
      <c r="BZ1030" s="2" t="s">
        <v>212</v>
      </c>
      <c r="CA1030" s="2" t="s">
        <v>5972</v>
      </c>
      <c r="CB1030" s="2" t="s">
        <v>1552</v>
      </c>
      <c r="CC1030" s="2" t="s">
        <v>213</v>
      </c>
      <c r="CD1030" s="2" t="s">
        <v>200</v>
      </c>
      <c r="CE1030" s="4"/>
      <c r="CF1030" s="4">
        <v>182</v>
      </c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/>
      <c r="GG1030" s="4"/>
      <c r="GH1030" s="4"/>
    </row>
    <row r="1031">
      <c r="A1031" s="2" t="s">
        <v>5973</v>
      </c>
      <c r="B1031" s="2" t="s">
        <v>719</v>
      </c>
      <c r="C1031" s="2" t="s">
        <v>231</v>
      </c>
      <c r="D1031" s="2" t="s">
        <v>1554</v>
      </c>
      <c r="E1031" s="2" t="s">
        <v>1555</v>
      </c>
      <c r="F1031" s="2" t="s">
        <v>5974</v>
      </c>
      <c r="G1031" s="2" t="s">
        <v>5974</v>
      </c>
      <c r="H1031" s="2" t="s">
        <v>5974</v>
      </c>
      <c r="I1031" s="2" t="s">
        <v>5975</v>
      </c>
      <c r="J1031" s="2" t="s">
        <v>711</v>
      </c>
      <c r="K1031" s="2" t="s">
        <v>733</v>
      </c>
      <c r="L1031" s="3">
        <v>16.15</v>
      </c>
      <c r="M1031" s="3">
        <v>16.96</v>
      </c>
      <c r="N1031" s="3">
        <v>33.99</v>
      </c>
      <c r="O1031" s="2" t="s">
        <v>212</v>
      </c>
      <c r="P1031" s="2" t="s">
        <v>750</v>
      </c>
      <c r="Q1031" s="2" t="s">
        <v>206</v>
      </c>
      <c r="R1031" s="2" t="s">
        <v>200</v>
      </c>
      <c r="S1031" s="2" t="s">
        <v>5976</v>
      </c>
      <c r="T1031" s="2" t="s">
        <v>200</v>
      </c>
      <c r="U1031" s="2" t="s">
        <v>454</v>
      </c>
      <c r="V1031" s="2" t="s">
        <v>940</v>
      </c>
      <c r="W1031" s="2" t="s">
        <v>419</v>
      </c>
      <c r="X1031" s="2" t="s">
        <v>200</v>
      </c>
      <c r="Y1031" s="2" t="s">
        <v>261</v>
      </c>
      <c r="Z1031" s="4">
        <v>179</v>
      </c>
      <c r="AA1031" s="4">
        <f>=ROUNDDOWN(94.2105263157895,0)</f>
      </c>
      <c r="AB1031" s="5">
        <v>1.9</v>
      </c>
      <c r="AC1031" s="2" t="s">
        <v>200</v>
      </c>
      <c r="AD1031" s="4"/>
      <c r="AE1031" s="4"/>
      <c r="AF1031" s="6">
        <v>61</v>
      </c>
      <c r="AG1031" s="6">
        <v>44</v>
      </c>
      <c r="AH1031" s="7">
        <v>1</v>
      </c>
      <c r="AI1031" s="4"/>
      <c r="AJ1031" s="4">
        <f>=ROUNDDOWN({0},0)</f>
      </c>
      <c r="AK1031" s="5"/>
      <c r="AL1031" s="2" t="s">
        <v>200</v>
      </c>
      <c r="AM1031" s="4"/>
      <c r="AN1031" s="4"/>
      <c r="AO1031" s="7"/>
      <c r="AP1031" s="4"/>
      <c r="AQ1031" s="8"/>
      <c r="AR1031" s="4"/>
      <c r="AS1031" s="8"/>
      <c r="AT1031" s="7"/>
      <c r="AU1031" s="7"/>
      <c r="AV1031" s="4"/>
      <c r="AW1031" s="8"/>
      <c r="AX1031" s="4"/>
      <c r="AY1031" s="8"/>
      <c r="AZ1031" s="7"/>
      <c r="BA1031" s="7"/>
      <c r="BB1031" s="7"/>
      <c r="BC1031" s="4"/>
      <c r="BD1031" s="8"/>
      <c r="BE1031" s="4"/>
      <c r="BF1031" s="8"/>
      <c r="BG1031" s="7"/>
      <c r="BH1031" s="7"/>
      <c r="BI1031" s="7"/>
      <c r="BJ1031" s="4">
        <v>5</v>
      </c>
      <c r="BK1031" s="8">
        <v>90.91</v>
      </c>
      <c r="BL1031" s="2" t="s">
        <v>5977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5978</v>
      </c>
      <c r="BV1031" s="2" t="s">
        <v>200</v>
      </c>
      <c r="BW1031" s="2" t="s">
        <v>200</v>
      </c>
      <c r="BX1031" s="2" t="s">
        <v>264</v>
      </c>
      <c r="BY1031" s="2" t="s">
        <v>247</v>
      </c>
      <c r="BZ1031" s="2" t="s">
        <v>212</v>
      </c>
      <c r="CA1031" s="2" t="s">
        <v>265</v>
      </c>
      <c r="CB1031" s="2" t="s">
        <v>5979</v>
      </c>
      <c r="CC1031" s="2" t="s">
        <v>213</v>
      </c>
      <c r="CD1031" s="2" t="s">
        <v>200</v>
      </c>
      <c r="CE1031" s="4"/>
      <c r="CF1031" s="4">
        <v>80</v>
      </c>
      <c r="CG1031" s="4"/>
      <c r="CH1031" s="4">
        <v>99</v>
      </c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4"/>
      <c r="FW1031" s="4"/>
      <c r="FX1031" s="4"/>
      <c r="FY1031" s="4"/>
      <c r="FZ1031" s="4"/>
      <c r="GA1031" s="4"/>
      <c r="GB1031" s="4"/>
      <c r="GC1031" s="4"/>
      <c r="GD1031" s="4"/>
      <c r="GE1031" s="4"/>
      <c r="GF1031" s="4"/>
      <c r="GG1031" s="4"/>
      <c r="GH1031" s="4"/>
    </row>
    <row r="1032">
      <c r="A1032" s="2" t="s">
        <v>5980</v>
      </c>
      <c r="B1032" s="2" t="s">
        <v>744</v>
      </c>
      <c r="C1032" s="2" t="s">
        <v>730</v>
      </c>
      <c r="D1032" s="2" t="s">
        <v>5981</v>
      </c>
      <c r="E1032" s="2" t="s">
        <v>5982</v>
      </c>
      <c r="F1032" s="2" t="s">
        <v>5983</v>
      </c>
      <c r="G1032" s="2" t="s">
        <v>5983</v>
      </c>
      <c r="H1032" s="2" t="s">
        <v>5983</v>
      </c>
      <c r="I1032" s="2" t="s">
        <v>5984</v>
      </c>
      <c r="J1032" s="2" t="s">
        <v>711</v>
      </c>
      <c r="K1032" s="2" t="s">
        <v>4030</v>
      </c>
      <c r="L1032" s="3">
        <v>165</v>
      </c>
      <c r="M1032" s="3">
        <v>173.25</v>
      </c>
      <c r="N1032" s="3">
        <v>349</v>
      </c>
      <c r="O1032" s="2" t="s">
        <v>212</v>
      </c>
      <c r="P1032" s="2" t="s">
        <v>285</v>
      </c>
      <c r="Q1032" s="2" t="s">
        <v>206</v>
      </c>
      <c r="R1032" s="2" t="s">
        <v>200</v>
      </c>
      <c r="S1032" s="2" t="s">
        <v>5985</v>
      </c>
      <c r="T1032" s="2" t="s">
        <v>200</v>
      </c>
      <c r="U1032" s="2" t="s">
        <v>200</v>
      </c>
      <c r="V1032" s="2" t="s">
        <v>616</v>
      </c>
      <c r="W1032" s="2" t="s">
        <v>242</v>
      </c>
      <c r="X1032" s="2" t="s">
        <v>2053</v>
      </c>
      <c r="Y1032" s="2" t="s">
        <v>1891</v>
      </c>
      <c r="Z1032" s="4">
        <v>26</v>
      </c>
      <c r="AA1032" s="4">
        <f>=ROUNDDOWN(13,0)</f>
      </c>
      <c r="AB1032" s="5">
        <v>2</v>
      </c>
      <c r="AC1032" s="2" t="s">
        <v>200</v>
      </c>
      <c r="AD1032" s="4"/>
      <c r="AE1032" s="4"/>
      <c r="AF1032" s="6">
        <v>66</v>
      </c>
      <c r="AG1032" s="6"/>
      <c r="AH1032" s="7">
        <v>1</v>
      </c>
      <c r="AI1032" s="4"/>
      <c r="AJ1032" s="4">
        <f>=ROUNDDOWN({0},0)</f>
      </c>
      <c r="AK1032" s="5"/>
      <c r="AL1032" s="2" t="s">
        <v>200</v>
      </c>
      <c r="AM1032" s="4"/>
      <c r="AN1032" s="4"/>
      <c r="AO1032" s="7"/>
      <c r="AP1032" s="4"/>
      <c r="AQ1032" s="8"/>
      <c r="AR1032" s="4"/>
      <c r="AS1032" s="8"/>
      <c r="AT1032" s="7"/>
      <c r="AU1032" s="7"/>
      <c r="AV1032" s="4"/>
      <c r="AW1032" s="8"/>
      <c r="AX1032" s="4"/>
      <c r="AY1032" s="8"/>
      <c r="AZ1032" s="7"/>
      <c r="BA1032" s="7"/>
      <c r="BB1032" s="7"/>
      <c r="BC1032" s="4"/>
      <c r="BD1032" s="8"/>
      <c r="BE1032" s="4"/>
      <c r="BF1032" s="8"/>
      <c r="BG1032" s="7"/>
      <c r="BH1032" s="7"/>
      <c r="BI1032" s="7"/>
      <c r="BJ1032" s="4">
        <v>16</v>
      </c>
      <c r="BK1032" s="8">
        <v>1489.87</v>
      </c>
      <c r="BL1032" s="2" t="s">
        <v>5986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5987</v>
      </c>
      <c r="BV1032" s="2" t="s">
        <v>200</v>
      </c>
      <c r="BW1032" s="2" t="s">
        <v>200</v>
      </c>
      <c r="BX1032" s="2" t="s">
        <v>289</v>
      </c>
      <c r="BY1032" s="2" t="s">
        <v>247</v>
      </c>
      <c r="BZ1032" s="2" t="s">
        <v>212</v>
      </c>
      <c r="CA1032" s="2" t="s">
        <v>5988</v>
      </c>
      <c r="CB1032" s="2" t="s">
        <v>5989</v>
      </c>
      <c r="CC1032" s="2" t="s">
        <v>213</v>
      </c>
      <c r="CD1032" s="2" t="s">
        <v>200</v>
      </c>
      <c r="CE1032" s="4"/>
      <c r="CF1032" s="4">
        <v>26</v>
      </c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4"/>
      <c r="GG1032" s="4"/>
      <c r="GH1032" s="4"/>
    </row>
    <row r="1033">
      <c r="A1033" s="2" t="s">
        <v>5990</v>
      </c>
      <c r="B1033" s="2" t="s">
        <v>705</v>
      </c>
      <c r="C1033" s="2" t="s">
        <v>1375</v>
      </c>
      <c r="D1033" s="2" t="s">
        <v>817</v>
      </c>
      <c r="E1033" s="2" t="s">
        <v>818</v>
      </c>
      <c r="F1033" s="2" t="s">
        <v>5991</v>
      </c>
      <c r="G1033" s="2" t="s">
        <v>5991</v>
      </c>
      <c r="H1033" s="2" t="s">
        <v>5991</v>
      </c>
      <c r="I1033" s="2" t="s">
        <v>5992</v>
      </c>
      <c r="J1033" s="2" t="s">
        <v>711</v>
      </c>
      <c r="K1033" s="2" t="s">
        <v>4807</v>
      </c>
      <c r="L1033" s="3">
        <v>76.5</v>
      </c>
      <c r="M1033" s="3">
        <v>80.33</v>
      </c>
      <c r="N1033" s="3">
        <v>159.99</v>
      </c>
      <c r="O1033" s="2" t="s">
        <v>212</v>
      </c>
      <c r="P1033" s="2" t="s">
        <v>750</v>
      </c>
      <c r="Q1033" s="2" t="s">
        <v>206</v>
      </c>
      <c r="R1033" s="2" t="s">
        <v>200</v>
      </c>
      <c r="S1033" s="2" t="s">
        <v>200</v>
      </c>
      <c r="T1033" s="2" t="s">
        <v>200</v>
      </c>
      <c r="U1033" s="2" t="s">
        <v>677</v>
      </c>
      <c r="V1033" s="2" t="s">
        <v>616</v>
      </c>
      <c r="W1033" s="2" t="s">
        <v>379</v>
      </c>
      <c r="X1033" s="2" t="s">
        <v>379</v>
      </c>
      <c r="Y1033" s="2" t="s">
        <v>2373</v>
      </c>
      <c r="Z1033" s="4">
        <v>75</v>
      </c>
      <c r="AA1033" s="4">
        <f>=ROUNDDOWN(75,0)</f>
      </c>
      <c r="AB1033" s="5">
        <v>1</v>
      </c>
      <c r="AC1033" s="2" t="s">
        <v>200</v>
      </c>
      <c r="AD1033" s="4"/>
      <c r="AE1033" s="4"/>
      <c r="AF1033" s="6">
        <v>63</v>
      </c>
      <c r="AG1033" s="6"/>
      <c r="AH1033" s="7">
        <v>1</v>
      </c>
      <c r="AI1033" s="4"/>
      <c r="AJ1033" s="4">
        <f>=ROUNDDOWN({0},0)</f>
      </c>
      <c r="AK1033" s="5"/>
      <c r="AL1033" s="2" t="s">
        <v>200</v>
      </c>
      <c r="AM1033" s="4"/>
      <c r="AN1033" s="4"/>
      <c r="AO1033" s="7"/>
      <c r="AP1033" s="4"/>
      <c r="AQ1033" s="8"/>
      <c r="AR1033" s="4"/>
      <c r="AS1033" s="8"/>
      <c r="AT1033" s="7"/>
      <c r="AU1033" s="7"/>
      <c r="AV1033" s="4"/>
      <c r="AW1033" s="8"/>
      <c r="AX1033" s="4"/>
      <c r="AY1033" s="8"/>
      <c r="AZ1033" s="7"/>
      <c r="BA1033" s="7"/>
      <c r="BB1033" s="7"/>
      <c r="BC1033" s="4" t="s">
        <v>200</v>
      </c>
      <c r="BD1033" s="8" t="s">
        <v>200</v>
      </c>
      <c r="BE1033" s="4" t="s">
        <v>200</v>
      </c>
      <c r="BF1033" s="8" t="s">
        <v>200</v>
      </c>
      <c r="BG1033" s="7" t="s">
        <v>200</v>
      </c>
      <c r="BH1033" s="7" t="s">
        <v>200</v>
      </c>
      <c r="BI1033" s="7"/>
      <c r="BJ1033" s="4"/>
      <c r="BK1033" s="8"/>
      <c r="BL1033" s="2" t="s">
        <v>200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5993</v>
      </c>
      <c r="BV1033" s="2" t="s">
        <v>200</v>
      </c>
      <c r="BW1033" s="2" t="s">
        <v>200</v>
      </c>
      <c r="BX1033" s="2" t="s">
        <v>264</v>
      </c>
      <c r="BY1033" s="2" t="s">
        <v>247</v>
      </c>
      <c r="BZ1033" s="2" t="s">
        <v>212</v>
      </c>
      <c r="CA1033" s="2" t="s">
        <v>344</v>
      </c>
      <c r="CB1033" s="2" t="s">
        <v>2512</v>
      </c>
      <c r="CC1033" s="2" t="s">
        <v>213</v>
      </c>
      <c r="CD1033" s="2" t="s">
        <v>200</v>
      </c>
      <c r="CE1033" s="4"/>
      <c r="CF1033" s="4">
        <v>75</v>
      </c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  <c r="GG1033" s="4"/>
      <c r="GH1033" s="4"/>
    </row>
    <row r="1034">
      <c r="A1034" s="2" t="s">
        <v>5994</v>
      </c>
      <c r="B1034" s="2" t="s">
        <v>705</v>
      </c>
      <c r="C1034" s="2" t="s">
        <v>1375</v>
      </c>
      <c r="D1034" s="2" t="s">
        <v>817</v>
      </c>
      <c r="E1034" s="2" t="s">
        <v>818</v>
      </c>
      <c r="F1034" s="2" t="s">
        <v>5991</v>
      </c>
      <c r="G1034" s="2" t="s">
        <v>5991</v>
      </c>
      <c r="H1034" s="2" t="s">
        <v>5991</v>
      </c>
      <c r="I1034" s="2" t="s">
        <v>5992</v>
      </c>
      <c r="J1034" s="2" t="s">
        <v>711</v>
      </c>
      <c r="K1034" s="2" t="s">
        <v>5995</v>
      </c>
      <c r="L1034" s="3">
        <v>76.5</v>
      </c>
      <c r="M1034" s="3">
        <v>80.33</v>
      </c>
      <c r="N1034" s="3">
        <v>159.99</v>
      </c>
      <c r="O1034" s="2" t="s">
        <v>212</v>
      </c>
      <c r="P1034" s="2" t="s">
        <v>258</v>
      </c>
      <c r="Q1034" s="2" t="s">
        <v>206</v>
      </c>
      <c r="R1034" s="2" t="s">
        <v>200</v>
      </c>
      <c r="S1034" s="2" t="s">
        <v>200</v>
      </c>
      <c r="T1034" s="2" t="s">
        <v>200</v>
      </c>
      <c r="U1034" s="2" t="s">
        <v>677</v>
      </c>
      <c r="V1034" s="2" t="s">
        <v>616</v>
      </c>
      <c r="W1034" s="2" t="s">
        <v>379</v>
      </c>
      <c r="X1034" s="2" t="s">
        <v>379</v>
      </c>
      <c r="Y1034" s="2" t="s">
        <v>2373</v>
      </c>
      <c r="Z1034" s="4">
        <v>73</v>
      </c>
      <c r="AA1034" s="4">
        <f>=ROUNDDOWN(73,0)</f>
      </c>
      <c r="AB1034" s="5">
        <v>1</v>
      </c>
      <c r="AC1034" s="2" t="s">
        <v>200</v>
      </c>
      <c r="AD1034" s="4"/>
      <c r="AE1034" s="4"/>
      <c r="AF1034" s="6">
        <v>63</v>
      </c>
      <c r="AG1034" s="6"/>
      <c r="AH1034" s="7">
        <v>1</v>
      </c>
      <c r="AI1034" s="4"/>
      <c r="AJ1034" s="4">
        <f>=ROUNDDOWN({0},0)</f>
      </c>
      <c r="AK1034" s="5"/>
      <c r="AL1034" s="2" t="s">
        <v>200</v>
      </c>
      <c r="AM1034" s="4"/>
      <c r="AN1034" s="4"/>
      <c r="AO1034" s="7"/>
      <c r="AP1034" s="4"/>
      <c r="AQ1034" s="8"/>
      <c r="AR1034" s="4"/>
      <c r="AS1034" s="8"/>
      <c r="AT1034" s="7"/>
      <c r="AU1034" s="7"/>
      <c r="AV1034" s="4"/>
      <c r="AW1034" s="8"/>
      <c r="AX1034" s="4"/>
      <c r="AY1034" s="8"/>
      <c r="AZ1034" s="7"/>
      <c r="BA1034" s="7"/>
      <c r="BB1034" s="7"/>
      <c r="BC1034" s="4" t="s">
        <v>200</v>
      </c>
      <c r="BD1034" s="8" t="s">
        <v>200</v>
      </c>
      <c r="BE1034" s="4" t="s">
        <v>200</v>
      </c>
      <c r="BF1034" s="8" t="s">
        <v>200</v>
      </c>
      <c r="BG1034" s="7" t="s">
        <v>200</v>
      </c>
      <c r="BH1034" s="7" t="s">
        <v>200</v>
      </c>
      <c r="BI1034" s="7"/>
      <c r="BJ1034" s="4">
        <v>2</v>
      </c>
      <c r="BK1034" s="8">
        <v>167.07</v>
      </c>
      <c r="BL1034" s="2" t="s">
        <v>5996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5997</v>
      </c>
      <c r="BV1034" s="2" t="s">
        <v>200</v>
      </c>
      <c r="BW1034" s="2" t="s">
        <v>200</v>
      </c>
      <c r="BX1034" s="2" t="s">
        <v>264</v>
      </c>
      <c r="BY1034" s="2" t="s">
        <v>247</v>
      </c>
      <c r="BZ1034" s="2" t="s">
        <v>212</v>
      </c>
      <c r="CA1034" s="2" t="s">
        <v>344</v>
      </c>
      <c r="CB1034" s="2" t="s">
        <v>200</v>
      </c>
      <c r="CC1034" s="2" t="s">
        <v>213</v>
      </c>
      <c r="CD1034" s="2" t="s">
        <v>200</v>
      </c>
      <c r="CE1034" s="4"/>
      <c r="CF1034" s="4">
        <v>73</v>
      </c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4"/>
      <c r="FK1034" s="4"/>
      <c r="FL1034" s="4"/>
      <c r="FM1034" s="4"/>
      <c r="FN1034" s="4"/>
      <c r="FO1034" s="4"/>
      <c r="FP1034" s="4"/>
      <c r="FQ1034" s="4"/>
      <c r="FR1034" s="4"/>
      <c r="FS1034" s="4"/>
      <c r="FT1034" s="4"/>
      <c r="FU1034" s="4"/>
      <c r="FV1034" s="4"/>
      <c r="FW1034" s="4"/>
      <c r="FX1034" s="4"/>
      <c r="FY1034" s="4"/>
      <c r="FZ1034" s="4"/>
      <c r="GA1034" s="4"/>
      <c r="GB1034" s="4"/>
      <c r="GC1034" s="4"/>
      <c r="GD1034" s="4"/>
      <c r="GE1034" s="4"/>
      <c r="GF1034" s="4"/>
      <c r="GG1034" s="4"/>
      <c r="GH1034" s="4"/>
    </row>
    <row r="1035">
      <c r="A1035" s="2" t="s">
        <v>5998</v>
      </c>
      <c r="B1035" s="2" t="s">
        <v>195</v>
      </c>
      <c r="C1035" s="2" t="s">
        <v>231</v>
      </c>
      <c r="D1035" s="2" t="s">
        <v>197</v>
      </c>
      <c r="E1035" s="2" t="s">
        <v>198</v>
      </c>
      <c r="F1035" s="2" t="s">
        <v>5999</v>
      </c>
      <c r="G1035" s="2" t="s">
        <v>5999</v>
      </c>
      <c r="H1035" s="2" t="s">
        <v>5999</v>
      </c>
      <c r="I1035" s="2" t="s">
        <v>198</v>
      </c>
      <c r="J1035" s="2" t="s">
        <v>256</v>
      </c>
      <c r="K1035" s="2" t="s">
        <v>387</v>
      </c>
      <c r="L1035" s="3">
        <v>21.15</v>
      </c>
      <c r="M1035" s="3">
        <v>22.21</v>
      </c>
      <c r="N1035" s="3">
        <v>44.99</v>
      </c>
      <c r="O1035" s="2" t="s">
        <v>212</v>
      </c>
      <c r="P1035" s="2" t="s">
        <v>258</v>
      </c>
      <c r="Q1035" s="2" t="s">
        <v>206</v>
      </c>
      <c r="R1035" s="2" t="s">
        <v>200</v>
      </c>
      <c r="S1035" s="2" t="s">
        <v>6000</v>
      </c>
      <c r="T1035" s="2" t="s">
        <v>312</v>
      </c>
      <c r="U1035" s="2" t="s">
        <v>200</v>
      </c>
      <c r="V1035" s="2" t="s">
        <v>208</v>
      </c>
      <c r="W1035" s="2" t="s">
        <v>241</v>
      </c>
      <c r="X1035" s="2" t="s">
        <v>200</v>
      </c>
      <c r="Y1035" s="2" t="s">
        <v>261</v>
      </c>
      <c r="Z1035" s="4">
        <v>281</v>
      </c>
      <c r="AA1035" s="4">
        <f>=ROUNDDOWN(31.2222222222222,0)</f>
      </c>
      <c r="AB1035" s="5">
        <v>9</v>
      </c>
      <c r="AC1035" s="2" t="s">
        <v>6001</v>
      </c>
      <c r="AD1035" s="4">
        <v>320</v>
      </c>
      <c r="AE1035" s="4">
        <v>400</v>
      </c>
      <c r="AF1035" s="6">
        <v>69</v>
      </c>
      <c r="AG1035" s="6"/>
      <c r="AH1035" s="7">
        <v>1</v>
      </c>
      <c r="AI1035" s="4"/>
      <c r="AJ1035" s="4">
        <f>=ROUNDDOWN({0},0)</f>
      </c>
      <c r="AK1035" s="5"/>
      <c r="AL1035" s="2" t="s">
        <v>200</v>
      </c>
      <c r="AM1035" s="4"/>
      <c r="AN1035" s="4"/>
      <c r="AO1035" s="7"/>
      <c r="AP1035" s="4"/>
      <c r="AQ1035" s="8"/>
      <c r="AR1035" s="4"/>
      <c r="AS1035" s="8"/>
      <c r="AT1035" s="7"/>
      <c r="AU1035" s="7"/>
      <c r="AV1035" s="4"/>
      <c r="AW1035" s="8"/>
      <c r="AX1035" s="4"/>
      <c r="AY1035" s="8"/>
      <c r="AZ1035" s="7"/>
      <c r="BA1035" s="7"/>
      <c r="BB1035" s="7"/>
      <c r="BC1035" s="4" t="s">
        <v>200</v>
      </c>
      <c r="BD1035" s="8" t="s">
        <v>200</v>
      </c>
      <c r="BE1035" s="4" t="s">
        <v>200</v>
      </c>
      <c r="BF1035" s="8" t="s">
        <v>200</v>
      </c>
      <c r="BG1035" s="7" t="s">
        <v>200</v>
      </c>
      <c r="BH1035" s="7" t="s">
        <v>200</v>
      </c>
      <c r="BI1035" s="7"/>
      <c r="BJ1035" s="4">
        <v>12</v>
      </c>
      <c r="BK1035" s="8">
        <v>254.5</v>
      </c>
      <c r="BL1035" s="2" t="s">
        <v>6002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6003</v>
      </c>
      <c r="BV1035" s="2" t="s">
        <v>200</v>
      </c>
      <c r="BW1035" s="2" t="s">
        <v>200</v>
      </c>
      <c r="BX1035" s="2" t="s">
        <v>264</v>
      </c>
      <c r="BY1035" s="2" t="s">
        <v>247</v>
      </c>
      <c r="BZ1035" s="2" t="s">
        <v>212</v>
      </c>
      <c r="CA1035" s="2" t="s">
        <v>265</v>
      </c>
      <c r="CB1035" s="2" t="s">
        <v>574</v>
      </c>
      <c r="CC1035" s="2" t="s">
        <v>213</v>
      </c>
      <c r="CD1035" s="2" t="s">
        <v>200</v>
      </c>
      <c r="CE1035" s="4">
        <v>281</v>
      </c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>
        <v>320</v>
      </c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>
        <v>80</v>
      </c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/>
      <c r="GG1035" s="4"/>
      <c r="GH1035" s="4"/>
    </row>
    <row r="1036">
      <c r="A1036" s="2" t="s">
        <v>6004</v>
      </c>
      <c r="B1036" s="2" t="s">
        <v>195</v>
      </c>
      <c r="C1036" s="2" t="s">
        <v>231</v>
      </c>
      <c r="D1036" s="2" t="s">
        <v>197</v>
      </c>
      <c r="E1036" s="2" t="s">
        <v>198</v>
      </c>
      <c r="F1036" s="2" t="s">
        <v>5999</v>
      </c>
      <c r="G1036" s="2" t="s">
        <v>5999</v>
      </c>
      <c r="H1036" s="2" t="s">
        <v>5999</v>
      </c>
      <c r="I1036" s="2" t="s">
        <v>198</v>
      </c>
      <c r="J1036" s="2" t="s">
        <v>256</v>
      </c>
      <c r="K1036" s="2" t="s">
        <v>4544</v>
      </c>
      <c r="L1036" s="3">
        <v>21.15</v>
      </c>
      <c r="M1036" s="3">
        <v>22.21</v>
      </c>
      <c r="N1036" s="3">
        <v>44.99</v>
      </c>
      <c r="O1036" s="2" t="s">
        <v>212</v>
      </c>
      <c r="P1036" s="2" t="s">
        <v>258</v>
      </c>
      <c r="Q1036" s="2" t="s">
        <v>206</v>
      </c>
      <c r="R1036" s="2" t="s">
        <v>200</v>
      </c>
      <c r="S1036" s="2" t="s">
        <v>6005</v>
      </c>
      <c r="T1036" s="2" t="s">
        <v>312</v>
      </c>
      <c r="U1036" s="2" t="s">
        <v>200</v>
      </c>
      <c r="V1036" s="2" t="s">
        <v>208</v>
      </c>
      <c r="W1036" s="2" t="s">
        <v>241</v>
      </c>
      <c r="X1036" s="2" t="s">
        <v>200</v>
      </c>
      <c r="Y1036" s="2" t="s">
        <v>261</v>
      </c>
      <c r="Z1036" s="4">
        <v>242</v>
      </c>
      <c r="AA1036" s="4">
        <f>=ROUNDDOWN(48.4,0)</f>
      </c>
      <c r="AB1036" s="5">
        <v>5</v>
      </c>
      <c r="AC1036" s="2" t="s">
        <v>6006</v>
      </c>
      <c r="AD1036" s="4">
        <v>70</v>
      </c>
      <c r="AE1036" s="4">
        <v>70</v>
      </c>
      <c r="AF1036" s="6">
        <v>69</v>
      </c>
      <c r="AG1036" s="6"/>
      <c r="AH1036" s="7">
        <v>1</v>
      </c>
      <c r="AI1036" s="4"/>
      <c r="AJ1036" s="4">
        <f>=ROUNDDOWN({0},0)</f>
      </c>
      <c r="AK1036" s="5"/>
      <c r="AL1036" s="2" t="s">
        <v>200</v>
      </c>
      <c r="AM1036" s="4"/>
      <c r="AN1036" s="4"/>
      <c r="AO1036" s="7"/>
      <c r="AP1036" s="4"/>
      <c r="AQ1036" s="8"/>
      <c r="AR1036" s="4"/>
      <c r="AS1036" s="8"/>
      <c r="AT1036" s="7"/>
      <c r="AU1036" s="7"/>
      <c r="AV1036" s="4"/>
      <c r="AW1036" s="8"/>
      <c r="AX1036" s="4"/>
      <c r="AY1036" s="8"/>
      <c r="AZ1036" s="7"/>
      <c r="BA1036" s="7"/>
      <c r="BB1036" s="7"/>
      <c r="BC1036" s="4" t="s">
        <v>200</v>
      </c>
      <c r="BD1036" s="8" t="s">
        <v>200</v>
      </c>
      <c r="BE1036" s="4" t="s">
        <v>200</v>
      </c>
      <c r="BF1036" s="8" t="s">
        <v>200</v>
      </c>
      <c r="BG1036" s="7" t="s">
        <v>200</v>
      </c>
      <c r="BH1036" s="7" t="s">
        <v>200</v>
      </c>
      <c r="BI1036" s="7"/>
      <c r="BJ1036" s="4">
        <v>17</v>
      </c>
      <c r="BK1036" s="8">
        <v>351.55</v>
      </c>
      <c r="BL1036" s="2" t="s">
        <v>6007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6008</v>
      </c>
      <c r="BV1036" s="2" t="s">
        <v>200</v>
      </c>
      <c r="BW1036" s="2" t="s">
        <v>200</v>
      </c>
      <c r="BX1036" s="2" t="s">
        <v>264</v>
      </c>
      <c r="BY1036" s="2" t="s">
        <v>247</v>
      </c>
      <c r="BZ1036" s="2" t="s">
        <v>212</v>
      </c>
      <c r="CA1036" s="2" t="s">
        <v>265</v>
      </c>
      <c r="CB1036" s="2" t="s">
        <v>6009</v>
      </c>
      <c r="CC1036" s="2" t="s">
        <v>213</v>
      </c>
      <c r="CD1036" s="2" t="s">
        <v>200</v>
      </c>
      <c r="CE1036" s="4">
        <v>242</v>
      </c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  <c r="ES1036" s="4"/>
      <c r="ET1036" s="4"/>
      <c r="EU1036" s="4"/>
      <c r="EV1036" s="4"/>
      <c r="EW1036" s="4"/>
      <c r="EX1036" s="4"/>
      <c r="EY1036" s="4"/>
      <c r="EZ1036" s="4"/>
      <c r="FA1036" s="4"/>
      <c r="FB1036" s="4"/>
      <c r="FC1036" s="4"/>
      <c r="FD1036" s="4"/>
      <c r="FE1036" s="4"/>
      <c r="FF1036" s="4"/>
      <c r="FG1036" s="4">
        <v>70</v>
      </c>
      <c r="FH1036" s="4"/>
      <c r="FI1036" s="4"/>
      <c r="FJ1036" s="4"/>
      <c r="FK1036" s="4"/>
      <c r="FL1036" s="4"/>
      <c r="FM1036" s="4"/>
      <c r="FN1036" s="4"/>
      <c r="FO1036" s="4"/>
      <c r="FP1036" s="4"/>
      <c r="FQ1036" s="4"/>
      <c r="FR1036" s="4"/>
      <c r="FS1036" s="4"/>
      <c r="FT1036" s="4"/>
      <c r="FU1036" s="4"/>
      <c r="FV1036" s="4"/>
      <c r="FW1036" s="4"/>
      <c r="FX1036" s="4"/>
      <c r="FY1036" s="4"/>
      <c r="FZ1036" s="4"/>
      <c r="GA1036" s="4"/>
      <c r="GB1036" s="4"/>
      <c r="GC1036" s="4"/>
      <c r="GD1036" s="4"/>
      <c r="GE1036" s="4"/>
      <c r="GF1036" s="4"/>
      <c r="GG1036" s="4"/>
      <c r="GH1036" s="4"/>
    </row>
    <row r="1037">
      <c r="A1037" s="2" t="s">
        <v>6010</v>
      </c>
      <c r="B1037" s="2" t="s">
        <v>195</v>
      </c>
      <c r="C1037" s="2" t="s">
        <v>231</v>
      </c>
      <c r="D1037" s="2" t="s">
        <v>197</v>
      </c>
      <c r="E1037" s="2" t="s">
        <v>198</v>
      </c>
      <c r="F1037" s="2" t="s">
        <v>5999</v>
      </c>
      <c r="G1037" s="2" t="s">
        <v>5999</v>
      </c>
      <c r="H1037" s="2" t="s">
        <v>5999</v>
      </c>
      <c r="I1037" s="2" t="s">
        <v>198</v>
      </c>
      <c r="J1037" s="2" t="s">
        <v>256</v>
      </c>
      <c r="K1037" s="2" t="s">
        <v>464</v>
      </c>
      <c r="L1037" s="3">
        <v>21.15</v>
      </c>
      <c r="M1037" s="3">
        <v>22.21</v>
      </c>
      <c r="N1037" s="3">
        <v>44.99</v>
      </c>
      <c r="O1037" s="2" t="s">
        <v>212</v>
      </c>
      <c r="P1037" s="2" t="s">
        <v>258</v>
      </c>
      <c r="Q1037" s="2" t="s">
        <v>206</v>
      </c>
      <c r="R1037" s="2" t="s">
        <v>200</v>
      </c>
      <c r="S1037" s="2" t="s">
        <v>6011</v>
      </c>
      <c r="T1037" s="2" t="s">
        <v>312</v>
      </c>
      <c r="U1037" s="2" t="s">
        <v>200</v>
      </c>
      <c r="V1037" s="2" t="s">
        <v>208</v>
      </c>
      <c r="W1037" s="2" t="s">
        <v>241</v>
      </c>
      <c r="X1037" s="2" t="s">
        <v>200</v>
      </c>
      <c r="Y1037" s="2" t="s">
        <v>261</v>
      </c>
      <c r="Z1037" s="4">
        <v>754</v>
      </c>
      <c r="AA1037" s="4">
        <f>=ROUNDDOWN(39.6842105263158,0)</f>
      </c>
      <c r="AB1037" s="5">
        <v>19</v>
      </c>
      <c r="AC1037" s="2" t="s">
        <v>1105</v>
      </c>
      <c r="AD1037" s="4">
        <v>120</v>
      </c>
      <c r="AE1037" s="4">
        <v>260</v>
      </c>
      <c r="AF1037" s="6">
        <v>69</v>
      </c>
      <c r="AG1037" s="6"/>
      <c r="AH1037" s="7">
        <v>1</v>
      </c>
      <c r="AI1037" s="4"/>
      <c r="AJ1037" s="4">
        <f>=ROUNDDOWN({0},0)</f>
      </c>
      <c r="AK1037" s="5"/>
      <c r="AL1037" s="2" t="s">
        <v>200</v>
      </c>
      <c r="AM1037" s="4"/>
      <c r="AN1037" s="4"/>
      <c r="AO1037" s="7"/>
      <c r="AP1037" s="4"/>
      <c r="AQ1037" s="8"/>
      <c r="AR1037" s="4"/>
      <c r="AS1037" s="8"/>
      <c r="AT1037" s="7"/>
      <c r="AU1037" s="7"/>
      <c r="AV1037" s="4"/>
      <c r="AW1037" s="8"/>
      <c r="AX1037" s="4"/>
      <c r="AY1037" s="8"/>
      <c r="AZ1037" s="7"/>
      <c r="BA1037" s="7"/>
      <c r="BB1037" s="7"/>
      <c r="BC1037" s="4" t="s">
        <v>200</v>
      </c>
      <c r="BD1037" s="8" t="s">
        <v>200</v>
      </c>
      <c r="BE1037" s="4" t="s">
        <v>200</v>
      </c>
      <c r="BF1037" s="8" t="s">
        <v>200</v>
      </c>
      <c r="BG1037" s="7" t="s">
        <v>200</v>
      </c>
      <c r="BH1037" s="7" t="s">
        <v>200</v>
      </c>
      <c r="BI1037" s="7"/>
      <c r="BJ1037" s="4">
        <v>33</v>
      </c>
      <c r="BK1037" s="8">
        <v>688.02</v>
      </c>
      <c r="BL1037" s="2" t="s">
        <v>6012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6013</v>
      </c>
      <c r="BV1037" s="2" t="s">
        <v>200</v>
      </c>
      <c r="BW1037" s="2" t="s">
        <v>200</v>
      </c>
      <c r="BX1037" s="2" t="s">
        <v>264</v>
      </c>
      <c r="BY1037" s="2" t="s">
        <v>247</v>
      </c>
      <c r="BZ1037" s="2" t="s">
        <v>212</v>
      </c>
      <c r="CA1037" s="2" t="s">
        <v>265</v>
      </c>
      <c r="CB1037" s="2" t="s">
        <v>6014</v>
      </c>
      <c r="CC1037" s="2" t="s">
        <v>213</v>
      </c>
      <c r="CD1037" s="2" t="s">
        <v>200</v>
      </c>
      <c r="CE1037" s="4">
        <v>754</v>
      </c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>
        <v>120</v>
      </c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>
        <v>40</v>
      </c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>
        <v>100</v>
      </c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  <c r="GH1037" s="4"/>
    </row>
    <row r="1038">
      <c r="A1038" s="2" t="s">
        <v>6015</v>
      </c>
      <c r="B1038" s="2" t="s">
        <v>1099</v>
      </c>
      <c r="C1038" s="2" t="s">
        <v>877</v>
      </c>
      <c r="D1038" s="2" t="s">
        <v>6016</v>
      </c>
      <c r="E1038" s="2" t="s">
        <v>671</v>
      </c>
      <c r="F1038" s="2" t="s">
        <v>6017</v>
      </c>
      <c r="G1038" s="2" t="s">
        <v>6017</v>
      </c>
      <c r="H1038" s="2" t="s">
        <v>6017</v>
      </c>
      <c r="I1038" s="2" t="s">
        <v>6018</v>
      </c>
      <c r="J1038" s="2" t="s">
        <v>711</v>
      </c>
      <c r="K1038" s="2" t="s">
        <v>6019</v>
      </c>
      <c r="L1038" s="3">
        <v>28.99</v>
      </c>
      <c r="M1038" s="3">
        <v>30.44</v>
      </c>
      <c r="N1038" s="3">
        <v>49.99</v>
      </c>
      <c r="O1038" s="2" t="s">
        <v>212</v>
      </c>
      <c r="P1038" s="2" t="s">
        <v>285</v>
      </c>
      <c r="Q1038" s="2" t="s">
        <v>206</v>
      </c>
      <c r="R1038" s="2" t="s">
        <v>200</v>
      </c>
      <c r="S1038" s="2" t="s">
        <v>200</v>
      </c>
      <c r="T1038" s="2" t="s">
        <v>200</v>
      </c>
      <c r="U1038" s="2" t="s">
        <v>662</v>
      </c>
      <c r="V1038" s="2" t="s">
        <v>885</v>
      </c>
      <c r="W1038" s="2" t="s">
        <v>200</v>
      </c>
      <c r="X1038" s="2" t="s">
        <v>200</v>
      </c>
      <c r="Y1038" s="2" t="s">
        <v>4418</v>
      </c>
      <c r="Z1038" s="4">
        <v>81</v>
      </c>
      <c r="AA1038" s="4">
        <f>=ROUNDDOWN(27,0)</f>
      </c>
      <c r="AB1038" s="5">
        <v>3</v>
      </c>
      <c r="AC1038" s="2" t="s">
        <v>200</v>
      </c>
      <c r="AD1038" s="4"/>
      <c r="AE1038" s="4"/>
      <c r="AF1038" s="6">
        <v>73</v>
      </c>
      <c r="AG1038" s="6"/>
      <c r="AH1038" s="7">
        <v>1</v>
      </c>
      <c r="AI1038" s="4"/>
      <c r="AJ1038" s="4">
        <f>=ROUNDDOWN({0},0)</f>
      </c>
      <c r="AK1038" s="5"/>
      <c r="AL1038" s="2" t="s">
        <v>200</v>
      </c>
      <c r="AM1038" s="4"/>
      <c r="AN1038" s="4"/>
      <c r="AO1038" s="7"/>
      <c r="AP1038" s="4"/>
      <c r="AQ1038" s="8"/>
      <c r="AR1038" s="4"/>
      <c r="AS1038" s="8"/>
      <c r="AT1038" s="7"/>
      <c r="AU1038" s="7"/>
      <c r="AV1038" s="4"/>
      <c r="AW1038" s="8"/>
      <c r="AX1038" s="4"/>
      <c r="AY1038" s="8"/>
      <c r="AZ1038" s="7"/>
      <c r="BA1038" s="7"/>
      <c r="BB1038" s="7"/>
      <c r="BC1038" s="4" t="s">
        <v>200</v>
      </c>
      <c r="BD1038" s="8" t="s">
        <v>200</v>
      </c>
      <c r="BE1038" s="4" t="s">
        <v>200</v>
      </c>
      <c r="BF1038" s="8" t="s">
        <v>200</v>
      </c>
      <c r="BG1038" s="7" t="s">
        <v>200</v>
      </c>
      <c r="BH1038" s="7" t="s">
        <v>200</v>
      </c>
      <c r="BI1038" s="7"/>
      <c r="BJ1038" s="4">
        <v>4</v>
      </c>
      <c r="BK1038" s="8">
        <v>121.95</v>
      </c>
      <c r="BL1038" s="2" t="s">
        <v>6020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6021</v>
      </c>
      <c r="BV1038" s="2" t="s">
        <v>200</v>
      </c>
      <c r="BW1038" s="2" t="s">
        <v>200</v>
      </c>
      <c r="BX1038" s="2" t="s">
        <v>289</v>
      </c>
      <c r="BY1038" s="2" t="s">
        <v>247</v>
      </c>
      <c r="BZ1038" s="2" t="s">
        <v>212</v>
      </c>
      <c r="CA1038" s="2" t="s">
        <v>3977</v>
      </c>
      <c r="CB1038" s="2" t="s">
        <v>200</v>
      </c>
      <c r="CC1038" s="2" t="s">
        <v>213</v>
      </c>
      <c r="CD1038" s="2" t="s">
        <v>200</v>
      </c>
      <c r="CE1038" s="4">
        <v>81</v>
      </c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/>
      <c r="FC1038" s="4"/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4"/>
      <c r="FW1038" s="4"/>
      <c r="FX1038" s="4"/>
      <c r="FY1038" s="4"/>
      <c r="FZ1038" s="4"/>
      <c r="GA1038" s="4"/>
      <c r="GB1038" s="4"/>
      <c r="GC1038" s="4"/>
      <c r="GD1038" s="4"/>
      <c r="GE1038" s="4"/>
      <c r="GF1038" s="4"/>
      <c r="GG1038" s="4"/>
      <c r="GH1038" s="4"/>
    </row>
    <row r="1039">
      <c r="A1039" s="2" t="s">
        <v>6022</v>
      </c>
      <c r="B1039" s="2" t="s">
        <v>1099</v>
      </c>
      <c r="C1039" s="2" t="s">
        <v>877</v>
      </c>
      <c r="D1039" s="2" t="s">
        <v>6016</v>
      </c>
      <c r="E1039" s="2" t="s">
        <v>671</v>
      </c>
      <c r="F1039" s="2" t="s">
        <v>6017</v>
      </c>
      <c r="G1039" s="2" t="s">
        <v>6017</v>
      </c>
      <c r="H1039" s="2" t="s">
        <v>6017</v>
      </c>
      <c r="I1039" s="2" t="s">
        <v>6018</v>
      </c>
      <c r="J1039" s="2" t="s">
        <v>711</v>
      </c>
      <c r="K1039" s="2" t="s">
        <v>223</v>
      </c>
      <c r="L1039" s="3">
        <v>28.99</v>
      </c>
      <c r="M1039" s="3">
        <v>30.44</v>
      </c>
      <c r="N1039" s="3">
        <v>49.99</v>
      </c>
      <c r="O1039" s="2" t="s">
        <v>212</v>
      </c>
      <c r="P1039" s="2" t="s">
        <v>285</v>
      </c>
      <c r="Q1039" s="2" t="s">
        <v>206</v>
      </c>
      <c r="R1039" s="2" t="s">
        <v>200</v>
      </c>
      <c r="S1039" s="2" t="s">
        <v>200</v>
      </c>
      <c r="T1039" s="2" t="s">
        <v>200</v>
      </c>
      <c r="U1039" s="2" t="s">
        <v>662</v>
      </c>
      <c r="V1039" s="2" t="s">
        <v>885</v>
      </c>
      <c r="W1039" s="2" t="s">
        <v>200</v>
      </c>
      <c r="X1039" s="2" t="s">
        <v>200</v>
      </c>
      <c r="Y1039" s="2" t="s">
        <v>4418</v>
      </c>
      <c r="Z1039" s="4">
        <v>148</v>
      </c>
      <c r="AA1039" s="4">
        <f>=ROUNDDOWN(21.1428571428571,0)</f>
      </c>
      <c r="AB1039" s="5">
        <v>7</v>
      </c>
      <c r="AC1039" s="2" t="s">
        <v>200</v>
      </c>
      <c r="AD1039" s="4"/>
      <c r="AE1039" s="4"/>
      <c r="AF1039" s="6">
        <v>73</v>
      </c>
      <c r="AG1039" s="6"/>
      <c r="AH1039" s="7">
        <v>1</v>
      </c>
      <c r="AI1039" s="4"/>
      <c r="AJ1039" s="4">
        <f>=ROUNDDOWN({0},0)</f>
      </c>
      <c r="AK1039" s="5"/>
      <c r="AL1039" s="2" t="s">
        <v>200</v>
      </c>
      <c r="AM1039" s="4"/>
      <c r="AN1039" s="4"/>
      <c r="AO1039" s="7"/>
      <c r="AP1039" s="4"/>
      <c r="AQ1039" s="8"/>
      <c r="AR1039" s="4"/>
      <c r="AS1039" s="8"/>
      <c r="AT1039" s="7"/>
      <c r="AU1039" s="7"/>
      <c r="AV1039" s="4"/>
      <c r="AW1039" s="8"/>
      <c r="AX1039" s="4"/>
      <c r="AY1039" s="8"/>
      <c r="AZ1039" s="7"/>
      <c r="BA1039" s="7"/>
      <c r="BB1039" s="7"/>
      <c r="BC1039" s="4" t="s">
        <v>200</v>
      </c>
      <c r="BD1039" s="8" t="s">
        <v>200</v>
      </c>
      <c r="BE1039" s="4" t="s">
        <v>200</v>
      </c>
      <c r="BF1039" s="8" t="s">
        <v>200</v>
      </c>
      <c r="BG1039" s="7" t="s">
        <v>200</v>
      </c>
      <c r="BH1039" s="7" t="s">
        <v>200</v>
      </c>
      <c r="BI1039" s="7"/>
      <c r="BJ1039" s="4">
        <v>2</v>
      </c>
      <c r="BK1039" s="8">
        <v>58.03</v>
      </c>
      <c r="BL1039" s="2" t="s">
        <v>953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6023</v>
      </c>
      <c r="BV1039" s="2" t="s">
        <v>200</v>
      </c>
      <c r="BW1039" s="2" t="s">
        <v>200</v>
      </c>
      <c r="BX1039" s="2" t="s">
        <v>289</v>
      </c>
      <c r="BY1039" s="2" t="s">
        <v>247</v>
      </c>
      <c r="BZ1039" s="2" t="s">
        <v>212</v>
      </c>
      <c r="CA1039" s="2" t="s">
        <v>3977</v>
      </c>
      <c r="CB1039" s="2" t="s">
        <v>200</v>
      </c>
      <c r="CC1039" s="2" t="s">
        <v>213</v>
      </c>
      <c r="CD1039" s="2" t="s">
        <v>200</v>
      </c>
      <c r="CE1039" s="4">
        <v>148</v>
      </c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</row>
    <row r="1040">
      <c r="A1040" s="2" t="s">
        <v>6024</v>
      </c>
      <c r="B1040" s="2" t="s">
        <v>705</v>
      </c>
      <c r="C1040" s="2" t="s">
        <v>706</v>
      </c>
      <c r="D1040" s="2" t="s">
        <v>817</v>
      </c>
      <c r="E1040" s="2" t="s">
        <v>818</v>
      </c>
      <c r="F1040" s="2" t="s">
        <v>6025</v>
      </c>
      <c r="G1040" s="2" t="s">
        <v>6025</v>
      </c>
      <c r="H1040" s="2" t="s">
        <v>6025</v>
      </c>
      <c r="I1040" s="2" t="s">
        <v>6026</v>
      </c>
      <c r="J1040" s="2" t="s">
        <v>711</v>
      </c>
      <c r="K1040" s="2" t="s">
        <v>6027</v>
      </c>
      <c r="L1040" s="3">
        <v>28.05</v>
      </c>
      <c r="M1040" s="3">
        <v>29.45</v>
      </c>
      <c r="N1040" s="3">
        <v>59.99</v>
      </c>
      <c r="O1040" s="2" t="s">
        <v>417</v>
      </c>
      <c r="P1040" s="2" t="s">
        <v>285</v>
      </c>
      <c r="Q1040" s="2" t="s">
        <v>206</v>
      </c>
      <c r="R1040" s="2" t="s">
        <v>200</v>
      </c>
      <c r="S1040" s="2" t="s">
        <v>200</v>
      </c>
      <c r="T1040" s="2" t="s">
        <v>200</v>
      </c>
      <c r="U1040" s="2" t="s">
        <v>270</v>
      </c>
      <c r="V1040" s="2" t="s">
        <v>616</v>
      </c>
      <c r="W1040" s="2" t="s">
        <v>379</v>
      </c>
      <c r="X1040" s="2" t="s">
        <v>419</v>
      </c>
      <c r="Y1040" s="2" t="s">
        <v>5737</v>
      </c>
      <c r="Z1040" s="4">
        <v>10</v>
      </c>
      <c r="AA1040" s="4">
        <f>=ROUNDDOWN(100,0)</f>
      </c>
      <c r="AB1040" s="5">
        <v>0.1</v>
      </c>
      <c r="AC1040" s="2" t="s">
        <v>200</v>
      </c>
      <c r="AD1040" s="4"/>
      <c r="AE1040" s="4"/>
      <c r="AF1040" s="6">
        <v>65</v>
      </c>
      <c r="AG1040" s="6"/>
      <c r="AH1040" s="7">
        <v>0.9</v>
      </c>
      <c r="AI1040" s="4"/>
      <c r="AJ1040" s="4">
        <f>=ROUNDDOWN({0},0)</f>
      </c>
      <c r="AK1040" s="5"/>
      <c r="AL1040" s="2" t="s">
        <v>200</v>
      </c>
      <c r="AM1040" s="4"/>
      <c r="AN1040" s="4"/>
      <c r="AO1040" s="7"/>
      <c r="AP1040" s="4"/>
      <c r="AQ1040" s="8"/>
      <c r="AR1040" s="4"/>
      <c r="AS1040" s="8"/>
      <c r="AT1040" s="7"/>
      <c r="AU1040" s="7"/>
      <c r="AV1040" s="4"/>
      <c r="AW1040" s="8"/>
      <c r="AX1040" s="4"/>
      <c r="AY1040" s="8"/>
      <c r="AZ1040" s="7"/>
      <c r="BA1040" s="7"/>
      <c r="BB1040" s="7"/>
      <c r="BC1040" s="4"/>
      <c r="BD1040" s="8"/>
      <c r="BE1040" s="4"/>
      <c r="BF1040" s="8"/>
      <c r="BG1040" s="7"/>
      <c r="BH1040" s="7"/>
      <c r="BI1040" s="7"/>
      <c r="BJ1040" s="4"/>
      <c r="BK1040" s="8"/>
      <c r="BL1040" s="2" t="s">
        <v>2183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6028</v>
      </c>
      <c r="BV1040" s="2" t="s">
        <v>200</v>
      </c>
      <c r="BW1040" s="2" t="s">
        <v>200</v>
      </c>
      <c r="BX1040" s="2" t="s">
        <v>289</v>
      </c>
      <c r="BY1040" s="2" t="s">
        <v>247</v>
      </c>
      <c r="BZ1040" s="2" t="s">
        <v>212</v>
      </c>
      <c r="CA1040" s="2" t="s">
        <v>6029</v>
      </c>
      <c r="CB1040" s="2" t="s">
        <v>1978</v>
      </c>
      <c r="CC1040" s="2" t="s">
        <v>213</v>
      </c>
      <c r="CD1040" s="2" t="s">
        <v>200</v>
      </c>
      <c r="CE1040" s="4"/>
      <c r="CF1040" s="4">
        <v>10</v>
      </c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4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/>
      <c r="FV1040" s="4"/>
      <c r="FW1040" s="4"/>
      <c r="FX1040" s="4"/>
      <c r="FY1040" s="4"/>
      <c r="FZ1040" s="4"/>
      <c r="GA1040" s="4"/>
      <c r="GB1040" s="4"/>
      <c r="GC1040" s="4"/>
      <c r="GD1040" s="4"/>
      <c r="GE1040" s="4"/>
      <c r="GF1040" s="4"/>
      <c r="GG1040" s="4"/>
      <c r="GH1040" s="4"/>
    </row>
    <row r="1041">
      <c r="A1041" s="2" t="s">
        <v>6030</v>
      </c>
      <c r="B1041" s="2" t="s">
        <v>827</v>
      </c>
      <c r="C1041" s="2" t="s">
        <v>877</v>
      </c>
      <c r="D1041" s="2" t="s">
        <v>1642</v>
      </c>
      <c r="E1041" s="2" t="s">
        <v>1659</v>
      </c>
      <c r="F1041" s="2" t="s">
        <v>6031</v>
      </c>
      <c r="G1041" s="2" t="s">
        <v>6032</v>
      </c>
      <c r="H1041" s="2" t="s">
        <v>6033</v>
      </c>
      <c r="I1041" s="2" t="s">
        <v>6034</v>
      </c>
      <c r="J1041" s="2" t="s">
        <v>6035</v>
      </c>
      <c r="K1041" s="2" t="s">
        <v>660</v>
      </c>
      <c r="L1041" s="3">
        <v>18.25</v>
      </c>
      <c r="M1041" s="3">
        <v>19.16</v>
      </c>
      <c r="N1041" s="3">
        <v>39.99</v>
      </c>
      <c r="O1041" s="2" t="s">
        <v>212</v>
      </c>
      <c r="P1041" s="2" t="s">
        <v>258</v>
      </c>
      <c r="Q1041" s="2" t="s">
        <v>206</v>
      </c>
      <c r="R1041" s="2" t="s">
        <v>200</v>
      </c>
      <c r="S1041" s="2" t="s">
        <v>1649</v>
      </c>
      <c r="T1041" s="2" t="s">
        <v>200</v>
      </c>
      <c r="U1041" s="2" t="s">
        <v>270</v>
      </c>
      <c r="V1041" s="2" t="s">
        <v>208</v>
      </c>
      <c r="W1041" s="2" t="s">
        <v>241</v>
      </c>
      <c r="X1041" s="2" t="s">
        <v>200</v>
      </c>
      <c r="Y1041" s="2" t="s">
        <v>6036</v>
      </c>
      <c r="Z1041" s="4">
        <v>81</v>
      </c>
      <c r="AA1041" s="4">
        <f>=ROUNDDOWN(4.76470588235294,0)</f>
      </c>
      <c r="AB1041" s="5">
        <v>17</v>
      </c>
      <c r="AC1041" s="2" t="s">
        <v>3916</v>
      </c>
      <c r="AD1041" s="4">
        <v>40</v>
      </c>
      <c r="AE1041" s="4">
        <v>190</v>
      </c>
      <c r="AF1041" s="6">
        <v>65</v>
      </c>
      <c r="AG1041" s="6"/>
      <c r="AH1041" s="7">
        <v>1</v>
      </c>
      <c r="AI1041" s="4"/>
      <c r="AJ1041" s="4">
        <f>=ROUNDDOWN({0},0)</f>
      </c>
      <c r="AK1041" s="5"/>
      <c r="AL1041" s="2" t="s">
        <v>200</v>
      </c>
      <c r="AM1041" s="4"/>
      <c r="AN1041" s="4"/>
      <c r="AO1041" s="7"/>
      <c r="AP1041" s="4"/>
      <c r="AQ1041" s="8"/>
      <c r="AR1041" s="4"/>
      <c r="AS1041" s="8"/>
      <c r="AT1041" s="7"/>
      <c r="AU1041" s="7"/>
      <c r="AV1041" s="4"/>
      <c r="AW1041" s="8"/>
      <c r="AX1041" s="4"/>
      <c r="AY1041" s="8"/>
      <c r="AZ1041" s="7"/>
      <c r="BA1041" s="7"/>
      <c r="BB1041" s="7"/>
      <c r="BC1041" s="4" t="s">
        <v>200</v>
      </c>
      <c r="BD1041" s="8" t="s">
        <v>200</v>
      </c>
      <c r="BE1041" s="4" t="s">
        <v>200</v>
      </c>
      <c r="BF1041" s="8" t="s">
        <v>200</v>
      </c>
      <c r="BG1041" s="7" t="s">
        <v>200</v>
      </c>
      <c r="BH1041" s="7" t="s">
        <v>200</v>
      </c>
      <c r="BI1041" s="7"/>
      <c r="BJ1041" s="4">
        <v>100</v>
      </c>
      <c r="BK1041" s="8">
        <v>2025.74</v>
      </c>
      <c r="BL1041" s="2" t="s">
        <v>6037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6038</v>
      </c>
      <c r="BV1041" s="2" t="s">
        <v>200</v>
      </c>
      <c r="BW1041" s="2" t="s">
        <v>200</v>
      </c>
      <c r="BX1041" s="2" t="s">
        <v>264</v>
      </c>
      <c r="BY1041" s="2" t="s">
        <v>247</v>
      </c>
      <c r="BZ1041" s="2" t="s">
        <v>212</v>
      </c>
      <c r="CA1041" s="2" t="s">
        <v>3094</v>
      </c>
      <c r="CB1041" s="2" t="s">
        <v>6039</v>
      </c>
      <c r="CC1041" s="2" t="s">
        <v>213</v>
      </c>
      <c r="CD1041" s="2" t="s">
        <v>200</v>
      </c>
      <c r="CE1041" s="4">
        <v>81</v>
      </c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>
        <v>40</v>
      </c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>
        <v>70</v>
      </c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>
        <v>80</v>
      </c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  <c r="GG1041" s="4"/>
      <c r="GH1041" s="4"/>
    </row>
    <row r="1042">
      <c r="A1042" s="2" t="s">
        <v>6040</v>
      </c>
      <c r="B1042" s="2" t="s">
        <v>903</v>
      </c>
      <c r="C1042" s="2" t="s">
        <v>1523</v>
      </c>
      <c r="D1042" s="2" t="s">
        <v>608</v>
      </c>
      <c r="E1042" s="2" t="s">
        <v>609</v>
      </c>
      <c r="F1042" s="2" t="s">
        <v>6031</v>
      </c>
      <c r="G1042" s="2" t="s">
        <v>6031</v>
      </c>
      <c r="H1042" s="2" t="s">
        <v>6031</v>
      </c>
      <c r="I1042" s="2" t="s">
        <v>6041</v>
      </c>
      <c r="J1042" s="2" t="s">
        <v>236</v>
      </c>
      <c r="K1042" s="2" t="s">
        <v>1928</v>
      </c>
      <c r="L1042" s="3">
        <v>204.28</v>
      </c>
      <c r="M1042" s="3">
        <v>214.49</v>
      </c>
      <c r="N1042" s="3">
        <v>599.99</v>
      </c>
      <c r="O1042" s="2" t="s">
        <v>212</v>
      </c>
      <c r="P1042" s="2" t="s">
        <v>760</v>
      </c>
      <c r="Q1042" s="2" t="s">
        <v>206</v>
      </c>
      <c r="R1042" s="2" t="s">
        <v>200</v>
      </c>
      <c r="S1042" s="2" t="s">
        <v>200</v>
      </c>
      <c r="T1042" s="2" t="s">
        <v>200</v>
      </c>
      <c r="U1042" s="2" t="s">
        <v>240</v>
      </c>
      <c r="V1042" s="2" t="s">
        <v>1529</v>
      </c>
      <c r="W1042" s="2" t="s">
        <v>736</v>
      </c>
      <c r="X1042" s="2" t="s">
        <v>200</v>
      </c>
      <c r="Y1042" s="2" t="s">
        <v>1530</v>
      </c>
      <c r="Z1042" s="4">
        <v>61</v>
      </c>
      <c r="AA1042" s="4">
        <f>=ROUNDDOWN(61,0)</f>
      </c>
      <c r="AB1042" s="5">
        <v>1</v>
      </c>
      <c r="AC1042" s="2" t="s">
        <v>200</v>
      </c>
      <c r="AD1042" s="4"/>
      <c r="AE1042" s="4"/>
      <c r="AF1042" s="6">
        <v>65</v>
      </c>
      <c r="AG1042" s="6"/>
      <c r="AH1042" s="7">
        <v>1</v>
      </c>
      <c r="AI1042" s="4"/>
      <c r="AJ1042" s="4">
        <f>=ROUNDDOWN({0},0)</f>
      </c>
      <c r="AK1042" s="5"/>
      <c r="AL1042" s="2" t="s">
        <v>200</v>
      </c>
      <c r="AM1042" s="4"/>
      <c r="AN1042" s="4"/>
      <c r="AO1042" s="7"/>
      <c r="AP1042" s="4"/>
      <c r="AQ1042" s="8"/>
      <c r="AR1042" s="4"/>
      <c r="AS1042" s="8"/>
      <c r="AT1042" s="7"/>
      <c r="AU1042" s="7"/>
      <c r="AV1042" s="4"/>
      <c r="AW1042" s="8"/>
      <c r="AX1042" s="4"/>
      <c r="AY1042" s="8"/>
      <c r="AZ1042" s="7"/>
      <c r="BA1042" s="7"/>
      <c r="BB1042" s="7"/>
      <c r="BC1042" s="4" t="s">
        <v>200</v>
      </c>
      <c r="BD1042" s="8" t="s">
        <v>200</v>
      </c>
      <c r="BE1042" s="4" t="s">
        <v>200</v>
      </c>
      <c r="BF1042" s="8" t="s">
        <v>200</v>
      </c>
      <c r="BG1042" s="7" t="s">
        <v>200</v>
      </c>
      <c r="BH1042" s="7" t="s">
        <v>200</v>
      </c>
      <c r="BI1042" s="7"/>
      <c r="BJ1042" s="4">
        <v>3</v>
      </c>
      <c r="BK1042" s="8">
        <v>607.01</v>
      </c>
      <c r="BL1042" s="2" t="s">
        <v>2524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6042</v>
      </c>
      <c r="BV1042" s="2" t="s">
        <v>200</v>
      </c>
      <c r="BW1042" s="2" t="s">
        <v>200</v>
      </c>
      <c r="BX1042" s="2" t="s">
        <v>289</v>
      </c>
      <c r="BY1042" s="2" t="s">
        <v>247</v>
      </c>
      <c r="BZ1042" s="2" t="s">
        <v>212</v>
      </c>
      <c r="CA1042" s="2" t="s">
        <v>4846</v>
      </c>
      <c r="CB1042" s="2" t="s">
        <v>6043</v>
      </c>
      <c r="CC1042" s="2" t="s">
        <v>213</v>
      </c>
      <c r="CD1042" s="2" t="s">
        <v>200</v>
      </c>
      <c r="CE1042" s="4">
        <v>61</v>
      </c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  <c r="GH1042" s="4"/>
    </row>
    <row r="1043">
      <c r="A1043" s="2" t="s">
        <v>6044</v>
      </c>
      <c r="B1043" s="2" t="s">
        <v>932</v>
      </c>
      <c r="C1043" s="2" t="s">
        <v>877</v>
      </c>
      <c r="D1043" s="2" t="s">
        <v>608</v>
      </c>
      <c r="E1043" s="2" t="s">
        <v>904</v>
      </c>
      <c r="F1043" s="2" t="s">
        <v>6031</v>
      </c>
      <c r="G1043" s="2" t="s">
        <v>6045</v>
      </c>
      <c r="H1043" s="2" t="s">
        <v>1953</v>
      </c>
      <c r="I1043" s="2" t="s">
        <v>6046</v>
      </c>
      <c r="J1043" s="2" t="s">
        <v>269</v>
      </c>
      <c r="K1043" s="2" t="s">
        <v>1116</v>
      </c>
      <c r="L1043" s="3">
        <v>31.97</v>
      </c>
      <c r="M1043" s="3">
        <v>33.57</v>
      </c>
      <c r="N1043" s="3">
        <v>68.99</v>
      </c>
      <c r="O1043" s="2" t="s">
        <v>212</v>
      </c>
      <c r="P1043" s="2" t="s">
        <v>1075</v>
      </c>
      <c r="Q1043" s="2" t="s">
        <v>206</v>
      </c>
      <c r="R1043" s="2" t="s">
        <v>200</v>
      </c>
      <c r="S1043" s="2" t="s">
        <v>6047</v>
      </c>
      <c r="T1043" s="2" t="s">
        <v>378</v>
      </c>
      <c r="U1043" s="2" t="s">
        <v>1067</v>
      </c>
      <c r="V1043" s="2" t="s">
        <v>2826</v>
      </c>
      <c r="W1043" s="2" t="s">
        <v>1975</v>
      </c>
      <c r="X1043" s="2" t="s">
        <v>970</v>
      </c>
      <c r="Y1043" s="2" t="s">
        <v>6048</v>
      </c>
      <c r="Z1043" s="4">
        <v>436</v>
      </c>
      <c r="AA1043" s="4">
        <f>=ROUNDDOWN(62.2857142857143,0)</f>
      </c>
      <c r="AB1043" s="5">
        <v>7</v>
      </c>
      <c r="AC1043" s="2" t="s">
        <v>200</v>
      </c>
      <c r="AD1043" s="4"/>
      <c r="AE1043" s="4"/>
      <c r="AF1043" s="6">
        <v>64</v>
      </c>
      <c r="AG1043" s="6">
        <v>47</v>
      </c>
      <c r="AH1043" s="7">
        <v>1</v>
      </c>
      <c r="AI1043" s="4"/>
      <c r="AJ1043" s="4">
        <f>=ROUNDDOWN({0},0)</f>
      </c>
      <c r="AK1043" s="5"/>
      <c r="AL1043" s="2" t="s">
        <v>200</v>
      </c>
      <c r="AM1043" s="4"/>
      <c r="AN1043" s="4"/>
      <c r="AO1043" s="7"/>
      <c r="AP1043" s="4"/>
      <c r="AQ1043" s="8"/>
      <c r="AR1043" s="4"/>
      <c r="AS1043" s="8"/>
      <c r="AT1043" s="7"/>
      <c r="AU1043" s="7"/>
      <c r="AV1043" s="4"/>
      <c r="AW1043" s="8"/>
      <c r="AX1043" s="4"/>
      <c r="AY1043" s="8"/>
      <c r="AZ1043" s="7"/>
      <c r="BA1043" s="7"/>
      <c r="BB1043" s="7"/>
      <c r="BC1043" s="4" t="s">
        <v>200</v>
      </c>
      <c r="BD1043" s="8" t="s">
        <v>200</v>
      </c>
      <c r="BE1043" s="4" t="s">
        <v>200</v>
      </c>
      <c r="BF1043" s="8" t="s">
        <v>200</v>
      </c>
      <c r="BG1043" s="7" t="s">
        <v>200</v>
      </c>
      <c r="BH1043" s="7" t="s">
        <v>200</v>
      </c>
      <c r="BI1043" s="7"/>
      <c r="BJ1043" s="4">
        <v>2</v>
      </c>
      <c r="BK1043" s="8">
        <v>69.88</v>
      </c>
      <c r="BL1043" s="2" t="s">
        <v>3646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6049</v>
      </c>
      <c r="BV1043" s="2" t="s">
        <v>200</v>
      </c>
      <c r="BW1043" s="2" t="s">
        <v>200</v>
      </c>
      <c r="BX1043" s="2" t="s">
        <v>620</v>
      </c>
      <c r="BY1043" s="2" t="s">
        <v>247</v>
      </c>
      <c r="BZ1043" s="2" t="s">
        <v>212</v>
      </c>
      <c r="CA1043" s="2" t="s">
        <v>6050</v>
      </c>
      <c r="CB1043" s="2" t="s">
        <v>2343</v>
      </c>
      <c r="CC1043" s="2" t="s">
        <v>213</v>
      </c>
      <c r="CD1043" s="2" t="s">
        <v>200</v>
      </c>
      <c r="CE1043" s="4">
        <v>280</v>
      </c>
      <c r="CF1043" s="4">
        <v>1</v>
      </c>
      <c r="CG1043" s="4"/>
      <c r="CH1043" s="4">
        <v>155</v>
      </c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</row>
    <row r="1044">
      <c r="A1044" s="2" t="s">
        <v>6051</v>
      </c>
      <c r="B1044" s="2" t="s">
        <v>903</v>
      </c>
      <c r="C1044" s="2" t="s">
        <v>231</v>
      </c>
      <c r="D1044" s="2" t="s">
        <v>608</v>
      </c>
      <c r="E1044" s="2" t="s">
        <v>609</v>
      </c>
      <c r="F1044" s="2" t="s">
        <v>6052</v>
      </c>
      <c r="G1044" s="2" t="s">
        <v>6053</v>
      </c>
      <c r="H1044" s="2" t="s">
        <v>6054</v>
      </c>
      <c r="I1044" s="2" t="s">
        <v>5948</v>
      </c>
      <c r="J1044" s="2" t="s">
        <v>924</v>
      </c>
      <c r="K1044" s="2" t="s">
        <v>6055</v>
      </c>
      <c r="L1044" s="3">
        <v>45.71</v>
      </c>
      <c r="M1044" s="3">
        <v>48</v>
      </c>
      <c r="N1044" s="3">
        <v>99.99</v>
      </c>
      <c r="O1044" s="2" t="s">
        <v>212</v>
      </c>
      <c r="P1044" s="2" t="s">
        <v>205</v>
      </c>
      <c r="Q1044" s="2" t="s">
        <v>206</v>
      </c>
      <c r="R1044" s="2" t="s">
        <v>200</v>
      </c>
      <c r="S1044" s="2" t="s">
        <v>6056</v>
      </c>
      <c r="T1044" s="2" t="s">
        <v>1833</v>
      </c>
      <c r="U1044" s="2" t="s">
        <v>662</v>
      </c>
      <c r="V1044" s="2" t="s">
        <v>339</v>
      </c>
      <c r="W1044" s="2" t="s">
        <v>736</v>
      </c>
      <c r="X1044" s="2" t="s">
        <v>419</v>
      </c>
      <c r="Y1044" s="2" t="s">
        <v>6057</v>
      </c>
      <c r="Z1044" s="4">
        <v>262</v>
      </c>
      <c r="AA1044" s="4">
        <f>=ROUNDDOWN(37.4285714285714,0)</f>
      </c>
      <c r="AB1044" s="5">
        <v>7</v>
      </c>
      <c r="AC1044" s="2" t="s">
        <v>200</v>
      </c>
      <c r="AD1044" s="4"/>
      <c r="AE1044" s="4"/>
      <c r="AF1044" s="6">
        <v>64</v>
      </c>
      <c r="AG1044" s="6"/>
      <c r="AH1044" s="7">
        <v>1</v>
      </c>
      <c r="AI1044" s="4"/>
      <c r="AJ1044" s="4">
        <f>=ROUNDDOWN({0},0)</f>
      </c>
      <c r="AK1044" s="5"/>
      <c r="AL1044" s="2" t="s">
        <v>200</v>
      </c>
      <c r="AM1044" s="4"/>
      <c r="AN1044" s="4"/>
      <c r="AO1044" s="7"/>
      <c r="AP1044" s="4"/>
      <c r="AQ1044" s="8"/>
      <c r="AR1044" s="4"/>
      <c r="AS1044" s="8"/>
      <c r="AT1044" s="7"/>
      <c r="AU1044" s="7"/>
      <c r="AV1044" s="4"/>
      <c r="AW1044" s="8"/>
      <c r="AX1044" s="4"/>
      <c r="AY1044" s="8"/>
      <c r="AZ1044" s="7"/>
      <c r="BA1044" s="7"/>
      <c r="BB1044" s="7"/>
      <c r="BC1044" s="4"/>
      <c r="BD1044" s="8"/>
      <c r="BE1044" s="4"/>
      <c r="BF1044" s="8"/>
      <c r="BG1044" s="7"/>
      <c r="BH1044" s="7"/>
      <c r="BI1044" s="7"/>
      <c r="BJ1044" s="4">
        <v>32</v>
      </c>
      <c r="BK1044" s="8">
        <v>1683.77</v>
      </c>
      <c r="BL1044" s="2" t="s">
        <v>3358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6058</v>
      </c>
      <c r="BV1044" s="2" t="s">
        <v>200</v>
      </c>
      <c r="BW1044" s="2" t="s">
        <v>200</v>
      </c>
      <c r="BX1044" s="2" t="s">
        <v>264</v>
      </c>
      <c r="BY1044" s="2" t="s">
        <v>247</v>
      </c>
      <c r="BZ1044" s="2" t="s">
        <v>212</v>
      </c>
      <c r="CA1044" s="2" t="s">
        <v>4253</v>
      </c>
      <c r="CB1044" s="2" t="s">
        <v>3598</v>
      </c>
      <c r="CC1044" s="2" t="s">
        <v>213</v>
      </c>
      <c r="CD1044" s="2" t="s">
        <v>200</v>
      </c>
      <c r="CE1044" s="4">
        <v>262</v>
      </c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/>
      <c r="FS1044" s="4"/>
      <c r="FT1044" s="4"/>
      <c r="FU1044" s="4"/>
      <c r="FV1044" s="4"/>
      <c r="FW1044" s="4"/>
      <c r="FX1044" s="4"/>
      <c r="FY1044" s="4"/>
      <c r="FZ1044" s="4"/>
      <c r="GA1044" s="4"/>
      <c r="GB1044" s="4"/>
      <c r="GC1044" s="4"/>
      <c r="GD1044" s="4"/>
      <c r="GE1044" s="4"/>
      <c r="GF1044" s="4"/>
      <c r="GG1044" s="4"/>
      <c r="GH1044" s="4"/>
    </row>
    <row r="1045">
      <c r="A1045" s="2" t="s">
        <v>6059</v>
      </c>
      <c r="B1045" s="2" t="s">
        <v>932</v>
      </c>
      <c r="C1045" s="2" t="s">
        <v>877</v>
      </c>
      <c r="D1045" s="2" t="s">
        <v>608</v>
      </c>
      <c r="E1045" s="2" t="s">
        <v>1324</v>
      </c>
      <c r="F1045" s="2" t="s">
        <v>6060</v>
      </c>
      <c r="G1045" s="2" t="s">
        <v>4762</v>
      </c>
      <c r="H1045" s="2" t="s">
        <v>6061</v>
      </c>
      <c r="I1045" s="2" t="s">
        <v>6062</v>
      </c>
      <c r="J1045" s="2" t="s">
        <v>1390</v>
      </c>
      <c r="K1045" s="2" t="s">
        <v>237</v>
      </c>
      <c r="L1045" s="3">
        <v>33.33</v>
      </c>
      <c r="M1045" s="3">
        <v>35</v>
      </c>
      <c r="N1045" s="3">
        <v>69.99</v>
      </c>
      <c r="O1045" s="2" t="s">
        <v>212</v>
      </c>
      <c r="P1045" s="2" t="s">
        <v>258</v>
      </c>
      <c r="Q1045" s="2" t="s">
        <v>206</v>
      </c>
      <c r="R1045" s="2" t="s">
        <v>200</v>
      </c>
      <c r="S1045" s="2" t="s">
        <v>6063</v>
      </c>
      <c r="T1045" s="2" t="s">
        <v>1176</v>
      </c>
      <c r="U1045" s="2" t="s">
        <v>677</v>
      </c>
      <c r="V1045" s="2" t="s">
        <v>208</v>
      </c>
      <c r="W1045" s="2" t="s">
        <v>379</v>
      </c>
      <c r="X1045" s="2" t="s">
        <v>241</v>
      </c>
      <c r="Y1045" s="2" t="s">
        <v>5950</v>
      </c>
      <c r="Z1045" s="4">
        <v>345</v>
      </c>
      <c r="AA1045" s="4">
        <f>=ROUNDDOWN(172.5,0)</f>
      </c>
      <c r="AB1045" s="5">
        <v>2</v>
      </c>
      <c r="AC1045" s="2" t="s">
        <v>200</v>
      </c>
      <c r="AD1045" s="4"/>
      <c r="AE1045" s="4"/>
      <c r="AF1045" s="6">
        <v>66</v>
      </c>
      <c r="AG1045" s="6"/>
      <c r="AH1045" s="7">
        <v>1</v>
      </c>
      <c r="AI1045" s="4"/>
      <c r="AJ1045" s="4">
        <f>=ROUNDDOWN({0},0)</f>
      </c>
      <c r="AK1045" s="5"/>
      <c r="AL1045" s="2" t="s">
        <v>200</v>
      </c>
      <c r="AM1045" s="4"/>
      <c r="AN1045" s="4"/>
      <c r="AO1045" s="7"/>
      <c r="AP1045" s="4"/>
      <c r="AQ1045" s="8"/>
      <c r="AR1045" s="4"/>
      <c r="AS1045" s="8"/>
      <c r="AT1045" s="7"/>
      <c r="AU1045" s="7"/>
      <c r="AV1045" s="4" t="s">
        <v>200</v>
      </c>
      <c r="AW1045" s="8" t="s">
        <v>200</v>
      </c>
      <c r="AX1045" s="4" t="s">
        <v>200</v>
      </c>
      <c r="AY1045" s="8" t="s">
        <v>200</v>
      </c>
      <c r="AZ1045" s="7" t="s">
        <v>200</v>
      </c>
      <c r="BA1045" s="7" t="s">
        <v>200</v>
      </c>
      <c r="BB1045" s="7" t="s">
        <v>200</v>
      </c>
      <c r="BC1045" s="4" t="s">
        <v>200</v>
      </c>
      <c r="BD1045" s="8" t="s">
        <v>200</v>
      </c>
      <c r="BE1045" s="4" t="s">
        <v>200</v>
      </c>
      <c r="BF1045" s="8" t="s">
        <v>200</v>
      </c>
      <c r="BG1045" s="7" t="s">
        <v>200</v>
      </c>
      <c r="BH1045" s="7" t="s">
        <v>200</v>
      </c>
      <c r="BI1045" s="7"/>
      <c r="BJ1045" s="4">
        <v>10</v>
      </c>
      <c r="BK1045" s="8">
        <v>352.45</v>
      </c>
      <c r="BL1045" s="2" t="s">
        <v>6064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6065</v>
      </c>
      <c r="BV1045" s="2" t="s">
        <v>200</v>
      </c>
      <c r="BW1045" s="2" t="s">
        <v>200</v>
      </c>
      <c r="BX1045" s="2" t="s">
        <v>620</v>
      </c>
      <c r="BY1045" s="2" t="s">
        <v>247</v>
      </c>
      <c r="BZ1045" s="2" t="s">
        <v>212</v>
      </c>
      <c r="CA1045" s="2" t="s">
        <v>2993</v>
      </c>
      <c r="CB1045" s="2" t="s">
        <v>3155</v>
      </c>
      <c r="CC1045" s="2" t="s">
        <v>213</v>
      </c>
      <c r="CD1045" s="2" t="s">
        <v>200</v>
      </c>
      <c r="CE1045" s="4">
        <v>345</v>
      </c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  <c r="GH1045" s="4"/>
    </row>
    <row r="1046">
      <c r="A1046" s="2" t="s">
        <v>6066</v>
      </c>
      <c r="B1046" s="2" t="s">
        <v>932</v>
      </c>
      <c r="C1046" s="2" t="s">
        <v>877</v>
      </c>
      <c r="D1046" s="2" t="s">
        <v>918</v>
      </c>
      <c r="E1046" s="2" t="s">
        <v>919</v>
      </c>
      <c r="F1046" s="2" t="s">
        <v>6060</v>
      </c>
      <c r="G1046" s="2" t="s">
        <v>4762</v>
      </c>
      <c r="H1046" s="2" t="s">
        <v>6061</v>
      </c>
      <c r="I1046" s="2" t="s">
        <v>1389</v>
      </c>
      <c r="J1046" s="2" t="s">
        <v>1390</v>
      </c>
      <c r="K1046" s="2" t="s">
        <v>237</v>
      </c>
      <c r="L1046" s="3">
        <v>26.19</v>
      </c>
      <c r="M1046" s="3">
        <v>27.5</v>
      </c>
      <c r="N1046" s="3">
        <v>54.99</v>
      </c>
      <c r="O1046" s="2" t="s">
        <v>212</v>
      </c>
      <c r="P1046" s="2" t="s">
        <v>205</v>
      </c>
      <c r="Q1046" s="2" t="s">
        <v>206</v>
      </c>
      <c r="R1046" s="2" t="s">
        <v>200</v>
      </c>
      <c r="S1046" s="2" t="s">
        <v>6063</v>
      </c>
      <c r="T1046" s="2" t="s">
        <v>1176</v>
      </c>
      <c r="U1046" s="2" t="s">
        <v>677</v>
      </c>
      <c r="V1046" s="2" t="s">
        <v>208</v>
      </c>
      <c r="W1046" s="2" t="s">
        <v>379</v>
      </c>
      <c r="X1046" s="2" t="s">
        <v>241</v>
      </c>
      <c r="Y1046" s="2" t="s">
        <v>5950</v>
      </c>
      <c r="Z1046" s="4">
        <v>99</v>
      </c>
      <c r="AA1046" s="4">
        <f>=ROUNDDOWN(99,0)</f>
      </c>
      <c r="AB1046" s="5">
        <v>1</v>
      </c>
      <c r="AC1046" s="2" t="s">
        <v>200</v>
      </c>
      <c r="AD1046" s="4"/>
      <c r="AE1046" s="4"/>
      <c r="AF1046" s="6">
        <v>66</v>
      </c>
      <c r="AG1046" s="6"/>
      <c r="AH1046" s="7">
        <v>1</v>
      </c>
      <c r="AI1046" s="4"/>
      <c r="AJ1046" s="4">
        <f>=ROUNDDOWN({0},0)</f>
      </c>
      <c r="AK1046" s="5"/>
      <c r="AL1046" s="2" t="s">
        <v>200</v>
      </c>
      <c r="AM1046" s="4"/>
      <c r="AN1046" s="4"/>
      <c r="AO1046" s="7"/>
      <c r="AP1046" s="4"/>
      <c r="AQ1046" s="8"/>
      <c r="AR1046" s="4"/>
      <c r="AS1046" s="8"/>
      <c r="AT1046" s="7"/>
      <c r="AU1046" s="7"/>
      <c r="AV1046" s="4" t="s">
        <v>200</v>
      </c>
      <c r="AW1046" s="8" t="s">
        <v>200</v>
      </c>
      <c r="AX1046" s="4" t="s">
        <v>200</v>
      </c>
      <c r="AY1046" s="8" t="s">
        <v>200</v>
      </c>
      <c r="AZ1046" s="7" t="s">
        <v>200</v>
      </c>
      <c r="BA1046" s="7" t="s">
        <v>200</v>
      </c>
      <c r="BB1046" s="7" t="s">
        <v>200</v>
      </c>
      <c r="BC1046" s="4" t="s">
        <v>200</v>
      </c>
      <c r="BD1046" s="8" t="s">
        <v>200</v>
      </c>
      <c r="BE1046" s="4" t="s">
        <v>200</v>
      </c>
      <c r="BF1046" s="8" t="s">
        <v>200</v>
      </c>
      <c r="BG1046" s="7" t="s">
        <v>200</v>
      </c>
      <c r="BH1046" s="7" t="s">
        <v>200</v>
      </c>
      <c r="BI1046" s="7"/>
      <c r="BJ1046" s="4">
        <v>2</v>
      </c>
      <c r="BK1046" s="8">
        <v>59.4</v>
      </c>
      <c r="BL1046" s="2" t="s">
        <v>2202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6067</v>
      </c>
      <c r="BV1046" s="2" t="s">
        <v>200</v>
      </c>
      <c r="BW1046" s="2" t="s">
        <v>200</v>
      </c>
      <c r="BX1046" s="2" t="s">
        <v>264</v>
      </c>
      <c r="BY1046" s="2" t="s">
        <v>247</v>
      </c>
      <c r="BZ1046" s="2" t="s">
        <v>212</v>
      </c>
      <c r="CA1046" s="2" t="s">
        <v>4253</v>
      </c>
      <c r="CB1046" s="2" t="s">
        <v>3155</v>
      </c>
      <c r="CC1046" s="2" t="s">
        <v>213</v>
      </c>
      <c r="CD1046" s="2" t="s">
        <v>200</v>
      </c>
      <c r="CE1046" s="4">
        <v>99</v>
      </c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4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4"/>
      <c r="FW1046" s="4"/>
      <c r="FX1046" s="4"/>
      <c r="FY1046" s="4"/>
      <c r="FZ1046" s="4"/>
      <c r="GA1046" s="4"/>
      <c r="GB1046" s="4"/>
      <c r="GC1046" s="4"/>
      <c r="GD1046" s="4"/>
      <c r="GE1046" s="4"/>
      <c r="GF1046" s="4"/>
      <c r="GG1046" s="4"/>
      <c r="GH1046" s="4"/>
    </row>
    <row r="1047">
      <c r="A1047" s="2" t="s">
        <v>6068</v>
      </c>
      <c r="B1047" s="2" t="s">
        <v>932</v>
      </c>
      <c r="C1047" s="2" t="s">
        <v>877</v>
      </c>
      <c r="D1047" s="2" t="s">
        <v>918</v>
      </c>
      <c r="E1047" s="2" t="s">
        <v>919</v>
      </c>
      <c r="F1047" s="2" t="s">
        <v>6060</v>
      </c>
      <c r="G1047" s="2" t="s">
        <v>4762</v>
      </c>
      <c r="H1047" s="2" t="s">
        <v>6061</v>
      </c>
      <c r="I1047" s="2" t="s">
        <v>1389</v>
      </c>
      <c r="J1047" s="2" t="s">
        <v>612</v>
      </c>
      <c r="K1047" s="2" t="s">
        <v>237</v>
      </c>
      <c r="L1047" s="3">
        <v>30.95</v>
      </c>
      <c r="M1047" s="3">
        <v>32.5</v>
      </c>
      <c r="N1047" s="3">
        <v>64.99</v>
      </c>
      <c r="O1047" s="2" t="s">
        <v>212</v>
      </c>
      <c r="P1047" s="2" t="s">
        <v>205</v>
      </c>
      <c r="Q1047" s="2" t="s">
        <v>206</v>
      </c>
      <c r="R1047" s="2" t="s">
        <v>200</v>
      </c>
      <c r="S1047" s="2" t="s">
        <v>6063</v>
      </c>
      <c r="T1047" s="2" t="s">
        <v>1176</v>
      </c>
      <c r="U1047" s="2" t="s">
        <v>454</v>
      </c>
      <c r="V1047" s="2" t="s">
        <v>208</v>
      </c>
      <c r="W1047" s="2" t="s">
        <v>379</v>
      </c>
      <c r="X1047" s="2" t="s">
        <v>241</v>
      </c>
      <c r="Y1047" s="2" t="s">
        <v>5950</v>
      </c>
      <c r="Z1047" s="4">
        <v>163</v>
      </c>
      <c r="AA1047" s="4">
        <f>=ROUNDDOWN(81.5,0)</f>
      </c>
      <c r="AB1047" s="5">
        <v>2</v>
      </c>
      <c r="AC1047" s="2" t="s">
        <v>200</v>
      </c>
      <c r="AD1047" s="4"/>
      <c r="AE1047" s="4"/>
      <c r="AF1047" s="6">
        <v>66</v>
      </c>
      <c r="AG1047" s="6"/>
      <c r="AH1047" s="7">
        <v>1</v>
      </c>
      <c r="AI1047" s="4"/>
      <c r="AJ1047" s="4">
        <f>=ROUNDDOWN({0},0)</f>
      </c>
      <c r="AK1047" s="5"/>
      <c r="AL1047" s="2" t="s">
        <v>200</v>
      </c>
      <c r="AM1047" s="4"/>
      <c r="AN1047" s="4"/>
      <c r="AO1047" s="7"/>
      <c r="AP1047" s="4"/>
      <c r="AQ1047" s="8"/>
      <c r="AR1047" s="4"/>
      <c r="AS1047" s="8"/>
      <c r="AT1047" s="7"/>
      <c r="AU1047" s="7"/>
      <c r="AV1047" s="4" t="s">
        <v>200</v>
      </c>
      <c r="AW1047" s="8" t="s">
        <v>200</v>
      </c>
      <c r="AX1047" s="4" t="s">
        <v>200</v>
      </c>
      <c r="AY1047" s="8" t="s">
        <v>200</v>
      </c>
      <c r="AZ1047" s="7" t="s">
        <v>200</v>
      </c>
      <c r="BA1047" s="7" t="s">
        <v>200</v>
      </c>
      <c r="BB1047" s="7"/>
      <c r="BC1047" s="4" t="s">
        <v>200</v>
      </c>
      <c r="BD1047" s="8" t="s">
        <v>200</v>
      </c>
      <c r="BE1047" s="4" t="s">
        <v>200</v>
      </c>
      <c r="BF1047" s="8" t="s">
        <v>200</v>
      </c>
      <c r="BG1047" s="7" t="s">
        <v>200</v>
      </c>
      <c r="BH1047" s="7" t="s">
        <v>200</v>
      </c>
      <c r="BI1047" s="7"/>
      <c r="BJ1047" s="4">
        <v>16</v>
      </c>
      <c r="BK1047" s="8">
        <v>560.62</v>
      </c>
      <c r="BL1047" s="2" t="s">
        <v>245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6069</v>
      </c>
      <c r="BV1047" s="2" t="s">
        <v>200</v>
      </c>
      <c r="BW1047" s="2" t="s">
        <v>200</v>
      </c>
      <c r="BX1047" s="2" t="s">
        <v>264</v>
      </c>
      <c r="BY1047" s="2" t="s">
        <v>247</v>
      </c>
      <c r="BZ1047" s="2" t="s">
        <v>212</v>
      </c>
      <c r="CA1047" s="2" t="s">
        <v>4253</v>
      </c>
      <c r="CB1047" s="2" t="s">
        <v>915</v>
      </c>
      <c r="CC1047" s="2" t="s">
        <v>213</v>
      </c>
      <c r="CD1047" s="2" t="s">
        <v>200</v>
      </c>
      <c r="CE1047" s="4">
        <v>163</v>
      </c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  <c r="GH1047" s="4"/>
    </row>
    <row r="1048">
      <c r="A1048" s="2" t="s">
        <v>6070</v>
      </c>
      <c r="B1048" s="2" t="s">
        <v>932</v>
      </c>
      <c r="C1048" s="2" t="s">
        <v>877</v>
      </c>
      <c r="D1048" s="2" t="s">
        <v>918</v>
      </c>
      <c r="E1048" s="2" t="s">
        <v>919</v>
      </c>
      <c r="F1048" s="2" t="s">
        <v>6060</v>
      </c>
      <c r="G1048" s="2" t="s">
        <v>4762</v>
      </c>
      <c r="H1048" s="2" t="s">
        <v>6061</v>
      </c>
      <c r="I1048" s="2" t="s">
        <v>1389</v>
      </c>
      <c r="J1048" s="2" t="s">
        <v>1390</v>
      </c>
      <c r="K1048" s="2" t="s">
        <v>387</v>
      </c>
      <c r="L1048" s="3">
        <v>26.19</v>
      </c>
      <c r="M1048" s="3">
        <v>27.5</v>
      </c>
      <c r="N1048" s="3">
        <v>54.99</v>
      </c>
      <c r="O1048" s="2" t="s">
        <v>212</v>
      </c>
      <c r="P1048" s="2" t="s">
        <v>205</v>
      </c>
      <c r="Q1048" s="2" t="s">
        <v>206</v>
      </c>
      <c r="R1048" s="2" t="s">
        <v>200</v>
      </c>
      <c r="S1048" s="2" t="s">
        <v>6071</v>
      </c>
      <c r="T1048" s="2" t="s">
        <v>1176</v>
      </c>
      <c r="U1048" s="2" t="s">
        <v>677</v>
      </c>
      <c r="V1048" s="2" t="s">
        <v>208</v>
      </c>
      <c r="W1048" s="2" t="s">
        <v>379</v>
      </c>
      <c r="X1048" s="2" t="s">
        <v>241</v>
      </c>
      <c r="Y1048" s="2" t="s">
        <v>5950</v>
      </c>
      <c r="Z1048" s="4">
        <v>38</v>
      </c>
      <c r="AA1048" s="4">
        <f>=ROUNDDOWN(38,0)</f>
      </c>
      <c r="AB1048" s="5">
        <v>1</v>
      </c>
      <c r="AC1048" s="2" t="s">
        <v>200</v>
      </c>
      <c r="AD1048" s="4"/>
      <c r="AE1048" s="4"/>
      <c r="AF1048" s="6">
        <v>66</v>
      </c>
      <c r="AG1048" s="6"/>
      <c r="AH1048" s="7">
        <v>1</v>
      </c>
      <c r="AI1048" s="4"/>
      <c r="AJ1048" s="4">
        <f>=ROUNDDOWN({0},0)</f>
      </c>
      <c r="AK1048" s="5"/>
      <c r="AL1048" s="2" t="s">
        <v>200</v>
      </c>
      <c r="AM1048" s="4"/>
      <c r="AN1048" s="4"/>
      <c r="AO1048" s="7"/>
      <c r="AP1048" s="4"/>
      <c r="AQ1048" s="8"/>
      <c r="AR1048" s="4"/>
      <c r="AS1048" s="8"/>
      <c r="AT1048" s="7"/>
      <c r="AU1048" s="7"/>
      <c r="AV1048" s="4" t="s">
        <v>200</v>
      </c>
      <c r="AW1048" s="8" t="s">
        <v>200</v>
      </c>
      <c r="AX1048" s="4" t="s">
        <v>200</v>
      </c>
      <c r="AY1048" s="8" t="s">
        <v>200</v>
      </c>
      <c r="AZ1048" s="7" t="s">
        <v>200</v>
      </c>
      <c r="BA1048" s="7" t="s">
        <v>200</v>
      </c>
      <c r="BB1048" s="7"/>
      <c r="BC1048" s="4" t="s">
        <v>200</v>
      </c>
      <c r="BD1048" s="8" t="s">
        <v>200</v>
      </c>
      <c r="BE1048" s="4" t="s">
        <v>200</v>
      </c>
      <c r="BF1048" s="8" t="s">
        <v>200</v>
      </c>
      <c r="BG1048" s="7" t="s">
        <v>200</v>
      </c>
      <c r="BH1048" s="7" t="s">
        <v>200</v>
      </c>
      <c r="BI1048" s="7"/>
      <c r="BJ1048" s="4">
        <v>5</v>
      </c>
      <c r="BK1048" s="8">
        <v>148.5</v>
      </c>
      <c r="BL1048" s="2" t="s">
        <v>319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6072</v>
      </c>
      <c r="BV1048" s="2" t="s">
        <v>200</v>
      </c>
      <c r="BW1048" s="2" t="s">
        <v>200</v>
      </c>
      <c r="BX1048" s="2" t="s">
        <v>264</v>
      </c>
      <c r="BY1048" s="2" t="s">
        <v>247</v>
      </c>
      <c r="BZ1048" s="2" t="s">
        <v>212</v>
      </c>
      <c r="CA1048" s="2" t="s">
        <v>4253</v>
      </c>
      <c r="CB1048" s="2" t="s">
        <v>2435</v>
      </c>
      <c r="CC1048" s="2" t="s">
        <v>213</v>
      </c>
      <c r="CD1048" s="2" t="s">
        <v>200</v>
      </c>
      <c r="CE1048" s="4">
        <v>38</v>
      </c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  <c r="GH1048" s="4"/>
    </row>
    <row r="1049">
      <c r="A1049" s="2" t="s">
        <v>6073</v>
      </c>
      <c r="B1049" s="2" t="s">
        <v>932</v>
      </c>
      <c r="C1049" s="2" t="s">
        <v>877</v>
      </c>
      <c r="D1049" s="2" t="s">
        <v>608</v>
      </c>
      <c r="E1049" s="2" t="s">
        <v>1324</v>
      </c>
      <c r="F1049" s="2" t="s">
        <v>6060</v>
      </c>
      <c r="G1049" s="2" t="s">
        <v>4762</v>
      </c>
      <c r="H1049" s="2" t="s">
        <v>6061</v>
      </c>
      <c r="I1049" s="2" t="s">
        <v>6062</v>
      </c>
      <c r="J1049" s="2" t="s">
        <v>924</v>
      </c>
      <c r="K1049" s="2" t="s">
        <v>387</v>
      </c>
      <c r="L1049" s="3">
        <v>42.85</v>
      </c>
      <c r="M1049" s="3">
        <v>44.99</v>
      </c>
      <c r="N1049" s="3">
        <v>89.99</v>
      </c>
      <c r="O1049" s="2" t="s">
        <v>212</v>
      </c>
      <c r="P1049" s="2" t="s">
        <v>258</v>
      </c>
      <c r="Q1049" s="2" t="s">
        <v>206</v>
      </c>
      <c r="R1049" s="2" t="s">
        <v>200</v>
      </c>
      <c r="S1049" s="2" t="s">
        <v>6071</v>
      </c>
      <c r="T1049" s="2" t="s">
        <v>1176</v>
      </c>
      <c r="U1049" s="2" t="s">
        <v>454</v>
      </c>
      <c r="V1049" s="2" t="s">
        <v>208</v>
      </c>
      <c r="W1049" s="2" t="s">
        <v>379</v>
      </c>
      <c r="X1049" s="2" t="s">
        <v>241</v>
      </c>
      <c r="Y1049" s="2" t="s">
        <v>5950</v>
      </c>
      <c r="Z1049" s="4">
        <v>371</v>
      </c>
      <c r="AA1049" s="4">
        <f>=ROUNDDOWN(61.8333333333333,0)</f>
      </c>
      <c r="AB1049" s="5">
        <v>6</v>
      </c>
      <c r="AC1049" s="2" t="s">
        <v>200</v>
      </c>
      <c r="AD1049" s="4"/>
      <c r="AE1049" s="4"/>
      <c r="AF1049" s="6">
        <v>66</v>
      </c>
      <c r="AG1049" s="6"/>
      <c r="AH1049" s="7">
        <v>1</v>
      </c>
      <c r="AI1049" s="4"/>
      <c r="AJ1049" s="4">
        <f>=ROUNDDOWN({0},0)</f>
      </c>
      <c r="AK1049" s="5"/>
      <c r="AL1049" s="2" t="s">
        <v>200</v>
      </c>
      <c r="AM1049" s="4"/>
      <c r="AN1049" s="4"/>
      <c r="AO1049" s="7"/>
      <c r="AP1049" s="4"/>
      <c r="AQ1049" s="8"/>
      <c r="AR1049" s="4"/>
      <c r="AS1049" s="8"/>
      <c r="AT1049" s="7"/>
      <c r="AU1049" s="7"/>
      <c r="AV1049" s="4" t="s">
        <v>200</v>
      </c>
      <c r="AW1049" s="8" t="s">
        <v>200</v>
      </c>
      <c r="AX1049" s="4" t="s">
        <v>200</v>
      </c>
      <c r="AY1049" s="8" t="s">
        <v>200</v>
      </c>
      <c r="AZ1049" s="7" t="s">
        <v>200</v>
      </c>
      <c r="BA1049" s="7" t="s">
        <v>200</v>
      </c>
      <c r="BB1049" s="7"/>
      <c r="BC1049" s="4" t="s">
        <v>200</v>
      </c>
      <c r="BD1049" s="8" t="s">
        <v>200</v>
      </c>
      <c r="BE1049" s="4" t="s">
        <v>200</v>
      </c>
      <c r="BF1049" s="8" t="s">
        <v>200</v>
      </c>
      <c r="BG1049" s="7" t="s">
        <v>200</v>
      </c>
      <c r="BH1049" s="7" t="s">
        <v>200</v>
      </c>
      <c r="BI1049" s="7"/>
      <c r="BJ1049" s="4">
        <v>27</v>
      </c>
      <c r="BK1049" s="8">
        <v>1262.88</v>
      </c>
      <c r="BL1049" s="2" t="s">
        <v>6074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6075</v>
      </c>
      <c r="BV1049" s="2" t="s">
        <v>200</v>
      </c>
      <c r="BW1049" s="2" t="s">
        <v>200</v>
      </c>
      <c r="BX1049" s="2" t="s">
        <v>620</v>
      </c>
      <c r="BY1049" s="2" t="s">
        <v>247</v>
      </c>
      <c r="BZ1049" s="2" t="s">
        <v>212</v>
      </c>
      <c r="CA1049" s="2" t="s">
        <v>2993</v>
      </c>
      <c r="CB1049" s="2" t="s">
        <v>6076</v>
      </c>
      <c r="CC1049" s="2" t="s">
        <v>213</v>
      </c>
      <c r="CD1049" s="2" t="s">
        <v>200</v>
      </c>
      <c r="CE1049" s="4">
        <v>371</v>
      </c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  <c r="GH1049" s="4"/>
    </row>
    <row r="1050">
      <c r="A1050" s="2" t="s">
        <v>6077</v>
      </c>
      <c r="B1050" s="2" t="s">
        <v>932</v>
      </c>
      <c r="C1050" s="2" t="s">
        <v>877</v>
      </c>
      <c r="D1050" s="2" t="s">
        <v>608</v>
      </c>
      <c r="E1050" s="2" t="s">
        <v>1324</v>
      </c>
      <c r="F1050" s="2" t="s">
        <v>6060</v>
      </c>
      <c r="G1050" s="2" t="s">
        <v>4762</v>
      </c>
      <c r="H1050" s="2" t="s">
        <v>6061</v>
      </c>
      <c r="I1050" s="2" t="s">
        <v>6062</v>
      </c>
      <c r="J1050" s="2" t="s">
        <v>1390</v>
      </c>
      <c r="K1050" s="2" t="s">
        <v>221</v>
      </c>
      <c r="L1050" s="3">
        <v>33.33</v>
      </c>
      <c r="M1050" s="3">
        <v>35</v>
      </c>
      <c r="N1050" s="3">
        <v>69.99</v>
      </c>
      <c r="O1050" s="2" t="s">
        <v>212</v>
      </c>
      <c r="P1050" s="2" t="s">
        <v>285</v>
      </c>
      <c r="Q1050" s="2" t="s">
        <v>206</v>
      </c>
      <c r="R1050" s="2" t="s">
        <v>200</v>
      </c>
      <c r="S1050" s="2" t="s">
        <v>6078</v>
      </c>
      <c r="T1050" s="2" t="s">
        <v>1176</v>
      </c>
      <c r="U1050" s="2" t="s">
        <v>677</v>
      </c>
      <c r="V1050" s="2" t="s">
        <v>208</v>
      </c>
      <c r="W1050" s="2" t="s">
        <v>379</v>
      </c>
      <c r="X1050" s="2" t="s">
        <v>241</v>
      </c>
      <c r="Y1050" s="2" t="s">
        <v>1209</v>
      </c>
      <c r="Z1050" s="4">
        <v>395</v>
      </c>
      <c r="AA1050" s="4">
        <f>=ROUNDDOWN(197.5,0)</f>
      </c>
      <c r="AB1050" s="5">
        <v>2</v>
      </c>
      <c r="AC1050" s="2" t="s">
        <v>200</v>
      </c>
      <c r="AD1050" s="4"/>
      <c r="AE1050" s="4"/>
      <c r="AF1050" s="6">
        <v>66</v>
      </c>
      <c r="AG1050" s="6"/>
      <c r="AH1050" s="7">
        <v>1</v>
      </c>
      <c r="AI1050" s="4"/>
      <c r="AJ1050" s="4">
        <f>=ROUNDDOWN({0},0)</f>
      </c>
      <c r="AK1050" s="5"/>
      <c r="AL1050" s="2" t="s">
        <v>200</v>
      </c>
      <c r="AM1050" s="4"/>
      <c r="AN1050" s="4"/>
      <c r="AO1050" s="7"/>
      <c r="AP1050" s="4"/>
      <c r="AQ1050" s="8"/>
      <c r="AR1050" s="4"/>
      <c r="AS1050" s="8"/>
      <c r="AT1050" s="7"/>
      <c r="AU1050" s="7"/>
      <c r="AV1050" s="4" t="s">
        <v>200</v>
      </c>
      <c r="AW1050" s="8" t="s">
        <v>200</v>
      </c>
      <c r="AX1050" s="4" t="s">
        <v>200</v>
      </c>
      <c r="AY1050" s="8" t="s">
        <v>200</v>
      </c>
      <c r="AZ1050" s="7" t="s">
        <v>200</v>
      </c>
      <c r="BA1050" s="7" t="s">
        <v>200</v>
      </c>
      <c r="BB1050" s="7" t="s">
        <v>200</v>
      </c>
      <c r="BC1050" s="4" t="s">
        <v>200</v>
      </c>
      <c r="BD1050" s="8" t="s">
        <v>200</v>
      </c>
      <c r="BE1050" s="4" t="s">
        <v>200</v>
      </c>
      <c r="BF1050" s="8" t="s">
        <v>200</v>
      </c>
      <c r="BG1050" s="7" t="s">
        <v>200</v>
      </c>
      <c r="BH1050" s="7" t="s">
        <v>200</v>
      </c>
      <c r="BI1050" s="7"/>
      <c r="BJ1050" s="4">
        <v>12</v>
      </c>
      <c r="BK1050" s="8">
        <v>449.4</v>
      </c>
      <c r="BL1050" s="2" t="s">
        <v>245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6079</v>
      </c>
      <c r="BV1050" s="2" t="s">
        <v>200</v>
      </c>
      <c r="BW1050" s="2" t="s">
        <v>200</v>
      </c>
      <c r="BX1050" s="2" t="s">
        <v>289</v>
      </c>
      <c r="BY1050" s="2" t="s">
        <v>247</v>
      </c>
      <c r="BZ1050" s="2" t="s">
        <v>212</v>
      </c>
      <c r="CA1050" s="2" t="s">
        <v>6080</v>
      </c>
      <c r="CB1050" s="2" t="s">
        <v>6081</v>
      </c>
      <c r="CC1050" s="2" t="s">
        <v>213</v>
      </c>
      <c r="CD1050" s="2" t="s">
        <v>200</v>
      </c>
      <c r="CE1050" s="4">
        <v>395</v>
      </c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/>
      <c r="EY1050" s="4"/>
      <c r="EZ1050" s="4"/>
      <c r="FA1050" s="4"/>
      <c r="FB1050" s="4"/>
      <c r="FC1050" s="4"/>
      <c r="FD1050" s="4"/>
      <c r="FE1050" s="4"/>
      <c r="FF1050" s="4"/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4"/>
      <c r="FW1050" s="4"/>
      <c r="FX1050" s="4"/>
      <c r="FY1050" s="4"/>
      <c r="FZ1050" s="4"/>
      <c r="GA1050" s="4"/>
      <c r="GB1050" s="4"/>
      <c r="GC1050" s="4"/>
      <c r="GD1050" s="4"/>
      <c r="GE1050" s="4"/>
      <c r="GF1050" s="4"/>
      <c r="GG1050" s="4"/>
      <c r="GH1050" s="4"/>
    </row>
    <row r="1051">
      <c r="A1051" s="2" t="s">
        <v>6082</v>
      </c>
      <c r="B1051" s="2" t="s">
        <v>932</v>
      </c>
      <c r="C1051" s="2" t="s">
        <v>877</v>
      </c>
      <c r="D1051" s="2" t="s">
        <v>918</v>
      </c>
      <c r="E1051" s="2" t="s">
        <v>919</v>
      </c>
      <c r="F1051" s="2" t="s">
        <v>6060</v>
      </c>
      <c r="G1051" s="2" t="s">
        <v>4762</v>
      </c>
      <c r="H1051" s="2" t="s">
        <v>6061</v>
      </c>
      <c r="I1051" s="2" t="s">
        <v>1389</v>
      </c>
      <c r="J1051" s="2" t="s">
        <v>1390</v>
      </c>
      <c r="K1051" s="2" t="s">
        <v>221</v>
      </c>
      <c r="L1051" s="3">
        <v>26.19</v>
      </c>
      <c r="M1051" s="3">
        <v>27.5</v>
      </c>
      <c r="N1051" s="3">
        <v>54.99</v>
      </c>
      <c r="O1051" s="2" t="s">
        <v>212</v>
      </c>
      <c r="P1051" s="2" t="s">
        <v>285</v>
      </c>
      <c r="Q1051" s="2" t="s">
        <v>206</v>
      </c>
      <c r="R1051" s="2" t="s">
        <v>200</v>
      </c>
      <c r="S1051" s="2" t="s">
        <v>6078</v>
      </c>
      <c r="T1051" s="2" t="s">
        <v>1176</v>
      </c>
      <c r="U1051" s="2" t="s">
        <v>677</v>
      </c>
      <c r="V1051" s="2" t="s">
        <v>208</v>
      </c>
      <c r="W1051" s="2" t="s">
        <v>379</v>
      </c>
      <c r="X1051" s="2" t="s">
        <v>241</v>
      </c>
      <c r="Y1051" s="2" t="s">
        <v>1209</v>
      </c>
      <c r="Z1051" s="4">
        <v>273</v>
      </c>
      <c r="AA1051" s="4">
        <f>=ROUNDDOWN(273,0)</f>
      </c>
      <c r="AB1051" s="5">
        <v>1</v>
      </c>
      <c r="AC1051" s="2" t="s">
        <v>200</v>
      </c>
      <c r="AD1051" s="4"/>
      <c r="AE1051" s="4"/>
      <c r="AF1051" s="6">
        <v>66</v>
      </c>
      <c r="AG1051" s="6"/>
      <c r="AH1051" s="7">
        <v>1</v>
      </c>
      <c r="AI1051" s="4"/>
      <c r="AJ1051" s="4">
        <f>=ROUNDDOWN({0},0)</f>
      </c>
      <c r="AK1051" s="5"/>
      <c r="AL1051" s="2" t="s">
        <v>200</v>
      </c>
      <c r="AM1051" s="4"/>
      <c r="AN1051" s="4"/>
      <c r="AO1051" s="7"/>
      <c r="AP1051" s="4"/>
      <c r="AQ1051" s="8"/>
      <c r="AR1051" s="4"/>
      <c r="AS1051" s="8"/>
      <c r="AT1051" s="7"/>
      <c r="AU1051" s="7"/>
      <c r="AV1051" s="4" t="s">
        <v>200</v>
      </c>
      <c r="AW1051" s="8" t="s">
        <v>200</v>
      </c>
      <c r="AX1051" s="4" t="s">
        <v>200</v>
      </c>
      <c r="AY1051" s="8" t="s">
        <v>200</v>
      </c>
      <c r="AZ1051" s="7" t="s">
        <v>200</v>
      </c>
      <c r="BA1051" s="7" t="s">
        <v>200</v>
      </c>
      <c r="BB1051" s="7" t="s">
        <v>200</v>
      </c>
      <c r="BC1051" s="4" t="s">
        <v>200</v>
      </c>
      <c r="BD1051" s="8" t="s">
        <v>200</v>
      </c>
      <c r="BE1051" s="4" t="s">
        <v>200</v>
      </c>
      <c r="BF1051" s="8" t="s">
        <v>200</v>
      </c>
      <c r="BG1051" s="7" t="s">
        <v>200</v>
      </c>
      <c r="BH1051" s="7" t="s">
        <v>200</v>
      </c>
      <c r="BI1051" s="7"/>
      <c r="BJ1051" s="4">
        <v>5</v>
      </c>
      <c r="BK1051" s="8">
        <v>146.01</v>
      </c>
      <c r="BL1051" s="2" t="s">
        <v>2610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6083</v>
      </c>
      <c r="BV1051" s="2" t="s">
        <v>200</v>
      </c>
      <c r="BW1051" s="2" t="s">
        <v>200</v>
      </c>
      <c r="BX1051" s="2" t="s">
        <v>289</v>
      </c>
      <c r="BY1051" s="2" t="s">
        <v>247</v>
      </c>
      <c r="BZ1051" s="2" t="s">
        <v>212</v>
      </c>
      <c r="CA1051" s="2" t="s">
        <v>5225</v>
      </c>
      <c r="CB1051" s="2" t="s">
        <v>6084</v>
      </c>
      <c r="CC1051" s="2" t="s">
        <v>213</v>
      </c>
      <c r="CD1051" s="2" t="s">
        <v>200</v>
      </c>
      <c r="CE1051" s="4">
        <v>273</v>
      </c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  <c r="GH1051" s="4"/>
    </row>
    <row r="1052">
      <c r="A1052" s="2" t="s">
        <v>6085</v>
      </c>
      <c r="B1052" s="2" t="s">
        <v>932</v>
      </c>
      <c r="C1052" s="2" t="s">
        <v>877</v>
      </c>
      <c r="D1052" s="2" t="s">
        <v>918</v>
      </c>
      <c r="E1052" s="2" t="s">
        <v>919</v>
      </c>
      <c r="F1052" s="2" t="s">
        <v>6060</v>
      </c>
      <c r="G1052" s="2" t="s">
        <v>4762</v>
      </c>
      <c r="H1052" s="2" t="s">
        <v>6061</v>
      </c>
      <c r="I1052" s="2" t="s">
        <v>1389</v>
      </c>
      <c r="J1052" s="2" t="s">
        <v>612</v>
      </c>
      <c r="K1052" s="2" t="s">
        <v>221</v>
      </c>
      <c r="L1052" s="3">
        <v>30.95</v>
      </c>
      <c r="M1052" s="3">
        <v>32.5</v>
      </c>
      <c r="N1052" s="3">
        <v>64.99</v>
      </c>
      <c r="O1052" s="2" t="s">
        <v>212</v>
      </c>
      <c r="P1052" s="2" t="s">
        <v>285</v>
      </c>
      <c r="Q1052" s="2" t="s">
        <v>206</v>
      </c>
      <c r="R1052" s="2" t="s">
        <v>200</v>
      </c>
      <c r="S1052" s="2" t="s">
        <v>6078</v>
      </c>
      <c r="T1052" s="2" t="s">
        <v>1176</v>
      </c>
      <c r="U1052" s="2" t="s">
        <v>454</v>
      </c>
      <c r="V1052" s="2" t="s">
        <v>208</v>
      </c>
      <c r="W1052" s="2" t="s">
        <v>379</v>
      </c>
      <c r="X1052" s="2" t="s">
        <v>241</v>
      </c>
      <c r="Y1052" s="2" t="s">
        <v>6086</v>
      </c>
      <c r="Z1052" s="4">
        <v>293</v>
      </c>
      <c r="AA1052" s="4">
        <f>=ROUNDDOWN(146.5,0)</f>
      </c>
      <c r="AB1052" s="5">
        <v>2</v>
      </c>
      <c r="AC1052" s="2" t="s">
        <v>200</v>
      </c>
      <c r="AD1052" s="4"/>
      <c r="AE1052" s="4"/>
      <c r="AF1052" s="6">
        <v>66</v>
      </c>
      <c r="AG1052" s="6"/>
      <c r="AH1052" s="7">
        <v>1</v>
      </c>
      <c r="AI1052" s="4"/>
      <c r="AJ1052" s="4">
        <f>=ROUNDDOWN({0},0)</f>
      </c>
      <c r="AK1052" s="5"/>
      <c r="AL1052" s="2" t="s">
        <v>200</v>
      </c>
      <c r="AM1052" s="4"/>
      <c r="AN1052" s="4"/>
      <c r="AO1052" s="7"/>
      <c r="AP1052" s="4"/>
      <c r="AQ1052" s="8"/>
      <c r="AR1052" s="4"/>
      <c r="AS1052" s="8"/>
      <c r="AT1052" s="7"/>
      <c r="AU1052" s="7"/>
      <c r="AV1052" s="4" t="s">
        <v>200</v>
      </c>
      <c r="AW1052" s="8" t="s">
        <v>200</v>
      </c>
      <c r="AX1052" s="4" t="s">
        <v>200</v>
      </c>
      <c r="AY1052" s="8" t="s">
        <v>200</v>
      </c>
      <c r="AZ1052" s="7" t="s">
        <v>200</v>
      </c>
      <c r="BA1052" s="7" t="s">
        <v>200</v>
      </c>
      <c r="BB1052" s="7"/>
      <c r="BC1052" s="4" t="s">
        <v>200</v>
      </c>
      <c r="BD1052" s="8" t="s">
        <v>200</v>
      </c>
      <c r="BE1052" s="4" t="s">
        <v>200</v>
      </c>
      <c r="BF1052" s="8" t="s">
        <v>200</v>
      </c>
      <c r="BG1052" s="7" t="s">
        <v>200</v>
      </c>
      <c r="BH1052" s="7" t="s">
        <v>200</v>
      </c>
      <c r="BI1052" s="7"/>
      <c r="BJ1052" s="4">
        <v>8</v>
      </c>
      <c r="BK1052" s="8">
        <v>278.84</v>
      </c>
      <c r="BL1052" s="2" t="s">
        <v>293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6087</v>
      </c>
      <c r="BV1052" s="2" t="s">
        <v>200</v>
      </c>
      <c r="BW1052" s="2" t="s">
        <v>200</v>
      </c>
      <c r="BX1052" s="2" t="s">
        <v>289</v>
      </c>
      <c r="BY1052" s="2" t="s">
        <v>247</v>
      </c>
      <c r="BZ1052" s="2" t="s">
        <v>212</v>
      </c>
      <c r="CA1052" s="2" t="s">
        <v>5225</v>
      </c>
      <c r="CB1052" s="2" t="s">
        <v>2516</v>
      </c>
      <c r="CC1052" s="2" t="s">
        <v>213</v>
      </c>
      <c r="CD1052" s="2" t="s">
        <v>200</v>
      </c>
      <c r="CE1052" s="4">
        <v>293</v>
      </c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/>
      <c r="EZ1052" s="4"/>
      <c r="FA1052" s="4"/>
      <c r="FB1052" s="4"/>
      <c r="FC1052" s="4"/>
      <c r="FD1052" s="4"/>
      <c r="FE1052" s="4"/>
      <c r="FF1052" s="4"/>
      <c r="FG1052" s="4"/>
      <c r="FH1052" s="4"/>
      <c r="FI1052" s="4"/>
      <c r="FJ1052" s="4"/>
      <c r="FK1052" s="4"/>
      <c r="FL1052" s="4"/>
      <c r="FM1052" s="4"/>
      <c r="FN1052" s="4"/>
      <c r="FO1052" s="4"/>
      <c r="FP1052" s="4"/>
      <c r="FQ1052" s="4"/>
      <c r="FR1052" s="4"/>
      <c r="FS1052" s="4"/>
      <c r="FT1052" s="4"/>
      <c r="FU1052" s="4"/>
      <c r="FV1052" s="4"/>
      <c r="FW1052" s="4"/>
      <c r="FX1052" s="4"/>
      <c r="FY1052" s="4"/>
      <c r="FZ1052" s="4"/>
      <c r="GA1052" s="4"/>
      <c r="GB1052" s="4"/>
      <c r="GC1052" s="4"/>
      <c r="GD1052" s="4"/>
      <c r="GE1052" s="4"/>
      <c r="GF1052" s="4"/>
      <c r="GG1052" s="4"/>
      <c r="GH1052" s="4"/>
    </row>
    <row r="1053">
      <c r="A1053" s="2" t="s">
        <v>6088</v>
      </c>
      <c r="B1053" s="2" t="s">
        <v>932</v>
      </c>
      <c r="C1053" s="2" t="s">
        <v>877</v>
      </c>
      <c r="D1053" s="2" t="s">
        <v>918</v>
      </c>
      <c r="E1053" s="2" t="s">
        <v>919</v>
      </c>
      <c r="F1053" s="2" t="s">
        <v>6060</v>
      </c>
      <c r="G1053" s="2" t="s">
        <v>4762</v>
      </c>
      <c r="H1053" s="2" t="s">
        <v>6061</v>
      </c>
      <c r="I1053" s="2" t="s">
        <v>1389</v>
      </c>
      <c r="J1053" s="2" t="s">
        <v>1390</v>
      </c>
      <c r="K1053" s="2" t="s">
        <v>223</v>
      </c>
      <c r="L1053" s="3">
        <v>26.19</v>
      </c>
      <c r="M1053" s="3">
        <v>27.5</v>
      </c>
      <c r="N1053" s="3">
        <v>54.99</v>
      </c>
      <c r="O1053" s="2" t="s">
        <v>212</v>
      </c>
      <c r="P1053" s="2" t="s">
        <v>258</v>
      </c>
      <c r="Q1053" s="2" t="s">
        <v>206</v>
      </c>
      <c r="R1053" s="2" t="s">
        <v>200</v>
      </c>
      <c r="S1053" s="2" t="s">
        <v>6089</v>
      </c>
      <c r="T1053" s="2" t="s">
        <v>1176</v>
      </c>
      <c r="U1053" s="2" t="s">
        <v>677</v>
      </c>
      <c r="V1053" s="2" t="s">
        <v>208</v>
      </c>
      <c r="W1053" s="2" t="s">
        <v>379</v>
      </c>
      <c r="X1053" s="2" t="s">
        <v>241</v>
      </c>
      <c r="Y1053" s="2" t="s">
        <v>6086</v>
      </c>
      <c r="Z1053" s="4">
        <v>257</v>
      </c>
      <c r="AA1053" s="4">
        <f>=ROUNDDOWN(257,0)</f>
      </c>
      <c r="AB1053" s="5">
        <v>1</v>
      </c>
      <c r="AC1053" s="2" t="s">
        <v>200</v>
      </c>
      <c r="AD1053" s="4"/>
      <c r="AE1053" s="4"/>
      <c r="AF1053" s="6">
        <v>66</v>
      </c>
      <c r="AG1053" s="6"/>
      <c r="AH1053" s="7">
        <v>1</v>
      </c>
      <c r="AI1053" s="4"/>
      <c r="AJ1053" s="4">
        <f>=ROUNDDOWN({0},0)</f>
      </c>
      <c r="AK1053" s="5"/>
      <c r="AL1053" s="2" t="s">
        <v>200</v>
      </c>
      <c r="AM1053" s="4"/>
      <c r="AN1053" s="4"/>
      <c r="AO1053" s="7"/>
      <c r="AP1053" s="4"/>
      <c r="AQ1053" s="8"/>
      <c r="AR1053" s="4"/>
      <c r="AS1053" s="8"/>
      <c r="AT1053" s="7"/>
      <c r="AU1053" s="7"/>
      <c r="AV1053" s="4" t="s">
        <v>200</v>
      </c>
      <c r="AW1053" s="8" t="s">
        <v>200</v>
      </c>
      <c r="AX1053" s="4" t="s">
        <v>200</v>
      </c>
      <c r="AY1053" s="8" t="s">
        <v>200</v>
      </c>
      <c r="AZ1053" s="7" t="s">
        <v>200</v>
      </c>
      <c r="BA1053" s="7" t="s">
        <v>200</v>
      </c>
      <c r="BB1053" s="7"/>
      <c r="BC1053" s="4" t="s">
        <v>200</v>
      </c>
      <c r="BD1053" s="8" t="s">
        <v>200</v>
      </c>
      <c r="BE1053" s="4" t="s">
        <v>200</v>
      </c>
      <c r="BF1053" s="8" t="s">
        <v>200</v>
      </c>
      <c r="BG1053" s="7" t="s">
        <v>200</v>
      </c>
      <c r="BH1053" s="7" t="s">
        <v>200</v>
      </c>
      <c r="BI1053" s="7"/>
      <c r="BJ1053" s="4">
        <v>11</v>
      </c>
      <c r="BK1053" s="8">
        <v>326.7</v>
      </c>
      <c r="BL1053" s="2" t="s">
        <v>6090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6091</v>
      </c>
      <c r="BV1053" s="2" t="s">
        <v>200</v>
      </c>
      <c r="BW1053" s="2" t="s">
        <v>200</v>
      </c>
      <c r="BX1053" s="2" t="s">
        <v>264</v>
      </c>
      <c r="BY1053" s="2" t="s">
        <v>247</v>
      </c>
      <c r="BZ1053" s="2" t="s">
        <v>212</v>
      </c>
      <c r="CA1053" s="2" t="s">
        <v>5225</v>
      </c>
      <c r="CB1053" s="2" t="s">
        <v>806</v>
      </c>
      <c r="CC1053" s="2" t="s">
        <v>213</v>
      </c>
      <c r="CD1053" s="2" t="s">
        <v>200</v>
      </c>
      <c r="CE1053" s="4">
        <v>257</v>
      </c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  <c r="GG1053" s="4"/>
      <c r="GH1053" s="4"/>
    </row>
    <row r="1054">
      <c r="A1054" s="2" t="s">
        <v>6092</v>
      </c>
      <c r="B1054" s="2" t="s">
        <v>932</v>
      </c>
      <c r="C1054" s="2" t="s">
        <v>877</v>
      </c>
      <c r="D1054" s="2" t="s">
        <v>918</v>
      </c>
      <c r="E1054" s="2" t="s">
        <v>919</v>
      </c>
      <c r="F1054" s="2" t="s">
        <v>6060</v>
      </c>
      <c r="G1054" s="2" t="s">
        <v>4762</v>
      </c>
      <c r="H1054" s="2" t="s">
        <v>6061</v>
      </c>
      <c r="I1054" s="2" t="s">
        <v>1389</v>
      </c>
      <c r="J1054" s="2" t="s">
        <v>612</v>
      </c>
      <c r="K1054" s="2" t="s">
        <v>223</v>
      </c>
      <c r="L1054" s="3">
        <v>30.95</v>
      </c>
      <c r="M1054" s="3">
        <v>32.5</v>
      </c>
      <c r="N1054" s="3">
        <v>64.99</v>
      </c>
      <c r="O1054" s="2" t="s">
        <v>212</v>
      </c>
      <c r="P1054" s="2" t="s">
        <v>258</v>
      </c>
      <c r="Q1054" s="2" t="s">
        <v>206</v>
      </c>
      <c r="R1054" s="2" t="s">
        <v>200</v>
      </c>
      <c r="S1054" s="2" t="s">
        <v>6089</v>
      </c>
      <c r="T1054" s="2" t="s">
        <v>1176</v>
      </c>
      <c r="U1054" s="2" t="s">
        <v>454</v>
      </c>
      <c r="V1054" s="2" t="s">
        <v>208</v>
      </c>
      <c r="W1054" s="2" t="s">
        <v>379</v>
      </c>
      <c r="X1054" s="2" t="s">
        <v>241</v>
      </c>
      <c r="Y1054" s="2" t="s">
        <v>6086</v>
      </c>
      <c r="Z1054" s="4">
        <v>258</v>
      </c>
      <c r="AA1054" s="4">
        <f>=ROUNDDOWN(86,0)</f>
      </c>
      <c r="AB1054" s="5">
        <v>3</v>
      </c>
      <c r="AC1054" s="2" t="s">
        <v>200</v>
      </c>
      <c r="AD1054" s="4"/>
      <c r="AE1054" s="4"/>
      <c r="AF1054" s="6">
        <v>66</v>
      </c>
      <c r="AG1054" s="6"/>
      <c r="AH1054" s="7">
        <v>1</v>
      </c>
      <c r="AI1054" s="4"/>
      <c r="AJ1054" s="4">
        <f>=ROUNDDOWN({0},0)</f>
      </c>
      <c r="AK1054" s="5"/>
      <c r="AL1054" s="2" t="s">
        <v>200</v>
      </c>
      <c r="AM1054" s="4"/>
      <c r="AN1054" s="4"/>
      <c r="AO1054" s="7"/>
      <c r="AP1054" s="4"/>
      <c r="AQ1054" s="8"/>
      <c r="AR1054" s="4"/>
      <c r="AS1054" s="8"/>
      <c r="AT1054" s="7"/>
      <c r="AU1054" s="7"/>
      <c r="AV1054" s="4" t="s">
        <v>200</v>
      </c>
      <c r="AW1054" s="8" t="s">
        <v>200</v>
      </c>
      <c r="AX1054" s="4" t="s">
        <v>200</v>
      </c>
      <c r="AY1054" s="8" t="s">
        <v>200</v>
      </c>
      <c r="AZ1054" s="7" t="s">
        <v>200</v>
      </c>
      <c r="BA1054" s="7" t="s">
        <v>200</v>
      </c>
      <c r="BB1054" s="7"/>
      <c r="BC1054" s="4" t="s">
        <v>200</v>
      </c>
      <c r="BD1054" s="8" t="s">
        <v>200</v>
      </c>
      <c r="BE1054" s="4" t="s">
        <v>200</v>
      </c>
      <c r="BF1054" s="8" t="s">
        <v>200</v>
      </c>
      <c r="BG1054" s="7" t="s">
        <v>200</v>
      </c>
      <c r="BH1054" s="7" t="s">
        <v>200</v>
      </c>
      <c r="BI1054" s="7"/>
      <c r="BJ1054" s="4">
        <v>12</v>
      </c>
      <c r="BK1054" s="8">
        <v>421.2</v>
      </c>
      <c r="BL1054" s="2" t="s">
        <v>245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6093</v>
      </c>
      <c r="BV1054" s="2" t="s">
        <v>200</v>
      </c>
      <c r="BW1054" s="2" t="s">
        <v>200</v>
      </c>
      <c r="BX1054" s="2" t="s">
        <v>264</v>
      </c>
      <c r="BY1054" s="2" t="s">
        <v>247</v>
      </c>
      <c r="BZ1054" s="2" t="s">
        <v>212</v>
      </c>
      <c r="CA1054" s="2" t="s">
        <v>5225</v>
      </c>
      <c r="CB1054" s="2" t="s">
        <v>2516</v>
      </c>
      <c r="CC1054" s="2" t="s">
        <v>213</v>
      </c>
      <c r="CD1054" s="2" t="s">
        <v>200</v>
      </c>
      <c r="CE1054" s="4">
        <v>258</v>
      </c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  <c r="FX1054" s="4"/>
      <c r="FY1054" s="4"/>
      <c r="FZ1054" s="4"/>
      <c r="GA1054" s="4"/>
      <c r="GB1054" s="4"/>
      <c r="GC1054" s="4"/>
      <c r="GD1054" s="4"/>
      <c r="GE1054" s="4"/>
      <c r="GF1054" s="4"/>
      <c r="GG1054" s="4"/>
      <c r="GH1054" s="4"/>
    </row>
    <row r="1055">
      <c r="A1055" s="2" t="s">
        <v>6094</v>
      </c>
      <c r="B1055" s="2" t="s">
        <v>903</v>
      </c>
      <c r="C1055" s="2" t="s">
        <v>231</v>
      </c>
      <c r="D1055" s="2" t="s">
        <v>608</v>
      </c>
      <c r="E1055" s="2" t="s">
        <v>609</v>
      </c>
      <c r="F1055" s="2" t="s">
        <v>6060</v>
      </c>
      <c r="G1055" s="2" t="s">
        <v>6095</v>
      </c>
      <c r="H1055" s="2" t="s">
        <v>3813</v>
      </c>
      <c r="I1055" s="2" t="s">
        <v>6096</v>
      </c>
      <c r="J1055" s="2" t="s">
        <v>236</v>
      </c>
      <c r="K1055" s="2" t="s">
        <v>1153</v>
      </c>
      <c r="L1055" s="3">
        <v>84.6</v>
      </c>
      <c r="M1055" s="3">
        <v>88.83</v>
      </c>
      <c r="N1055" s="3">
        <v>179.99</v>
      </c>
      <c r="O1055" s="2" t="s">
        <v>212</v>
      </c>
      <c r="P1055" s="2" t="s">
        <v>285</v>
      </c>
      <c r="Q1055" s="2" t="s">
        <v>206</v>
      </c>
      <c r="R1055" s="2" t="s">
        <v>200</v>
      </c>
      <c r="S1055" s="2" t="s">
        <v>6097</v>
      </c>
      <c r="T1055" s="2" t="s">
        <v>200</v>
      </c>
      <c r="U1055" s="2" t="s">
        <v>909</v>
      </c>
      <c r="V1055" s="2" t="s">
        <v>940</v>
      </c>
      <c r="W1055" s="2" t="s">
        <v>419</v>
      </c>
      <c r="X1055" s="2" t="s">
        <v>2692</v>
      </c>
      <c r="Y1055" s="2" t="s">
        <v>6098</v>
      </c>
      <c r="Z1055" s="4">
        <v>107</v>
      </c>
      <c r="AA1055" s="4">
        <f>=ROUNDDOWN(15.2857142857143,0)</f>
      </c>
      <c r="AB1055" s="5">
        <v>7</v>
      </c>
      <c r="AC1055" s="2" t="s">
        <v>200</v>
      </c>
      <c r="AD1055" s="4"/>
      <c r="AE1055" s="4"/>
      <c r="AF1055" s="6">
        <v>65</v>
      </c>
      <c r="AG1055" s="6">
        <v>73</v>
      </c>
      <c r="AH1055" s="7">
        <v>1</v>
      </c>
      <c r="AI1055" s="4"/>
      <c r="AJ1055" s="4">
        <f>=ROUNDDOWN({0},0)</f>
      </c>
      <c r="AK1055" s="5"/>
      <c r="AL1055" s="2" t="s">
        <v>200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/>
      <c r="AW1055" s="8"/>
      <c r="AX1055" s="4"/>
      <c r="AY1055" s="8"/>
      <c r="AZ1055" s="7"/>
      <c r="BA1055" s="7"/>
      <c r="BB1055" s="7"/>
      <c r="BC1055" s="4" t="s">
        <v>200</v>
      </c>
      <c r="BD1055" s="8" t="s">
        <v>200</v>
      </c>
      <c r="BE1055" s="4" t="s">
        <v>200</v>
      </c>
      <c r="BF1055" s="8" t="s">
        <v>200</v>
      </c>
      <c r="BG1055" s="7" t="s">
        <v>200</v>
      </c>
      <c r="BH1055" s="7" t="s">
        <v>200</v>
      </c>
      <c r="BI1055" s="7"/>
      <c r="BJ1055" s="4">
        <v>33</v>
      </c>
      <c r="BK1055" s="8">
        <v>2572.03</v>
      </c>
      <c r="BL1055" s="2" t="s">
        <v>6099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6100</v>
      </c>
      <c r="BV1055" s="2" t="s">
        <v>200</v>
      </c>
      <c r="BW1055" s="2" t="s">
        <v>200</v>
      </c>
      <c r="BX1055" s="2" t="s">
        <v>289</v>
      </c>
      <c r="BY1055" s="2" t="s">
        <v>247</v>
      </c>
      <c r="BZ1055" s="2" t="s">
        <v>212</v>
      </c>
      <c r="CA1055" s="2" t="s">
        <v>6101</v>
      </c>
      <c r="CB1055" s="2" t="s">
        <v>6102</v>
      </c>
      <c r="CC1055" s="2" t="s">
        <v>213</v>
      </c>
      <c r="CD1055" s="2" t="s">
        <v>200</v>
      </c>
      <c r="CE1055" s="4">
        <v>64</v>
      </c>
      <c r="CF1055" s="4"/>
      <c r="CG1055" s="4"/>
      <c r="CH1055" s="4">
        <v>43</v>
      </c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/>
      <c r="GG1055" s="4"/>
      <c r="GH1055" s="4"/>
    </row>
    <row r="1056">
      <c r="A1056" s="2" t="s">
        <v>6103</v>
      </c>
      <c r="B1056" s="2" t="s">
        <v>932</v>
      </c>
      <c r="C1056" s="2" t="s">
        <v>877</v>
      </c>
      <c r="D1056" s="2" t="s">
        <v>918</v>
      </c>
      <c r="E1056" s="2" t="s">
        <v>919</v>
      </c>
      <c r="F1056" s="2" t="s">
        <v>6060</v>
      </c>
      <c r="G1056" s="2" t="s">
        <v>4762</v>
      </c>
      <c r="H1056" s="2" t="s">
        <v>6061</v>
      </c>
      <c r="I1056" s="2" t="s">
        <v>1389</v>
      </c>
      <c r="J1056" s="2" t="s">
        <v>612</v>
      </c>
      <c r="K1056" s="2" t="s">
        <v>2366</v>
      </c>
      <c r="L1056" s="3">
        <v>30.95</v>
      </c>
      <c r="M1056" s="3">
        <v>32.5</v>
      </c>
      <c r="N1056" s="3">
        <v>64.99</v>
      </c>
      <c r="O1056" s="2" t="s">
        <v>212</v>
      </c>
      <c r="P1056" s="2" t="s">
        <v>258</v>
      </c>
      <c r="Q1056" s="2" t="s">
        <v>206</v>
      </c>
      <c r="R1056" s="2" t="s">
        <v>200</v>
      </c>
      <c r="S1056" s="2" t="s">
        <v>6104</v>
      </c>
      <c r="T1056" s="2" t="s">
        <v>1176</v>
      </c>
      <c r="U1056" s="2" t="s">
        <v>454</v>
      </c>
      <c r="V1056" s="2" t="s">
        <v>208</v>
      </c>
      <c r="W1056" s="2" t="s">
        <v>379</v>
      </c>
      <c r="X1056" s="2" t="s">
        <v>241</v>
      </c>
      <c r="Y1056" s="2" t="s">
        <v>6086</v>
      </c>
      <c r="Z1056" s="4">
        <v>220</v>
      </c>
      <c r="AA1056" s="4">
        <f>=ROUNDDOWN(73.3333333333333,0)</f>
      </c>
      <c r="AB1056" s="5">
        <v>3</v>
      </c>
      <c r="AC1056" s="2" t="s">
        <v>200</v>
      </c>
      <c r="AD1056" s="4"/>
      <c r="AE1056" s="4"/>
      <c r="AF1056" s="6">
        <v>66</v>
      </c>
      <c r="AG1056" s="6"/>
      <c r="AH1056" s="7">
        <v>1</v>
      </c>
      <c r="AI1056" s="4"/>
      <c r="AJ1056" s="4">
        <f>=ROUNDDOWN({0},0)</f>
      </c>
      <c r="AK1056" s="5"/>
      <c r="AL1056" s="2" t="s">
        <v>200</v>
      </c>
      <c r="AM1056" s="4"/>
      <c r="AN1056" s="4"/>
      <c r="AO1056" s="7"/>
      <c r="AP1056" s="4"/>
      <c r="AQ1056" s="8"/>
      <c r="AR1056" s="4"/>
      <c r="AS1056" s="8"/>
      <c r="AT1056" s="7"/>
      <c r="AU1056" s="7"/>
      <c r="AV1056" s="4"/>
      <c r="AW1056" s="8"/>
      <c r="AX1056" s="4"/>
      <c r="AY1056" s="8"/>
      <c r="AZ1056" s="7"/>
      <c r="BA1056" s="7"/>
      <c r="BB1056" s="7"/>
      <c r="BC1056" s="4" t="s">
        <v>200</v>
      </c>
      <c r="BD1056" s="8" t="s">
        <v>200</v>
      </c>
      <c r="BE1056" s="4" t="s">
        <v>200</v>
      </c>
      <c r="BF1056" s="8" t="s">
        <v>200</v>
      </c>
      <c r="BG1056" s="7" t="s">
        <v>200</v>
      </c>
      <c r="BH1056" s="7" t="s">
        <v>200</v>
      </c>
      <c r="BI1056" s="7"/>
      <c r="BJ1056" s="4">
        <v>12</v>
      </c>
      <c r="BK1056" s="8">
        <v>406.9</v>
      </c>
      <c r="BL1056" s="2" t="s">
        <v>3911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6105</v>
      </c>
      <c r="BV1056" s="2" t="s">
        <v>200</v>
      </c>
      <c r="BW1056" s="2" t="s">
        <v>200</v>
      </c>
      <c r="BX1056" s="2" t="s">
        <v>264</v>
      </c>
      <c r="BY1056" s="2" t="s">
        <v>247</v>
      </c>
      <c r="BZ1056" s="2" t="s">
        <v>212</v>
      </c>
      <c r="CA1056" s="2" t="s">
        <v>5225</v>
      </c>
      <c r="CB1056" s="2" t="s">
        <v>6081</v>
      </c>
      <c r="CC1056" s="2" t="s">
        <v>213</v>
      </c>
      <c r="CD1056" s="2" t="s">
        <v>200</v>
      </c>
      <c r="CE1056" s="4">
        <v>220</v>
      </c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  <c r="FX1056" s="4"/>
      <c r="FY1056" s="4"/>
      <c r="FZ1056" s="4"/>
      <c r="GA1056" s="4"/>
      <c r="GB1056" s="4"/>
      <c r="GC1056" s="4"/>
      <c r="GD1056" s="4"/>
      <c r="GE1056" s="4"/>
      <c r="GF1056" s="4"/>
      <c r="GG1056" s="4"/>
      <c r="GH1056" s="4"/>
    </row>
    <row r="1057">
      <c r="A1057" s="2" t="s">
        <v>6106</v>
      </c>
      <c r="B1057" s="2" t="s">
        <v>932</v>
      </c>
      <c r="C1057" s="2" t="s">
        <v>877</v>
      </c>
      <c r="D1057" s="2" t="s">
        <v>918</v>
      </c>
      <c r="E1057" s="2" t="s">
        <v>934</v>
      </c>
      <c r="F1057" s="2" t="s">
        <v>6107</v>
      </c>
      <c r="G1057" s="2" t="s">
        <v>2931</v>
      </c>
      <c r="H1057" s="2" t="s">
        <v>4599</v>
      </c>
      <c r="I1057" s="2" t="s">
        <v>6108</v>
      </c>
      <c r="J1057" s="2" t="s">
        <v>1390</v>
      </c>
      <c r="K1057" s="2" t="s">
        <v>221</v>
      </c>
      <c r="L1057" s="3">
        <v>23.96</v>
      </c>
      <c r="M1057" s="3">
        <v>25.16</v>
      </c>
      <c r="N1057" s="3">
        <v>54.99</v>
      </c>
      <c r="O1057" s="2" t="s">
        <v>417</v>
      </c>
      <c r="P1057" s="2" t="s">
        <v>285</v>
      </c>
      <c r="Q1057" s="2" t="s">
        <v>206</v>
      </c>
      <c r="R1057" s="2" t="s">
        <v>200</v>
      </c>
      <c r="S1057" s="2" t="s">
        <v>6109</v>
      </c>
      <c r="T1057" s="2" t="s">
        <v>200</v>
      </c>
      <c r="U1057" s="2" t="s">
        <v>454</v>
      </c>
      <c r="V1057" s="2" t="s">
        <v>339</v>
      </c>
      <c r="W1057" s="2" t="s">
        <v>241</v>
      </c>
      <c r="X1057" s="2" t="s">
        <v>4449</v>
      </c>
      <c r="Y1057" s="2" t="s">
        <v>6110</v>
      </c>
      <c r="Z1057" s="4">
        <v>66</v>
      </c>
      <c r="AA1057" s="4">
        <f>=ROUNDDOWN(330,0)</f>
      </c>
      <c r="AB1057" s="5">
        <v>0.2</v>
      </c>
      <c r="AC1057" s="2" t="s">
        <v>200</v>
      </c>
      <c r="AD1057" s="4"/>
      <c r="AE1057" s="4"/>
      <c r="AF1057" s="6">
        <v>64</v>
      </c>
      <c r="AG1057" s="6"/>
      <c r="AH1057" s="7">
        <v>0.8667</v>
      </c>
      <c r="AI1057" s="4"/>
      <c r="AJ1057" s="4">
        <f>=ROUNDDOWN({0},0)</f>
      </c>
      <c r="AK1057" s="5"/>
      <c r="AL1057" s="2" t="s">
        <v>200</v>
      </c>
      <c r="AM1057" s="4"/>
      <c r="AN1057" s="4"/>
      <c r="AO1057" s="7"/>
      <c r="AP1057" s="4"/>
      <c r="AQ1057" s="8"/>
      <c r="AR1057" s="4"/>
      <c r="AS1057" s="8"/>
      <c r="AT1057" s="7"/>
      <c r="AU1057" s="7"/>
      <c r="AV1057" s="4"/>
      <c r="AW1057" s="8"/>
      <c r="AX1057" s="4"/>
      <c r="AY1057" s="8"/>
      <c r="AZ1057" s="7"/>
      <c r="BA1057" s="7"/>
      <c r="BB1057" s="7"/>
      <c r="BC1057" s="4"/>
      <c r="BD1057" s="8"/>
      <c r="BE1057" s="4"/>
      <c r="BF1057" s="8"/>
      <c r="BG1057" s="7"/>
      <c r="BH1057" s="7"/>
      <c r="BI1057" s="7"/>
      <c r="BJ1057" s="4">
        <v>2</v>
      </c>
      <c r="BK1057" s="8">
        <v>31.7</v>
      </c>
      <c r="BL1057" s="2" t="s">
        <v>3641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6111</v>
      </c>
      <c r="BV1057" s="2" t="s">
        <v>200</v>
      </c>
      <c r="BW1057" s="2" t="s">
        <v>200</v>
      </c>
      <c r="BX1057" s="2" t="s">
        <v>289</v>
      </c>
      <c r="BY1057" s="2" t="s">
        <v>247</v>
      </c>
      <c r="BZ1057" s="2" t="s">
        <v>212</v>
      </c>
      <c r="CA1057" s="2" t="s">
        <v>5429</v>
      </c>
      <c r="CB1057" s="2" t="s">
        <v>999</v>
      </c>
      <c r="CC1057" s="2" t="s">
        <v>213</v>
      </c>
      <c r="CD1057" s="2" t="s">
        <v>200</v>
      </c>
      <c r="CE1057" s="4">
        <v>66</v>
      </c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  <c r="GH1057" s="4"/>
    </row>
    <row r="1058">
      <c r="A1058" s="2" t="s">
        <v>6112</v>
      </c>
      <c r="B1058" s="2" t="s">
        <v>719</v>
      </c>
      <c r="C1058" s="2" t="s">
        <v>231</v>
      </c>
      <c r="D1058" s="2" t="s">
        <v>1554</v>
      </c>
      <c r="E1058" s="2" t="s">
        <v>1555</v>
      </c>
      <c r="F1058" s="2" t="s">
        <v>6113</v>
      </c>
      <c r="G1058" s="2" t="s">
        <v>6113</v>
      </c>
      <c r="H1058" s="2" t="s">
        <v>6113</v>
      </c>
      <c r="I1058" s="2" t="s">
        <v>6114</v>
      </c>
      <c r="J1058" s="2" t="s">
        <v>711</v>
      </c>
      <c r="K1058" s="2" t="s">
        <v>221</v>
      </c>
      <c r="L1058" s="3">
        <v>67.34</v>
      </c>
      <c r="M1058" s="3">
        <v>70.71</v>
      </c>
      <c r="N1058" s="3">
        <v>124.94</v>
      </c>
      <c r="O1058" s="2" t="s">
        <v>212</v>
      </c>
      <c r="P1058" s="2" t="s">
        <v>1075</v>
      </c>
      <c r="Q1058" s="2" t="s">
        <v>206</v>
      </c>
      <c r="R1058" s="2" t="s">
        <v>200</v>
      </c>
      <c r="S1058" s="2" t="s">
        <v>200</v>
      </c>
      <c r="T1058" s="2" t="s">
        <v>200</v>
      </c>
      <c r="U1058" s="2" t="s">
        <v>454</v>
      </c>
      <c r="V1058" s="2" t="s">
        <v>724</v>
      </c>
      <c r="W1058" s="2" t="s">
        <v>242</v>
      </c>
      <c r="X1058" s="2" t="s">
        <v>379</v>
      </c>
      <c r="Y1058" s="2" t="s">
        <v>1049</v>
      </c>
      <c r="Z1058" s="4">
        <v>91</v>
      </c>
      <c r="AA1058" s="4">
        <f>=ROUNDDOWN(18.2,0)</f>
      </c>
      <c r="AB1058" s="5">
        <v>5</v>
      </c>
      <c r="AC1058" s="2" t="s">
        <v>6115</v>
      </c>
      <c r="AD1058" s="4">
        <v>100</v>
      </c>
      <c r="AE1058" s="4">
        <v>100</v>
      </c>
      <c r="AF1058" s="6">
        <v>61</v>
      </c>
      <c r="AG1058" s="6"/>
      <c r="AH1058" s="7">
        <v>1</v>
      </c>
      <c r="AI1058" s="4"/>
      <c r="AJ1058" s="4">
        <f>=ROUNDDOWN({0},0)</f>
      </c>
      <c r="AK1058" s="5"/>
      <c r="AL1058" s="2" t="s">
        <v>200</v>
      </c>
      <c r="AM1058" s="4"/>
      <c r="AN1058" s="4"/>
      <c r="AO1058" s="7"/>
      <c r="AP1058" s="4"/>
      <c r="AQ1058" s="8"/>
      <c r="AR1058" s="4"/>
      <c r="AS1058" s="8"/>
      <c r="AT1058" s="7"/>
      <c r="AU1058" s="7"/>
      <c r="AV1058" s="4"/>
      <c r="AW1058" s="8"/>
      <c r="AX1058" s="4"/>
      <c r="AY1058" s="8"/>
      <c r="AZ1058" s="7"/>
      <c r="BA1058" s="7"/>
      <c r="BB1058" s="7"/>
      <c r="BC1058" s="4"/>
      <c r="BD1058" s="8"/>
      <c r="BE1058" s="4"/>
      <c r="BF1058" s="8"/>
      <c r="BG1058" s="7"/>
      <c r="BH1058" s="7"/>
      <c r="BI1058" s="7"/>
      <c r="BJ1058" s="4">
        <v>10</v>
      </c>
      <c r="BK1058" s="8">
        <v>752.75</v>
      </c>
      <c r="BL1058" s="2" t="s">
        <v>6116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6117</v>
      </c>
      <c r="BV1058" s="2" t="s">
        <v>200</v>
      </c>
      <c r="BW1058" s="2" t="s">
        <v>200</v>
      </c>
      <c r="BX1058" s="2" t="s">
        <v>620</v>
      </c>
      <c r="BY1058" s="2" t="s">
        <v>247</v>
      </c>
      <c r="BZ1058" s="2" t="s">
        <v>212</v>
      </c>
      <c r="CA1058" s="2" t="s">
        <v>6118</v>
      </c>
      <c r="CB1058" s="2" t="s">
        <v>6119</v>
      </c>
      <c r="CC1058" s="2" t="s">
        <v>213</v>
      </c>
      <c r="CD1058" s="2" t="s">
        <v>200</v>
      </c>
      <c r="CE1058" s="4"/>
      <c r="CF1058" s="4">
        <v>91</v>
      </c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>
        <v>100</v>
      </c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/>
      <c r="FH1058" s="4"/>
      <c r="FI1058" s="4"/>
      <c r="FJ1058" s="4"/>
      <c r="FK1058" s="4"/>
      <c r="FL1058" s="4"/>
      <c r="FM1058" s="4"/>
      <c r="FN1058" s="4"/>
      <c r="FO1058" s="4"/>
      <c r="FP1058" s="4"/>
      <c r="FQ1058" s="4"/>
      <c r="FR1058" s="4"/>
      <c r="FS1058" s="4"/>
      <c r="FT1058" s="4"/>
      <c r="FU1058" s="4"/>
      <c r="FV1058" s="4"/>
      <c r="FW1058" s="4"/>
      <c r="FX1058" s="4"/>
      <c r="FY1058" s="4"/>
      <c r="FZ1058" s="4"/>
      <c r="GA1058" s="4"/>
      <c r="GB1058" s="4"/>
      <c r="GC1058" s="4"/>
      <c r="GD1058" s="4"/>
      <c r="GE1058" s="4"/>
      <c r="GF1058" s="4"/>
      <c r="GG1058" s="4"/>
      <c r="GH1058" s="4"/>
    </row>
    <row r="1059">
      <c r="A1059" s="2" t="s">
        <v>6120</v>
      </c>
      <c r="B1059" s="2" t="s">
        <v>903</v>
      </c>
      <c r="C1059" s="2" t="s">
        <v>307</v>
      </c>
      <c r="D1059" s="2" t="s">
        <v>608</v>
      </c>
      <c r="E1059" s="2" t="s">
        <v>904</v>
      </c>
      <c r="F1059" s="2" t="s">
        <v>6121</v>
      </c>
      <c r="G1059" s="2" t="s">
        <v>6122</v>
      </c>
      <c r="H1059" s="2" t="s">
        <v>866</v>
      </c>
      <c r="I1059" s="2" t="s">
        <v>6123</v>
      </c>
      <c r="J1059" s="2" t="s">
        <v>302</v>
      </c>
      <c r="K1059" s="2" t="s">
        <v>387</v>
      </c>
      <c r="L1059" s="3">
        <v>35.71</v>
      </c>
      <c r="M1059" s="3">
        <v>37.5</v>
      </c>
      <c r="N1059" s="3">
        <v>74.99</v>
      </c>
      <c r="O1059" s="2" t="s">
        <v>212</v>
      </c>
      <c r="P1059" s="2" t="s">
        <v>205</v>
      </c>
      <c r="Q1059" s="2" t="s">
        <v>206</v>
      </c>
      <c r="R1059" s="2" t="s">
        <v>200</v>
      </c>
      <c r="S1059" s="2" t="s">
        <v>6124</v>
      </c>
      <c r="T1059" s="2" t="s">
        <v>378</v>
      </c>
      <c r="U1059" s="2" t="s">
        <v>1067</v>
      </c>
      <c r="V1059" s="2" t="s">
        <v>940</v>
      </c>
      <c r="W1059" s="2" t="s">
        <v>910</v>
      </c>
      <c r="X1059" s="2" t="s">
        <v>200</v>
      </c>
      <c r="Y1059" s="2" t="s">
        <v>3137</v>
      </c>
      <c r="Z1059" s="4">
        <v>251</v>
      </c>
      <c r="AA1059" s="4">
        <f>=ROUNDDOWN(50.2,0)</f>
      </c>
      <c r="AB1059" s="5">
        <v>5</v>
      </c>
      <c r="AC1059" s="2" t="s">
        <v>200</v>
      </c>
      <c r="AD1059" s="4"/>
      <c r="AE1059" s="4"/>
      <c r="AF1059" s="6">
        <v>65</v>
      </c>
      <c r="AG1059" s="6"/>
      <c r="AH1059" s="7">
        <v>1</v>
      </c>
      <c r="AI1059" s="4"/>
      <c r="AJ1059" s="4">
        <f>=ROUNDDOWN({0},0)</f>
      </c>
      <c r="AK1059" s="5"/>
      <c r="AL1059" s="2" t="s">
        <v>200</v>
      </c>
      <c r="AM1059" s="4"/>
      <c r="AN1059" s="4"/>
      <c r="AO1059" s="7"/>
      <c r="AP1059" s="4"/>
      <c r="AQ1059" s="8"/>
      <c r="AR1059" s="4"/>
      <c r="AS1059" s="8"/>
      <c r="AT1059" s="7"/>
      <c r="AU1059" s="7"/>
      <c r="AV1059" s="4" t="s">
        <v>200</v>
      </c>
      <c r="AW1059" s="8" t="s">
        <v>200</v>
      </c>
      <c r="AX1059" s="4" t="s">
        <v>200</v>
      </c>
      <c r="AY1059" s="8" t="s">
        <v>200</v>
      </c>
      <c r="AZ1059" s="7" t="s">
        <v>200</v>
      </c>
      <c r="BA1059" s="7" t="s">
        <v>200</v>
      </c>
      <c r="BB1059" s="7"/>
      <c r="BC1059" s="4" t="s">
        <v>200</v>
      </c>
      <c r="BD1059" s="8" t="s">
        <v>200</v>
      </c>
      <c r="BE1059" s="4" t="s">
        <v>200</v>
      </c>
      <c r="BF1059" s="8" t="s">
        <v>200</v>
      </c>
      <c r="BG1059" s="7" t="s">
        <v>200</v>
      </c>
      <c r="BH1059" s="7" t="s">
        <v>200</v>
      </c>
      <c r="BI1059" s="7"/>
      <c r="BJ1059" s="4">
        <v>32</v>
      </c>
      <c r="BK1059" s="8">
        <v>1312.96</v>
      </c>
      <c r="BL1059" s="2" t="s">
        <v>1184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6125</v>
      </c>
      <c r="BV1059" s="2" t="s">
        <v>200</v>
      </c>
      <c r="BW1059" s="2" t="s">
        <v>200</v>
      </c>
      <c r="BX1059" s="2" t="s">
        <v>264</v>
      </c>
      <c r="BY1059" s="2" t="s">
        <v>247</v>
      </c>
      <c r="BZ1059" s="2" t="s">
        <v>212</v>
      </c>
      <c r="CA1059" s="2" t="s">
        <v>2612</v>
      </c>
      <c r="CB1059" s="2" t="s">
        <v>2438</v>
      </c>
      <c r="CC1059" s="2" t="s">
        <v>213</v>
      </c>
      <c r="CD1059" s="2" t="s">
        <v>200</v>
      </c>
      <c r="CE1059" s="4">
        <v>176</v>
      </c>
      <c r="CF1059" s="4">
        <v>75</v>
      </c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  <c r="GH1059" s="4"/>
    </row>
    <row r="1060">
      <c r="A1060" s="2" t="s">
        <v>6126</v>
      </c>
      <c r="B1060" s="2" t="s">
        <v>903</v>
      </c>
      <c r="C1060" s="2" t="s">
        <v>307</v>
      </c>
      <c r="D1060" s="2" t="s">
        <v>608</v>
      </c>
      <c r="E1060" s="2" t="s">
        <v>904</v>
      </c>
      <c r="F1060" s="2" t="s">
        <v>6121</v>
      </c>
      <c r="G1060" s="2" t="s">
        <v>6122</v>
      </c>
      <c r="H1060" s="2" t="s">
        <v>866</v>
      </c>
      <c r="I1060" s="2" t="s">
        <v>6123</v>
      </c>
      <c r="J1060" s="2" t="s">
        <v>236</v>
      </c>
      <c r="K1060" s="2" t="s">
        <v>387</v>
      </c>
      <c r="L1060" s="3">
        <v>35.71</v>
      </c>
      <c r="M1060" s="3">
        <v>37.5</v>
      </c>
      <c r="N1060" s="3">
        <v>74.99</v>
      </c>
      <c r="O1060" s="2" t="s">
        <v>212</v>
      </c>
      <c r="P1060" s="2" t="s">
        <v>205</v>
      </c>
      <c r="Q1060" s="2" t="s">
        <v>206</v>
      </c>
      <c r="R1060" s="2" t="s">
        <v>200</v>
      </c>
      <c r="S1060" s="2" t="s">
        <v>6124</v>
      </c>
      <c r="T1060" s="2" t="s">
        <v>378</v>
      </c>
      <c r="U1060" s="2" t="s">
        <v>1067</v>
      </c>
      <c r="V1060" s="2" t="s">
        <v>940</v>
      </c>
      <c r="W1060" s="2" t="s">
        <v>910</v>
      </c>
      <c r="X1060" s="2" t="s">
        <v>200</v>
      </c>
      <c r="Y1060" s="2" t="s">
        <v>6127</v>
      </c>
      <c r="Z1060" s="4">
        <v>157</v>
      </c>
      <c r="AA1060" s="4">
        <f>=ROUNDDOWN(52.3333333333333,0)</f>
      </c>
      <c r="AB1060" s="5">
        <v>3</v>
      </c>
      <c r="AC1060" s="2" t="s">
        <v>200</v>
      </c>
      <c r="AD1060" s="4"/>
      <c r="AE1060" s="4"/>
      <c r="AF1060" s="6">
        <v>65</v>
      </c>
      <c r="AG1060" s="6"/>
      <c r="AH1060" s="7">
        <v>1</v>
      </c>
      <c r="AI1060" s="4"/>
      <c r="AJ1060" s="4">
        <f>=ROUNDDOWN({0},0)</f>
      </c>
      <c r="AK1060" s="5"/>
      <c r="AL1060" s="2" t="s">
        <v>200</v>
      </c>
      <c r="AM1060" s="4"/>
      <c r="AN1060" s="4"/>
      <c r="AO1060" s="7"/>
      <c r="AP1060" s="4"/>
      <c r="AQ1060" s="8"/>
      <c r="AR1060" s="4"/>
      <c r="AS1060" s="8"/>
      <c r="AT1060" s="7"/>
      <c r="AU1060" s="7"/>
      <c r="AV1060" s="4" t="s">
        <v>200</v>
      </c>
      <c r="AW1060" s="8" t="s">
        <v>200</v>
      </c>
      <c r="AX1060" s="4" t="s">
        <v>200</v>
      </c>
      <c r="AY1060" s="8" t="s">
        <v>200</v>
      </c>
      <c r="AZ1060" s="7" t="s">
        <v>200</v>
      </c>
      <c r="BA1060" s="7" t="s">
        <v>200</v>
      </c>
      <c r="BB1060" s="7"/>
      <c r="BC1060" s="4" t="s">
        <v>200</v>
      </c>
      <c r="BD1060" s="8" t="s">
        <v>200</v>
      </c>
      <c r="BE1060" s="4" t="s">
        <v>200</v>
      </c>
      <c r="BF1060" s="8" t="s">
        <v>200</v>
      </c>
      <c r="BG1060" s="7" t="s">
        <v>200</v>
      </c>
      <c r="BH1060" s="7" t="s">
        <v>200</v>
      </c>
      <c r="BI1060" s="7"/>
      <c r="BJ1060" s="4">
        <v>13</v>
      </c>
      <c r="BK1060" s="8">
        <v>537.15</v>
      </c>
      <c r="BL1060" s="2" t="s">
        <v>359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6128</v>
      </c>
      <c r="BV1060" s="2" t="s">
        <v>200</v>
      </c>
      <c r="BW1060" s="2" t="s">
        <v>200</v>
      </c>
      <c r="BX1060" s="2" t="s">
        <v>264</v>
      </c>
      <c r="BY1060" s="2" t="s">
        <v>247</v>
      </c>
      <c r="BZ1060" s="2" t="s">
        <v>212</v>
      </c>
      <c r="CA1060" s="2" t="s">
        <v>2612</v>
      </c>
      <c r="CB1060" s="2" t="s">
        <v>1794</v>
      </c>
      <c r="CC1060" s="2" t="s">
        <v>213</v>
      </c>
      <c r="CD1060" s="2" t="s">
        <v>200</v>
      </c>
      <c r="CE1060" s="4">
        <v>111</v>
      </c>
      <c r="CF1060" s="4">
        <v>46</v>
      </c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/>
      <c r="FJ1060" s="4"/>
      <c r="FK1060" s="4"/>
      <c r="FL1060" s="4"/>
      <c r="FM1060" s="4"/>
      <c r="FN1060" s="4"/>
      <c r="FO1060" s="4"/>
      <c r="FP1060" s="4"/>
      <c r="FQ1060" s="4"/>
      <c r="FR1060" s="4"/>
      <c r="FS1060" s="4"/>
      <c r="FT1060" s="4"/>
      <c r="FU1060" s="4"/>
      <c r="FV1060" s="4"/>
      <c r="FW1060" s="4"/>
      <c r="FX1060" s="4"/>
      <c r="FY1060" s="4"/>
      <c r="FZ1060" s="4"/>
      <c r="GA1060" s="4"/>
      <c r="GB1060" s="4"/>
      <c r="GC1060" s="4"/>
      <c r="GD1060" s="4"/>
      <c r="GE1060" s="4"/>
      <c r="GF1060" s="4"/>
      <c r="GG1060" s="4"/>
      <c r="GH1060" s="4"/>
    </row>
    <row r="1061">
      <c r="A1061" s="2" t="s">
        <v>6129</v>
      </c>
      <c r="B1061" s="2" t="s">
        <v>705</v>
      </c>
      <c r="C1061" s="2" t="s">
        <v>1375</v>
      </c>
      <c r="D1061" s="2" t="s">
        <v>817</v>
      </c>
      <c r="E1061" s="2" t="s">
        <v>818</v>
      </c>
      <c r="F1061" s="2" t="s">
        <v>6130</v>
      </c>
      <c r="G1061" s="2" t="s">
        <v>6130</v>
      </c>
      <c r="H1061" s="2" t="s">
        <v>6130</v>
      </c>
      <c r="I1061" s="2" t="s">
        <v>6131</v>
      </c>
      <c r="J1061" s="2" t="s">
        <v>711</v>
      </c>
      <c r="K1061" s="2" t="s">
        <v>789</v>
      </c>
      <c r="L1061" s="3">
        <v>62</v>
      </c>
      <c r="M1061" s="3">
        <v>65.1</v>
      </c>
      <c r="N1061" s="3">
        <v>129.99</v>
      </c>
      <c r="O1061" s="2" t="s">
        <v>212</v>
      </c>
      <c r="P1061" s="2" t="s">
        <v>750</v>
      </c>
      <c r="Q1061" s="2" t="s">
        <v>206</v>
      </c>
      <c r="R1061" s="2" t="s">
        <v>200</v>
      </c>
      <c r="S1061" s="2" t="s">
        <v>200</v>
      </c>
      <c r="T1061" s="2" t="s">
        <v>200</v>
      </c>
      <c r="U1061" s="2" t="s">
        <v>270</v>
      </c>
      <c r="V1061" s="2" t="s">
        <v>616</v>
      </c>
      <c r="W1061" s="2" t="s">
        <v>241</v>
      </c>
      <c r="X1061" s="2" t="s">
        <v>736</v>
      </c>
      <c r="Y1061" s="2" t="s">
        <v>3021</v>
      </c>
      <c r="Z1061" s="4">
        <v>81</v>
      </c>
      <c r="AA1061" s="4">
        <f>=ROUNDDOWN(162,0)</f>
      </c>
      <c r="AB1061" s="5">
        <v>0.5</v>
      </c>
      <c r="AC1061" s="2" t="s">
        <v>200</v>
      </c>
      <c r="AD1061" s="4"/>
      <c r="AE1061" s="4"/>
      <c r="AF1061" s="6">
        <v>63</v>
      </c>
      <c r="AG1061" s="6"/>
      <c r="AH1061" s="7">
        <v>1</v>
      </c>
      <c r="AI1061" s="4"/>
      <c r="AJ1061" s="4">
        <f>=ROUNDDOWN({0},0)</f>
      </c>
      <c r="AK1061" s="5"/>
      <c r="AL1061" s="2" t="s">
        <v>200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/>
      <c r="AW1061" s="8"/>
      <c r="AX1061" s="4"/>
      <c r="AY1061" s="8"/>
      <c r="AZ1061" s="7"/>
      <c r="BA1061" s="7"/>
      <c r="BB1061" s="7"/>
      <c r="BC1061" s="4" t="s">
        <v>200</v>
      </c>
      <c r="BD1061" s="8" t="s">
        <v>200</v>
      </c>
      <c r="BE1061" s="4" t="s">
        <v>200</v>
      </c>
      <c r="BF1061" s="8" t="s">
        <v>200</v>
      </c>
      <c r="BG1061" s="7" t="s">
        <v>200</v>
      </c>
      <c r="BH1061" s="7" t="s">
        <v>200</v>
      </c>
      <c r="BI1061" s="7"/>
      <c r="BJ1061" s="4">
        <v>4</v>
      </c>
      <c r="BK1061" s="8">
        <v>260.4</v>
      </c>
      <c r="BL1061" s="2" t="s">
        <v>813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6132</v>
      </c>
      <c r="BV1061" s="2" t="s">
        <v>200</v>
      </c>
      <c r="BW1061" s="2" t="s">
        <v>200</v>
      </c>
      <c r="BX1061" s="2" t="s">
        <v>264</v>
      </c>
      <c r="BY1061" s="2" t="s">
        <v>247</v>
      </c>
      <c r="BZ1061" s="2" t="s">
        <v>212</v>
      </c>
      <c r="CA1061" s="2" t="s">
        <v>2373</v>
      </c>
      <c r="CB1061" s="2" t="s">
        <v>200</v>
      </c>
      <c r="CC1061" s="2" t="s">
        <v>213</v>
      </c>
      <c r="CD1061" s="2" t="s">
        <v>200</v>
      </c>
      <c r="CE1061" s="4"/>
      <c r="CF1061" s="4">
        <v>81</v>
      </c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  <c r="GG1061" s="4"/>
      <c r="GH1061" s="4"/>
    </row>
    <row r="1062">
      <c r="A1062" s="2" t="s">
        <v>6133</v>
      </c>
      <c r="B1062" s="2" t="s">
        <v>705</v>
      </c>
      <c r="C1062" s="2" t="s">
        <v>1375</v>
      </c>
      <c r="D1062" s="2" t="s">
        <v>817</v>
      </c>
      <c r="E1062" s="2" t="s">
        <v>818</v>
      </c>
      <c r="F1062" s="2" t="s">
        <v>6130</v>
      </c>
      <c r="G1062" s="2" t="s">
        <v>6130</v>
      </c>
      <c r="H1062" s="2" t="s">
        <v>6130</v>
      </c>
      <c r="I1062" s="2" t="s">
        <v>6131</v>
      </c>
      <c r="J1062" s="2" t="s">
        <v>711</v>
      </c>
      <c r="K1062" s="2" t="s">
        <v>387</v>
      </c>
      <c r="L1062" s="3">
        <v>57</v>
      </c>
      <c r="M1062" s="3">
        <v>59.85</v>
      </c>
      <c r="N1062" s="3">
        <v>119</v>
      </c>
      <c r="O1062" s="2" t="s">
        <v>212</v>
      </c>
      <c r="P1062" s="2" t="s">
        <v>750</v>
      </c>
      <c r="Q1062" s="2" t="s">
        <v>206</v>
      </c>
      <c r="R1062" s="2" t="s">
        <v>200</v>
      </c>
      <c r="S1062" s="2" t="s">
        <v>200</v>
      </c>
      <c r="T1062" s="2" t="s">
        <v>200</v>
      </c>
      <c r="U1062" s="2" t="s">
        <v>270</v>
      </c>
      <c r="V1062" s="2" t="s">
        <v>616</v>
      </c>
      <c r="W1062" s="2" t="s">
        <v>241</v>
      </c>
      <c r="X1062" s="2" t="s">
        <v>736</v>
      </c>
      <c r="Y1062" s="2" t="s">
        <v>1479</v>
      </c>
      <c r="Z1062" s="4">
        <v>38</v>
      </c>
      <c r="AA1062" s="4">
        <f>=ROUNDDOWN(38,0)</f>
      </c>
      <c r="AB1062" s="5">
        <v>1</v>
      </c>
      <c r="AC1062" s="2" t="s">
        <v>200</v>
      </c>
      <c r="AD1062" s="4"/>
      <c r="AE1062" s="4"/>
      <c r="AF1062" s="6">
        <v>63</v>
      </c>
      <c r="AG1062" s="6"/>
      <c r="AH1062" s="7">
        <v>1</v>
      </c>
      <c r="AI1062" s="4"/>
      <c r="AJ1062" s="4">
        <f>=ROUNDDOWN({0},0)</f>
      </c>
      <c r="AK1062" s="5"/>
      <c r="AL1062" s="2" t="s">
        <v>200</v>
      </c>
      <c r="AM1062" s="4"/>
      <c r="AN1062" s="4"/>
      <c r="AO1062" s="7"/>
      <c r="AP1062" s="4"/>
      <c r="AQ1062" s="8"/>
      <c r="AR1062" s="4"/>
      <c r="AS1062" s="8"/>
      <c r="AT1062" s="7"/>
      <c r="AU1062" s="7"/>
      <c r="AV1062" s="4"/>
      <c r="AW1062" s="8"/>
      <c r="AX1062" s="4"/>
      <c r="AY1062" s="8"/>
      <c r="AZ1062" s="7"/>
      <c r="BA1062" s="7"/>
      <c r="BB1062" s="7"/>
      <c r="BC1062" s="4" t="s">
        <v>200</v>
      </c>
      <c r="BD1062" s="8" t="s">
        <v>200</v>
      </c>
      <c r="BE1062" s="4" t="s">
        <v>200</v>
      </c>
      <c r="BF1062" s="8" t="s">
        <v>200</v>
      </c>
      <c r="BG1062" s="7" t="s">
        <v>200</v>
      </c>
      <c r="BH1062" s="7" t="s">
        <v>200</v>
      </c>
      <c r="BI1062" s="7"/>
      <c r="BJ1062" s="4">
        <v>3</v>
      </c>
      <c r="BK1062" s="8">
        <v>193.91</v>
      </c>
      <c r="BL1062" s="2" t="s">
        <v>2183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6134</v>
      </c>
      <c r="BV1062" s="2" t="s">
        <v>200</v>
      </c>
      <c r="BW1062" s="2" t="s">
        <v>200</v>
      </c>
      <c r="BX1062" s="2" t="s">
        <v>264</v>
      </c>
      <c r="BY1062" s="2" t="s">
        <v>247</v>
      </c>
      <c r="BZ1062" s="2" t="s">
        <v>212</v>
      </c>
      <c r="CA1062" s="2" t="s">
        <v>2373</v>
      </c>
      <c r="CB1062" s="2" t="s">
        <v>3977</v>
      </c>
      <c r="CC1062" s="2" t="s">
        <v>213</v>
      </c>
      <c r="CD1062" s="2" t="s">
        <v>200</v>
      </c>
      <c r="CE1062" s="4"/>
      <c r="CF1062" s="4">
        <v>38</v>
      </c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/>
      <c r="FT1062" s="4"/>
      <c r="FU1062" s="4"/>
      <c r="FV1062" s="4"/>
      <c r="FW1062" s="4"/>
      <c r="FX1062" s="4"/>
      <c r="FY1062" s="4"/>
      <c r="FZ1062" s="4"/>
      <c r="GA1062" s="4"/>
      <c r="GB1062" s="4"/>
      <c r="GC1062" s="4"/>
      <c r="GD1062" s="4"/>
      <c r="GE1062" s="4"/>
      <c r="GF1062" s="4"/>
      <c r="GG1062" s="4"/>
      <c r="GH1062" s="4"/>
    </row>
    <row r="1063">
      <c r="A1063" s="2" t="s">
        <v>6135</v>
      </c>
      <c r="B1063" s="2" t="s">
        <v>230</v>
      </c>
      <c r="C1063" s="2" t="s">
        <v>756</v>
      </c>
      <c r="D1063" s="2" t="s">
        <v>232</v>
      </c>
      <c r="E1063" s="2" t="s">
        <v>233</v>
      </c>
      <c r="F1063" s="2" t="s">
        <v>6136</v>
      </c>
      <c r="G1063" s="2" t="s">
        <v>6136</v>
      </c>
      <c r="H1063" s="2" t="s">
        <v>6136</v>
      </c>
      <c r="I1063" s="2" t="s">
        <v>6137</v>
      </c>
      <c r="J1063" s="2" t="s">
        <v>6138</v>
      </c>
      <c r="K1063" s="2" t="s">
        <v>436</v>
      </c>
      <c r="L1063" s="3">
        <v>18.57</v>
      </c>
      <c r="M1063" s="3">
        <v>19.5</v>
      </c>
      <c r="N1063" s="3">
        <v>49.99</v>
      </c>
      <c r="O1063" s="2" t="s">
        <v>212</v>
      </c>
      <c r="P1063" s="2" t="s">
        <v>258</v>
      </c>
      <c r="Q1063" s="2" t="s">
        <v>206</v>
      </c>
      <c r="R1063" s="2" t="s">
        <v>200</v>
      </c>
      <c r="S1063" s="2" t="s">
        <v>200</v>
      </c>
      <c r="T1063" s="2" t="s">
        <v>312</v>
      </c>
      <c r="U1063" s="2" t="s">
        <v>200</v>
      </c>
      <c r="V1063" s="2" t="s">
        <v>208</v>
      </c>
      <c r="W1063" s="2" t="s">
        <v>242</v>
      </c>
      <c r="X1063" s="2" t="s">
        <v>200</v>
      </c>
      <c r="Y1063" s="2" t="s">
        <v>6139</v>
      </c>
      <c r="Z1063" s="4"/>
      <c r="AA1063" s="4">
        <f>=ROUNDDOWN({0},0)</f>
      </c>
      <c r="AB1063" s="5">
        <v>4</v>
      </c>
      <c r="AC1063" s="2" t="s">
        <v>6140</v>
      </c>
      <c r="AD1063" s="4">
        <v>112</v>
      </c>
      <c r="AE1063" s="4">
        <v>112</v>
      </c>
      <c r="AF1063" s="6">
        <v>65</v>
      </c>
      <c r="AG1063" s="6"/>
      <c r="AH1063" s="7">
        <v>0</v>
      </c>
      <c r="AI1063" s="4"/>
      <c r="AJ1063" s="4">
        <f>=ROUNDDOWN({0},0)</f>
      </c>
      <c r="AK1063" s="5"/>
      <c r="AL1063" s="2" t="s">
        <v>200</v>
      </c>
      <c r="AM1063" s="4"/>
      <c r="AN1063" s="4"/>
      <c r="AO1063" s="7"/>
      <c r="AP1063" s="4"/>
      <c r="AQ1063" s="8"/>
      <c r="AR1063" s="4"/>
      <c r="AS1063" s="8"/>
      <c r="AT1063" s="7"/>
      <c r="AU1063" s="7"/>
      <c r="AV1063" s="4"/>
      <c r="AW1063" s="8"/>
      <c r="AX1063" s="4"/>
      <c r="AY1063" s="8"/>
      <c r="AZ1063" s="7"/>
      <c r="BA1063" s="7"/>
      <c r="BB1063" s="7"/>
      <c r="BC1063" s="4" t="s">
        <v>200</v>
      </c>
      <c r="BD1063" s="8" t="s">
        <v>200</v>
      </c>
      <c r="BE1063" s="4" t="s">
        <v>200</v>
      </c>
      <c r="BF1063" s="8" t="s">
        <v>200</v>
      </c>
      <c r="BG1063" s="7" t="s">
        <v>200</v>
      </c>
      <c r="BH1063" s="7" t="s">
        <v>200</v>
      </c>
      <c r="BI1063" s="7"/>
      <c r="BJ1063" s="4"/>
      <c r="BK1063" s="8"/>
      <c r="BL1063" s="2" t="s">
        <v>5618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6141</v>
      </c>
      <c r="BV1063" s="2" t="s">
        <v>200</v>
      </c>
      <c r="BW1063" s="2" t="s">
        <v>200</v>
      </c>
      <c r="BX1063" s="2" t="s">
        <v>264</v>
      </c>
      <c r="BY1063" s="2" t="s">
        <v>247</v>
      </c>
      <c r="BZ1063" s="2" t="s">
        <v>212</v>
      </c>
      <c r="CA1063" s="2" t="s">
        <v>4586</v>
      </c>
      <c r="CB1063" s="2" t="s">
        <v>1003</v>
      </c>
      <c r="CC1063" s="2" t="s">
        <v>213</v>
      </c>
      <c r="CD1063" s="2" t="s">
        <v>200</v>
      </c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>
        <v>112</v>
      </c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/>
      <c r="GG1063" s="4"/>
      <c r="GH1063" s="4"/>
    </row>
    <row r="1064">
      <c r="A1064" s="2" t="s">
        <v>6142</v>
      </c>
      <c r="B1064" s="2" t="s">
        <v>230</v>
      </c>
      <c r="C1064" s="2" t="s">
        <v>756</v>
      </c>
      <c r="D1064" s="2" t="s">
        <v>232</v>
      </c>
      <c r="E1064" s="2" t="s">
        <v>233</v>
      </c>
      <c r="F1064" s="2" t="s">
        <v>6136</v>
      </c>
      <c r="G1064" s="2" t="s">
        <v>6136</v>
      </c>
      <c r="H1064" s="2" t="s">
        <v>6136</v>
      </c>
      <c r="I1064" s="2" t="s">
        <v>6137</v>
      </c>
      <c r="J1064" s="2" t="s">
        <v>302</v>
      </c>
      <c r="K1064" s="2" t="s">
        <v>257</v>
      </c>
      <c r="L1064" s="3">
        <v>22.28</v>
      </c>
      <c r="M1064" s="3">
        <v>23.39</v>
      </c>
      <c r="N1064" s="3">
        <v>59.99</v>
      </c>
      <c r="O1064" s="2" t="s">
        <v>212</v>
      </c>
      <c r="P1064" s="2" t="s">
        <v>258</v>
      </c>
      <c r="Q1064" s="2" t="s">
        <v>206</v>
      </c>
      <c r="R1064" s="2" t="s">
        <v>200</v>
      </c>
      <c r="S1064" s="2" t="s">
        <v>200</v>
      </c>
      <c r="T1064" s="2" t="s">
        <v>312</v>
      </c>
      <c r="U1064" s="2" t="s">
        <v>200</v>
      </c>
      <c r="V1064" s="2" t="s">
        <v>208</v>
      </c>
      <c r="W1064" s="2" t="s">
        <v>242</v>
      </c>
      <c r="X1064" s="2" t="s">
        <v>200</v>
      </c>
      <c r="Y1064" s="2" t="s">
        <v>6139</v>
      </c>
      <c r="Z1064" s="4"/>
      <c r="AA1064" s="4">
        <f>=ROUNDDOWN({0},0)</f>
      </c>
      <c r="AB1064" s="5">
        <v>2.7</v>
      </c>
      <c r="AC1064" s="2" t="s">
        <v>700</v>
      </c>
      <c r="AD1064" s="4">
        <v>32</v>
      </c>
      <c r="AE1064" s="4">
        <v>72</v>
      </c>
      <c r="AF1064" s="6">
        <v>65</v>
      </c>
      <c r="AG1064" s="6"/>
      <c r="AH1064" s="7">
        <v>0</v>
      </c>
      <c r="AI1064" s="4"/>
      <c r="AJ1064" s="4">
        <f>=ROUNDDOWN({0},0)</f>
      </c>
      <c r="AK1064" s="5"/>
      <c r="AL1064" s="2" t="s">
        <v>200</v>
      </c>
      <c r="AM1064" s="4"/>
      <c r="AN1064" s="4"/>
      <c r="AO1064" s="7"/>
      <c r="AP1064" s="4"/>
      <c r="AQ1064" s="8"/>
      <c r="AR1064" s="4"/>
      <c r="AS1064" s="8"/>
      <c r="AT1064" s="7"/>
      <c r="AU1064" s="7"/>
      <c r="AV1064" s="4" t="s">
        <v>200</v>
      </c>
      <c r="AW1064" s="8" t="s">
        <v>200</v>
      </c>
      <c r="AX1064" s="4" t="s">
        <v>200</v>
      </c>
      <c r="AY1064" s="8" t="s">
        <v>200</v>
      </c>
      <c r="AZ1064" s="7" t="s">
        <v>200</v>
      </c>
      <c r="BA1064" s="7" t="s">
        <v>200</v>
      </c>
      <c r="BB1064" s="7"/>
      <c r="BC1064" s="4" t="s">
        <v>200</v>
      </c>
      <c r="BD1064" s="8" t="s">
        <v>200</v>
      </c>
      <c r="BE1064" s="4" t="s">
        <v>200</v>
      </c>
      <c r="BF1064" s="8" t="s">
        <v>200</v>
      </c>
      <c r="BG1064" s="7" t="s">
        <v>200</v>
      </c>
      <c r="BH1064" s="7" t="s">
        <v>200</v>
      </c>
      <c r="BI1064" s="7"/>
      <c r="BJ1064" s="4"/>
      <c r="BK1064" s="8"/>
      <c r="BL1064" s="2" t="s">
        <v>200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6143</v>
      </c>
      <c r="BV1064" s="2" t="s">
        <v>200</v>
      </c>
      <c r="BW1064" s="2" t="s">
        <v>200</v>
      </c>
      <c r="BX1064" s="2" t="s">
        <v>264</v>
      </c>
      <c r="BY1064" s="2" t="s">
        <v>247</v>
      </c>
      <c r="BZ1064" s="2" t="s">
        <v>212</v>
      </c>
      <c r="CA1064" s="2" t="s">
        <v>6144</v>
      </c>
      <c r="CB1064" s="2" t="s">
        <v>861</v>
      </c>
      <c r="CC1064" s="2" t="s">
        <v>213</v>
      </c>
      <c r="CD1064" s="2" t="s">
        <v>200</v>
      </c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>
        <v>32</v>
      </c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>
        <v>40</v>
      </c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/>
      <c r="FB1064" s="4"/>
      <c r="FC1064" s="4"/>
      <c r="FD1064" s="4"/>
      <c r="FE1064" s="4"/>
      <c r="FF1064" s="4"/>
      <c r="FG1064" s="4"/>
      <c r="FH1064" s="4"/>
      <c r="FI1064" s="4"/>
      <c r="FJ1064" s="4"/>
      <c r="FK1064" s="4"/>
      <c r="FL1064" s="4"/>
      <c r="FM1064" s="4"/>
      <c r="FN1064" s="4"/>
      <c r="FO1064" s="4"/>
      <c r="FP1064" s="4"/>
      <c r="FQ1064" s="4"/>
      <c r="FR1064" s="4"/>
      <c r="FS1064" s="4"/>
      <c r="FT1064" s="4"/>
      <c r="FU1064" s="4"/>
      <c r="FV1064" s="4"/>
      <c r="FW1064" s="4"/>
      <c r="FX1064" s="4"/>
      <c r="FY1064" s="4"/>
      <c r="FZ1064" s="4"/>
      <c r="GA1064" s="4"/>
      <c r="GB1064" s="4"/>
      <c r="GC1064" s="4"/>
      <c r="GD1064" s="4"/>
      <c r="GE1064" s="4"/>
      <c r="GF1064" s="4"/>
      <c r="GG1064" s="4"/>
      <c r="GH1064" s="4"/>
    </row>
    <row r="1065">
      <c r="A1065" s="2" t="s">
        <v>6145</v>
      </c>
      <c r="B1065" s="2" t="s">
        <v>230</v>
      </c>
      <c r="C1065" s="2" t="s">
        <v>756</v>
      </c>
      <c r="D1065" s="2" t="s">
        <v>232</v>
      </c>
      <c r="E1065" s="2" t="s">
        <v>233</v>
      </c>
      <c r="F1065" s="2" t="s">
        <v>6136</v>
      </c>
      <c r="G1065" s="2" t="s">
        <v>6136</v>
      </c>
      <c r="H1065" s="2" t="s">
        <v>6136</v>
      </c>
      <c r="I1065" s="2" t="s">
        <v>6137</v>
      </c>
      <c r="J1065" s="2" t="s">
        <v>6138</v>
      </c>
      <c r="K1065" s="2" t="s">
        <v>257</v>
      </c>
      <c r="L1065" s="3">
        <v>18.57</v>
      </c>
      <c r="M1065" s="3">
        <v>19.5</v>
      </c>
      <c r="N1065" s="3">
        <v>49.99</v>
      </c>
      <c r="O1065" s="2" t="s">
        <v>212</v>
      </c>
      <c r="P1065" s="2" t="s">
        <v>258</v>
      </c>
      <c r="Q1065" s="2" t="s">
        <v>206</v>
      </c>
      <c r="R1065" s="2" t="s">
        <v>200</v>
      </c>
      <c r="S1065" s="2" t="s">
        <v>200</v>
      </c>
      <c r="T1065" s="2" t="s">
        <v>312</v>
      </c>
      <c r="U1065" s="2" t="s">
        <v>200</v>
      </c>
      <c r="V1065" s="2" t="s">
        <v>208</v>
      </c>
      <c r="W1065" s="2" t="s">
        <v>242</v>
      </c>
      <c r="X1065" s="2" t="s">
        <v>200</v>
      </c>
      <c r="Y1065" s="2" t="s">
        <v>6139</v>
      </c>
      <c r="Z1065" s="4"/>
      <c r="AA1065" s="4">
        <f>=ROUNDDOWN({0},0)</f>
      </c>
      <c r="AB1065" s="5">
        <v>4</v>
      </c>
      <c r="AC1065" s="2" t="s">
        <v>700</v>
      </c>
      <c r="AD1065" s="4">
        <v>52</v>
      </c>
      <c r="AE1065" s="4">
        <v>124</v>
      </c>
      <c r="AF1065" s="6">
        <v>65</v>
      </c>
      <c r="AG1065" s="6"/>
      <c r="AH1065" s="7">
        <v>0</v>
      </c>
      <c r="AI1065" s="4"/>
      <c r="AJ1065" s="4">
        <f>=ROUNDDOWN({0},0)</f>
      </c>
      <c r="AK1065" s="5"/>
      <c r="AL1065" s="2" t="s">
        <v>200</v>
      </c>
      <c r="AM1065" s="4"/>
      <c r="AN1065" s="4"/>
      <c r="AO1065" s="7"/>
      <c r="AP1065" s="4"/>
      <c r="AQ1065" s="8"/>
      <c r="AR1065" s="4"/>
      <c r="AS1065" s="8"/>
      <c r="AT1065" s="7"/>
      <c r="AU1065" s="7"/>
      <c r="AV1065" s="4" t="s">
        <v>200</v>
      </c>
      <c r="AW1065" s="8" t="s">
        <v>200</v>
      </c>
      <c r="AX1065" s="4" t="s">
        <v>200</v>
      </c>
      <c r="AY1065" s="8" t="s">
        <v>200</v>
      </c>
      <c r="AZ1065" s="7" t="s">
        <v>200</v>
      </c>
      <c r="BA1065" s="7" t="s">
        <v>200</v>
      </c>
      <c r="BB1065" s="7"/>
      <c r="BC1065" s="4" t="s">
        <v>200</v>
      </c>
      <c r="BD1065" s="8" t="s">
        <v>200</v>
      </c>
      <c r="BE1065" s="4" t="s">
        <v>200</v>
      </c>
      <c r="BF1065" s="8" t="s">
        <v>200</v>
      </c>
      <c r="BG1065" s="7" t="s">
        <v>200</v>
      </c>
      <c r="BH1065" s="7" t="s">
        <v>200</v>
      </c>
      <c r="BI1065" s="7"/>
      <c r="BJ1065" s="4">
        <v>1</v>
      </c>
      <c r="BK1065" s="8">
        <v>19.5</v>
      </c>
      <c r="BL1065" s="2" t="s">
        <v>813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6146</v>
      </c>
      <c r="BV1065" s="2" t="s">
        <v>200</v>
      </c>
      <c r="BW1065" s="2" t="s">
        <v>200</v>
      </c>
      <c r="BX1065" s="2" t="s">
        <v>264</v>
      </c>
      <c r="BY1065" s="2" t="s">
        <v>247</v>
      </c>
      <c r="BZ1065" s="2" t="s">
        <v>212</v>
      </c>
      <c r="CA1065" s="2" t="s">
        <v>6043</v>
      </c>
      <c r="CB1065" s="2" t="s">
        <v>6147</v>
      </c>
      <c r="CC1065" s="2" t="s">
        <v>213</v>
      </c>
      <c r="CD1065" s="2" t="s">
        <v>200</v>
      </c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>
        <v>52</v>
      </c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>
        <v>72</v>
      </c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  <c r="GG1065" s="4"/>
      <c r="GH1065" s="4"/>
    </row>
    <row r="1066">
      <c r="A1066" s="2" t="s">
        <v>6148</v>
      </c>
      <c r="B1066" s="2" t="s">
        <v>903</v>
      </c>
      <c r="C1066" s="2" t="s">
        <v>1894</v>
      </c>
      <c r="D1066" s="2" t="s">
        <v>608</v>
      </c>
      <c r="E1066" s="2" t="s">
        <v>1324</v>
      </c>
      <c r="F1066" s="2" t="s">
        <v>6149</v>
      </c>
      <c r="G1066" s="2" t="s">
        <v>6149</v>
      </c>
      <c r="H1066" s="2" t="s">
        <v>6149</v>
      </c>
      <c r="I1066" s="2" t="s">
        <v>6150</v>
      </c>
      <c r="J1066" s="2" t="s">
        <v>612</v>
      </c>
      <c r="K1066" s="2" t="s">
        <v>1214</v>
      </c>
      <c r="L1066" s="3">
        <v>59.42</v>
      </c>
      <c r="M1066" s="3">
        <v>62.4</v>
      </c>
      <c r="N1066" s="3">
        <v>129.99</v>
      </c>
      <c r="O1066" s="2" t="s">
        <v>212</v>
      </c>
      <c r="P1066" s="2" t="s">
        <v>205</v>
      </c>
      <c r="Q1066" s="2" t="s">
        <v>206</v>
      </c>
      <c r="R1066" s="2" t="s">
        <v>200</v>
      </c>
      <c r="S1066" s="2" t="s">
        <v>200</v>
      </c>
      <c r="T1066" s="2" t="s">
        <v>312</v>
      </c>
      <c r="U1066" s="2" t="s">
        <v>454</v>
      </c>
      <c r="V1066" s="2" t="s">
        <v>208</v>
      </c>
      <c r="W1066" s="2" t="s">
        <v>200</v>
      </c>
      <c r="X1066" s="2" t="s">
        <v>200</v>
      </c>
      <c r="Y1066" s="2" t="s">
        <v>200</v>
      </c>
      <c r="Z1066" s="4"/>
      <c r="AA1066" s="4">
        <f>=ROUNDDOWN({0},0)</f>
      </c>
      <c r="AB1066" s="5"/>
      <c r="AC1066" s="2" t="s">
        <v>200</v>
      </c>
      <c r="AD1066" s="4"/>
      <c r="AE1066" s="4"/>
      <c r="AF1066" s="6">
        <v>67</v>
      </c>
      <c r="AG1066" s="6"/>
      <c r="AH1066" s="7"/>
      <c r="AI1066" s="4"/>
      <c r="AJ1066" s="4">
        <f>=ROUNDDOWN({0},0)</f>
      </c>
      <c r="AK1066" s="5"/>
      <c r="AL1066" s="2" t="s">
        <v>200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 t="s">
        <v>200</v>
      </c>
      <c r="AW1066" s="8" t="s">
        <v>200</v>
      </c>
      <c r="AX1066" s="4" t="s">
        <v>200</v>
      </c>
      <c r="AY1066" s="8" t="s">
        <v>200</v>
      </c>
      <c r="AZ1066" s="7" t="s">
        <v>200</v>
      </c>
      <c r="BA1066" s="7" t="s">
        <v>200</v>
      </c>
      <c r="BB1066" s="7" t="s">
        <v>200</v>
      </c>
      <c r="BC1066" s="4" t="s">
        <v>200</v>
      </c>
      <c r="BD1066" s="8" t="s">
        <v>200</v>
      </c>
      <c r="BE1066" s="4" t="s">
        <v>200</v>
      </c>
      <c r="BF1066" s="8" t="s">
        <v>200</v>
      </c>
      <c r="BG1066" s="7" t="s">
        <v>200</v>
      </c>
      <c r="BH1066" s="7" t="s">
        <v>200</v>
      </c>
      <c r="BI1066" s="7"/>
      <c r="BJ1066" s="4"/>
      <c r="BK1066" s="8"/>
      <c r="BL1066" s="2" t="s">
        <v>200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210</v>
      </c>
      <c r="BV1066" s="2" t="s">
        <v>200</v>
      </c>
      <c r="BW1066" s="2" t="s">
        <v>200</v>
      </c>
      <c r="BX1066" s="2" t="s">
        <v>210</v>
      </c>
      <c r="BY1066" s="2" t="s">
        <v>211</v>
      </c>
      <c r="BZ1066" s="2" t="s">
        <v>212</v>
      </c>
      <c r="CA1066" s="2" t="s">
        <v>200</v>
      </c>
      <c r="CB1066" s="2" t="s">
        <v>200</v>
      </c>
      <c r="CC1066" s="2" t="s">
        <v>213</v>
      </c>
      <c r="CD1066" s="2" t="s">
        <v>200</v>
      </c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/>
      <c r="FE1066" s="4"/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/>
      <c r="FR1066" s="4"/>
      <c r="FS1066" s="4"/>
      <c r="FT1066" s="4"/>
      <c r="FU1066" s="4"/>
      <c r="FV1066" s="4"/>
      <c r="FW1066" s="4"/>
      <c r="FX1066" s="4"/>
      <c r="FY1066" s="4"/>
      <c r="FZ1066" s="4"/>
      <c r="GA1066" s="4"/>
      <c r="GB1066" s="4"/>
      <c r="GC1066" s="4"/>
      <c r="GD1066" s="4"/>
      <c r="GE1066" s="4"/>
      <c r="GF1066" s="4"/>
      <c r="GG1066" s="4"/>
      <c r="GH1066" s="4"/>
    </row>
    <row r="1067">
      <c r="A1067" s="2" t="s">
        <v>6151</v>
      </c>
      <c r="B1067" s="2" t="s">
        <v>903</v>
      </c>
      <c r="C1067" s="2" t="s">
        <v>1894</v>
      </c>
      <c r="D1067" s="2" t="s">
        <v>918</v>
      </c>
      <c r="E1067" s="2" t="s">
        <v>919</v>
      </c>
      <c r="F1067" s="2" t="s">
        <v>6149</v>
      </c>
      <c r="G1067" s="2" t="s">
        <v>6149</v>
      </c>
      <c r="H1067" s="2" t="s">
        <v>6149</v>
      </c>
      <c r="I1067" s="2" t="s">
        <v>6152</v>
      </c>
      <c r="J1067" s="2" t="s">
        <v>612</v>
      </c>
      <c r="K1067" s="2" t="s">
        <v>1214</v>
      </c>
      <c r="L1067" s="3">
        <v>45.71</v>
      </c>
      <c r="M1067" s="3">
        <v>48</v>
      </c>
      <c r="N1067" s="3">
        <v>99.99</v>
      </c>
      <c r="O1067" s="2" t="s">
        <v>212</v>
      </c>
      <c r="P1067" s="2" t="s">
        <v>205</v>
      </c>
      <c r="Q1067" s="2" t="s">
        <v>206</v>
      </c>
      <c r="R1067" s="2" t="s">
        <v>200</v>
      </c>
      <c r="S1067" s="2" t="s">
        <v>200</v>
      </c>
      <c r="T1067" s="2" t="s">
        <v>312</v>
      </c>
      <c r="U1067" s="2" t="s">
        <v>454</v>
      </c>
      <c r="V1067" s="2" t="s">
        <v>208</v>
      </c>
      <c r="W1067" s="2" t="s">
        <v>200</v>
      </c>
      <c r="X1067" s="2" t="s">
        <v>200</v>
      </c>
      <c r="Y1067" s="2" t="s">
        <v>200</v>
      </c>
      <c r="Z1067" s="4"/>
      <c r="AA1067" s="4">
        <f>=ROUNDDOWN({0},0)</f>
      </c>
      <c r="AB1067" s="5"/>
      <c r="AC1067" s="2" t="s">
        <v>200</v>
      </c>
      <c r="AD1067" s="4"/>
      <c r="AE1067" s="4"/>
      <c r="AF1067" s="6">
        <v>67</v>
      </c>
      <c r="AG1067" s="6"/>
      <c r="AH1067" s="7"/>
      <c r="AI1067" s="4"/>
      <c r="AJ1067" s="4">
        <f>=ROUNDDOWN({0},0)</f>
      </c>
      <c r="AK1067" s="5"/>
      <c r="AL1067" s="2" t="s">
        <v>200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 t="s">
        <v>200</v>
      </c>
      <c r="AW1067" s="8" t="s">
        <v>200</v>
      </c>
      <c r="AX1067" s="4" t="s">
        <v>200</v>
      </c>
      <c r="AY1067" s="8" t="s">
        <v>200</v>
      </c>
      <c r="AZ1067" s="7" t="s">
        <v>200</v>
      </c>
      <c r="BA1067" s="7" t="s">
        <v>200</v>
      </c>
      <c r="BB1067" s="7" t="s">
        <v>200</v>
      </c>
      <c r="BC1067" s="4" t="s">
        <v>200</v>
      </c>
      <c r="BD1067" s="8" t="s">
        <v>200</v>
      </c>
      <c r="BE1067" s="4" t="s">
        <v>200</v>
      </c>
      <c r="BF1067" s="8" t="s">
        <v>200</v>
      </c>
      <c r="BG1067" s="7" t="s">
        <v>200</v>
      </c>
      <c r="BH1067" s="7" t="s">
        <v>200</v>
      </c>
      <c r="BI1067" s="7"/>
      <c r="BJ1067" s="4"/>
      <c r="BK1067" s="8"/>
      <c r="BL1067" s="2" t="s">
        <v>200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210</v>
      </c>
      <c r="BV1067" s="2" t="s">
        <v>200</v>
      </c>
      <c r="BW1067" s="2" t="s">
        <v>200</v>
      </c>
      <c r="BX1067" s="2" t="s">
        <v>210</v>
      </c>
      <c r="BY1067" s="2" t="s">
        <v>211</v>
      </c>
      <c r="BZ1067" s="2" t="s">
        <v>212</v>
      </c>
      <c r="CA1067" s="2" t="s">
        <v>200</v>
      </c>
      <c r="CB1067" s="2" t="s">
        <v>200</v>
      </c>
      <c r="CC1067" s="2" t="s">
        <v>213</v>
      </c>
      <c r="CD1067" s="2" t="s">
        <v>200</v>
      </c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  <c r="GG1067" s="4"/>
      <c r="GH1067" s="4"/>
    </row>
    <row r="1068">
      <c r="A1068" s="2" t="s">
        <v>6153</v>
      </c>
      <c r="B1068" s="2" t="s">
        <v>903</v>
      </c>
      <c r="C1068" s="2" t="s">
        <v>1894</v>
      </c>
      <c r="D1068" s="2" t="s">
        <v>608</v>
      </c>
      <c r="E1068" s="2" t="s">
        <v>1324</v>
      </c>
      <c r="F1068" s="2" t="s">
        <v>6149</v>
      </c>
      <c r="G1068" s="2" t="s">
        <v>6149</v>
      </c>
      <c r="H1068" s="2" t="s">
        <v>6149</v>
      </c>
      <c r="I1068" s="2" t="s">
        <v>6150</v>
      </c>
      <c r="J1068" s="2" t="s">
        <v>924</v>
      </c>
      <c r="K1068" s="2" t="s">
        <v>1214</v>
      </c>
      <c r="L1068" s="3">
        <v>68.57</v>
      </c>
      <c r="M1068" s="3">
        <v>72</v>
      </c>
      <c r="N1068" s="3">
        <v>149.99</v>
      </c>
      <c r="O1068" s="2" t="s">
        <v>212</v>
      </c>
      <c r="P1068" s="2" t="s">
        <v>205</v>
      </c>
      <c r="Q1068" s="2" t="s">
        <v>206</v>
      </c>
      <c r="R1068" s="2" t="s">
        <v>200</v>
      </c>
      <c r="S1068" s="2" t="s">
        <v>200</v>
      </c>
      <c r="T1068" s="2" t="s">
        <v>312</v>
      </c>
      <c r="U1068" s="2" t="s">
        <v>454</v>
      </c>
      <c r="V1068" s="2" t="s">
        <v>208</v>
      </c>
      <c r="W1068" s="2" t="s">
        <v>200</v>
      </c>
      <c r="X1068" s="2" t="s">
        <v>200</v>
      </c>
      <c r="Y1068" s="2" t="s">
        <v>200</v>
      </c>
      <c r="Z1068" s="4"/>
      <c r="AA1068" s="4">
        <f>=ROUNDDOWN({0},0)</f>
      </c>
      <c r="AB1068" s="5"/>
      <c r="AC1068" s="2" t="s">
        <v>200</v>
      </c>
      <c r="AD1068" s="4"/>
      <c r="AE1068" s="4"/>
      <c r="AF1068" s="6">
        <v>67</v>
      </c>
      <c r="AG1068" s="6"/>
      <c r="AH1068" s="7"/>
      <c r="AI1068" s="4"/>
      <c r="AJ1068" s="4">
        <f>=ROUNDDOWN({0},0)</f>
      </c>
      <c r="AK1068" s="5"/>
      <c r="AL1068" s="2" t="s">
        <v>200</v>
      </c>
      <c r="AM1068" s="4"/>
      <c r="AN1068" s="4"/>
      <c r="AO1068" s="7"/>
      <c r="AP1068" s="4"/>
      <c r="AQ1068" s="8"/>
      <c r="AR1068" s="4"/>
      <c r="AS1068" s="8"/>
      <c r="AT1068" s="7"/>
      <c r="AU1068" s="7"/>
      <c r="AV1068" s="4" t="s">
        <v>200</v>
      </c>
      <c r="AW1068" s="8" t="s">
        <v>200</v>
      </c>
      <c r="AX1068" s="4" t="s">
        <v>200</v>
      </c>
      <c r="AY1068" s="8" t="s">
        <v>200</v>
      </c>
      <c r="AZ1068" s="7" t="s">
        <v>200</v>
      </c>
      <c r="BA1068" s="7" t="s">
        <v>200</v>
      </c>
      <c r="BB1068" s="7" t="s">
        <v>200</v>
      </c>
      <c r="BC1068" s="4" t="s">
        <v>200</v>
      </c>
      <c r="BD1068" s="8" t="s">
        <v>200</v>
      </c>
      <c r="BE1068" s="4" t="s">
        <v>200</v>
      </c>
      <c r="BF1068" s="8" t="s">
        <v>200</v>
      </c>
      <c r="BG1068" s="7" t="s">
        <v>200</v>
      </c>
      <c r="BH1068" s="7" t="s">
        <v>200</v>
      </c>
      <c r="BI1068" s="7"/>
      <c r="BJ1068" s="4"/>
      <c r="BK1068" s="8"/>
      <c r="BL1068" s="2" t="s">
        <v>200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210</v>
      </c>
      <c r="BV1068" s="2" t="s">
        <v>200</v>
      </c>
      <c r="BW1068" s="2" t="s">
        <v>200</v>
      </c>
      <c r="BX1068" s="2" t="s">
        <v>210</v>
      </c>
      <c r="BY1068" s="2" t="s">
        <v>211</v>
      </c>
      <c r="BZ1068" s="2" t="s">
        <v>212</v>
      </c>
      <c r="CA1068" s="2" t="s">
        <v>200</v>
      </c>
      <c r="CB1068" s="2" t="s">
        <v>200</v>
      </c>
      <c r="CC1068" s="2" t="s">
        <v>213</v>
      </c>
      <c r="CD1068" s="2" t="s">
        <v>200</v>
      </c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/>
      <c r="FE1068" s="4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/>
      <c r="FW1068" s="4"/>
      <c r="FX1068" s="4"/>
      <c r="FY1068" s="4"/>
      <c r="FZ1068" s="4"/>
      <c r="GA1068" s="4"/>
      <c r="GB1068" s="4"/>
      <c r="GC1068" s="4"/>
      <c r="GD1068" s="4"/>
      <c r="GE1068" s="4"/>
      <c r="GF1068" s="4"/>
      <c r="GG1068" s="4"/>
      <c r="GH1068" s="4"/>
    </row>
    <row r="1069">
      <c r="A1069" s="2" t="s">
        <v>6154</v>
      </c>
      <c r="B1069" s="2" t="s">
        <v>903</v>
      </c>
      <c r="C1069" s="2" t="s">
        <v>1894</v>
      </c>
      <c r="D1069" s="2" t="s">
        <v>918</v>
      </c>
      <c r="E1069" s="2" t="s">
        <v>919</v>
      </c>
      <c r="F1069" s="2" t="s">
        <v>6149</v>
      </c>
      <c r="G1069" s="2" t="s">
        <v>6149</v>
      </c>
      <c r="H1069" s="2" t="s">
        <v>6149</v>
      </c>
      <c r="I1069" s="2" t="s">
        <v>6152</v>
      </c>
      <c r="J1069" s="2" t="s">
        <v>924</v>
      </c>
      <c r="K1069" s="2" t="s">
        <v>1214</v>
      </c>
      <c r="L1069" s="3">
        <v>54.85</v>
      </c>
      <c r="M1069" s="3">
        <v>57.6</v>
      </c>
      <c r="N1069" s="3">
        <v>119.99</v>
      </c>
      <c r="O1069" s="2" t="s">
        <v>212</v>
      </c>
      <c r="P1069" s="2" t="s">
        <v>205</v>
      </c>
      <c r="Q1069" s="2" t="s">
        <v>206</v>
      </c>
      <c r="R1069" s="2" t="s">
        <v>200</v>
      </c>
      <c r="S1069" s="2" t="s">
        <v>200</v>
      </c>
      <c r="T1069" s="2" t="s">
        <v>312</v>
      </c>
      <c r="U1069" s="2" t="s">
        <v>454</v>
      </c>
      <c r="V1069" s="2" t="s">
        <v>208</v>
      </c>
      <c r="W1069" s="2" t="s">
        <v>200</v>
      </c>
      <c r="X1069" s="2" t="s">
        <v>200</v>
      </c>
      <c r="Y1069" s="2" t="s">
        <v>200</v>
      </c>
      <c r="Z1069" s="4"/>
      <c r="AA1069" s="4">
        <f>=ROUNDDOWN({0},0)</f>
      </c>
      <c r="AB1069" s="5"/>
      <c r="AC1069" s="2" t="s">
        <v>200</v>
      </c>
      <c r="AD1069" s="4"/>
      <c r="AE1069" s="4"/>
      <c r="AF1069" s="6">
        <v>67</v>
      </c>
      <c r="AG1069" s="6"/>
      <c r="AH1069" s="7"/>
      <c r="AI1069" s="4"/>
      <c r="AJ1069" s="4">
        <f>=ROUNDDOWN({0},0)</f>
      </c>
      <c r="AK1069" s="5"/>
      <c r="AL1069" s="2" t="s">
        <v>200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 t="s">
        <v>200</v>
      </c>
      <c r="AW1069" s="8" t="s">
        <v>200</v>
      </c>
      <c r="AX1069" s="4" t="s">
        <v>200</v>
      </c>
      <c r="AY1069" s="8" t="s">
        <v>200</v>
      </c>
      <c r="AZ1069" s="7" t="s">
        <v>200</v>
      </c>
      <c r="BA1069" s="7" t="s">
        <v>200</v>
      </c>
      <c r="BB1069" s="7" t="s">
        <v>200</v>
      </c>
      <c r="BC1069" s="4" t="s">
        <v>200</v>
      </c>
      <c r="BD1069" s="8" t="s">
        <v>200</v>
      </c>
      <c r="BE1069" s="4" t="s">
        <v>200</v>
      </c>
      <c r="BF1069" s="8" t="s">
        <v>200</v>
      </c>
      <c r="BG1069" s="7" t="s">
        <v>200</v>
      </c>
      <c r="BH1069" s="7" t="s">
        <v>200</v>
      </c>
      <c r="BI1069" s="7"/>
      <c r="BJ1069" s="4"/>
      <c r="BK1069" s="8"/>
      <c r="BL1069" s="2" t="s">
        <v>200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210</v>
      </c>
      <c r="BV1069" s="2" t="s">
        <v>200</v>
      </c>
      <c r="BW1069" s="2" t="s">
        <v>200</v>
      </c>
      <c r="BX1069" s="2" t="s">
        <v>210</v>
      </c>
      <c r="BY1069" s="2" t="s">
        <v>211</v>
      </c>
      <c r="BZ1069" s="2" t="s">
        <v>212</v>
      </c>
      <c r="CA1069" s="2" t="s">
        <v>200</v>
      </c>
      <c r="CB1069" s="2" t="s">
        <v>200</v>
      </c>
      <c r="CC1069" s="2" t="s">
        <v>213</v>
      </c>
      <c r="CD1069" s="2" t="s">
        <v>200</v>
      </c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/>
      <c r="GG1069" s="4"/>
      <c r="GH1069" s="4"/>
    </row>
    <row r="1070">
      <c r="A1070" s="2" t="s">
        <v>6155</v>
      </c>
      <c r="B1070" s="2" t="s">
        <v>903</v>
      </c>
      <c r="C1070" s="2" t="s">
        <v>1894</v>
      </c>
      <c r="D1070" s="2" t="s">
        <v>608</v>
      </c>
      <c r="E1070" s="2" t="s">
        <v>1324</v>
      </c>
      <c r="F1070" s="2" t="s">
        <v>6149</v>
      </c>
      <c r="G1070" s="2" t="s">
        <v>6149</v>
      </c>
      <c r="H1070" s="2" t="s">
        <v>6149</v>
      </c>
      <c r="I1070" s="2" t="s">
        <v>6150</v>
      </c>
      <c r="J1070" s="2" t="s">
        <v>612</v>
      </c>
      <c r="K1070" s="2" t="s">
        <v>416</v>
      </c>
      <c r="L1070" s="3">
        <v>59.42</v>
      </c>
      <c r="M1070" s="3">
        <v>62.4</v>
      </c>
      <c r="N1070" s="3">
        <v>129.99</v>
      </c>
      <c r="O1070" s="2" t="s">
        <v>212</v>
      </c>
      <c r="P1070" s="2" t="s">
        <v>205</v>
      </c>
      <c r="Q1070" s="2" t="s">
        <v>206</v>
      </c>
      <c r="R1070" s="2" t="s">
        <v>200</v>
      </c>
      <c r="S1070" s="2" t="s">
        <v>200</v>
      </c>
      <c r="T1070" s="2" t="s">
        <v>312</v>
      </c>
      <c r="U1070" s="2" t="s">
        <v>454</v>
      </c>
      <c r="V1070" s="2" t="s">
        <v>208</v>
      </c>
      <c r="W1070" s="2" t="s">
        <v>200</v>
      </c>
      <c r="X1070" s="2" t="s">
        <v>200</v>
      </c>
      <c r="Y1070" s="2" t="s">
        <v>200</v>
      </c>
      <c r="Z1070" s="4"/>
      <c r="AA1070" s="4">
        <f>=ROUNDDOWN({0},0)</f>
      </c>
      <c r="AB1070" s="5"/>
      <c r="AC1070" s="2" t="s">
        <v>200</v>
      </c>
      <c r="AD1070" s="4"/>
      <c r="AE1070" s="4"/>
      <c r="AF1070" s="6">
        <v>67</v>
      </c>
      <c r="AG1070" s="6"/>
      <c r="AH1070" s="7"/>
      <c r="AI1070" s="4"/>
      <c r="AJ1070" s="4">
        <f>=ROUNDDOWN({0},0)</f>
      </c>
      <c r="AK1070" s="5"/>
      <c r="AL1070" s="2" t="s">
        <v>200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 t="s">
        <v>200</v>
      </c>
      <c r="AW1070" s="8" t="s">
        <v>200</v>
      </c>
      <c r="AX1070" s="4" t="s">
        <v>200</v>
      </c>
      <c r="AY1070" s="8" t="s">
        <v>200</v>
      </c>
      <c r="AZ1070" s="7" t="s">
        <v>200</v>
      </c>
      <c r="BA1070" s="7" t="s">
        <v>200</v>
      </c>
      <c r="BB1070" s="7" t="s">
        <v>200</v>
      </c>
      <c r="BC1070" s="4" t="s">
        <v>200</v>
      </c>
      <c r="BD1070" s="8" t="s">
        <v>200</v>
      </c>
      <c r="BE1070" s="4" t="s">
        <v>200</v>
      </c>
      <c r="BF1070" s="8" t="s">
        <v>200</v>
      </c>
      <c r="BG1070" s="7" t="s">
        <v>200</v>
      </c>
      <c r="BH1070" s="7" t="s">
        <v>200</v>
      </c>
      <c r="BI1070" s="7"/>
      <c r="BJ1070" s="4"/>
      <c r="BK1070" s="8"/>
      <c r="BL1070" s="2" t="s">
        <v>200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210</v>
      </c>
      <c r="BV1070" s="2" t="s">
        <v>200</v>
      </c>
      <c r="BW1070" s="2" t="s">
        <v>200</v>
      </c>
      <c r="BX1070" s="2" t="s">
        <v>210</v>
      </c>
      <c r="BY1070" s="2" t="s">
        <v>211</v>
      </c>
      <c r="BZ1070" s="2" t="s">
        <v>212</v>
      </c>
      <c r="CA1070" s="2" t="s">
        <v>200</v>
      </c>
      <c r="CB1070" s="2" t="s">
        <v>200</v>
      </c>
      <c r="CC1070" s="2" t="s">
        <v>213</v>
      </c>
      <c r="CD1070" s="2" t="s">
        <v>200</v>
      </c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  <c r="GG1070" s="4"/>
      <c r="GH1070" s="4"/>
    </row>
    <row r="1071">
      <c r="A1071" s="2" t="s">
        <v>6156</v>
      </c>
      <c r="B1071" s="2" t="s">
        <v>903</v>
      </c>
      <c r="C1071" s="2" t="s">
        <v>1894</v>
      </c>
      <c r="D1071" s="2" t="s">
        <v>918</v>
      </c>
      <c r="E1071" s="2" t="s">
        <v>919</v>
      </c>
      <c r="F1071" s="2" t="s">
        <v>6149</v>
      </c>
      <c r="G1071" s="2" t="s">
        <v>6149</v>
      </c>
      <c r="H1071" s="2" t="s">
        <v>6149</v>
      </c>
      <c r="I1071" s="2" t="s">
        <v>6152</v>
      </c>
      <c r="J1071" s="2" t="s">
        <v>612</v>
      </c>
      <c r="K1071" s="2" t="s">
        <v>416</v>
      </c>
      <c r="L1071" s="3">
        <v>45.71</v>
      </c>
      <c r="M1071" s="3">
        <v>48</v>
      </c>
      <c r="N1071" s="3">
        <v>99.99</v>
      </c>
      <c r="O1071" s="2" t="s">
        <v>212</v>
      </c>
      <c r="P1071" s="2" t="s">
        <v>205</v>
      </c>
      <c r="Q1071" s="2" t="s">
        <v>206</v>
      </c>
      <c r="R1071" s="2" t="s">
        <v>200</v>
      </c>
      <c r="S1071" s="2" t="s">
        <v>200</v>
      </c>
      <c r="T1071" s="2" t="s">
        <v>312</v>
      </c>
      <c r="U1071" s="2" t="s">
        <v>454</v>
      </c>
      <c r="V1071" s="2" t="s">
        <v>208</v>
      </c>
      <c r="W1071" s="2" t="s">
        <v>200</v>
      </c>
      <c r="X1071" s="2" t="s">
        <v>200</v>
      </c>
      <c r="Y1071" s="2" t="s">
        <v>200</v>
      </c>
      <c r="Z1071" s="4"/>
      <c r="AA1071" s="4">
        <f>=ROUNDDOWN({0},0)</f>
      </c>
      <c r="AB1071" s="5"/>
      <c r="AC1071" s="2" t="s">
        <v>200</v>
      </c>
      <c r="AD1071" s="4"/>
      <c r="AE1071" s="4"/>
      <c r="AF1071" s="6">
        <v>67</v>
      </c>
      <c r="AG1071" s="6"/>
      <c r="AH1071" s="7"/>
      <c r="AI1071" s="4"/>
      <c r="AJ1071" s="4">
        <f>=ROUNDDOWN({0},0)</f>
      </c>
      <c r="AK1071" s="5"/>
      <c r="AL1071" s="2" t="s">
        <v>200</v>
      </c>
      <c r="AM1071" s="4"/>
      <c r="AN1071" s="4"/>
      <c r="AO1071" s="7"/>
      <c r="AP1071" s="4"/>
      <c r="AQ1071" s="8"/>
      <c r="AR1071" s="4"/>
      <c r="AS1071" s="8"/>
      <c r="AT1071" s="7"/>
      <c r="AU1071" s="7"/>
      <c r="AV1071" s="4" t="s">
        <v>200</v>
      </c>
      <c r="AW1071" s="8" t="s">
        <v>200</v>
      </c>
      <c r="AX1071" s="4" t="s">
        <v>200</v>
      </c>
      <c r="AY1071" s="8" t="s">
        <v>200</v>
      </c>
      <c r="AZ1071" s="7" t="s">
        <v>200</v>
      </c>
      <c r="BA1071" s="7" t="s">
        <v>200</v>
      </c>
      <c r="BB1071" s="7" t="s">
        <v>200</v>
      </c>
      <c r="BC1071" s="4" t="s">
        <v>200</v>
      </c>
      <c r="BD1071" s="8" t="s">
        <v>200</v>
      </c>
      <c r="BE1071" s="4" t="s">
        <v>200</v>
      </c>
      <c r="BF1071" s="8" t="s">
        <v>200</v>
      </c>
      <c r="BG1071" s="7" t="s">
        <v>200</v>
      </c>
      <c r="BH1071" s="7" t="s">
        <v>200</v>
      </c>
      <c r="BI1071" s="7"/>
      <c r="BJ1071" s="4"/>
      <c r="BK1071" s="8"/>
      <c r="BL1071" s="2" t="s">
        <v>200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210</v>
      </c>
      <c r="BV1071" s="2" t="s">
        <v>200</v>
      </c>
      <c r="BW1071" s="2" t="s">
        <v>200</v>
      </c>
      <c r="BX1071" s="2" t="s">
        <v>210</v>
      </c>
      <c r="BY1071" s="2" t="s">
        <v>211</v>
      </c>
      <c r="BZ1071" s="2" t="s">
        <v>212</v>
      </c>
      <c r="CA1071" s="2" t="s">
        <v>200</v>
      </c>
      <c r="CB1071" s="2" t="s">
        <v>200</v>
      </c>
      <c r="CC1071" s="2" t="s">
        <v>213</v>
      </c>
      <c r="CD1071" s="2" t="s">
        <v>200</v>
      </c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4"/>
      <c r="FE1071" s="4"/>
      <c r="FF1071" s="4"/>
      <c r="FG1071" s="4"/>
      <c r="FH1071" s="4"/>
      <c r="FI1071" s="4"/>
      <c r="FJ1071" s="4"/>
      <c r="FK1071" s="4"/>
      <c r="FL1071" s="4"/>
      <c r="FM1071" s="4"/>
      <c r="FN1071" s="4"/>
      <c r="FO1071" s="4"/>
      <c r="FP1071" s="4"/>
      <c r="FQ1071" s="4"/>
      <c r="FR1071" s="4"/>
      <c r="FS1071" s="4"/>
      <c r="FT1071" s="4"/>
      <c r="FU1071" s="4"/>
      <c r="FV1071" s="4"/>
      <c r="FW1071" s="4"/>
      <c r="FX1071" s="4"/>
      <c r="FY1071" s="4"/>
      <c r="FZ1071" s="4"/>
      <c r="GA1071" s="4"/>
      <c r="GB1071" s="4"/>
      <c r="GC1071" s="4"/>
      <c r="GD1071" s="4"/>
      <c r="GE1071" s="4"/>
      <c r="GF1071" s="4"/>
      <c r="GG1071" s="4"/>
      <c r="GH1071" s="4"/>
    </row>
    <row r="1072">
      <c r="A1072" s="2" t="s">
        <v>6157</v>
      </c>
      <c r="B1072" s="2" t="s">
        <v>903</v>
      </c>
      <c r="C1072" s="2" t="s">
        <v>1894</v>
      </c>
      <c r="D1072" s="2" t="s">
        <v>608</v>
      </c>
      <c r="E1072" s="2" t="s">
        <v>1324</v>
      </c>
      <c r="F1072" s="2" t="s">
        <v>6149</v>
      </c>
      <c r="G1072" s="2" t="s">
        <v>6149</v>
      </c>
      <c r="H1072" s="2" t="s">
        <v>6149</v>
      </c>
      <c r="I1072" s="2" t="s">
        <v>6150</v>
      </c>
      <c r="J1072" s="2" t="s">
        <v>924</v>
      </c>
      <c r="K1072" s="2" t="s">
        <v>416</v>
      </c>
      <c r="L1072" s="3">
        <v>68.57</v>
      </c>
      <c r="M1072" s="3">
        <v>72</v>
      </c>
      <c r="N1072" s="3">
        <v>149.99</v>
      </c>
      <c r="O1072" s="2" t="s">
        <v>212</v>
      </c>
      <c r="P1072" s="2" t="s">
        <v>205</v>
      </c>
      <c r="Q1072" s="2" t="s">
        <v>206</v>
      </c>
      <c r="R1072" s="2" t="s">
        <v>200</v>
      </c>
      <c r="S1072" s="2" t="s">
        <v>200</v>
      </c>
      <c r="T1072" s="2" t="s">
        <v>312</v>
      </c>
      <c r="U1072" s="2" t="s">
        <v>454</v>
      </c>
      <c r="V1072" s="2" t="s">
        <v>208</v>
      </c>
      <c r="W1072" s="2" t="s">
        <v>200</v>
      </c>
      <c r="X1072" s="2" t="s">
        <v>200</v>
      </c>
      <c r="Y1072" s="2" t="s">
        <v>200</v>
      </c>
      <c r="Z1072" s="4"/>
      <c r="AA1072" s="4">
        <f>=ROUNDDOWN({0},0)</f>
      </c>
      <c r="AB1072" s="5"/>
      <c r="AC1072" s="2" t="s">
        <v>200</v>
      </c>
      <c r="AD1072" s="4"/>
      <c r="AE1072" s="4"/>
      <c r="AF1072" s="6">
        <v>67</v>
      </c>
      <c r="AG1072" s="6"/>
      <c r="AH1072" s="7"/>
      <c r="AI1072" s="4"/>
      <c r="AJ1072" s="4">
        <f>=ROUNDDOWN({0},0)</f>
      </c>
      <c r="AK1072" s="5"/>
      <c r="AL1072" s="2" t="s">
        <v>200</v>
      </c>
      <c r="AM1072" s="4"/>
      <c r="AN1072" s="4"/>
      <c r="AO1072" s="7"/>
      <c r="AP1072" s="4"/>
      <c r="AQ1072" s="8"/>
      <c r="AR1072" s="4"/>
      <c r="AS1072" s="8"/>
      <c r="AT1072" s="7"/>
      <c r="AU1072" s="7"/>
      <c r="AV1072" s="4" t="s">
        <v>200</v>
      </c>
      <c r="AW1072" s="8" t="s">
        <v>200</v>
      </c>
      <c r="AX1072" s="4" t="s">
        <v>200</v>
      </c>
      <c r="AY1072" s="8" t="s">
        <v>200</v>
      </c>
      <c r="AZ1072" s="7" t="s">
        <v>200</v>
      </c>
      <c r="BA1072" s="7" t="s">
        <v>200</v>
      </c>
      <c r="BB1072" s="7" t="s">
        <v>200</v>
      </c>
      <c r="BC1072" s="4" t="s">
        <v>200</v>
      </c>
      <c r="BD1072" s="8" t="s">
        <v>200</v>
      </c>
      <c r="BE1072" s="4" t="s">
        <v>200</v>
      </c>
      <c r="BF1072" s="8" t="s">
        <v>200</v>
      </c>
      <c r="BG1072" s="7" t="s">
        <v>200</v>
      </c>
      <c r="BH1072" s="7" t="s">
        <v>200</v>
      </c>
      <c r="BI1072" s="7"/>
      <c r="BJ1072" s="4"/>
      <c r="BK1072" s="8"/>
      <c r="BL1072" s="2" t="s">
        <v>200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210</v>
      </c>
      <c r="BV1072" s="2" t="s">
        <v>200</v>
      </c>
      <c r="BW1072" s="2" t="s">
        <v>200</v>
      </c>
      <c r="BX1072" s="2" t="s">
        <v>210</v>
      </c>
      <c r="BY1072" s="2" t="s">
        <v>211</v>
      </c>
      <c r="BZ1072" s="2" t="s">
        <v>212</v>
      </c>
      <c r="CA1072" s="2" t="s">
        <v>200</v>
      </c>
      <c r="CB1072" s="2" t="s">
        <v>200</v>
      </c>
      <c r="CC1072" s="2" t="s">
        <v>213</v>
      </c>
      <c r="CD1072" s="2" t="s">
        <v>200</v>
      </c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/>
      <c r="GG1072" s="4"/>
      <c r="GH1072" s="4"/>
    </row>
    <row r="1073">
      <c r="A1073" s="2" t="s">
        <v>6158</v>
      </c>
      <c r="B1073" s="2" t="s">
        <v>903</v>
      </c>
      <c r="C1073" s="2" t="s">
        <v>1894</v>
      </c>
      <c r="D1073" s="2" t="s">
        <v>918</v>
      </c>
      <c r="E1073" s="2" t="s">
        <v>919</v>
      </c>
      <c r="F1073" s="2" t="s">
        <v>6149</v>
      </c>
      <c r="G1073" s="2" t="s">
        <v>6149</v>
      </c>
      <c r="H1073" s="2" t="s">
        <v>6149</v>
      </c>
      <c r="I1073" s="2" t="s">
        <v>6152</v>
      </c>
      <c r="J1073" s="2" t="s">
        <v>924</v>
      </c>
      <c r="K1073" s="2" t="s">
        <v>416</v>
      </c>
      <c r="L1073" s="3">
        <v>54.85</v>
      </c>
      <c r="M1073" s="3">
        <v>57.6</v>
      </c>
      <c r="N1073" s="3">
        <v>119.99</v>
      </c>
      <c r="O1073" s="2" t="s">
        <v>212</v>
      </c>
      <c r="P1073" s="2" t="s">
        <v>205</v>
      </c>
      <c r="Q1073" s="2" t="s">
        <v>206</v>
      </c>
      <c r="R1073" s="2" t="s">
        <v>200</v>
      </c>
      <c r="S1073" s="2" t="s">
        <v>200</v>
      </c>
      <c r="T1073" s="2" t="s">
        <v>312</v>
      </c>
      <c r="U1073" s="2" t="s">
        <v>454</v>
      </c>
      <c r="V1073" s="2" t="s">
        <v>208</v>
      </c>
      <c r="W1073" s="2" t="s">
        <v>200</v>
      </c>
      <c r="X1073" s="2" t="s">
        <v>200</v>
      </c>
      <c r="Y1073" s="2" t="s">
        <v>200</v>
      </c>
      <c r="Z1073" s="4"/>
      <c r="AA1073" s="4">
        <f>=ROUNDDOWN({0},0)</f>
      </c>
      <c r="AB1073" s="5"/>
      <c r="AC1073" s="2" t="s">
        <v>200</v>
      </c>
      <c r="AD1073" s="4"/>
      <c r="AE1073" s="4"/>
      <c r="AF1073" s="6">
        <v>67</v>
      </c>
      <c r="AG1073" s="6"/>
      <c r="AH1073" s="7"/>
      <c r="AI1073" s="4"/>
      <c r="AJ1073" s="4">
        <f>=ROUNDDOWN({0},0)</f>
      </c>
      <c r="AK1073" s="5"/>
      <c r="AL1073" s="2" t="s">
        <v>200</v>
      </c>
      <c r="AM1073" s="4"/>
      <c r="AN1073" s="4"/>
      <c r="AO1073" s="7"/>
      <c r="AP1073" s="4"/>
      <c r="AQ1073" s="8"/>
      <c r="AR1073" s="4"/>
      <c r="AS1073" s="8"/>
      <c r="AT1073" s="7"/>
      <c r="AU1073" s="7"/>
      <c r="AV1073" s="4" t="s">
        <v>200</v>
      </c>
      <c r="AW1073" s="8" t="s">
        <v>200</v>
      </c>
      <c r="AX1073" s="4" t="s">
        <v>200</v>
      </c>
      <c r="AY1073" s="8" t="s">
        <v>200</v>
      </c>
      <c r="AZ1073" s="7" t="s">
        <v>200</v>
      </c>
      <c r="BA1073" s="7" t="s">
        <v>200</v>
      </c>
      <c r="BB1073" s="7" t="s">
        <v>200</v>
      </c>
      <c r="BC1073" s="4" t="s">
        <v>200</v>
      </c>
      <c r="BD1073" s="8" t="s">
        <v>200</v>
      </c>
      <c r="BE1073" s="4" t="s">
        <v>200</v>
      </c>
      <c r="BF1073" s="8" t="s">
        <v>200</v>
      </c>
      <c r="BG1073" s="7" t="s">
        <v>200</v>
      </c>
      <c r="BH1073" s="7" t="s">
        <v>200</v>
      </c>
      <c r="BI1073" s="7"/>
      <c r="BJ1073" s="4"/>
      <c r="BK1073" s="8"/>
      <c r="BL1073" s="2" t="s">
        <v>200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210</v>
      </c>
      <c r="BV1073" s="2" t="s">
        <v>200</v>
      </c>
      <c r="BW1073" s="2" t="s">
        <v>200</v>
      </c>
      <c r="BX1073" s="2" t="s">
        <v>210</v>
      </c>
      <c r="BY1073" s="2" t="s">
        <v>211</v>
      </c>
      <c r="BZ1073" s="2" t="s">
        <v>212</v>
      </c>
      <c r="CA1073" s="2" t="s">
        <v>200</v>
      </c>
      <c r="CB1073" s="2" t="s">
        <v>200</v>
      </c>
      <c r="CC1073" s="2" t="s">
        <v>213</v>
      </c>
      <c r="CD1073" s="2" t="s">
        <v>200</v>
      </c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  <c r="ES1073" s="4"/>
      <c r="ET1073" s="4"/>
      <c r="EU1073" s="4"/>
      <c r="EV1073" s="4"/>
      <c r="EW1073" s="4"/>
      <c r="EX1073" s="4"/>
      <c r="EY1073" s="4"/>
      <c r="EZ1073" s="4"/>
      <c r="FA1073" s="4"/>
      <c r="FB1073" s="4"/>
      <c r="FC1073" s="4"/>
      <c r="FD1073" s="4"/>
      <c r="FE1073" s="4"/>
      <c r="FF1073" s="4"/>
      <c r="FG1073" s="4"/>
      <c r="FH1073" s="4"/>
      <c r="FI1073" s="4"/>
      <c r="FJ1073" s="4"/>
      <c r="FK1073" s="4"/>
      <c r="FL1073" s="4"/>
      <c r="FM1073" s="4"/>
      <c r="FN1073" s="4"/>
      <c r="FO1073" s="4"/>
      <c r="FP1073" s="4"/>
      <c r="FQ1073" s="4"/>
      <c r="FR1073" s="4"/>
      <c r="FS1073" s="4"/>
      <c r="FT1073" s="4"/>
      <c r="FU1073" s="4"/>
      <c r="FV1073" s="4"/>
      <c r="FW1073" s="4"/>
      <c r="FX1073" s="4"/>
      <c r="FY1073" s="4"/>
      <c r="FZ1073" s="4"/>
      <c r="GA1073" s="4"/>
      <c r="GB1073" s="4"/>
      <c r="GC1073" s="4"/>
      <c r="GD1073" s="4"/>
      <c r="GE1073" s="4"/>
      <c r="GF1073" s="4"/>
      <c r="GG1073" s="4"/>
      <c r="GH1073" s="4"/>
    </row>
    <row r="1074">
      <c r="A1074" s="2" t="s">
        <v>6159</v>
      </c>
      <c r="B1074" s="2" t="s">
        <v>705</v>
      </c>
      <c r="C1074" s="2" t="s">
        <v>1375</v>
      </c>
      <c r="D1074" s="2" t="s">
        <v>817</v>
      </c>
      <c r="E1074" s="2" t="s">
        <v>818</v>
      </c>
      <c r="F1074" s="2" t="s">
        <v>6160</v>
      </c>
      <c r="G1074" s="2" t="s">
        <v>6160</v>
      </c>
      <c r="H1074" s="2" t="s">
        <v>6160</v>
      </c>
      <c r="I1074" s="2" t="s">
        <v>6161</v>
      </c>
      <c r="J1074" s="2" t="s">
        <v>711</v>
      </c>
      <c r="K1074" s="2" t="s">
        <v>416</v>
      </c>
      <c r="L1074" s="3">
        <v>38</v>
      </c>
      <c r="M1074" s="3">
        <v>39.9</v>
      </c>
      <c r="N1074" s="3">
        <v>79.99</v>
      </c>
      <c r="O1074" s="2" t="s">
        <v>212</v>
      </c>
      <c r="P1074" s="2" t="s">
        <v>205</v>
      </c>
      <c r="Q1074" s="2" t="s">
        <v>206</v>
      </c>
      <c r="R1074" s="2" t="s">
        <v>200</v>
      </c>
      <c r="S1074" s="2" t="s">
        <v>200</v>
      </c>
      <c r="T1074" s="2" t="s">
        <v>200</v>
      </c>
      <c r="U1074" s="2" t="s">
        <v>270</v>
      </c>
      <c r="V1074" s="2" t="s">
        <v>616</v>
      </c>
      <c r="W1074" s="2" t="s">
        <v>419</v>
      </c>
      <c r="X1074" s="2" t="s">
        <v>200</v>
      </c>
      <c r="Y1074" s="2" t="s">
        <v>2615</v>
      </c>
      <c r="Z1074" s="4">
        <v>84</v>
      </c>
      <c r="AA1074" s="4">
        <f>=ROUNDDOWN(84,0)</f>
      </c>
      <c r="AB1074" s="5">
        <v>1</v>
      </c>
      <c r="AC1074" s="2" t="s">
        <v>200</v>
      </c>
      <c r="AD1074" s="4"/>
      <c r="AE1074" s="4"/>
      <c r="AF1074" s="6">
        <v>65</v>
      </c>
      <c r="AG1074" s="6"/>
      <c r="AH1074" s="7">
        <v>1</v>
      </c>
      <c r="AI1074" s="4"/>
      <c r="AJ1074" s="4">
        <f>=ROUNDDOWN({0},0)</f>
      </c>
      <c r="AK1074" s="5"/>
      <c r="AL1074" s="2" t="s">
        <v>200</v>
      </c>
      <c r="AM1074" s="4"/>
      <c r="AN1074" s="4"/>
      <c r="AO1074" s="7"/>
      <c r="AP1074" s="4"/>
      <c r="AQ1074" s="8"/>
      <c r="AR1074" s="4"/>
      <c r="AS1074" s="8"/>
      <c r="AT1074" s="7"/>
      <c r="AU1074" s="7"/>
      <c r="AV1074" s="4"/>
      <c r="AW1074" s="8"/>
      <c r="AX1074" s="4"/>
      <c r="AY1074" s="8"/>
      <c r="AZ1074" s="7"/>
      <c r="BA1074" s="7"/>
      <c r="BB1074" s="7"/>
      <c r="BC1074" s="4"/>
      <c r="BD1074" s="8"/>
      <c r="BE1074" s="4"/>
      <c r="BF1074" s="8"/>
      <c r="BG1074" s="7"/>
      <c r="BH1074" s="7"/>
      <c r="BI1074" s="7"/>
      <c r="BJ1074" s="4">
        <v>3</v>
      </c>
      <c r="BK1074" s="8">
        <v>126.35</v>
      </c>
      <c r="BL1074" s="2" t="s">
        <v>1675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6162</v>
      </c>
      <c r="BV1074" s="2" t="s">
        <v>200</v>
      </c>
      <c r="BW1074" s="2" t="s">
        <v>200</v>
      </c>
      <c r="BX1074" s="2" t="s">
        <v>264</v>
      </c>
      <c r="BY1074" s="2" t="s">
        <v>247</v>
      </c>
      <c r="BZ1074" s="2" t="s">
        <v>212</v>
      </c>
      <c r="CA1074" s="2" t="s">
        <v>1294</v>
      </c>
      <c r="CB1074" s="2" t="s">
        <v>200</v>
      </c>
      <c r="CC1074" s="2" t="s">
        <v>213</v>
      </c>
      <c r="CD1074" s="2" t="s">
        <v>200</v>
      </c>
      <c r="CE1074" s="4"/>
      <c r="CF1074" s="4">
        <v>84</v>
      </c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/>
      <c r="GD1074" s="4"/>
      <c r="GE1074" s="4"/>
      <c r="GF1074" s="4"/>
      <c r="GG1074" s="4"/>
      <c r="GH1074" s="4"/>
    </row>
    <row r="1075">
      <c r="A1075" s="2" t="s">
        <v>6163</v>
      </c>
      <c r="B1075" s="2" t="s">
        <v>705</v>
      </c>
      <c r="C1075" s="2" t="s">
        <v>1375</v>
      </c>
      <c r="D1075" s="2" t="s">
        <v>817</v>
      </c>
      <c r="E1075" s="2" t="s">
        <v>818</v>
      </c>
      <c r="F1075" s="2" t="s">
        <v>6164</v>
      </c>
      <c r="G1075" s="2" t="s">
        <v>6164</v>
      </c>
      <c r="H1075" s="2" t="s">
        <v>6164</v>
      </c>
      <c r="I1075" s="2" t="s">
        <v>5498</v>
      </c>
      <c r="J1075" s="2" t="s">
        <v>711</v>
      </c>
      <c r="K1075" s="2" t="s">
        <v>890</v>
      </c>
      <c r="L1075" s="3">
        <v>44.54</v>
      </c>
      <c r="M1075" s="3">
        <v>46.77</v>
      </c>
      <c r="N1075" s="3">
        <v>94.99</v>
      </c>
      <c r="O1075" s="2" t="s">
        <v>212</v>
      </c>
      <c r="P1075" s="2" t="s">
        <v>258</v>
      </c>
      <c r="Q1075" s="2" t="s">
        <v>206</v>
      </c>
      <c r="R1075" s="2" t="s">
        <v>200</v>
      </c>
      <c r="S1075" s="2" t="s">
        <v>200</v>
      </c>
      <c r="T1075" s="2" t="s">
        <v>200</v>
      </c>
      <c r="U1075" s="2" t="s">
        <v>270</v>
      </c>
      <c r="V1075" s="2" t="s">
        <v>616</v>
      </c>
      <c r="W1075" s="2" t="s">
        <v>379</v>
      </c>
      <c r="X1075" s="2" t="s">
        <v>200</v>
      </c>
      <c r="Y1075" s="2" t="s">
        <v>1708</v>
      </c>
      <c r="Z1075" s="4">
        <v>33</v>
      </c>
      <c r="AA1075" s="4">
        <f>=ROUNDDOWN(8.91891891891892,0)</f>
      </c>
      <c r="AB1075" s="5">
        <v>3.7</v>
      </c>
      <c r="AC1075" s="2" t="s">
        <v>6165</v>
      </c>
      <c r="AD1075" s="4">
        <v>100</v>
      </c>
      <c r="AE1075" s="4">
        <v>100</v>
      </c>
      <c r="AF1075" s="6">
        <v>65</v>
      </c>
      <c r="AG1075" s="6"/>
      <c r="AH1075" s="7">
        <v>1</v>
      </c>
      <c r="AI1075" s="4"/>
      <c r="AJ1075" s="4">
        <f>=ROUNDDOWN({0},0)</f>
      </c>
      <c r="AK1075" s="5"/>
      <c r="AL1075" s="2" t="s">
        <v>200</v>
      </c>
      <c r="AM1075" s="4"/>
      <c r="AN1075" s="4"/>
      <c r="AO1075" s="7"/>
      <c r="AP1075" s="4"/>
      <c r="AQ1075" s="8"/>
      <c r="AR1075" s="4"/>
      <c r="AS1075" s="8"/>
      <c r="AT1075" s="7"/>
      <c r="AU1075" s="7"/>
      <c r="AV1075" s="4"/>
      <c r="AW1075" s="8"/>
      <c r="AX1075" s="4"/>
      <c r="AY1075" s="8"/>
      <c r="AZ1075" s="7"/>
      <c r="BA1075" s="7"/>
      <c r="BB1075" s="7"/>
      <c r="BC1075" s="4"/>
      <c r="BD1075" s="8"/>
      <c r="BE1075" s="4"/>
      <c r="BF1075" s="8"/>
      <c r="BG1075" s="7"/>
      <c r="BH1075" s="7"/>
      <c r="BI1075" s="7"/>
      <c r="BJ1075" s="4">
        <v>17</v>
      </c>
      <c r="BK1075" s="8">
        <v>727.86</v>
      </c>
      <c r="BL1075" s="2" t="s">
        <v>3911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6166</v>
      </c>
      <c r="BV1075" s="2" t="s">
        <v>200</v>
      </c>
      <c r="BW1075" s="2" t="s">
        <v>200</v>
      </c>
      <c r="BX1075" s="2" t="s">
        <v>264</v>
      </c>
      <c r="BY1075" s="2" t="s">
        <v>247</v>
      </c>
      <c r="BZ1075" s="2" t="s">
        <v>212</v>
      </c>
      <c r="CA1075" s="2" t="s">
        <v>1710</v>
      </c>
      <c r="CB1075" s="2" t="s">
        <v>5159</v>
      </c>
      <c r="CC1075" s="2" t="s">
        <v>213</v>
      </c>
      <c r="CD1075" s="2" t="s">
        <v>200</v>
      </c>
      <c r="CE1075" s="4"/>
      <c r="CF1075" s="4">
        <v>33</v>
      </c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>
        <v>100</v>
      </c>
      <c r="DR1075" s="4"/>
      <c r="DS1075" s="4"/>
      <c r="DT1075" s="4"/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  <c r="EE1075" s="4"/>
      <c r="EF1075" s="4"/>
      <c r="EG1075" s="4"/>
      <c r="EH1075" s="4"/>
      <c r="EI1075" s="4"/>
      <c r="EJ1075" s="4"/>
      <c r="EK1075" s="4"/>
      <c r="EL1075" s="4"/>
      <c r="EM1075" s="4"/>
      <c r="EN1075" s="4"/>
      <c r="EO1075" s="4"/>
      <c r="EP1075" s="4"/>
      <c r="EQ1075" s="4"/>
      <c r="ER1075" s="4"/>
      <c r="ES1075" s="4"/>
      <c r="ET1075" s="4"/>
      <c r="EU1075" s="4"/>
      <c r="EV1075" s="4"/>
      <c r="EW1075" s="4"/>
      <c r="EX1075" s="4"/>
      <c r="EY1075" s="4"/>
      <c r="EZ1075" s="4"/>
      <c r="FA1075" s="4"/>
      <c r="FB1075" s="4"/>
      <c r="FC1075" s="4"/>
      <c r="FD1075" s="4"/>
      <c r="FE1075" s="4"/>
      <c r="FF1075" s="4"/>
      <c r="FG1075" s="4"/>
      <c r="FH1075" s="4"/>
      <c r="FI1075" s="4"/>
      <c r="FJ1075" s="4"/>
      <c r="FK1075" s="4"/>
      <c r="FL1075" s="4"/>
      <c r="FM1075" s="4"/>
      <c r="FN1075" s="4"/>
      <c r="FO1075" s="4"/>
      <c r="FP1075" s="4"/>
      <c r="FQ1075" s="4"/>
      <c r="FR1075" s="4"/>
      <c r="FS1075" s="4"/>
      <c r="FT1075" s="4"/>
      <c r="FU1075" s="4"/>
      <c r="FV1075" s="4"/>
      <c r="FW1075" s="4"/>
      <c r="FX1075" s="4"/>
      <c r="FY1075" s="4"/>
      <c r="FZ1075" s="4"/>
      <c r="GA1075" s="4"/>
      <c r="GB1075" s="4"/>
      <c r="GC1075" s="4"/>
      <c r="GD1075" s="4"/>
      <c r="GE1075" s="4"/>
      <c r="GF1075" s="4"/>
      <c r="GG1075" s="4"/>
      <c r="GH1075" s="4"/>
    </row>
    <row r="1076">
      <c r="A1076" s="2" t="s">
        <v>6167</v>
      </c>
      <c r="B1076" s="2" t="s">
        <v>705</v>
      </c>
      <c r="C1076" s="2" t="s">
        <v>745</v>
      </c>
      <c r="D1076" s="2" t="s">
        <v>817</v>
      </c>
      <c r="E1076" s="2" t="s">
        <v>818</v>
      </c>
      <c r="F1076" s="2" t="s">
        <v>6168</v>
      </c>
      <c r="G1076" s="2" t="s">
        <v>6168</v>
      </c>
      <c r="H1076" s="2" t="s">
        <v>6168</v>
      </c>
      <c r="I1076" s="2" t="s">
        <v>6169</v>
      </c>
      <c r="J1076" s="2" t="s">
        <v>711</v>
      </c>
      <c r="K1076" s="2" t="s">
        <v>6170</v>
      </c>
      <c r="L1076" s="3">
        <v>78.14</v>
      </c>
      <c r="M1076" s="3">
        <v>82.05</v>
      </c>
      <c r="N1076" s="3">
        <v>179.99</v>
      </c>
      <c r="O1076" s="2" t="s">
        <v>212</v>
      </c>
      <c r="P1076" s="2" t="s">
        <v>258</v>
      </c>
      <c r="Q1076" s="2" t="s">
        <v>206</v>
      </c>
      <c r="R1076" s="2" t="s">
        <v>200</v>
      </c>
      <c r="S1076" s="2" t="s">
        <v>200</v>
      </c>
      <c r="T1076" s="2" t="s">
        <v>200</v>
      </c>
      <c r="U1076" s="2" t="s">
        <v>270</v>
      </c>
      <c r="V1076" s="2" t="s">
        <v>616</v>
      </c>
      <c r="W1076" s="2" t="s">
        <v>200</v>
      </c>
      <c r="X1076" s="2" t="s">
        <v>200</v>
      </c>
      <c r="Y1076" s="2" t="s">
        <v>6171</v>
      </c>
      <c r="Z1076" s="4">
        <v>25</v>
      </c>
      <c r="AA1076" s="4">
        <f>=ROUNDDOWN(12.5,0)</f>
      </c>
      <c r="AB1076" s="5">
        <v>2</v>
      </c>
      <c r="AC1076" s="2" t="s">
        <v>128</v>
      </c>
      <c r="AD1076" s="4">
        <v>50</v>
      </c>
      <c r="AE1076" s="4">
        <v>100</v>
      </c>
      <c r="AF1076" s="6">
        <v>65</v>
      </c>
      <c r="AG1076" s="6"/>
      <c r="AH1076" s="7">
        <v>1</v>
      </c>
      <c r="AI1076" s="4"/>
      <c r="AJ1076" s="4">
        <f>=ROUNDDOWN({0},0)</f>
      </c>
      <c r="AK1076" s="5"/>
      <c r="AL1076" s="2" t="s">
        <v>200</v>
      </c>
      <c r="AM1076" s="4"/>
      <c r="AN1076" s="4"/>
      <c r="AO1076" s="7"/>
      <c r="AP1076" s="4"/>
      <c r="AQ1076" s="8"/>
      <c r="AR1076" s="4"/>
      <c r="AS1076" s="8"/>
      <c r="AT1076" s="7"/>
      <c r="AU1076" s="7"/>
      <c r="AV1076" s="4"/>
      <c r="AW1076" s="8"/>
      <c r="AX1076" s="4"/>
      <c r="AY1076" s="8"/>
      <c r="AZ1076" s="7"/>
      <c r="BA1076" s="7"/>
      <c r="BB1076" s="7"/>
      <c r="BC1076" s="4"/>
      <c r="BD1076" s="8"/>
      <c r="BE1076" s="4"/>
      <c r="BF1076" s="8"/>
      <c r="BG1076" s="7"/>
      <c r="BH1076" s="7"/>
      <c r="BI1076" s="7"/>
      <c r="BJ1076" s="4">
        <v>7</v>
      </c>
      <c r="BK1076" s="8">
        <v>631.91</v>
      </c>
      <c r="BL1076" s="2" t="s">
        <v>6172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6173</v>
      </c>
      <c r="BV1076" s="2" t="s">
        <v>200</v>
      </c>
      <c r="BW1076" s="2" t="s">
        <v>200</v>
      </c>
      <c r="BX1076" s="2" t="s">
        <v>264</v>
      </c>
      <c r="BY1076" s="2" t="s">
        <v>247</v>
      </c>
      <c r="BZ1076" s="2" t="s">
        <v>212</v>
      </c>
      <c r="CA1076" s="2" t="s">
        <v>2158</v>
      </c>
      <c r="CB1076" s="2" t="s">
        <v>1721</v>
      </c>
      <c r="CC1076" s="2" t="s">
        <v>213</v>
      </c>
      <c r="CD1076" s="2" t="s">
        <v>200</v>
      </c>
      <c r="CE1076" s="4"/>
      <c r="CF1076" s="4">
        <v>25</v>
      </c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>
        <v>50</v>
      </c>
      <c r="DP1076" s="4"/>
      <c r="DQ1076" s="4">
        <v>50</v>
      </c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/>
      <c r="GC1076" s="4"/>
      <c r="GD1076" s="4"/>
      <c r="GE1076" s="4"/>
      <c r="GF1076" s="4"/>
      <c r="GG1076" s="4"/>
      <c r="GH1076" s="4"/>
    </row>
    <row r="1077">
      <c r="A1077" s="2" t="s">
        <v>6174</v>
      </c>
      <c r="B1077" s="2" t="s">
        <v>744</v>
      </c>
      <c r="C1077" s="2" t="s">
        <v>745</v>
      </c>
      <c r="D1077" s="2" t="s">
        <v>1275</v>
      </c>
      <c r="E1077" s="2" t="s">
        <v>1276</v>
      </c>
      <c r="F1077" s="2" t="s">
        <v>6175</v>
      </c>
      <c r="G1077" s="2" t="s">
        <v>6175</v>
      </c>
      <c r="H1077" s="2" t="s">
        <v>6175</v>
      </c>
      <c r="I1077" s="2" t="s">
        <v>2093</v>
      </c>
      <c r="J1077" s="2" t="s">
        <v>711</v>
      </c>
      <c r="K1077" s="2" t="s">
        <v>221</v>
      </c>
      <c r="L1077" s="3">
        <v>251.75</v>
      </c>
      <c r="M1077" s="3">
        <v>264.34</v>
      </c>
      <c r="N1077" s="3">
        <v>529</v>
      </c>
      <c r="O1077" s="2" t="s">
        <v>212</v>
      </c>
      <c r="P1077" s="2" t="s">
        <v>285</v>
      </c>
      <c r="Q1077" s="2" t="s">
        <v>206</v>
      </c>
      <c r="R1077" s="2" t="s">
        <v>200</v>
      </c>
      <c r="S1077" s="2" t="s">
        <v>200</v>
      </c>
      <c r="T1077" s="2" t="s">
        <v>200</v>
      </c>
      <c r="U1077" s="2" t="s">
        <v>270</v>
      </c>
      <c r="V1077" s="2" t="s">
        <v>208</v>
      </c>
      <c r="W1077" s="2" t="s">
        <v>712</v>
      </c>
      <c r="X1077" s="2" t="s">
        <v>200</v>
      </c>
      <c r="Y1077" s="2" t="s">
        <v>6176</v>
      </c>
      <c r="Z1077" s="4">
        <v>102</v>
      </c>
      <c r="AA1077" s="4">
        <f>=ROUNDDOWN(51,0)</f>
      </c>
      <c r="AB1077" s="5">
        <v>2</v>
      </c>
      <c r="AC1077" s="2" t="s">
        <v>200</v>
      </c>
      <c r="AD1077" s="4"/>
      <c r="AE1077" s="4"/>
      <c r="AF1077" s="6">
        <v>66</v>
      </c>
      <c r="AG1077" s="6"/>
      <c r="AH1077" s="7">
        <v>1</v>
      </c>
      <c r="AI1077" s="4"/>
      <c r="AJ1077" s="4">
        <f>=ROUNDDOWN({0},0)</f>
      </c>
      <c r="AK1077" s="5"/>
      <c r="AL1077" s="2" t="s">
        <v>200</v>
      </c>
      <c r="AM1077" s="4"/>
      <c r="AN1077" s="4"/>
      <c r="AO1077" s="7"/>
      <c r="AP1077" s="4"/>
      <c r="AQ1077" s="8"/>
      <c r="AR1077" s="4"/>
      <c r="AS1077" s="8"/>
      <c r="AT1077" s="7"/>
      <c r="AU1077" s="7"/>
      <c r="AV1077" s="4"/>
      <c r="AW1077" s="8"/>
      <c r="AX1077" s="4"/>
      <c r="AY1077" s="8"/>
      <c r="AZ1077" s="7"/>
      <c r="BA1077" s="7"/>
      <c r="BB1077" s="7"/>
      <c r="BC1077" s="4"/>
      <c r="BD1077" s="8"/>
      <c r="BE1077" s="4"/>
      <c r="BF1077" s="8"/>
      <c r="BG1077" s="7"/>
      <c r="BH1077" s="7"/>
      <c r="BI1077" s="7"/>
      <c r="BJ1077" s="4">
        <v>13</v>
      </c>
      <c r="BK1077" s="8">
        <v>3063.83</v>
      </c>
      <c r="BL1077" s="2" t="s">
        <v>6177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6178</v>
      </c>
      <c r="BV1077" s="2" t="s">
        <v>200</v>
      </c>
      <c r="BW1077" s="2" t="s">
        <v>200</v>
      </c>
      <c r="BX1077" s="2" t="s">
        <v>289</v>
      </c>
      <c r="BY1077" s="2" t="s">
        <v>247</v>
      </c>
      <c r="BZ1077" s="2" t="s">
        <v>212</v>
      </c>
      <c r="CA1077" s="2" t="s">
        <v>2777</v>
      </c>
      <c r="CB1077" s="2" t="s">
        <v>6179</v>
      </c>
      <c r="CC1077" s="2" t="s">
        <v>213</v>
      </c>
      <c r="CD1077" s="2" t="s">
        <v>200</v>
      </c>
      <c r="CE1077" s="4"/>
      <c r="CF1077" s="4">
        <v>102</v>
      </c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4"/>
      <c r="GB1077" s="4"/>
      <c r="GC1077" s="4"/>
      <c r="GD1077" s="4"/>
      <c r="GE1077" s="4"/>
      <c r="GF1077" s="4"/>
      <c r="GG1077" s="4"/>
      <c r="GH1077" s="4"/>
    </row>
    <row r="1078">
      <c r="A1078" s="2" t="s">
        <v>6180</v>
      </c>
      <c r="B1078" s="2" t="s">
        <v>744</v>
      </c>
      <c r="C1078" s="2" t="s">
        <v>231</v>
      </c>
      <c r="D1078" s="2" t="s">
        <v>1806</v>
      </c>
      <c r="E1078" s="2" t="s">
        <v>1333</v>
      </c>
      <c r="F1078" s="2" t="s">
        <v>6181</v>
      </c>
      <c r="G1078" s="2" t="s">
        <v>6182</v>
      </c>
      <c r="H1078" s="2" t="s">
        <v>6183</v>
      </c>
      <c r="I1078" s="2" t="s">
        <v>6184</v>
      </c>
      <c r="J1078" s="2" t="s">
        <v>711</v>
      </c>
      <c r="K1078" s="2" t="s">
        <v>6185</v>
      </c>
      <c r="L1078" s="3">
        <v>94.5</v>
      </c>
      <c r="M1078" s="3">
        <v>99.22</v>
      </c>
      <c r="N1078" s="3">
        <v>199</v>
      </c>
      <c r="O1078" s="2" t="s">
        <v>212</v>
      </c>
      <c r="P1078" s="2" t="s">
        <v>285</v>
      </c>
      <c r="Q1078" s="2" t="s">
        <v>206</v>
      </c>
      <c r="R1078" s="2" t="s">
        <v>200</v>
      </c>
      <c r="S1078" s="2" t="s">
        <v>6186</v>
      </c>
      <c r="T1078" s="2" t="s">
        <v>200</v>
      </c>
      <c r="U1078" s="2" t="s">
        <v>200</v>
      </c>
      <c r="V1078" s="2" t="s">
        <v>208</v>
      </c>
      <c r="W1078" s="2" t="s">
        <v>712</v>
      </c>
      <c r="X1078" s="2" t="s">
        <v>200</v>
      </c>
      <c r="Y1078" s="2" t="s">
        <v>6098</v>
      </c>
      <c r="Z1078" s="4">
        <v>66</v>
      </c>
      <c r="AA1078" s="4">
        <f>=ROUNDDOWN(22,0)</f>
      </c>
      <c r="AB1078" s="5">
        <v>3</v>
      </c>
      <c r="AC1078" s="2" t="s">
        <v>200</v>
      </c>
      <c r="AD1078" s="4"/>
      <c r="AE1078" s="4"/>
      <c r="AF1078" s="6">
        <v>74</v>
      </c>
      <c r="AG1078" s="6"/>
      <c r="AH1078" s="7">
        <v>1</v>
      </c>
      <c r="AI1078" s="4"/>
      <c r="AJ1078" s="4">
        <f>=ROUNDDOWN({0},0)</f>
      </c>
      <c r="AK1078" s="5"/>
      <c r="AL1078" s="2" t="s">
        <v>200</v>
      </c>
      <c r="AM1078" s="4"/>
      <c r="AN1078" s="4"/>
      <c r="AO1078" s="7"/>
      <c r="AP1078" s="4"/>
      <c r="AQ1078" s="8"/>
      <c r="AR1078" s="4"/>
      <c r="AS1078" s="8"/>
      <c r="AT1078" s="7"/>
      <c r="AU1078" s="7"/>
      <c r="AV1078" s="4"/>
      <c r="AW1078" s="8"/>
      <c r="AX1078" s="4"/>
      <c r="AY1078" s="8"/>
      <c r="AZ1078" s="7"/>
      <c r="BA1078" s="7"/>
      <c r="BB1078" s="7"/>
      <c r="BC1078" s="4"/>
      <c r="BD1078" s="8"/>
      <c r="BE1078" s="4"/>
      <c r="BF1078" s="8"/>
      <c r="BG1078" s="7"/>
      <c r="BH1078" s="7"/>
      <c r="BI1078" s="7"/>
      <c r="BJ1078" s="4">
        <v>23</v>
      </c>
      <c r="BK1078" s="8">
        <v>2102.46</v>
      </c>
      <c r="BL1078" s="2" t="s">
        <v>6187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6188</v>
      </c>
      <c r="BV1078" s="2" t="s">
        <v>200</v>
      </c>
      <c r="BW1078" s="2" t="s">
        <v>200</v>
      </c>
      <c r="BX1078" s="2" t="s">
        <v>289</v>
      </c>
      <c r="BY1078" s="2" t="s">
        <v>247</v>
      </c>
      <c r="BZ1078" s="2" t="s">
        <v>212</v>
      </c>
      <c r="CA1078" s="2" t="s">
        <v>6189</v>
      </c>
      <c r="CB1078" s="2" t="s">
        <v>6190</v>
      </c>
      <c r="CC1078" s="2" t="s">
        <v>213</v>
      </c>
      <c r="CD1078" s="2" t="s">
        <v>200</v>
      </c>
      <c r="CE1078" s="4"/>
      <c r="CF1078" s="4">
        <v>66</v>
      </c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/>
      <c r="DP1078" s="4"/>
      <c r="DQ1078" s="4"/>
      <c r="DR1078" s="4"/>
      <c r="DS1078" s="4"/>
      <c r="DT1078" s="4"/>
      <c r="DU1078" s="4"/>
      <c r="DV1078" s="4"/>
      <c r="DW1078" s="4"/>
      <c r="DX1078" s="4"/>
      <c r="DY1078" s="4"/>
      <c r="DZ1078" s="4"/>
      <c r="EA1078" s="4"/>
      <c r="EB1078" s="4"/>
      <c r="EC1078" s="4"/>
      <c r="ED1078" s="4"/>
      <c r="EE1078" s="4"/>
      <c r="EF1078" s="4"/>
      <c r="EG1078" s="4"/>
      <c r="EH1078" s="4"/>
      <c r="EI1078" s="4"/>
      <c r="EJ1078" s="4"/>
      <c r="EK1078" s="4"/>
      <c r="EL1078" s="4"/>
      <c r="EM1078" s="4"/>
      <c r="EN1078" s="4"/>
      <c r="EO1078" s="4"/>
      <c r="EP1078" s="4"/>
      <c r="EQ1078" s="4"/>
      <c r="ER1078" s="4"/>
      <c r="ES1078" s="4"/>
      <c r="ET1078" s="4"/>
      <c r="EU1078" s="4"/>
      <c r="EV1078" s="4"/>
      <c r="EW1078" s="4"/>
      <c r="EX1078" s="4"/>
      <c r="EY1078" s="4"/>
      <c r="EZ1078" s="4"/>
      <c r="FA1078" s="4"/>
      <c r="FB1078" s="4"/>
      <c r="FC1078" s="4"/>
      <c r="FD1078" s="4"/>
      <c r="FE1078" s="4"/>
      <c r="FF1078" s="4"/>
      <c r="FG1078" s="4"/>
      <c r="FH1078" s="4"/>
      <c r="FI1078" s="4"/>
      <c r="FJ1078" s="4"/>
      <c r="FK1078" s="4"/>
      <c r="FL1078" s="4"/>
      <c r="FM1078" s="4"/>
      <c r="FN1078" s="4"/>
      <c r="FO1078" s="4"/>
      <c r="FP1078" s="4"/>
      <c r="FQ1078" s="4"/>
      <c r="FR1078" s="4"/>
      <c r="FS1078" s="4"/>
      <c r="FT1078" s="4"/>
      <c r="FU1078" s="4"/>
      <c r="FV1078" s="4"/>
      <c r="FW1078" s="4"/>
      <c r="FX1078" s="4"/>
      <c r="FY1078" s="4"/>
      <c r="FZ1078" s="4"/>
      <c r="GA1078" s="4"/>
      <c r="GB1078" s="4"/>
      <c r="GC1078" s="4"/>
      <c r="GD1078" s="4"/>
      <c r="GE1078" s="4"/>
      <c r="GF1078" s="4"/>
      <c r="GG1078" s="4"/>
      <c r="GH1078" s="4"/>
    </row>
    <row r="1079">
      <c r="A1079" s="2" t="s">
        <v>6191</v>
      </c>
      <c r="B1079" s="2" t="s">
        <v>744</v>
      </c>
      <c r="C1079" s="2" t="s">
        <v>730</v>
      </c>
      <c r="D1079" s="2" t="s">
        <v>795</v>
      </c>
      <c r="E1079" s="2" t="s">
        <v>796</v>
      </c>
      <c r="F1079" s="2" t="s">
        <v>6192</v>
      </c>
      <c r="G1079" s="2" t="s">
        <v>6192</v>
      </c>
      <c r="H1079" s="2" t="s">
        <v>6192</v>
      </c>
      <c r="I1079" s="2" t="s">
        <v>6193</v>
      </c>
      <c r="J1079" s="2" t="s">
        <v>711</v>
      </c>
      <c r="K1079" s="2" t="s">
        <v>203</v>
      </c>
      <c r="L1079" s="3">
        <v>228</v>
      </c>
      <c r="M1079" s="3">
        <v>239.4</v>
      </c>
      <c r="N1079" s="3">
        <v>479</v>
      </c>
      <c r="O1079" s="2" t="s">
        <v>460</v>
      </c>
      <c r="P1079" s="2" t="s">
        <v>285</v>
      </c>
      <c r="Q1079" s="2" t="s">
        <v>206</v>
      </c>
      <c r="R1079" s="2" t="s">
        <v>200</v>
      </c>
      <c r="S1079" s="2" t="s">
        <v>200</v>
      </c>
      <c r="T1079" s="2" t="s">
        <v>200</v>
      </c>
      <c r="U1079" s="2" t="s">
        <v>270</v>
      </c>
      <c r="V1079" s="2" t="s">
        <v>616</v>
      </c>
      <c r="W1079" s="2" t="s">
        <v>379</v>
      </c>
      <c r="X1079" s="2" t="s">
        <v>2053</v>
      </c>
      <c r="Y1079" s="2" t="s">
        <v>5451</v>
      </c>
      <c r="Z1079" s="4">
        <v>104</v>
      </c>
      <c r="AA1079" s="4">
        <f>=ROUNDDOWN(346.666666666667,0)</f>
      </c>
      <c r="AB1079" s="5">
        <v>0.3</v>
      </c>
      <c r="AC1079" s="2" t="s">
        <v>200</v>
      </c>
      <c r="AD1079" s="4"/>
      <c r="AE1079" s="4"/>
      <c r="AF1079" s="6">
        <v>74</v>
      </c>
      <c r="AG1079" s="6"/>
      <c r="AH1079" s="7">
        <v>1</v>
      </c>
      <c r="AI1079" s="4"/>
      <c r="AJ1079" s="4">
        <f>=ROUNDDOWN({0},0)</f>
      </c>
      <c r="AK1079" s="5"/>
      <c r="AL1079" s="2" t="s">
        <v>200</v>
      </c>
      <c r="AM1079" s="4"/>
      <c r="AN1079" s="4"/>
      <c r="AO1079" s="7"/>
      <c r="AP1079" s="4"/>
      <c r="AQ1079" s="8"/>
      <c r="AR1079" s="4"/>
      <c r="AS1079" s="8"/>
      <c r="AT1079" s="7"/>
      <c r="AU1079" s="7"/>
      <c r="AV1079" s="4"/>
      <c r="AW1079" s="8"/>
      <c r="AX1079" s="4"/>
      <c r="AY1079" s="8"/>
      <c r="AZ1079" s="7"/>
      <c r="BA1079" s="7"/>
      <c r="BB1079" s="7"/>
      <c r="BC1079" s="4"/>
      <c r="BD1079" s="8"/>
      <c r="BE1079" s="4"/>
      <c r="BF1079" s="8"/>
      <c r="BG1079" s="7"/>
      <c r="BH1079" s="7"/>
      <c r="BI1079" s="7"/>
      <c r="BJ1079" s="4">
        <v>1</v>
      </c>
      <c r="BK1079" s="8">
        <v>172.6</v>
      </c>
      <c r="BL1079" s="2" t="s">
        <v>1675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6194</v>
      </c>
      <c r="BV1079" s="2" t="s">
        <v>200</v>
      </c>
      <c r="BW1079" s="2" t="s">
        <v>200</v>
      </c>
      <c r="BX1079" s="2" t="s">
        <v>289</v>
      </c>
      <c r="BY1079" s="2" t="s">
        <v>247</v>
      </c>
      <c r="BZ1079" s="2" t="s">
        <v>212</v>
      </c>
      <c r="CA1079" s="2" t="s">
        <v>5451</v>
      </c>
      <c r="CB1079" s="2" t="s">
        <v>6195</v>
      </c>
      <c r="CC1079" s="2" t="s">
        <v>213</v>
      </c>
      <c r="CD1079" s="2" t="s">
        <v>200</v>
      </c>
      <c r="CE1079" s="4"/>
      <c r="CF1079" s="4">
        <v>104</v>
      </c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  <c r="FX1079" s="4"/>
      <c r="FY1079" s="4"/>
      <c r="FZ1079" s="4"/>
      <c r="GA1079" s="4"/>
      <c r="GB1079" s="4"/>
      <c r="GC1079" s="4"/>
      <c r="GD1079" s="4"/>
      <c r="GE1079" s="4"/>
      <c r="GF1079" s="4"/>
      <c r="GG1079" s="4"/>
      <c r="GH1079" s="4"/>
    </row>
    <row r="1080">
      <c r="A1080" s="2" t="s">
        <v>6196</v>
      </c>
      <c r="B1080" s="2" t="s">
        <v>705</v>
      </c>
      <c r="C1080" s="2" t="s">
        <v>1375</v>
      </c>
      <c r="D1080" s="2" t="s">
        <v>817</v>
      </c>
      <c r="E1080" s="2" t="s">
        <v>818</v>
      </c>
      <c r="F1080" s="2" t="s">
        <v>6197</v>
      </c>
      <c r="G1080" s="2" t="s">
        <v>6197</v>
      </c>
      <c r="H1080" s="2" t="s">
        <v>6197</v>
      </c>
      <c r="I1080" s="2" t="s">
        <v>6198</v>
      </c>
      <c r="J1080" s="2" t="s">
        <v>711</v>
      </c>
      <c r="K1080" s="2" t="s">
        <v>660</v>
      </c>
      <c r="L1080" s="3">
        <v>50</v>
      </c>
      <c r="M1080" s="3">
        <v>52.5</v>
      </c>
      <c r="N1080" s="3">
        <v>104.99</v>
      </c>
      <c r="O1080" s="2" t="s">
        <v>212</v>
      </c>
      <c r="P1080" s="2" t="s">
        <v>205</v>
      </c>
      <c r="Q1080" s="2" t="s">
        <v>206</v>
      </c>
      <c r="R1080" s="2" t="s">
        <v>200</v>
      </c>
      <c r="S1080" s="2" t="s">
        <v>200</v>
      </c>
      <c r="T1080" s="2" t="s">
        <v>200</v>
      </c>
      <c r="U1080" s="2" t="s">
        <v>270</v>
      </c>
      <c r="V1080" s="2" t="s">
        <v>616</v>
      </c>
      <c r="W1080" s="2" t="s">
        <v>313</v>
      </c>
      <c r="X1080" s="2" t="s">
        <v>419</v>
      </c>
      <c r="Y1080" s="2" t="s">
        <v>1499</v>
      </c>
      <c r="Z1080" s="4">
        <v>45</v>
      </c>
      <c r="AA1080" s="4">
        <f>=ROUNDDOWN(37.5,0)</f>
      </c>
      <c r="AB1080" s="5">
        <v>1.2</v>
      </c>
      <c r="AC1080" s="2" t="s">
        <v>200</v>
      </c>
      <c r="AD1080" s="4"/>
      <c r="AE1080" s="4"/>
      <c r="AF1080" s="6">
        <v>63</v>
      </c>
      <c r="AG1080" s="6"/>
      <c r="AH1080" s="7">
        <v>1</v>
      </c>
      <c r="AI1080" s="4"/>
      <c r="AJ1080" s="4">
        <f>=ROUNDDOWN({0},0)</f>
      </c>
      <c r="AK1080" s="5"/>
      <c r="AL1080" s="2" t="s">
        <v>200</v>
      </c>
      <c r="AM1080" s="4"/>
      <c r="AN1080" s="4"/>
      <c r="AO1080" s="7"/>
      <c r="AP1080" s="4"/>
      <c r="AQ1080" s="8"/>
      <c r="AR1080" s="4"/>
      <c r="AS1080" s="8"/>
      <c r="AT1080" s="7"/>
      <c r="AU1080" s="7"/>
      <c r="AV1080" s="4"/>
      <c r="AW1080" s="8"/>
      <c r="AX1080" s="4"/>
      <c r="AY1080" s="8"/>
      <c r="AZ1080" s="7"/>
      <c r="BA1080" s="7"/>
      <c r="BB1080" s="7"/>
      <c r="BC1080" s="4"/>
      <c r="BD1080" s="8"/>
      <c r="BE1080" s="4"/>
      <c r="BF1080" s="8"/>
      <c r="BG1080" s="7"/>
      <c r="BH1080" s="7"/>
      <c r="BI1080" s="7"/>
      <c r="BJ1080" s="4">
        <v>9</v>
      </c>
      <c r="BK1080" s="8">
        <v>551.06</v>
      </c>
      <c r="BL1080" s="2" t="s">
        <v>2883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6199</v>
      </c>
      <c r="BV1080" s="2" t="s">
        <v>200</v>
      </c>
      <c r="BW1080" s="2" t="s">
        <v>200</v>
      </c>
      <c r="BX1080" s="2" t="s">
        <v>264</v>
      </c>
      <c r="BY1080" s="2" t="s">
        <v>247</v>
      </c>
      <c r="BZ1080" s="2" t="s">
        <v>212</v>
      </c>
      <c r="CA1080" s="2" t="s">
        <v>6200</v>
      </c>
      <c r="CB1080" s="2" t="s">
        <v>1353</v>
      </c>
      <c r="CC1080" s="2" t="s">
        <v>213</v>
      </c>
      <c r="CD1080" s="2" t="s">
        <v>200</v>
      </c>
      <c r="CE1080" s="4"/>
      <c r="CF1080" s="4">
        <v>45</v>
      </c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  <c r="FX1080" s="4"/>
      <c r="FY1080" s="4"/>
      <c r="FZ1080" s="4"/>
      <c r="GA1080" s="4"/>
      <c r="GB1080" s="4"/>
      <c r="GC1080" s="4"/>
      <c r="GD1080" s="4"/>
      <c r="GE1080" s="4"/>
      <c r="GF1080" s="4"/>
      <c r="GG1080" s="4"/>
      <c r="GH1080" s="4"/>
    </row>
    <row r="1081">
      <c r="A1081" s="2" t="s">
        <v>6201</v>
      </c>
      <c r="B1081" s="2" t="s">
        <v>903</v>
      </c>
      <c r="C1081" s="2" t="s">
        <v>307</v>
      </c>
      <c r="D1081" s="2" t="s">
        <v>608</v>
      </c>
      <c r="E1081" s="2" t="s">
        <v>904</v>
      </c>
      <c r="F1081" s="2" t="s">
        <v>6202</v>
      </c>
      <c r="G1081" s="2" t="s">
        <v>6203</v>
      </c>
      <c r="H1081" s="2" t="s">
        <v>6204</v>
      </c>
      <c r="I1081" s="2" t="s">
        <v>6205</v>
      </c>
      <c r="J1081" s="2" t="s">
        <v>256</v>
      </c>
      <c r="K1081" s="2" t="s">
        <v>6206</v>
      </c>
      <c r="L1081" s="3">
        <v>50.77</v>
      </c>
      <c r="M1081" s="3">
        <v>53.31</v>
      </c>
      <c r="N1081" s="3">
        <v>89.99</v>
      </c>
      <c r="O1081" s="2" t="s">
        <v>212</v>
      </c>
      <c r="P1081" s="2" t="s">
        <v>258</v>
      </c>
      <c r="Q1081" s="2" t="s">
        <v>206</v>
      </c>
      <c r="R1081" s="2" t="s">
        <v>200</v>
      </c>
      <c r="S1081" s="2" t="s">
        <v>6207</v>
      </c>
      <c r="T1081" s="2" t="s">
        <v>378</v>
      </c>
      <c r="U1081" s="2" t="s">
        <v>1067</v>
      </c>
      <c r="V1081" s="2" t="s">
        <v>940</v>
      </c>
      <c r="W1081" s="2" t="s">
        <v>736</v>
      </c>
      <c r="X1081" s="2" t="s">
        <v>970</v>
      </c>
      <c r="Y1081" s="2" t="s">
        <v>6208</v>
      </c>
      <c r="Z1081" s="4">
        <v>202</v>
      </c>
      <c r="AA1081" s="4">
        <f>=ROUNDDOWN(54.5945945945946,0)</f>
      </c>
      <c r="AB1081" s="5">
        <v>3.7</v>
      </c>
      <c r="AC1081" s="2" t="s">
        <v>200</v>
      </c>
      <c r="AD1081" s="4"/>
      <c r="AE1081" s="4"/>
      <c r="AF1081" s="6">
        <v>65</v>
      </c>
      <c r="AG1081" s="6"/>
      <c r="AH1081" s="7">
        <v>1</v>
      </c>
      <c r="AI1081" s="4"/>
      <c r="AJ1081" s="4">
        <f>=ROUNDDOWN({0},0)</f>
      </c>
      <c r="AK1081" s="5"/>
      <c r="AL1081" s="2" t="s">
        <v>200</v>
      </c>
      <c r="AM1081" s="4"/>
      <c r="AN1081" s="4"/>
      <c r="AO1081" s="7"/>
      <c r="AP1081" s="4"/>
      <c r="AQ1081" s="8"/>
      <c r="AR1081" s="4"/>
      <c r="AS1081" s="8"/>
      <c r="AT1081" s="7"/>
      <c r="AU1081" s="7"/>
      <c r="AV1081" s="4" t="s">
        <v>200</v>
      </c>
      <c r="AW1081" s="8" t="s">
        <v>200</v>
      </c>
      <c r="AX1081" s="4" t="s">
        <v>200</v>
      </c>
      <c r="AY1081" s="8" t="s">
        <v>200</v>
      </c>
      <c r="AZ1081" s="7" t="s">
        <v>200</v>
      </c>
      <c r="BA1081" s="7" t="s">
        <v>200</v>
      </c>
      <c r="BB1081" s="7"/>
      <c r="BC1081" s="4" t="s">
        <v>200</v>
      </c>
      <c r="BD1081" s="8" t="s">
        <v>200</v>
      </c>
      <c r="BE1081" s="4" t="s">
        <v>200</v>
      </c>
      <c r="BF1081" s="8" t="s">
        <v>200</v>
      </c>
      <c r="BG1081" s="7" t="s">
        <v>200</v>
      </c>
      <c r="BH1081" s="7" t="s">
        <v>200</v>
      </c>
      <c r="BI1081" s="7"/>
      <c r="BJ1081" s="4">
        <v>25</v>
      </c>
      <c r="BK1081" s="8">
        <v>1334.45</v>
      </c>
      <c r="BL1081" s="2" t="s">
        <v>6209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6210</v>
      </c>
      <c r="BV1081" s="2" t="s">
        <v>200</v>
      </c>
      <c r="BW1081" s="2" t="s">
        <v>200</v>
      </c>
      <c r="BX1081" s="2" t="s">
        <v>620</v>
      </c>
      <c r="BY1081" s="2" t="s">
        <v>247</v>
      </c>
      <c r="BZ1081" s="2" t="s">
        <v>212</v>
      </c>
      <c r="CA1081" s="2" t="s">
        <v>738</v>
      </c>
      <c r="CB1081" s="2" t="s">
        <v>6211</v>
      </c>
      <c r="CC1081" s="2" t="s">
        <v>213</v>
      </c>
      <c r="CD1081" s="2" t="s">
        <v>200</v>
      </c>
      <c r="CE1081" s="4">
        <v>202</v>
      </c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/>
      <c r="DH1081" s="4"/>
      <c r="DI1081" s="4"/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  <c r="DT1081" s="4"/>
      <c r="DU1081" s="4"/>
      <c r="DV1081" s="4"/>
      <c r="DW1081" s="4"/>
      <c r="DX1081" s="4"/>
      <c r="DY1081" s="4"/>
      <c r="DZ1081" s="4"/>
      <c r="EA1081" s="4"/>
      <c r="EB1081" s="4"/>
      <c r="EC1081" s="4"/>
      <c r="ED1081" s="4"/>
      <c r="EE1081" s="4"/>
      <c r="EF1081" s="4"/>
      <c r="EG1081" s="4"/>
      <c r="EH1081" s="4"/>
      <c r="EI1081" s="4"/>
      <c r="EJ1081" s="4"/>
      <c r="EK1081" s="4"/>
      <c r="EL1081" s="4"/>
      <c r="EM1081" s="4"/>
      <c r="EN1081" s="4"/>
      <c r="EO1081" s="4"/>
      <c r="EP1081" s="4"/>
      <c r="EQ1081" s="4"/>
      <c r="ER1081" s="4"/>
      <c r="ES1081" s="4"/>
      <c r="ET1081" s="4"/>
      <c r="EU1081" s="4"/>
      <c r="EV1081" s="4"/>
      <c r="EW1081" s="4"/>
      <c r="EX1081" s="4"/>
      <c r="EY1081" s="4"/>
      <c r="EZ1081" s="4"/>
      <c r="FA1081" s="4"/>
      <c r="FB1081" s="4"/>
      <c r="FC1081" s="4"/>
      <c r="FD1081" s="4"/>
      <c r="FE1081" s="4"/>
      <c r="FF1081" s="4"/>
      <c r="FG1081" s="4"/>
      <c r="FH1081" s="4"/>
      <c r="FI1081" s="4"/>
      <c r="FJ1081" s="4"/>
      <c r="FK1081" s="4"/>
      <c r="FL1081" s="4"/>
      <c r="FM1081" s="4"/>
      <c r="FN1081" s="4"/>
      <c r="FO1081" s="4"/>
      <c r="FP1081" s="4"/>
      <c r="FQ1081" s="4"/>
      <c r="FR1081" s="4"/>
      <c r="FS1081" s="4"/>
      <c r="FT1081" s="4"/>
      <c r="FU1081" s="4"/>
      <c r="FV1081" s="4"/>
      <c r="FW1081" s="4"/>
      <c r="FX1081" s="4"/>
      <c r="FY1081" s="4"/>
      <c r="FZ1081" s="4"/>
      <c r="GA1081" s="4"/>
      <c r="GB1081" s="4"/>
      <c r="GC1081" s="4"/>
      <c r="GD1081" s="4"/>
      <c r="GE1081" s="4"/>
      <c r="GF1081" s="4"/>
      <c r="GG1081" s="4"/>
      <c r="GH1081" s="4"/>
    </row>
    <row r="1082">
      <c r="A1082" s="2" t="s">
        <v>6212</v>
      </c>
      <c r="B1082" s="2" t="s">
        <v>903</v>
      </c>
      <c r="C1082" s="2" t="s">
        <v>307</v>
      </c>
      <c r="D1082" s="2" t="s">
        <v>608</v>
      </c>
      <c r="E1082" s="2" t="s">
        <v>904</v>
      </c>
      <c r="F1082" s="2" t="s">
        <v>6202</v>
      </c>
      <c r="G1082" s="2" t="s">
        <v>6203</v>
      </c>
      <c r="H1082" s="2" t="s">
        <v>6204</v>
      </c>
      <c r="I1082" s="2" t="s">
        <v>6213</v>
      </c>
      <c r="J1082" s="2" t="s">
        <v>236</v>
      </c>
      <c r="K1082" s="2" t="s">
        <v>6206</v>
      </c>
      <c r="L1082" s="3">
        <v>65.28</v>
      </c>
      <c r="M1082" s="3">
        <v>68.54</v>
      </c>
      <c r="N1082" s="3">
        <v>119.99</v>
      </c>
      <c r="O1082" s="2" t="s">
        <v>212</v>
      </c>
      <c r="P1082" s="2" t="s">
        <v>258</v>
      </c>
      <c r="Q1082" s="2" t="s">
        <v>206</v>
      </c>
      <c r="R1082" s="2" t="s">
        <v>200</v>
      </c>
      <c r="S1082" s="2" t="s">
        <v>6207</v>
      </c>
      <c r="T1082" s="2" t="s">
        <v>378</v>
      </c>
      <c r="U1082" s="2" t="s">
        <v>909</v>
      </c>
      <c r="V1082" s="2" t="s">
        <v>940</v>
      </c>
      <c r="W1082" s="2" t="s">
        <v>736</v>
      </c>
      <c r="X1082" s="2" t="s">
        <v>970</v>
      </c>
      <c r="Y1082" s="2" t="s">
        <v>6208</v>
      </c>
      <c r="Z1082" s="4">
        <v>365</v>
      </c>
      <c r="AA1082" s="4">
        <f>=ROUNDDOWN(73,0)</f>
      </c>
      <c r="AB1082" s="5">
        <v>5</v>
      </c>
      <c r="AC1082" s="2" t="s">
        <v>200</v>
      </c>
      <c r="AD1082" s="4"/>
      <c r="AE1082" s="4"/>
      <c r="AF1082" s="6">
        <v>65</v>
      </c>
      <c r="AG1082" s="6"/>
      <c r="AH1082" s="7">
        <v>1</v>
      </c>
      <c r="AI1082" s="4"/>
      <c r="AJ1082" s="4">
        <f>=ROUNDDOWN({0},0)</f>
      </c>
      <c r="AK1082" s="5"/>
      <c r="AL1082" s="2" t="s">
        <v>200</v>
      </c>
      <c r="AM1082" s="4"/>
      <c r="AN1082" s="4"/>
      <c r="AO1082" s="7"/>
      <c r="AP1082" s="4"/>
      <c r="AQ1082" s="8"/>
      <c r="AR1082" s="4"/>
      <c r="AS1082" s="8"/>
      <c r="AT1082" s="7"/>
      <c r="AU1082" s="7"/>
      <c r="AV1082" s="4" t="s">
        <v>200</v>
      </c>
      <c r="AW1082" s="8" t="s">
        <v>200</v>
      </c>
      <c r="AX1082" s="4" t="s">
        <v>200</v>
      </c>
      <c r="AY1082" s="8" t="s">
        <v>200</v>
      </c>
      <c r="AZ1082" s="7" t="s">
        <v>200</v>
      </c>
      <c r="BA1082" s="7" t="s">
        <v>200</v>
      </c>
      <c r="BB1082" s="7"/>
      <c r="BC1082" s="4" t="s">
        <v>200</v>
      </c>
      <c r="BD1082" s="8" t="s">
        <v>200</v>
      </c>
      <c r="BE1082" s="4" t="s">
        <v>200</v>
      </c>
      <c r="BF1082" s="8" t="s">
        <v>200</v>
      </c>
      <c r="BG1082" s="7" t="s">
        <v>200</v>
      </c>
      <c r="BH1082" s="7" t="s">
        <v>200</v>
      </c>
      <c r="BI1082" s="7"/>
      <c r="BJ1082" s="4">
        <v>29</v>
      </c>
      <c r="BK1082" s="8">
        <v>2107.56</v>
      </c>
      <c r="BL1082" s="2" t="s">
        <v>6214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6215</v>
      </c>
      <c r="BV1082" s="2" t="s">
        <v>200</v>
      </c>
      <c r="BW1082" s="2" t="s">
        <v>200</v>
      </c>
      <c r="BX1082" s="2" t="s">
        <v>620</v>
      </c>
      <c r="BY1082" s="2" t="s">
        <v>247</v>
      </c>
      <c r="BZ1082" s="2" t="s">
        <v>212</v>
      </c>
      <c r="CA1082" s="2" t="s">
        <v>738</v>
      </c>
      <c r="CB1082" s="2" t="s">
        <v>6216</v>
      </c>
      <c r="CC1082" s="2" t="s">
        <v>213</v>
      </c>
      <c r="CD1082" s="2" t="s">
        <v>200</v>
      </c>
      <c r="CE1082" s="4">
        <v>365</v>
      </c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/>
      <c r="FZ1082" s="4"/>
      <c r="GA1082" s="4"/>
      <c r="GB1082" s="4"/>
      <c r="GC1082" s="4"/>
      <c r="GD1082" s="4"/>
      <c r="GE1082" s="4"/>
      <c r="GF1082" s="4"/>
      <c r="GG1082" s="4"/>
      <c r="GH1082" s="4"/>
    </row>
    <row r="1083">
      <c r="A1083" s="2" t="s">
        <v>6217</v>
      </c>
      <c r="B1083" s="2" t="s">
        <v>744</v>
      </c>
      <c r="C1083" s="2" t="s">
        <v>231</v>
      </c>
      <c r="D1083" s="2" t="s">
        <v>746</v>
      </c>
      <c r="E1083" s="2" t="s">
        <v>1422</v>
      </c>
      <c r="F1083" s="2" t="s">
        <v>6218</v>
      </c>
      <c r="G1083" s="2" t="s">
        <v>6219</v>
      </c>
      <c r="H1083" s="2" t="s">
        <v>6220</v>
      </c>
      <c r="I1083" s="2" t="s">
        <v>1422</v>
      </c>
      <c r="J1083" s="2" t="s">
        <v>711</v>
      </c>
      <c r="K1083" s="2" t="s">
        <v>6221</v>
      </c>
      <c r="L1083" s="3">
        <v>80</v>
      </c>
      <c r="M1083" s="3">
        <v>84</v>
      </c>
      <c r="N1083" s="3">
        <v>169</v>
      </c>
      <c r="O1083" s="2" t="s">
        <v>212</v>
      </c>
      <c r="P1083" s="2" t="s">
        <v>205</v>
      </c>
      <c r="Q1083" s="2" t="s">
        <v>206</v>
      </c>
      <c r="R1083" s="2" t="s">
        <v>200</v>
      </c>
      <c r="S1083" s="2" t="s">
        <v>200</v>
      </c>
      <c r="T1083" s="2" t="s">
        <v>200</v>
      </c>
      <c r="U1083" s="2" t="s">
        <v>270</v>
      </c>
      <c r="V1083" s="2" t="s">
        <v>208</v>
      </c>
      <c r="W1083" s="2" t="s">
        <v>379</v>
      </c>
      <c r="X1083" s="2" t="s">
        <v>712</v>
      </c>
      <c r="Y1083" s="2" t="s">
        <v>200</v>
      </c>
      <c r="Z1083" s="4"/>
      <c r="AA1083" s="4">
        <f>=ROUNDDOWN({0},0)</f>
      </c>
      <c r="AB1083" s="5">
        <v>7</v>
      </c>
      <c r="AC1083" s="2" t="s">
        <v>200</v>
      </c>
      <c r="AD1083" s="4"/>
      <c r="AE1083" s="4"/>
      <c r="AF1083" s="6">
        <v>66</v>
      </c>
      <c r="AG1083" s="6"/>
      <c r="AH1083" s="7"/>
      <c r="AI1083" s="4"/>
      <c r="AJ1083" s="4">
        <f>=ROUNDDOWN({0},0)</f>
      </c>
      <c r="AK1083" s="5"/>
      <c r="AL1083" s="2" t="s">
        <v>200</v>
      </c>
      <c r="AM1083" s="4"/>
      <c r="AN1083" s="4"/>
      <c r="AO1083" s="7"/>
      <c r="AP1083" s="4"/>
      <c r="AQ1083" s="8"/>
      <c r="AR1083" s="4"/>
      <c r="AS1083" s="8"/>
      <c r="AT1083" s="7"/>
      <c r="AU1083" s="7"/>
      <c r="AV1083" s="4"/>
      <c r="AW1083" s="8"/>
      <c r="AX1083" s="4"/>
      <c r="AY1083" s="8"/>
      <c r="AZ1083" s="7"/>
      <c r="BA1083" s="7"/>
      <c r="BB1083" s="7"/>
      <c r="BC1083" s="4"/>
      <c r="BD1083" s="8"/>
      <c r="BE1083" s="4"/>
      <c r="BF1083" s="8"/>
      <c r="BG1083" s="7"/>
      <c r="BH1083" s="7"/>
      <c r="BI1083" s="7"/>
      <c r="BJ1083" s="4"/>
      <c r="BK1083" s="8"/>
      <c r="BL1083" s="2" t="s">
        <v>200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210</v>
      </c>
      <c r="BV1083" s="2" t="s">
        <v>200</v>
      </c>
      <c r="BW1083" s="2" t="s">
        <v>200</v>
      </c>
      <c r="BX1083" s="2" t="s">
        <v>620</v>
      </c>
      <c r="BY1083" s="2" t="s">
        <v>211</v>
      </c>
      <c r="BZ1083" s="2" t="s">
        <v>212</v>
      </c>
      <c r="CA1083" s="2" t="s">
        <v>200</v>
      </c>
      <c r="CB1083" s="2" t="s">
        <v>200</v>
      </c>
      <c r="CC1083" s="2" t="s">
        <v>213</v>
      </c>
      <c r="CD1083" s="2" t="s">
        <v>200</v>
      </c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/>
      <c r="DU1083" s="4"/>
      <c r="DV1083" s="4"/>
      <c r="DW1083" s="4"/>
      <c r="DX1083" s="4"/>
      <c r="DY1083" s="4"/>
      <c r="DZ1083" s="4"/>
      <c r="EA1083" s="4"/>
      <c r="EB1083" s="4"/>
      <c r="EC1083" s="4"/>
      <c r="ED1083" s="4"/>
      <c r="EE1083" s="4"/>
      <c r="EF1083" s="4"/>
      <c r="EG1083" s="4"/>
      <c r="EH1083" s="4"/>
      <c r="EI1083" s="4"/>
      <c r="EJ1083" s="4"/>
      <c r="EK1083" s="4"/>
      <c r="EL1083" s="4"/>
      <c r="EM1083" s="4"/>
      <c r="EN1083" s="4"/>
      <c r="EO1083" s="4"/>
      <c r="EP1083" s="4"/>
      <c r="EQ1083" s="4"/>
      <c r="ER1083" s="4"/>
      <c r="ES1083" s="4"/>
      <c r="ET1083" s="4"/>
      <c r="EU1083" s="4"/>
      <c r="EV1083" s="4"/>
      <c r="EW1083" s="4"/>
      <c r="EX1083" s="4"/>
      <c r="EY1083" s="4"/>
      <c r="EZ1083" s="4"/>
      <c r="FA1083" s="4"/>
      <c r="FB1083" s="4"/>
      <c r="FC1083" s="4"/>
      <c r="FD1083" s="4"/>
      <c r="FE1083" s="4"/>
      <c r="FF1083" s="4"/>
      <c r="FG1083" s="4"/>
      <c r="FH1083" s="4"/>
      <c r="FI1083" s="4"/>
      <c r="FJ1083" s="4"/>
      <c r="FK1083" s="4"/>
      <c r="FL1083" s="4"/>
      <c r="FM1083" s="4"/>
      <c r="FN1083" s="4"/>
      <c r="FO1083" s="4"/>
      <c r="FP1083" s="4"/>
      <c r="FQ1083" s="4"/>
      <c r="FR1083" s="4"/>
      <c r="FS1083" s="4"/>
      <c r="FT1083" s="4"/>
      <c r="FU1083" s="4"/>
      <c r="FV1083" s="4"/>
      <c r="FW1083" s="4"/>
      <c r="FX1083" s="4"/>
      <c r="FY1083" s="4"/>
      <c r="FZ1083" s="4"/>
      <c r="GA1083" s="4"/>
      <c r="GB1083" s="4"/>
      <c r="GC1083" s="4"/>
      <c r="GD1083" s="4"/>
      <c r="GE1083" s="4"/>
      <c r="GF1083" s="4"/>
      <c r="GG1083" s="4"/>
      <c r="GH1083" s="4"/>
    </row>
    <row r="1084">
      <c r="A1084" s="2" t="s">
        <v>6222</v>
      </c>
      <c r="B1084" s="2" t="s">
        <v>195</v>
      </c>
      <c r="C1084" s="2" t="s">
        <v>877</v>
      </c>
      <c r="D1084" s="2" t="s">
        <v>608</v>
      </c>
      <c r="E1084" s="2" t="s">
        <v>1324</v>
      </c>
      <c r="F1084" s="2" t="s">
        <v>6223</v>
      </c>
      <c r="G1084" s="2" t="s">
        <v>6224</v>
      </c>
      <c r="H1084" s="2" t="s">
        <v>6224</v>
      </c>
      <c r="I1084" s="2" t="s">
        <v>6225</v>
      </c>
      <c r="J1084" s="2" t="s">
        <v>612</v>
      </c>
      <c r="K1084" s="2" t="s">
        <v>6226</v>
      </c>
      <c r="L1084" s="3">
        <v>37.23</v>
      </c>
      <c r="M1084" s="3">
        <v>39.09</v>
      </c>
      <c r="N1084" s="3">
        <v>79.99</v>
      </c>
      <c r="O1084" s="2" t="s">
        <v>212</v>
      </c>
      <c r="P1084" s="2" t="s">
        <v>205</v>
      </c>
      <c r="Q1084" s="2" t="s">
        <v>206</v>
      </c>
      <c r="R1084" s="2" t="s">
        <v>200</v>
      </c>
      <c r="S1084" s="2" t="s">
        <v>6227</v>
      </c>
      <c r="T1084" s="2" t="s">
        <v>1899</v>
      </c>
      <c r="U1084" s="2" t="s">
        <v>454</v>
      </c>
      <c r="V1084" s="2" t="s">
        <v>208</v>
      </c>
      <c r="W1084" s="2" t="s">
        <v>242</v>
      </c>
      <c r="X1084" s="2" t="s">
        <v>379</v>
      </c>
      <c r="Y1084" s="2" t="s">
        <v>6228</v>
      </c>
      <c r="Z1084" s="4">
        <v>150</v>
      </c>
      <c r="AA1084" s="4">
        <f>=ROUNDDOWN(19.2307692307692,0)</f>
      </c>
      <c r="AB1084" s="5">
        <v>7.8</v>
      </c>
      <c r="AC1084" s="2" t="s">
        <v>5761</v>
      </c>
      <c r="AD1084" s="4">
        <v>150</v>
      </c>
      <c r="AE1084" s="4">
        <v>350</v>
      </c>
      <c r="AF1084" s="6">
        <v>65</v>
      </c>
      <c r="AG1084" s="6"/>
      <c r="AH1084" s="7">
        <v>1</v>
      </c>
      <c r="AI1084" s="4"/>
      <c r="AJ1084" s="4">
        <f>=ROUNDDOWN({0},0)</f>
      </c>
      <c r="AK1084" s="5"/>
      <c r="AL1084" s="2" t="s">
        <v>200</v>
      </c>
      <c r="AM1084" s="4"/>
      <c r="AN1084" s="4"/>
      <c r="AO1084" s="7"/>
      <c r="AP1084" s="4"/>
      <c r="AQ1084" s="8"/>
      <c r="AR1084" s="4"/>
      <c r="AS1084" s="8"/>
      <c r="AT1084" s="7"/>
      <c r="AU1084" s="7"/>
      <c r="AV1084" s="4"/>
      <c r="AW1084" s="8"/>
      <c r="AX1084" s="4"/>
      <c r="AY1084" s="8"/>
      <c r="AZ1084" s="7"/>
      <c r="BA1084" s="7"/>
      <c r="BB1084" s="7"/>
      <c r="BC1084" s="4" t="s">
        <v>200</v>
      </c>
      <c r="BD1084" s="8" t="s">
        <v>200</v>
      </c>
      <c r="BE1084" s="4" t="s">
        <v>200</v>
      </c>
      <c r="BF1084" s="8" t="s">
        <v>200</v>
      </c>
      <c r="BG1084" s="7" t="s">
        <v>200</v>
      </c>
      <c r="BH1084" s="7" t="s">
        <v>200</v>
      </c>
      <c r="BI1084" s="7"/>
      <c r="BJ1084" s="4">
        <v>137</v>
      </c>
      <c r="BK1084" s="8">
        <v>5254.01</v>
      </c>
      <c r="BL1084" s="2" t="s">
        <v>370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6229</v>
      </c>
      <c r="BV1084" s="2" t="s">
        <v>200</v>
      </c>
      <c r="BW1084" s="2" t="s">
        <v>200</v>
      </c>
      <c r="BX1084" s="2" t="s">
        <v>620</v>
      </c>
      <c r="BY1084" s="2" t="s">
        <v>247</v>
      </c>
      <c r="BZ1084" s="2" t="s">
        <v>212</v>
      </c>
      <c r="CA1084" s="2" t="s">
        <v>5635</v>
      </c>
      <c r="CB1084" s="2" t="s">
        <v>3329</v>
      </c>
      <c r="CC1084" s="2" t="s">
        <v>213</v>
      </c>
      <c r="CD1084" s="2" t="s">
        <v>200</v>
      </c>
      <c r="CE1084" s="4">
        <v>150</v>
      </c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>
        <v>150</v>
      </c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>
        <v>200</v>
      </c>
      <c r="EO1084" s="4"/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/>
      <c r="FD1084" s="4"/>
      <c r="FE1084" s="4"/>
      <c r="FF1084" s="4"/>
      <c r="FG1084" s="4"/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4"/>
      <c r="FW1084" s="4"/>
      <c r="FX1084" s="4"/>
      <c r="FY1084" s="4"/>
      <c r="FZ1084" s="4"/>
      <c r="GA1084" s="4"/>
      <c r="GB1084" s="4"/>
      <c r="GC1084" s="4"/>
      <c r="GD1084" s="4"/>
      <c r="GE1084" s="4"/>
      <c r="GF1084" s="4"/>
      <c r="GG1084" s="4"/>
      <c r="GH1084" s="4"/>
    </row>
    <row r="1085">
      <c r="A1085" s="2" t="s">
        <v>6230</v>
      </c>
      <c r="B1085" s="2" t="s">
        <v>195</v>
      </c>
      <c r="C1085" s="2" t="s">
        <v>877</v>
      </c>
      <c r="D1085" s="2" t="s">
        <v>608</v>
      </c>
      <c r="E1085" s="2" t="s">
        <v>1324</v>
      </c>
      <c r="F1085" s="2" t="s">
        <v>6223</v>
      </c>
      <c r="G1085" s="2" t="s">
        <v>6224</v>
      </c>
      <c r="H1085" s="2" t="s">
        <v>6224</v>
      </c>
      <c r="I1085" s="2" t="s">
        <v>6225</v>
      </c>
      <c r="J1085" s="2" t="s">
        <v>924</v>
      </c>
      <c r="K1085" s="2" t="s">
        <v>6231</v>
      </c>
      <c r="L1085" s="3">
        <v>41.61</v>
      </c>
      <c r="M1085" s="3">
        <v>43.69</v>
      </c>
      <c r="N1085" s="3">
        <v>89.99</v>
      </c>
      <c r="O1085" s="2" t="s">
        <v>212</v>
      </c>
      <c r="P1085" s="2" t="s">
        <v>205</v>
      </c>
      <c r="Q1085" s="2" t="s">
        <v>206</v>
      </c>
      <c r="R1085" s="2" t="s">
        <v>200</v>
      </c>
      <c r="S1085" s="2" t="s">
        <v>6232</v>
      </c>
      <c r="T1085" s="2" t="s">
        <v>1899</v>
      </c>
      <c r="U1085" s="2" t="s">
        <v>454</v>
      </c>
      <c r="V1085" s="2" t="s">
        <v>208</v>
      </c>
      <c r="W1085" s="2" t="s">
        <v>242</v>
      </c>
      <c r="X1085" s="2" t="s">
        <v>379</v>
      </c>
      <c r="Y1085" s="2" t="s">
        <v>6228</v>
      </c>
      <c r="Z1085" s="4">
        <v>28</v>
      </c>
      <c r="AA1085" s="4">
        <f>=ROUNDDOWN(5.83333333333333,0)</f>
      </c>
      <c r="AB1085" s="5">
        <v>4.8</v>
      </c>
      <c r="AC1085" s="2" t="s">
        <v>5761</v>
      </c>
      <c r="AD1085" s="4">
        <v>150</v>
      </c>
      <c r="AE1085" s="4">
        <v>230</v>
      </c>
      <c r="AF1085" s="6">
        <v>65</v>
      </c>
      <c r="AG1085" s="6"/>
      <c r="AH1085" s="7">
        <v>1</v>
      </c>
      <c r="AI1085" s="4"/>
      <c r="AJ1085" s="4">
        <f>=ROUNDDOWN({0},0)</f>
      </c>
      <c r="AK1085" s="5"/>
      <c r="AL1085" s="2" t="s">
        <v>200</v>
      </c>
      <c r="AM1085" s="4"/>
      <c r="AN1085" s="4"/>
      <c r="AO1085" s="7"/>
      <c r="AP1085" s="4"/>
      <c r="AQ1085" s="8"/>
      <c r="AR1085" s="4"/>
      <c r="AS1085" s="8"/>
      <c r="AT1085" s="7"/>
      <c r="AU1085" s="7"/>
      <c r="AV1085" s="4"/>
      <c r="AW1085" s="8"/>
      <c r="AX1085" s="4"/>
      <c r="AY1085" s="8"/>
      <c r="AZ1085" s="7"/>
      <c r="BA1085" s="7"/>
      <c r="BB1085" s="7"/>
      <c r="BC1085" s="4" t="s">
        <v>200</v>
      </c>
      <c r="BD1085" s="8" t="s">
        <v>200</v>
      </c>
      <c r="BE1085" s="4" t="s">
        <v>200</v>
      </c>
      <c r="BF1085" s="8" t="s">
        <v>200</v>
      </c>
      <c r="BG1085" s="7" t="s">
        <v>200</v>
      </c>
      <c r="BH1085" s="7" t="s">
        <v>200</v>
      </c>
      <c r="BI1085" s="7"/>
      <c r="BJ1085" s="4">
        <v>79</v>
      </c>
      <c r="BK1085" s="8">
        <v>3410.38</v>
      </c>
      <c r="BL1085" s="2" t="s">
        <v>245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6233</v>
      </c>
      <c r="BV1085" s="2" t="s">
        <v>200</v>
      </c>
      <c r="BW1085" s="2" t="s">
        <v>200</v>
      </c>
      <c r="BX1085" s="2" t="s">
        <v>620</v>
      </c>
      <c r="BY1085" s="2" t="s">
        <v>247</v>
      </c>
      <c r="BZ1085" s="2" t="s">
        <v>212</v>
      </c>
      <c r="CA1085" s="2" t="s">
        <v>5635</v>
      </c>
      <c r="CB1085" s="2" t="s">
        <v>6234</v>
      </c>
      <c r="CC1085" s="2" t="s">
        <v>213</v>
      </c>
      <c r="CD1085" s="2" t="s">
        <v>200</v>
      </c>
      <c r="CE1085" s="4">
        <v>28</v>
      </c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  <c r="DP1085" s="4"/>
      <c r="DQ1085" s="4"/>
      <c r="DR1085" s="4"/>
      <c r="DS1085" s="4"/>
      <c r="DT1085" s="4"/>
      <c r="DU1085" s="4"/>
      <c r="DV1085" s="4"/>
      <c r="DW1085" s="4"/>
      <c r="DX1085" s="4"/>
      <c r="DY1085" s="4"/>
      <c r="DZ1085" s="4"/>
      <c r="EA1085" s="4">
        <v>150</v>
      </c>
      <c r="EB1085" s="4"/>
      <c r="EC1085" s="4"/>
      <c r="ED1085" s="4"/>
      <c r="EE1085" s="4"/>
      <c r="EF1085" s="4"/>
      <c r="EG1085" s="4"/>
      <c r="EH1085" s="4"/>
      <c r="EI1085" s="4"/>
      <c r="EJ1085" s="4"/>
      <c r="EK1085" s="4"/>
      <c r="EL1085" s="4"/>
      <c r="EM1085" s="4"/>
      <c r="EN1085" s="4">
        <v>80</v>
      </c>
      <c r="EO1085" s="4"/>
      <c r="EP1085" s="4"/>
      <c r="EQ1085" s="4"/>
      <c r="ER1085" s="4"/>
      <c r="ES1085" s="4"/>
      <c r="ET1085" s="4"/>
      <c r="EU1085" s="4"/>
      <c r="EV1085" s="4"/>
      <c r="EW1085" s="4"/>
      <c r="EX1085" s="4"/>
      <c r="EY1085" s="4"/>
      <c r="EZ1085" s="4"/>
      <c r="FA1085" s="4"/>
      <c r="FB1085" s="4"/>
      <c r="FC1085" s="4"/>
      <c r="FD1085" s="4"/>
      <c r="FE1085" s="4"/>
      <c r="FF1085" s="4"/>
      <c r="FG1085" s="4"/>
      <c r="FH1085" s="4"/>
      <c r="FI1085" s="4"/>
      <c r="FJ1085" s="4"/>
      <c r="FK1085" s="4"/>
      <c r="FL1085" s="4"/>
      <c r="FM1085" s="4"/>
      <c r="FN1085" s="4"/>
      <c r="FO1085" s="4"/>
      <c r="FP1085" s="4"/>
      <c r="FQ1085" s="4"/>
      <c r="FR1085" s="4"/>
      <c r="FS1085" s="4"/>
      <c r="FT1085" s="4"/>
      <c r="FU1085" s="4"/>
      <c r="FV1085" s="4"/>
      <c r="FW1085" s="4"/>
      <c r="FX1085" s="4"/>
      <c r="FY1085" s="4"/>
      <c r="FZ1085" s="4"/>
      <c r="GA1085" s="4"/>
      <c r="GB1085" s="4"/>
      <c r="GC1085" s="4"/>
      <c r="GD1085" s="4"/>
      <c r="GE1085" s="4"/>
      <c r="GF1085" s="4"/>
      <c r="GG1085" s="4"/>
      <c r="GH1085" s="4"/>
    </row>
    <row r="1086">
      <c r="A1086" s="2" t="s">
        <v>6235</v>
      </c>
      <c r="B1086" s="2" t="s">
        <v>744</v>
      </c>
      <c r="C1086" s="2" t="s">
        <v>745</v>
      </c>
      <c r="D1086" s="2" t="s">
        <v>1275</v>
      </c>
      <c r="E1086" s="2" t="s">
        <v>1276</v>
      </c>
      <c r="F1086" s="2" t="s">
        <v>6236</v>
      </c>
      <c r="G1086" s="2" t="s">
        <v>6236</v>
      </c>
      <c r="H1086" s="2" t="s">
        <v>6236</v>
      </c>
      <c r="I1086" s="2" t="s">
        <v>2093</v>
      </c>
      <c r="J1086" s="2" t="s">
        <v>711</v>
      </c>
      <c r="K1086" s="2" t="s">
        <v>221</v>
      </c>
      <c r="L1086" s="3">
        <v>209.95</v>
      </c>
      <c r="M1086" s="3">
        <v>220.45</v>
      </c>
      <c r="N1086" s="3">
        <v>439</v>
      </c>
      <c r="O1086" s="2" t="s">
        <v>212</v>
      </c>
      <c r="P1086" s="2" t="s">
        <v>285</v>
      </c>
      <c r="Q1086" s="2" t="s">
        <v>206</v>
      </c>
      <c r="R1086" s="2" t="s">
        <v>200</v>
      </c>
      <c r="S1086" s="2" t="s">
        <v>6237</v>
      </c>
      <c r="T1086" s="2" t="s">
        <v>200</v>
      </c>
      <c r="U1086" s="2" t="s">
        <v>270</v>
      </c>
      <c r="V1086" s="2" t="s">
        <v>208</v>
      </c>
      <c r="W1086" s="2" t="s">
        <v>241</v>
      </c>
      <c r="X1086" s="2" t="s">
        <v>200</v>
      </c>
      <c r="Y1086" s="2" t="s">
        <v>261</v>
      </c>
      <c r="Z1086" s="4">
        <v>50</v>
      </c>
      <c r="AA1086" s="4">
        <f>=ROUNDDOWN(16.6666666666667,0)</f>
      </c>
      <c r="AB1086" s="5">
        <v>3</v>
      </c>
      <c r="AC1086" s="2" t="s">
        <v>200</v>
      </c>
      <c r="AD1086" s="4"/>
      <c r="AE1086" s="4"/>
      <c r="AF1086" s="6">
        <v>66</v>
      </c>
      <c r="AG1086" s="6"/>
      <c r="AH1086" s="7">
        <v>1</v>
      </c>
      <c r="AI1086" s="4"/>
      <c r="AJ1086" s="4">
        <f>=ROUNDDOWN({0},0)</f>
      </c>
      <c r="AK1086" s="5"/>
      <c r="AL1086" s="2" t="s">
        <v>200</v>
      </c>
      <c r="AM1086" s="4"/>
      <c r="AN1086" s="4"/>
      <c r="AO1086" s="7"/>
      <c r="AP1086" s="4"/>
      <c r="AQ1086" s="8"/>
      <c r="AR1086" s="4"/>
      <c r="AS1086" s="8"/>
      <c r="AT1086" s="7"/>
      <c r="AU1086" s="7"/>
      <c r="AV1086" s="4"/>
      <c r="AW1086" s="8"/>
      <c r="AX1086" s="4"/>
      <c r="AY1086" s="8"/>
      <c r="AZ1086" s="7"/>
      <c r="BA1086" s="7"/>
      <c r="BB1086" s="7"/>
      <c r="BC1086" s="4" t="s">
        <v>200</v>
      </c>
      <c r="BD1086" s="8" t="s">
        <v>200</v>
      </c>
      <c r="BE1086" s="4" t="s">
        <v>200</v>
      </c>
      <c r="BF1086" s="8" t="s">
        <v>200</v>
      </c>
      <c r="BG1086" s="7" t="s">
        <v>200</v>
      </c>
      <c r="BH1086" s="7" t="s">
        <v>200</v>
      </c>
      <c r="BI1086" s="7"/>
      <c r="BJ1086" s="4">
        <v>39</v>
      </c>
      <c r="BK1086" s="8">
        <v>3977.4</v>
      </c>
      <c r="BL1086" s="2" t="s">
        <v>6238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6239</v>
      </c>
      <c r="BV1086" s="2" t="s">
        <v>200</v>
      </c>
      <c r="BW1086" s="2" t="s">
        <v>200</v>
      </c>
      <c r="BX1086" s="2" t="s">
        <v>289</v>
      </c>
      <c r="BY1086" s="2" t="s">
        <v>247</v>
      </c>
      <c r="BZ1086" s="2" t="s">
        <v>212</v>
      </c>
      <c r="CA1086" s="2" t="s">
        <v>2846</v>
      </c>
      <c r="CB1086" s="2" t="s">
        <v>6240</v>
      </c>
      <c r="CC1086" s="2" t="s">
        <v>213</v>
      </c>
      <c r="CD1086" s="2" t="s">
        <v>200</v>
      </c>
      <c r="CE1086" s="4"/>
      <c r="CF1086" s="4">
        <v>50</v>
      </c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/>
      <c r="GE1086" s="4"/>
      <c r="GF1086" s="4"/>
      <c r="GG1086" s="4"/>
      <c r="GH1086" s="4"/>
    </row>
    <row r="1087">
      <c r="A1087" s="2" t="s">
        <v>6241</v>
      </c>
      <c r="B1087" s="2" t="s">
        <v>744</v>
      </c>
      <c r="C1087" s="2" t="s">
        <v>745</v>
      </c>
      <c r="D1087" s="2" t="s">
        <v>1275</v>
      </c>
      <c r="E1087" s="2" t="s">
        <v>1276</v>
      </c>
      <c r="F1087" s="2" t="s">
        <v>6236</v>
      </c>
      <c r="G1087" s="2" t="s">
        <v>6236</v>
      </c>
      <c r="H1087" s="2" t="s">
        <v>6236</v>
      </c>
      <c r="I1087" s="2" t="s">
        <v>2093</v>
      </c>
      <c r="J1087" s="2" t="s">
        <v>711</v>
      </c>
      <c r="K1087" s="2" t="s">
        <v>223</v>
      </c>
      <c r="L1087" s="3">
        <v>209.95</v>
      </c>
      <c r="M1087" s="3">
        <v>220.45</v>
      </c>
      <c r="N1087" s="3">
        <v>439</v>
      </c>
      <c r="O1087" s="2" t="s">
        <v>460</v>
      </c>
      <c r="P1087" s="2" t="s">
        <v>285</v>
      </c>
      <c r="Q1087" s="2" t="s">
        <v>206</v>
      </c>
      <c r="R1087" s="2" t="s">
        <v>200</v>
      </c>
      <c r="S1087" s="2" t="s">
        <v>200</v>
      </c>
      <c r="T1087" s="2" t="s">
        <v>200</v>
      </c>
      <c r="U1087" s="2" t="s">
        <v>270</v>
      </c>
      <c r="V1087" s="2" t="s">
        <v>616</v>
      </c>
      <c r="W1087" s="2" t="s">
        <v>241</v>
      </c>
      <c r="X1087" s="2" t="s">
        <v>200</v>
      </c>
      <c r="Y1087" s="2" t="s">
        <v>6242</v>
      </c>
      <c r="Z1087" s="4"/>
      <c r="AA1087" s="4">
        <f>=ROUNDDOWN({0},0)</f>
      </c>
      <c r="AB1087" s="5">
        <v>2.1</v>
      </c>
      <c r="AC1087" s="2" t="s">
        <v>200</v>
      </c>
      <c r="AD1087" s="4"/>
      <c r="AE1087" s="4"/>
      <c r="AF1087" s="6">
        <v>65</v>
      </c>
      <c r="AG1087" s="6"/>
      <c r="AH1087" s="7">
        <v>0.9667</v>
      </c>
      <c r="AI1087" s="4"/>
      <c r="AJ1087" s="4">
        <f>=ROUNDDOWN({0},0)</f>
      </c>
      <c r="AK1087" s="5"/>
      <c r="AL1087" s="2" t="s">
        <v>200</v>
      </c>
      <c r="AM1087" s="4"/>
      <c r="AN1087" s="4"/>
      <c r="AO1087" s="7"/>
      <c r="AP1087" s="4"/>
      <c r="AQ1087" s="8"/>
      <c r="AR1087" s="4"/>
      <c r="AS1087" s="8"/>
      <c r="AT1087" s="7"/>
      <c r="AU1087" s="7"/>
      <c r="AV1087" s="4"/>
      <c r="AW1087" s="8"/>
      <c r="AX1087" s="4"/>
      <c r="AY1087" s="8"/>
      <c r="AZ1087" s="7"/>
      <c r="BA1087" s="7"/>
      <c r="BB1087" s="7"/>
      <c r="BC1087" s="4" t="s">
        <v>200</v>
      </c>
      <c r="BD1087" s="8" t="s">
        <v>200</v>
      </c>
      <c r="BE1087" s="4" t="s">
        <v>200</v>
      </c>
      <c r="BF1087" s="8" t="s">
        <v>200</v>
      </c>
      <c r="BG1087" s="7" t="s">
        <v>200</v>
      </c>
      <c r="BH1087" s="7" t="s">
        <v>200</v>
      </c>
      <c r="BI1087" s="7"/>
      <c r="BJ1087" s="4">
        <v>57</v>
      </c>
      <c r="BK1087" s="8">
        <v>2117.94</v>
      </c>
      <c r="BL1087" s="2" t="s">
        <v>4861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6243</v>
      </c>
      <c r="BV1087" s="2" t="s">
        <v>200</v>
      </c>
      <c r="BW1087" s="2" t="s">
        <v>200</v>
      </c>
      <c r="BX1087" s="2" t="s">
        <v>289</v>
      </c>
      <c r="BY1087" s="2" t="s">
        <v>247</v>
      </c>
      <c r="BZ1087" s="2" t="s">
        <v>212</v>
      </c>
      <c r="CA1087" s="2" t="s">
        <v>6242</v>
      </c>
      <c r="CB1087" s="2" t="s">
        <v>6244</v>
      </c>
      <c r="CC1087" s="2" t="s">
        <v>213</v>
      </c>
      <c r="CD1087" s="2" t="s">
        <v>200</v>
      </c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4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4"/>
      <c r="FW1087" s="4"/>
      <c r="FX1087" s="4"/>
      <c r="FY1087" s="4"/>
      <c r="FZ1087" s="4"/>
      <c r="GA1087" s="4"/>
      <c r="GB1087" s="4"/>
      <c r="GC1087" s="4"/>
      <c r="GD1087" s="4"/>
      <c r="GE1087" s="4"/>
      <c r="GF1087" s="4"/>
      <c r="GG1087" s="4"/>
      <c r="GH1087" s="4"/>
    </row>
    <row r="1088">
      <c r="A1088" s="2" t="s">
        <v>6245</v>
      </c>
      <c r="B1088" s="2" t="s">
        <v>719</v>
      </c>
      <c r="C1088" s="2" t="s">
        <v>231</v>
      </c>
      <c r="D1088" s="2" t="s">
        <v>6246</v>
      </c>
      <c r="E1088" s="2" t="s">
        <v>6247</v>
      </c>
      <c r="F1088" s="2" t="s">
        <v>6248</v>
      </c>
      <c r="G1088" s="2" t="s">
        <v>6248</v>
      </c>
      <c r="H1088" s="2" t="s">
        <v>6248</v>
      </c>
      <c r="I1088" s="2" t="s">
        <v>6249</v>
      </c>
      <c r="J1088" s="2" t="s">
        <v>711</v>
      </c>
      <c r="K1088" s="2" t="s">
        <v>6250</v>
      </c>
      <c r="L1088" s="3">
        <v>56.03</v>
      </c>
      <c r="M1088" s="3">
        <v>58.83</v>
      </c>
      <c r="N1088" s="3">
        <v>116.99</v>
      </c>
      <c r="O1088" s="2" t="s">
        <v>212</v>
      </c>
      <c r="P1088" s="2" t="s">
        <v>258</v>
      </c>
      <c r="Q1088" s="2" t="s">
        <v>206</v>
      </c>
      <c r="R1088" s="2" t="s">
        <v>200</v>
      </c>
      <c r="S1088" s="2" t="s">
        <v>6251</v>
      </c>
      <c r="T1088" s="2" t="s">
        <v>200</v>
      </c>
      <c r="U1088" s="2" t="s">
        <v>454</v>
      </c>
      <c r="V1088" s="2" t="s">
        <v>1348</v>
      </c>
      <c r="W1088" s="2" t="s">
        <v>1975</v>
      </c>
      <c r="X1088" s="2" t="s">
        <v>241</v>
      </c>
      <c r="Y1088" s="2" t="s">
        <v>6252</v>
      </c>
      <c r="Z1088" s="4">
        <v>169</v>
      </c>
      <c r="AA1088" s="4">
        <f>=ROUNDDOWN(41.219512195122,0)</f>
      </c>
      <c r="AB1088" s="5">
        <v>4.1</v>
      </c>
      <c r="AC1088" s="2" t="s">
        <v>200</v>
      </c>
      <c r="AD1088" s="4"/>
      <c r="AE1088" s="4"/>
      <c r="AF1088" s="6">
        <v>63</v>
      </c>
      <c r="AG1088" s="6"/>
      <c r="AH1088" s="7">
        <v>1</v>
      </c>
      <c r="AI1088" s="4"/>
      <c r="AJ1088" s="4">
        <f>=ROUNDDOWN({0},0)</f>
      </c>
      <c r="AK1088" s="5"/>
      <c r="AL1088" s="2" t="s">
        <v>200</v>
      </c>
      <c r="AM1088" s="4"/>
      <c r="AN1088" s="4"/>
      <c r="AO1088" s="7"/>
      <c r="AP1088" s="4"/>
      <c r="AQ1088" s="8"/>
      <c r="AR1088" s="4"/>
      <c r="AS1088" s="8"/>
      <c r="AT1088" s="7"/>
      <c r="AU1088" s="7"/>
      <c r="AV1088" s="4"/>
      <c r="AW1088" s="8"/>
      <c r="AX1088" s="4"/>
      <c r="AY1088" s="8"/>
      <c r="AZ1088" s="7"/>
      <c r="BA1088" s="7"/>
      <c r="BB1088" s="7"/>
      <c r="BC1088" s="4"/>
      <c r="BD1088" s="8"/>
      <c r="BE1088" s="4"/>
      <c r="BF1088" s="8"/>
      <c r="BG1088" s="7"/>
      <c r="BH1088" s="7"/>
      <c r="BI1088" s="7"/>
      <c r="BJ1088" s="4">
        <v>13</v>
      </c>
      <c r="BK1088" s="8">
        <v>811.04</v>
      </c>
      <c r="BL1088" s="2" t="s">
        <v>6253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6254</v>
      </c>
      <c r="BV1088" s="2" t="s">
        <v>200</v>
      </c>
      <c r="BW1088" s="2" t="s">
        <v>200</v>
      </c>
      <c r="BX1088" s="2" t="s">
        <v>264</v>
      </c>
      <c r="BY1088" s="2" t="s">
        <v>247</v>
      </c>
      <c r="BZ1088" s="2" t="s">
        <v>212</v>
      </c>
      <c r="CA1088" s="2" t="s">
        <v>1260</v>
      </c>
      <c r="CB1088" s="2" t="s">
        <v>6255</v>
      </c>
      <c r="CC1088" s="2" t="s">
        <v>213</v>
      </c>
      <c r="CD1088" s="2" t="s">
        <v>200</v>
      </c>
      <c r="CE1088" s="4"/>
      <c r="CF1088" s="4">
        <v>169</v>
      </c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  <c r="FX1088" s="4"/>
      <c r="FY1088" s="4"/>
      <c r="FZ1088" s="4"/>
      <c r="GA1088" s="4"/>
      <c r="GB1088" s="4"/>
      <c r="GC1088" s="4"/>
      <c r="GD1088" s="4"/>
      <c r="GE1088" s="4"/>
      <c r="GF1088" s="4"/>
      <c r="GG1088" s="4"/>
      <c r="GH1088" s="4"/>
    </row>
    <row r="1089">
      <c r="A1089" s="2" t="s">
        <v>6256</v>
      </c>
      <c r="B1089" s="2" t="s">
        <v>744</v>
      </c>
      <c r="C1089" s="2" t="s">
        <v>730</v>
      </c>
      <c r="D1089" s="2" t="s">
        <v>1275</v>
      </c>
      <c r="E1089" s="2" t="s">
        <v>1276</v>
      </c>
      <c r="F1089" s="2" t="s">
        <v>6257</v>
      </c>
      <c r="G1089" s="2" t="s">
        <v>6257</v>
      </c>
      <c r="H1089" s="2" t="s">
        <v>6257</v>
      </c>
      <c r="I1089" s="2" t="s">
        <v>2093</v>
      </c>
      <c r="J1089" s="2" t="s">
        <v>711</v>
      </c>
      <c r="K1089" s="2" t="s">
        <v>850</v>
      </c>
      <c r="L1089" s="3">
        <v>250</v>
      </c>
      <c r="M1089" s="3">
        <v>262.5</v>
      </c>
      <c r="N1089" s="3">
        <v>519</v>
      </c>
      <c r="O1089" s="2" t="s">
        <v>460</v>
      </c>
      <c r="P1089" s="2" t="s">
        <v>285</v>
      </c>
      <c r="Q1089" s="2" t="s">
        <v>206</v>
      </c>
      <c r="R1089" s="2" t="s">
        <v>200</v>
      </c>
      <c r="S1089" s="2" t="s">
        <v>200</v>
      </c>
      <c r="T1089" s="2" t="s">
        <v>200</v>
      </c>
      <c r="U1089" s="2" t="s">
        <v>200</v>
      </c>
      <c r="V1089" s="2" t="s">
        <v>208</v>
      </c>
      <c r="W1089" s="2" t="s">
        <v>379</v>
      </c>
      <c r="X1089" s="2" t="s">
        <v>2053</v>
      </c>
      <c r="Y1089" s="2" t="s">
        <v>2490</v>
      </c>
      <c r="Z1089" s="4">
        <v>41</v>
      </c>
      <c r="AA1089" s="4">
        <f>=ROUNDDOWN(205,0)</f>
      </c>
      <c r="AB1089" s="5">
        <v>0.2</v>
      </c>
      <c r="AC1089" s="2" t="s">
        <v>200</v>
      </c>
      <c r="AD1089" s="4"/>
      <c r="AE1089" s="4"/>
      <c r="AF1089" s="6">
        <v>66</v>
      </c>
      <c r="AG1089" s="6"/>
      <c r="AH1089" s="7">
        <v>1</v>
      </c>
      <c r="AI1089" s="4"/>
      <c r="AJ1089" s="4">
        <f>=ROUNDDOWN({0},0)</f>
      </c>
      <c r="AK1089" s="5"/>
      <c r="AL1089" s="2" t="s">
        <v>200</v>
      </c>
      <c r="AM1089" s="4"/>
      <c r="AN1089" s="4"/>
      <c r="AO1089" s="7"/>
      <c r="AP1089" s="4"/>
      <c r="AQ1089" s="8"/>
      <c r="AR1089" s="4"/>
      <c r="AS1089" s="8"/>
      <c r="AT1089" s="7"/>
      <c r="AU1089" s="7"/>
      <c r="AV1089" s="4"/>
      <c r="AW1089" s="8"/>
      <c r="AX1089" s="4"/>
      <c r="AY1089" s="8"/>
      <c r="AZ1089" s="7"/>
      <c r="BA1089" s="7"/>
      <c r="BB1089" s="7"/>
      <c r="BC1089" s="4"/>
      <c r="BD1089" s="8"/>
      <c r="BE1089" s="4"/>
      <c r="BF1089" s="8"/>
      <c r="BG1089" s="7"/>
      <c r="BH1089" s="7"/>
      <c r="BI1089" s="7"/>
      <c r="BJ1089" s="4">
        <v>1</v>
      </c>
      <c r="BK1089" s="8">
        <v>210</v>
      </c>
      <c r="BL1089" s="2" t="s">
        <v>1675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6258</v>
      </c>
      <c r="BV1089" s="2" t="s">
        <v>200</v>
      </c>
      <c r="BW1089" s="2" t="s">
        <v>200</v>
      </c>
      <c r="BX1089" s="2" t="s">
        <v>289</v>
      </c>
      <c r="BY1089" s="2" t="s">
        <v>247</v>
      </c>
      <c r="BZ1089" s="2" t="s">
        <v>212</v>
      </c>
      <c r="CA1089" s="2" t="s">
        <v>6259</v>
      </c>
      <c r="CB1089" s="2" t="s">
        <v>6260</v>
      </c>
      <c r="CC1089" s="2" t="s">
        <v>213</v>
      </c>
      <c r="CD1089" s="2" t="s">
        <v>200</v>
      </c>
      <c r="CE1089" s="4"/>
      <c r="CF1089" s="4">
        <v>41</v>
      </c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E1089" s="4"/>
      <c r="DF1089" s="4"/>
      <c r="DG1089" s="4"/>
      <c r="DH1089" s="4"/>
      <c r="DI1089" s="4"/>
      <c r="DJ1089" s="4"/>
      <c r="DK1089" s="4"/>
      <c r="DL1089" s="4"/>
      <c r="DM1089" s="4"/>
      <c r="DN1089" s="4"/>
      <c r="DO1089" s="4"/>
      <c r="DP1089" s="4"/>
      <c r="DQ1089" s="4"/>
      <c r="DR1089" s="4"/>
      <c r="DS1089" s="4"/>
      <c r="DT1089" s="4"/>
      <c r="DU1089" s="4"/>
      <c r="DV1089" s="4"/>
      <c r="DW1089" s="4"/>
      <c r="DX1089" s="4"/>
      <c r="DY1089" s="4"/>
      <c r="DZ1089" s="4"/>
      <c r="EA1089" s="4"/>
      <c r="EB1089" s="4"/>
      <c r="EC1089" s="4"/>
      <c r="ED1089" s="4"/>
      <c r="EE1089" s="4"/>
      <c r="EF1089" s="4"/>
      <c r="EG1089" s="4"/>
      <c r="EH1089" s="4"/>
      <c r="EI1089" s="4"/>
      <c r="EJ1089" s="4"/>
      <c r="EK1089" s="4"/>
      <c r="EL1089" s="4"/>
      <c r="EM1089" s="4"/>
      <c r="EN1089" s="4"/>
      <c r="EO1089" s="4"/>
      <c r="EP1089" s="4"/>
      <c r="EQ1089" s="4"/>
      <c r="ER1089" s="4"/>
      <c r="ES1089" s="4"/>
      <c r="ET1089" s="4"/>
      <c r="EU1089" s="4"/>
      <c r="EV1089" s="4"/>
      <c r="EW1089" s="4"/>
      <c r="EX1089" s="4"/>
      <c r="EY1089" s="4"/>
      <c r="EZ1089" s="4"/>
      <c r="FA1089" s="4"/>
      <c r="FB1089" s="4"/>
      <c r="FC1089" s="4"/>
      <c r="FD1089" s="4"/>
      <c r="FE1089" s="4"/>
      <c r="FF1089" s="4"/>
      <c r="FG1089" s="4"/>
      <c r="FH1089" s="4"/>
      <c r="FI1089" s="4"/>
      <c r="FJ1089" s="4"/>
      <c r="FK1089" s="4"/>
      <c r="FL1089" s="4"/>
      <c r="FM1089" s="4"/>
      <c r="FN1089" s="4"/>
      <c r="FO1089" s="4"/>
      <c r="FP1089" s="4"/>
      <c r="FQ1089" s="4"/>
      <c r="FR1089" s="4"/>
      <c r="FS1089" s="4"/>
      <c r="FT1089" s="4"/>
      <c r="FU1089" s="4"/>
      <c r="FV1089" s="4"/>
      <c r="FW1089" s="4"/>
      <c r="FX1089" s="4"/>
      <c r="FY1089" s="4"/>
      <c r="FZ1089" s="4"/>
      <c r="GA1089" s="4"/>
      <c r="GB1089" s="4"/>
      <c r="GC1089" s="4"/>
      <c r="GD1089" s="4"/>
      <c r="GE1089" s="4"/>
      <c r="GF1089" s="4"/>
      <c r="GG1089" s="4"/>
      <c r="GH1089" s="4"/>
    </row>
    <row r="1090">
      <c r="A1090" s="2" t="s">
        <v>6261</v>
      </c>
      <c r="B1090" s="2" t="s">
        <v>744</v>
      </c>
      <c r="C1090" s="2" t="s">
        <v>231</v>
      </c>
      <c r="D1090" s="2" t="s">
        <v>1806</v>
      </c>
      <c r="E1090" s="2" t="s">
        <v>2569</v>
      </c>
      <c r="F1090" s="2" t="s">
        <v>6262</v>
      </c>
      <c r="G1090" s="2" t="s">
        <v>5652</v>
      </c>
      <c r="H1090" s="2" t="s">
        <v>6263</v>
      </c>
      <c r="I1090" s="2" t="s">
        <v>2569</v>
      </c>
      <c r="J1090" s="2" t="s">
        <v>711</v>
      </c>
      <c r="K1090" s="2" t="s">
        <v>3793</v>
      </c>
      <c r="L1090" s="3">
        <v>350</v>
      </c>
      <c r="M1090" s="3">
        <v>367.5</v>
      </c>
      <c r="N1090" s="3">
        <v>729</v>
      </c>
      <c r="O1090" s="2" t="s">
        <v>212</v>
      </c>
      <c r="P1090" s="2" t="s">
        <v>285</v>
      </c>
      <c r="Q1090" s="2" t="s">
        <v>206</v>
      </c>
      <c r="R1090" s="2" t="s">
        <v>200</v>
      </c>
      <c r="S1090" s="2" t="s">
        <v>6264</v>
      </c>
      <c r="T1090" s="2" t="s">
        <v>200</v>
      </c>
      <c r="U1090" s="2" t="s">
        <v>200</v>
      </c>
      <c r="V1090" s="2" t="s">
        <v>208</v>
      </c>
      <c r="W1090" s="2" t="s">
        <v>379</v>
      </c>
      <c r="X1090" s="2" t="s">
        <v>200</v>
      </c>
      <c r="Y1090" s="2" t="s">
        <v>6265</v>
      </c>
      <c r="Z1090" s="4">
        <v>115</v>
      </c>
      <c r="AA1090" s="4">
        <f>=ROUNDDOWN(57.5,0)</f>
      </c>
      <c r="AB1090" s="5">
        <v>2</v>
      </c>
      <c r="AC1090" s="2" t="s">
        <v>200</v>
      </c>
      <c r="AD1090" s="4"/>
      <c r="AE1090" s="4"/>
      <c r="AF1090" s="6">
        <v>66</v>
      </c>
      <c r="AG1090" s="6">
        <v>49</v>
      </c>
      <c r="AH1090" s="7">
        <v>1</v>
      </c>
      <c r="AI1090" s="4"/>
      <c r="AJ1090" s="4">
        <f>=ROUNDDOWN({0},0)</f>
      </c>
      <c r="AK1090" s="5"/>
      <c r="AL1090" s="2" t="s">
        <v>200</v>
      </c>
      <c r="AM1090" s="4"/>
      <c r="AN1090" s="4"/>
      <c r="AO1090" s="7"/>
      <c r="AP1090" s="4"/>
      <c r="AQ1090" s="8"/>
      <c r="AR1090" s="4"/>
      <c r="AS1090" s="8"/>
      <c r="AT1090" s="7"/>
      <c r="AU1090" s="7"/>
      <c r="AV1090" s="4"/>
      <c r="AW1090" s="8"/>
      <c r="AX1090" s="4"/>
      <c r="AY1090" s="8"/>
      <c r="AZ1090" s="7"/>
      <c r="BA1090" s="7"/>
      <c r="BB1090" s="7"/>
      <c r="BC1090" s="4"/>
      <c r="BD1090" s="8"/>
      <c r="BE1090" s="4"/>
      <c r="BF1090" s="8"/>
      <c r="BG1090" s="7"/>
      <c r="BH1090" s="7"/>
      <c r="BI1090" s="7"/>
      <c r="BJ1090" s="4">
        <v>9</v>
      </c>
      <c r="BK1090" s="8">
        <v>2761.53</v>
      </c>
      <c r="BL1090" s="2" t="s">
        <v>6266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6267</v>
      </c>
      <c r="BV1090" s="2" t="s">
        <v>200</v>
      </c>
      <c r="BW1090" s="2" t="s">
        <v>200</v>
      </c>
      <c r="BX1090" s="2" t="s">
        <v>289</v>
      </c>
      <c r="BY1090" s="2" t="s">
        <v>247</v>
      </c>
      <c r="BZ1090" s="2" t="s">
        <v>212</v>
      </c>
      <c r="CA1090" s="2" t="s">
        <v>6268</v>
      </c>
      <c r="CB1090" s="2" t="s">
        <v>6269</v>
      </c>
      <c r="CC1090" s="2" t="s">
        <v>213</v>
      </c>
      <c r="CD1090" s="2" t="s">
        <v>200</v>
      </c>
      <c r="CE1090" s="4"/>
      <c r="CF1090" s="4">
        <v>115</v>
      </c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4"/>
      <c r="FW1090" s="4"/>
      <c r="FX1090" s="4"/>
      <c r="FY1090" s="4"/>
      <c r="FZ1090" s="4"/>
      <c r="GA1090" s="4"/>
      <c r="GB1090" s="4"/>
      <c r="GC1090" s="4"/>
      <c r="GD1090" s="4"/>
      <c r="GE1090" s="4"/>
      <c r="GF1090" s="4"/>
      <c r="GG1090" s="4"/>
      <c r="GH1090" s="4"/>
    </row>
    <row r="1091">
      <c r="A1091" s="2" t="s">
        <v>6270</v>
      </c>
      <c r="B1091" s="2" t="s">
        <v>903</v>
      </c>
      <c r="C1091" s="2" t="s">
        <v>231</v>
      </c>
      <c r="D1091" s="2" t="s">
        <v>608</v>
      </c>
      <c r="E1091" s="2" t="s">
        <v>609</v>
      </c>
      <c r="F1091" s="2" t="s">
        <v>6271</v>
      </c>
      <c r="G1091" s="2" t="s">
        <v>6272</v>
      </c>
      <c r="H1091" s="2" t="s">
        <v>6273</v>
      </c>
      <c r="I1091" s="2" t="s">
        <v>6274</v>
      </c>
      <c r="J1091" s="2" t="s">
        <v>612</v>
      </c>
      <c r="K1091" s="2" t="s">
        <v>223</v>
      </c>
      <c r="L1091" s="3">
        <v>36.57</v>
      </c>
      <c r="M1091" s="3">
        <v>38.4</v>
      </c>
      <c r="N1091" s="3">
        <v>79.99</v>
      </c>
      <c r="O1091" s="2" t="s">
        <v>212</v>
      </c>
      <c r="P1091" s="2" t="s">
        <v>205</v>
      </c>
      <c r="Q1091" s="2" t="s">
        <v>206</v>
      </c>
      <c r="R1091" s="2" t="s">
        <v>200</v>
      </c>
      <c r="S1091" s="2" t="s">
        <v>6275</v>
      </c>
      <c r="T1091" s="2" t="s">
        <v>378</v>
      </c>
      <c r="U1091" s="2" t="s">
        <v>240</v>
      </c>
      <c r="V1091" s="2" t="s">
        <v>940</v>
      </c>
      <c r="W1091" s="2" t="s">
        <v>6276</v>
      </c>
      <c r="X1091" s="2" t="s">
        <v>241</v>
      </c>
      <c r="Y1091" s="2" t="s">
        <v>4740</v>
      </c>
      <c r="Z1091" s="4">
        <v>245</v>
      </c>
      <c r="AA1091" s="4">
        <f>=ROUNDDOWN(49,0)</f>
      </c>
      <c r="AB1091" s="5">
        <v>5</v>
      </c>
      <c r="AC1091" s="2" t="s">
        <v>200</v>
      </c>
      <c r="AD1091" s="4"/>
      <c r="AE1091" s="4"/>
      <c r="AF1091" s="6">
        <v>64</v>
      </c>
      <c r="AG1091" s="6"/>
      <c r="AH1091" s="7">
        <v>1</v>
      </c>
      <c r="AI1091" s="4"/>
      <c r="AJ1091" s="4">
        <f>=ROUNDDOWN({0},0)</f>
      </c>
      <c r="AK1091" s="5"/>
      <c r="AL1091" s="2" t="s">
        <v>200</v>
      </c>
      <c r="AM1091" s="4"/>
      <c r="AN1091" s="4"/>
      <c r="AO1091" s="7"/>
      <c r="AP1091" s="4"/>
      <c r="AQ1091" s="8"/>
      <c r="AR1091" s="4"/>
      <c r="AS1091" s="8"/>
      <c r="AT1091" s="7"/>
      <c r="AU1091" s="7"/>
      <c r="AV1091" s="4" t="s">
        <v>200</v>
      </c>
      <c r="AW1091" s="8" t="s">
        <v>200</v>
      </c>
      <c r="AX1091" s="4" t="s">
        <v>200</v>
      </c>
      <c r="AY1091" s="8" t="s">
        <v>200</v>
      </c>
      <c r="AZ1091" s="7" t="s">
        <v>200</v>
      </c>
      <c r="BA1091" s="7" t="s">
        <v>200</v>
      </c>
      <c r="BB1091" s="7" t="s">
        <v>200</v>
      </c>
      <c r="BC1091" s="4" t="s">
        <v>200</v>
      </c>
      <c r="BD1091" s="8" t="s">
        <v>200</v>
      </c>
      <c r="BE1091" s="4" t="s">
        <v>200</v>
      </c>
      <c r="BF1091" s="8" t="s">
        <v>200</v>
      </c>
      <c r="BG1091" s="7" t="s">
        <v>200</v>
      </c>
      <c r="BH1091" s="7" t="s">
        <v>200</v>
      </c>
      <c r="BI1091" s="7"/>
      <c r="BJ1091" s="4">
        <v>11</v>
      </c>
      <c r="BK1091" s="8">
        <v>471.57</v>
      </c>
      <c r="BL1091" s="2" t="s">
        <v>2436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6277</v>
      </c>
      <c r="BV1091" s="2" t="s">
        <v>200</v>
      </c>
      <c r="BW1091" s="2" t="s">
        <v>200</v>
      </c>
      <c r="BX1091" s="2" t="s">
        <v>264</v>
      </c>
      <c r="BY1091" s="2" t="s">
        <v>247</v>
      </c>
      <c r="BZ1091" s="2" t="s">
        <v>212</v>
      </c>
      <c r="CA1091" s="2" t="s">
        <v>4253</v>
      </c>
      <c r="CB1091" s="2" t="s">
        <v>6228</v>
      </c>
      <c r="CC1091" s="2" t="s">
        <v>213</v>
      </c>
      <c r="CD1091" s="2" t="s">
        <v>200</v>
      </c>
      <c r="CE1091" s="4">
        <v>245</v>
      </c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  <c r="ES1091" s="4"/>
      <c r="ET1091" s="4"/>
      <c r="EU1091" s="4"/>
      <c r="EV1091" s="4"/>
      <c r="EW1091" s="4"/>
      <c r="EX1091" s="4"/>
      <c r="EY1091" s="4"/>
      <c r="EZ1091" s="4"/>
      <c r="FA1091" s="4"/>
      <c r="FB1091" s="4"/>
      <c r="FC1091" s="4"/>
      <c r="FD1091" s="4"/>
      <c r="FE1091" s="4"/>
      <c r="FF1091" s="4"/>
      <c r="FG1091" s="4"/>
      <c r="FH1091" s="4"/>
      <c r="FI1091" s="4"/>
      <c r="FJ1091" s="4"/>
      <c r="FK1091" s="4"/>
      <c r="FL1091" s="4"/>
      <c r="FM1091" s="4"/>
      <c r="FN1091" s="4"/>
      <c r="FO1091" s="4"/>
      <c r="FP1091" s="4"/>
      <c r="FQ1091" s="4"/>
      <c r="FR1091" s="4"/>
      <c r="FS1091" s="4"/>
      <c r="FT1091" s="4"/>
      <c r="FU1091" s="4"/>
      <c r="FV1091" s="4"/>
      <c r="FW1091" s="4"/>
      <c r="FX1091" s="4"/>
      <c r="FY1091" s="4"/>
      <c r="FZ1091" s="4"/>
      <c r="GA1091" s="4"/>
      <c r="GB1091" s="4"/>
      <c r="GC1091" s="4"/>
      <c r="GD1091" s="4"/>
      <c r="GE1091" s="4"/>
      <c r="GF1091" s="4"/>
      <c r="GG1091" s="4"/>
      <c r="GH1091" s="4"/>
    </row>
    <row r="1092">
      <c r="A1092" s="2" t="s">
        <v>6278</v>
      </c>
      <c r="B1092" s="2" t="s">
        <v>903</v>
      </c>
      <c r="C1092" s="2" t="s">
        <v>231</v>
      </c>
      <c r="D1092" s="2" t="s">
        <v>918</v>
      </c>
      <c r="E1092" s="2" t="s">
        <v>919</v>
      </c>
      <c r="F1092" s="2" t="s">
        <v>6271</v>
      </c>
      <c r="G1092" s="2" t="s">
        <v>6272</v>
      </c>
      <c r="H1092" s="2" t="s">
        <v>6273</v>
      </c>
      <c r="I1092" s="2" t="s">
        <v>6279</v>
      </c>
      <c r="J1092" s="2" t="s">
        <v>612</v>
      </c>
      <c r="K1092" s="2" t="s">
        <v>223</v>
      </c>
      <c r="L1092" s="3">
        <v>22.85</v>
      </c>
      <c r="M1092" s="3">
        <v>23.99</v>
      </c>
      <c r="N1092" s="3">
        <v>49.99</v>
      </c>
      <c r="O1092" s="2" t="s">
        <v>212</v>
      </c>
      <c r="P1092" s="2" t="s">
        <v>205</v>
      </c>
      <c r="Q1092" s="2" t="s">
        <v>206</v>
      </c>
      <c r="R1092" s="2" t="s">
        <v>200</v>
      </c>
      <c r="S1092" s="2" t="s">
        <v>6275</v>
      </c>
      <c r="T1092" s="2" t="s">
        <v>378</v>
      </c>
      <c r="U1092" s="2" t="s">
        <v>454</v>
      </c>
      <c r="V1092" s="2" t="s">
        <v>940</v>
      </c>
      <c r="W1092" s="2" t="s">
        <v>6276</v>
      </c>
      <c r="X1092" s="2" t="s">
        <v>241</v>
      </c>
      <c r="Y1092" s="2" t="s">
        <v>4740</v>
      </c>
      <c r="Z1092" s="4">
        <v>98</v>
      </c>
      <c r="AA1092" s="4">
        <f>=ROUNDDOWN(49,0)</f>
      </c>
      <c r="AB1092" s="5">
        <v>2</v>
      </c>
      <c r="AC1092" s="2" t="s">
        <v>200</v>
      </c>
      <c r="AD1092" s="4"/>
      <c r="AE1092" s="4"/>
      <c r="AF1092" s="6">
        <v>64</v>
      </c>
      <c r="AG1092" s="6"/>
      <c r="AH1092" s="7">
        <v>1</v>
      </c>
      <c r="AI1092" s="4"/>
      <c r="AJ1092" s="4">
        <f>=ROUNDDOWN({0},0)</f>
      </c>
      <c r="AK1092" s="5"/>
      <c r="AL1092" s="2" t="s">
        <v>200</v>
      </c>
      <c r="AM1092" s="4"/>
      <c r="AN1092" s="4"/>
      <c r="AO1092" s="7"/>
      <c r="AP1092" s="4"/>
      <c r="AQ1092" s="8"/>
      <c r="AR1092" s="4"/>
      <c r="AS1092" s="8"/>
      <c r="AT1092" s="7"/>
      <c r="AU1092" s="7"/>
      <c r="AV1092" s="4" t="s">
        <v>200</v>
      </c>
      <c r="AW1092" s="8" t="s">
        <v>200</v>
      </c>
      <c r="AX1092" s="4" t="s">
        <v>200</v>
      </c>
      <c r="AY1092" s="8" t="s">
        <v>200</v>
      </c>
      <c r="AZ1092" s="7" t="s">
        <v>200</v>
      </c>
      <c r="BA1092" s="7" t="s">
        <v>200</v>
      </c>
      <c r="BB1092" s="7" t="s">
        <v>200</v>
      </c>
      <c r="BC1092" s="4" t="s">
        <v>200</v>
      </c>
      <c r="BD1092" s="8" t="s">
        <v>200</v>
      </c>
      <c r="BE1092" s="4" t="s">
        <v>200</v>
      </c>
      <c r="BF1092" s="8" t="s">
        <v>200</v>
      </c>
      <c r="BG1092" s="7" t="s">
        <v>200</v>
      </c>
      <c r="BH1092" s="7" t="s">
        <v>200</v>
      </c>
      <c r="BI1092" s="7"/>
      <c r="BJ1092" s="4">
        <v>13</v>
      </c>
      <c r="BK1092" s="8">
        <v>340.67</v>
      </c>
      <c r="BL1092" s="2" t="s">
        <v>2610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6280</v>
      </c>
      <c r="BV1092" s="2" t="s">
        <v>200</v>
      </c>
      <c r="BW1092" s="2" t="s">
        <v>200</v>
      </c>
      <c r="BX1092" s="2" t="s">
        <v>264</v>
      </c>
      <c r="BY1092" s="2" t="s">
        <v>247</v>
      </c>
      <c r="BZ1092" s="2" t="s">
        <v>212</v>
      </c>
      <c r="CA1092" s="2" t="s">
        <v>861</v>
      </c>
      <c r="CB1092" s="2" t="s">
        <v>6281</v>
      </c>
      <c r="CC1092" s="2" t="s">
        <v>213</v>
      </c>
      <c r="CD1092" s="2" t="s">
        <v>200</v>
      </c>
      <c r="CE1092" s="4">
        <v>98</v>
      </c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E1092" s="4"/>
      <c r="DF1092" s="4"/>
      <c r="DG1092" s="4"/>
      <c r="DH1092" s="4"/>
      <c r="DI1092" s="4"/>
      <c r="DJ1092" s="4"/>
      <c r="DK1092" s="4"/>
      <c r="DL1092" s="4"/>
      <c r="DM1092" s="4"/>
      <c r="DN1092" s="4"/>
      <c r="DO1092" s="4"/>
      <c r="DP1092" s="4"/>
      <c r="DQ1092" s="4"/>
      <c r="DR1092" s="4"/>
      <c r="DS1092" s="4"/>
      <c r="DT1092" s="4"/>
      <c r="DU1092" s="4"/>
      <c r="DV1092" s="4"/>
      <c r="DW1092" s="4"/>
      <c r="DX1092" s="4"/>
      <c r="DY1092" s="4"/>
      <c r="DZ1092" s="4"/>
      <c r="EA1092" s="4"/>
      <c r="EB1092" s="4"/>
      <c r="EC1092" s="4"/>
      <c r="ED1092" s="4"/>
      <c r="EE1092" s="4"/>
      <c r="EF1092" s="4"/>
      <c r="EG1092" s="4"/>
      <c r="EH1092" s="4"/>
      <c r="EI1092" s="4"/>
      <c r="EJ1092" s="4"/>
      <c r="EK1092" s="4"/>
      <c r="EL1092" s="4"/>
      <c r="EM1092" s="4"/>
      <c r="EN1092" s="4"/>
      <c r="EO1092" s="4"/>
      <c r="EP1092" s="4"/>
      <c r="EQ1092" s="4"/>
      <c r="ER1092" s="4"/>
      <c r="ES1092" s="4"/>
      <c r="ET1092" s="4"/>
      <c r="EU1092" s="4"/>
      <c r="EV1092" s="4"/>
      <c r="EW1092" s="4"/>
      <c r="EX1092" s="4"/>
      <c r="EY1092" s="4"/>
      <c r="EZ1092" s="4"/>
      <c r="FA1092" s="4"/>
      <c r="FB1092" s="4"/>
      <c r="FC1092" s="4"/>
      <c r="FD1092" s="4"/>
      <c r="FE1092" s="4"/>
      <c r="FF1092" s="4"/>
      <c r="FG1092" s="4"/>
      <c r="FH1092" s="4"/>
      <c r="FI1092" s="4"/>
      <c r="FJ1092" s="4"/>
      <c r="FK1092" s="4"/>
      <c r="FL1092" s="4"/>
      <c r="FM1092" s="4"/>
      <c r="FN1092" s="4"/>
      <c r="FO1092" s="4"/>
      <c r="FP1092" s="4"/>
      <c r="FQ1092" s="4"/>
      <c r="FR1092" s="4"/>
      <c r="FS1092" s="4"/>
      <c r="FT1092" s="4"/>
      <c r="FU1092" s="4"/>
      <c r="FV1092" s="4"/>
      <c r="FW1092" s="4"/>
      <c r="FX1092" s="4"/>
      <c r="FY1092" s="4"/>
      <c r="FZ1092" s="4"/>
      <c r="GA1092" s="4"/>
      <c r="GB1092" s="4"/>
      <c r="GC1092" s="4"/>
      <c r="GD1092" s="4"/>
      <c r="GE1092" s="4"/>
      <c r="GF1092" s="4"/>
      <c r="GG1092" s="4"/>
      <c r="GH1092" s="4"/>
    </row>
    <row r="1093">
      <c r="A1093" s="2" t="s">
        <v>6282</v>
      </c>
      <c r="B1093" s="2" t="s">
        <v>903</v>
      </c>
      <c r="C1093" s="2" t="s">
        <v>231</v>
      </c>
      <c r="D1093" s="2" t="s">
        <v>608</v>
      </c>
      <c r="E1093" s="2" t="s">
        <v>609</v>
      </c>
      <c r="F1093" s="2" t="s">
        <v>6271</v>
      </c>
      <c r="G1093" s="2" t="s">
        <v>6272</v>
      </c>
      <c r="H1093" s="2" t="s">
        <v>6273</v>
      </c>
      <c r="I1093" s="2" t="s">
        <v>6274</v>
      </c>
      <c r="J1093" s="2" t="s">
        <v>924</v>
      </c>
      <c r="K1093" s="2" t="s">
        <v>223</v>
      </c>
      <c r="L1093" s="3">
        <v>41.14</v>
      </c>
      <c r="M1093" s="3">
        <v>43.2</v>
      </c>
      <c r="N1093" s="3">
        <v>89.99</v>
      </c>
      <c r="O1093" s="2" t="s">
        <v>212</v>
      </c>
      <c r="P1093" s="2" t="s">
        <v>205</v>
      </c>
      <c r="Q1093" s="2" t="s">
        <v>206</v>
      </c>
      <c r="R1093" s="2" t="s">
        <v>200</v>
      </c>
      <c r="S1093" s="2" t="s">
        <v>6275</v>
      </c>
      <c r="T1093" s="2" t="s">
        <v>378</v>
      </c>
      <c r="U1093" s="2" t="s">
        <v>240</v>
      </c>
      <c r="V1093" s="2" t="s">
        <v>940</v>
      </c>
      <c r="W1093" s="2" t="s">
        <v>6276</v>
      </c>
      <c r="X1093" s="2" t="s">
        <v>241</v>
      </c>
      <c r="Y1093" s="2" t="s">
        <v>4740</v>
      </c>
      <c r="Z1093" s="4">
        <v>188</v>
      </c>
      <c r="AA1093" s="4">
        <f>=ROUNDDOWN(47,0)</f>
      </c>
      <c r="AB1093" s="5">
        <v>4</v>
      </c>
      <c r="AC1093" s="2" t="s">
        <v>200</v>
      </c>
      <c r="AD1093" s="4"/>
      <c r="AE1093" s="4"/>
      <c r="AF1093" s="6">
        <v>64</v>
      </c>
      <c r="AG1093" s="6"/>
      <c r="AH1093" s="7">
        <v>1</v>
      </c>
      <c r="AI1093" s="4"/>
      <c r="AJ1093" s="4">
        <f>=ROUNDDOWN({0},0)</f>
      </c>
      <c r="AK1093" s="5"/>
      <c r="AL1093" s="2" t="s">
        <v>200</v>
      </c>
      <c r="AM1093" s="4"/>
      <c r="AN1093" s="4"/>
      <c r="AO1093" s="7"/>
      <c r="AP1093" s="4"/>
      <c r="AQ1093" s="8"/>
      <c r="AR1093" s="4"/>
      <c r="AS1093" s="8"/>
      <c r="AT1093" s="7"/>
      <c r="AU1093" s="7"/>
      <c r="AV1093" s="4" t="s">
        <v>200</v>
      </c>
      <c r="AW1093" s="8" t="s">
        <v>200</v>
      </c>
      <c r="AX1093" s="4" t="s">
        <v>200</v>
      </c>
      <c r="AY1093" s="8" t="s">
        <v>200</v>
      </c>
      <c r="AZ1093" s="7" t="s">
        <v>200</v>
      </c>
      <c r="BA1093" s="7" t="s">
        <v>200</v>
      </c>
      <c r="BB1093" s="7" t="s">
        <v>200</v>
      </c>
      <c r="BC1093" s="4" t="s">
        <v>200</v>
      </c>
      <c r="BD1093" s="8" t="s">
        <v>200</v>
      </c>
      <c r="BE1093" s="4" t="s">
        <v>200</v>
      </c>
      <c r="BF1093" s="8" t="s">
        <v>200</v>
      </c>
      <c r="BG1093" s="7" t="s">
        <v>200</v>
      </c>
      <c r="BH1093" s="7" t="s">
        <v>200</v>
      </c>
      <c r="BI1093" s="7"/>
      <c r="BJ1093" s="4">
        <v>12</v>
      </c>
      <c r="BK1093" s="8">
        <v>562.41</v>
      </c>
      <c r="BL1093" s="2" t="s">
        <v>4470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6283</v>
      </c>
      <c r="BV1093" s="2" t="s">
        <v>200</v>
      </c>
      <c r="BW1093" s="2" t="s">
        <v>200</v>
      </c>
      <c r="BX1093" s="2" t="s">
        <v>264</v>
      </c>
      <c r="BY1093" s="2" t="s">
        <v>247</v>
      </c>
      <c r="BZ1093" s="2" t="s">
        <v>212</v>
      </c>
      <c r="CA1093" s="2" t="s">
        <v>4253</v>
      </c>
      <c r="CB1093" s="2" t="s">
        <v>200</v>
      </c>
      <c r="CC1093" s="2" t="s">
        <v>213</v>
      </c>
      <c r="CD1093" s="2" t="s">
        <v>200</v>
      </c>
      <c r="CE1093" s="4">
        <v>188</v>
      </c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/>
      <c r="ER1093" s="4"/>
      <c r="ES1093" s="4"/>
      <c r="ET1093" s="4"/>
      <c r="EU1093" s="4"/>
      <c r="EV1093" s="4"/>
      <c r="EW1093" s="4"/>
      <c r="EX1093" s="4"/>
      <c r="EY1093" s="4"/>
      <c r="EZ1093" s="4"/>
      <c r="FA1093" s="4"/>
      <c r="FB1093" s="4"/>
      <c r="FC1093" s="4"/>
      <c r="FD1093" s="4"/>
      <c r="FE1093" s="4"/>
      <c r="FF1093" s="4"/>
      <c r="FG1093" s="4"/>
      <c r="FH1093" s="4"/>
      <c r="FI1093" s="4"/>
      <c r="FJ1093" s="4"/>
      <c r="FK1093" s="4"/>
      <c r="FL1093" s="4"/>
      <c r="FM1093" s="4"/>
      <c r="FN1093" s="4"/>
      <c r="FO1093" s="4"/>
      <c r="FP1093" s="4"/>
      <c r="FQ1093" s="4"/>
      <c r="FR1093" s="4"/>
      <c r="FS1093" s="4"/>
      <c r="FT1093" s="4"/>
      <c r="FU1093" s="4"/>
      <c r="FV1093" s="4"/>
      <c r="FW1093" s="4"/>
      <c r="FX1093" s="4"/>
      <c r="FY1093" s="4"/>
      <c r="FZ1093" s="4"/>
      <c r="GA1093" s="4"/>
      <c r="GB1093" s="4"/>
      <c r="GC1093" s="4"/>
      <c r="GD1093" s="4"/>
      <c r="GE1093" s="4"/>
      <c r="GF1093" s="4"/>
      <c r="GG1093" s="4"/>
      <c r="GH1093" s="4"/>
    </row>
    <row r="1094">
      <c r="A1094" s="2" t="s">
        <v>6284</v>
      </c>
      <c r="B1094" s="2" t="s">
        <v>903</v>
      </c>
      <c r="C1094" s="2" t="s">
        <v>231</v>
      </c>
      <c r="D1094" s="2" t="s">
        <v>918</v>
      </c>
      <c r="E1094" s="2" t="s">
        <v>919</v>
      </c>
      <c r="F1094" s="2" t="s">
        <v>6271</v>
      </c>
      <c r="G1094" s="2" t="s">
        <v>6272</v>
      </c>
      <c r="H1094" s="2" t="s">
        <v>6273</v>
      </c>
      <c r="I1094" s="2" t="s">
        <v>6279</v>
      </c>
      <c r="J1094" s="2" t="s">
        <v>924</v>
      </c>
      <c r="K1094" s="2" t="s">
        <v>223</v>
      </c>
      <c r="L1094" s="3">
        <v>27.42</v>
      </c>
      <c r="M1094" s="3">
        <v>28.79</v>
      </c>
      <c r="N1094" s="3">
        <v>59.99</v>
      </c>
      <c r="O1094" s="2" t="s">
        <v>212</v>
      </c>
      <c r="P1094" s="2" t="s">
        <v>205</v>
      </c>
      <c r="Q1094" s="2" t="s">
        <v>206</v>
      </c>
      <c r="R1094" s="2" t="s">
        <v>200</v>
      </c>
      <c r="S1094" s="2" t="s">
        <v>6275</v>
      </c>
      <c r="T1094" s="2" t="s">
        <v>378</v>
      </c>
      <c r="U1094" s="2" t="s">
        <v>454</v>
      </c>
      <c r="V1094" s="2" t="s">
        <v>940</v>
      </c>
      <c r="W1094" s="2" t="s">
        <v>6276</v>
      </c>
      <c r="X1094" s="2" t="s">
        <v>241</v>
      </c>
      <c r="Y1094" s="2" t="s">
        <v>4740</v>
      </c>
      <c r="Z1094" s="4">
        <v>110</v>
      </c>
      <c r="AA1094" s="4">
        <f>=ROUNDDOWN(55,0)</f>
      </c>
      <c r="AB1094" s="5">
        <v>2</v>
      </c>
      <c r="AC1094" s="2" t="s">
        <v>200</v>
      </c>
      <c r="AD1094" s="4"/>
      <c r="AE1094" s="4"/>
      <c r="AF1094" s="6">
        <v>64</v>
      </c>
      <c r="AG1094" s="6"/>
      <c r="AH1094" s="7">
        <v>1</v>
      </c>
      <c r="AI1094" s="4"/>
      <c r="AJ1094" s="4">
        <f>=ROUNDDOWN({0},0)</f>
      </c>
      <c r="AK1094" s="5"/>
      <c r="AL1094" s="2" t="s">
        <v>200</v>
      </c>
      <c r="AM1094" s="4"/>
      <c r="AN1094" s="4"/>
      <c r="AO1094" s="7"/>
      <c r="AP1094" s="4"/>
      <c r="AQ1094" s="8"/>
      <c r="AR1094" s="4"/>
      <c r="AS1094" s="8"/>
      <c r="AT1094" s="7"/>
      <c r="AU1094" s="7"/>
      <c r="AV1094" s="4" t="s">
        <v>200</v>
      </c>
      <c r="AW1094" s="8" t="s">
        <v>200</v>
      </c>
      <c r="AX1094" s="4" t="s">
        <v>200</v>
      </c>
      <c r="AY1094" s="8" t="s">
        <v>200</v>
      </c>
      <c r="AZ1094" s="7" t="s">
        <v>200</v>
      </c>
      <c r="BA1094" s="7" t="s">
        <v>200</v>
      </c>
      <c r="BB1094" s="7" t="s">
        <v>200</v>
      </c>
      <c r="BC1094" s="4" t="s">
        <v>200</v>
      </c>
      <c r="BD1094" s="8" t="s">
        <v>200</v>
      </c>
      <c r="BE1094" s="4" t="s">
        <v>200</v>
      </c>
      <c r="BF1094" s="8" t="s">
        <v>200</v>
      </c>
      <c r="BG1094" s="7" t="s">
        <v>200</v>
      </c>
      <c r="BH1094" s="7" t="s">
        <v>200</v>
      </c>
      <c r="BI1094" s="7"/>
      <c r="BJ1094" s="4">
        <v>6</v>
      </c>
      <c r="BK1094" s="8">
        <v>187.14</v>
      </c>
      <c r="BL1094" s="2" t="s">
        <v>2610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6285</v>
      </c>
      <c r="BV1094" s="2" t="s">
        <v>200</v>
      </c>
      <c r="BW1094" s="2" t="s">
        <v>200</v>
      </c>
      <c r="BX1094" s="2" t="s">
        <v>264</v>
      </c>
      <c r="BY1094" s="2" t="s">
        <v>247</v>
      </c>
      <c r="BZ1094" s="2" t="s">
        <v>212</v>
      </c>
      <c r="CA1094" s="2" t="s">
        <v>861</v>
      </c>
      <c r="CB1094" s="2" t="s">
        <v>3141</v>
      </c>
      <c r="CC1094" s="2" t="s">
        <v>213</v>
      </c>
      <c r="CD1094" s="2" t="s">
        <v>200</v>
      </c>
      <c r="CE1094" s="4">
        <v>110</v>
      </c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  <c r="EE1094" s="4"/>
      <c r="EF1094" s="4"/>
      <c r="EG1094" s="4"/>
      <c r="EH1094" s="4"/>
      <c r="EI1094" s="4"/>
      <c r="EJ1094" s="4"/>
      <c r="EK1094" s="4"/>
      <c r="EL1094" s="4"/>
      <c r="EM1094" s="4"/>
      <c r="EN1094" s="4"/>
      <c r="EO1094" s="4"/>
      <c r="EP1094" s="4"/>
      <c r="EQ1094" s="4"/>
      <c r="ER1094" s="4"/>
      <c r="ES1094" s="4"/>
      <c r="ET1094" s="4"/>
      <c r="EU1094" s="4"/>
      <c r="EV1094" s="4"/>
      <c r="EW1094" s="4"/>
      <c r="EX1094" s="4"/>
      <c r="EY1094" s="4"/>
      <c r="EZ1094" s="4"/>
      <c r="FA1094" s="4"/>
      <c r="FB1094" s="4"/>
      <c r="FC1094" s="4"/>
      <c r="FD1094" s="4"/>
      <c r="FE1094" s="4"/>
      <c r="FF1094" s="4"/>
      <c r="FG1094" s="4"/>
      <c r="FH1094" s="4"/>
      <c r="FI1094" s="4"/>
      <c r="FJ1094" s="4"/>
      <c r="FK1094" s="4"/>
      <c r="FL1094" s="4"/>
      <c r="FM1094" s="4"/>
      <c r="FN1094" s="4"/>
      <c r="FO1094" s="4"/>
      <c r="FP1094" s="4"/>
      <c r="FQ1094" s="4"/>
      <c r="FR1094" s="4"/>
      <c r="FS1094" s="4"/>
      <c r="FT1094" s="4"/>
      <c r="FU1094" s="4"/>
      <c r="FV1094" s="4"/>
      <c r="FW1094" s="4"/>
      <c r="FX1094" s="4"/>
      <c r="FY1094" s="4"/>
      <c r="FZ1094" s="4"/>
      <c r="GA1094" s="4"/>
      <c r="GB1094" s="4"/>
      <c r="GC1094" s="4"/>
      <c r="GD1094" s="4"/>
      <c r="GE1094" s="4"/>
      <c r="GF1094" s="4"/>
      <c r="GG1094" s="4"/>
      <c r="GH1094" s="4"/>
    </row>
    <row r="1095">
      <c r="A1095" s="2" t="s">
        <v>6286</v>
      </c>
      <c r="B1095" s="2" t="s">
        <v>744</v>
      </c>
      <c r="C1095" s="2" t="s">
        <v>231</v>
      </c>
      <c r="D1095" s="2" t="s">
        <v>746</v>
      </c>
      <c r="E1095" s="2" t="s">
        <v>1422</v>
      </c>
      <c r="F1095" s="2" t="s">
        <v>6287</v>
      </c>
      <c r="G1095" s="2" t="s">
        <v>6288</v>
      </c>
      <c r="H1095" s="2" t="s">
        <v>6289</v>
      </c>
      <c r="I1095" s="2" t="s">
        <v>6290</v>
      </c>
      <c r="J1095" s="2" t="s">
        <v>711</v>
      </c>
      <c r="K1095" s="2" t="s">
        <v>2589</v>
      </c>
      <c r="L1095" s="3">
        <v>84.15</v>
      </c>
      <c r="M1095" s="3">
        <v>88.36</v>
      </c>
      <c r="N1095" s="3">
        <v>179</v>
      </c>
      <c r="O1095" s="2" t="s">
        <v>212</v>
      </c>
      <c r="P1095" s="2" t="s">
        <v>285</v>
      </c>
      <c r="Q1095" s="2" t="s">
        <v>206</v>
      </c>
      <c r="R1095" s="2" t="s">
        <v>200</v>
      </c>
      <c r="S1095" s="2" t="s">
        <v>200</v>
      </c>
      <c r="T1095" s="2" t="s">
        <v>200</v>
      </c>
      <c r="U1095" s="2" t="s">
        <v>200</v>
      </c>
      <c r="V1095" s="2" t="s">
        <v>616</v>
      </c>
      <c r="W1095" s="2" t="s">
        <v>419</v>
      </c>
      <c r="X1095" s="2" t="s">
        <v>200</v>
      </c>
      <c r="Y1095" s="2" t="s">
        <v>6291</v>
      </c>
      <c r="Z1095" s="4">
        <v>299</v>
      </c>
      <c r="AA1095" s="4">
        <f>=ROUNDDOWN(59.8,0)</f>
      </c>
      <c r="AB1095" s="5">
        <v>5</v>
      </c>
      <c r="AC1095" s="2" t="s">
        <v>200</v>
      </c>
      <c r="AD1095" s="4"/>
      <c r="AE1095" s="4"/>
      <c r="AF1095" s="6">
        <v>76</v>
      </c>
      <c r="AG1095" s="6"/>
      <c r="AH1095" s="7">
        <v>1</v>
      </c>
      <c r="AI1095" s="4"/>
      <c r="AJ1095" s="4">
        <f>=ROUNDDOWN({0},0)</f>
      </c>
      <c r="AK1095" s="5"/>
      <c r="AL1095" s="2" t="s">
        <v>200</v>
      </c>
      <c r="AM1095" s="4"/>
      <c r="AN1095" s="4"/>
      <c r="AO1095" s="7"/>
      <c r="AP1095" s="4"/>
      <c r="AQ1095" s="8"/>
      <c r="AR1095" s="4"/>
      <c r="AS1095" s="8"/>
      <c r="AT1095" s="7"/>
      <c r="AU1095" s="7"/>
      <c r="AV1095" s="4"/>
      <c r="AW1095" s="8"/>
      <c r="AX1095" s="4"/>
      <c r="AY1095" s="8"/>
      <c r="AZ1095" s="7"/>
      <c r="BA1095" s="7"/>
      <c r="BB1095" s="7"/>
      <c r="BC1095" s="4"/>
      <c r="BD1095" s="8"/>
      <c r="BE1095" s="4"/>
      <c r="BF1095" s="8"/>
      <c r="BG1095" s="7"/>
      <c r="BH1095" s="7"/>
      <c r="BI1095" s="7"/>
      <c r="BJ1095" s="4">
        <v>55</v>
      </c>
      <c r="BK1095" s="8">
        <v>2688.15</v>
      </c>
      <c r="BL1095" s="2" t="s">
        <v>6292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6293</v>
      </c>
      <c r="BV1095" s="2" t="s">
        <v>200</v>
      </c>
      <c r="BW1095" s="2" t="s">
        <v>200</v>
      </c>
      <c r="BX1095" s="2" t="s">
        <v>289</v>
      </c>
      <c r="BY1095" s="2" t="s">
        <v>247</v>
      </c>
      <c r="BZ1095" s="2" t="s">
        <v>212</v>
      </c>
      <c r="CA1095" s="2" t="s">
        <v>6294</v>
      </c>
      <c r="CB1095" s="2" t="s">
        <v>6295</v>
      </c>
      <c r="CC1095" s="2" t="s">
        <v>213</v>
      </c>
      <c r="CD1095" s="2" t="s">
        <v>200</v>
      </c>
      <c r="CE1095" s="4"/>
      <c r="CF1095" s="4">
        <v>299</v>
      </c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  <c r="DZ1095" s="4"/>
      <c r="EA1095" s="4"/>
      <c r="EB1095" s="4"/>
      <c r="EC1095" s="4"/>
      <c r="ED1095" s="4"/>
      <c r="EE1095" s="4"/>
      <c r="EF1095" s="4"/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/>
      <c r="ER1095" s="4"/>
      <c r="ES1095" s="4"/>
      <c r="ET1095" s="4"/>
      <c r="EU1095" s="4"/>
      <c r="EV1095" s="4"/>
      <c r="EW1095" s="4"/>
      <c r="EX1095" s="4"/>
      <c r="EY1095" s="4"/>
      <c r="EZ1095" s="4"/>
      <c r="FA1095" s="4"/>
      <c r="FB1095" s="4"/>
      <c r="FC1095" s="4"/>
      <c r="FD1095" s="4"/>
      <c r="FE1095" s="4"/>
      <c r="FF1095" s="4"/>
      <c r="FG1095" s="4"/>
      <c r="FH1095" s="4"/>
      <c r="FI1095" s="4"/>
      <c r="FJ1095" s="4"/>
      <c r="FK1095" s="4"/>
      <c r="FL1095" s="4"/>
      <c r="FM1095" s="4"/>
      <c r="FN1095" s="4"/>
      <c r="FO1095" s="4"/>
      <c r="FP1095" s="4"/>
      <c r="FQ1095" s="4"/>
      <c r="FR1095" s="4"/>
      <c r="FS1095" s="4"/>
      <c r="FT1095" s="4"/>
      <c r="FU1095" s="4"/>
      <c r="FV1095" s="4"/>
      <c r="FW1095" s="4"/>
      <c r="FX1095" s="4"/>
      <c r="FY1095" s="4"/>
      <c r="FZ1095" s="4"/>
      <c r="GA1095" s="4"/>
      <c r="GB1095" s="4"/>
      <c r="GC1095" s="4"/>
      <c r="GD1095" s="4"/>
      <c r="GE1095" s="4"/>
      <c r="GF1095" s="4"/>
      <c r="GG1095" s="4"/>
      <c r="GH1095" s="4"/>
    </row>
    <row r="1096">
      <c r="A1096" s="2" t="s">
        <v>6296</v>
      </c>
      <c r="B1096" s="2" t="s">
        <v>719</v>
      </c>
      <c r="C1096" s="2" t="s">
        <v>607</v>
      </c>
      <c r="D1096" s="2" t="s">
        <v>1535</v>
      </c>
      <c r="E1096" s="2" t="s">
        <v>6297</v>
      </c>
      <c r="F1096" s="2" t="s">
        <v>6298</v>
      </c>
      <c r="G1096" s="2" t="s">
        <v>6298</v>
      </c>
      <c r="H1096" s="2" t="s">
        <v>6298</v>
      </c>
      <c r="I1096" s="2" t="s">
        <v>6299</v>
      </c>
      <c r="J1096" s="2" t="s">
        <v>6300</v>
      </c>
      <c r="K1096" s="2" t="s">
        <v>257</v>
      </c>
      <c r="L1096" s="3">
        <v>74.11</v>
      </c>
      <c r="M1096" s="3">
        <v>77.82</v>
      </c>
      <c r="N1096" s="3">
        <v>141.94</v>
      </c>
      <c r="O1096" s="2" t="s">
        <v>212</v>
      </c>
      <c r="P1096" s="2" t="s">
        <v>258</v>
      </c>
      <c r="Q1096" s="2" t="s">
        <v>206</v>
      </c>
      <c r="R1096" s="2" t="s">
        <v>200</v>
      </c>
      <c r="S1096" s="2" t="s">
        <v>200</v>
      </c>
      <c r="T1096" s="2" t="s">
        <v>200</v>
      </c>
      <c r="U1096" s="2" t="s">
        <v>270</v>
      </c>
      <c r="V1096" s="2" t="s">
        <v>885</v>
      </c>
      <c r="W1096" s="2" t="s">
        <v>379</v>
      </c>
      <c r="X1096" s="2" t="s">
        <v>242</v>
      </c>
      <c r="Y1096" s="2" t="s">
        <v>6301</v>
      </c>
      <c r="Z1096" s="4">
        <v>215</v>
      </c>
      <c r="AA1096" s="4">
        <f>=ROUNDDOWN(34.1269841269841,0)</f>
      </c>
      <c r="AB1096" s="5">
        <v>6.3</v>
      </c>
      <c r="AC1096" s="2" t="s">
        <v>126</v>
      </c>
      <c r="AD1096" s="4">
        <v>80</v>
      </c>
      <c r="AE1096" s="4">
        <v>80</v>
      </c>
      <c r="AF1096" s="6">
        <v>63</v>
      </c>
      <c r="AG1096" s="6">
        <v>46</v>
      </c>
      <c r="AH1096" s="7">
        <v>1</v>
      </c>
      <c r="AI1096" s="4"/>
      <c r="AJ1096" s="4">
        <f>=ROUNDDOWN({0},0)</f>
      </c>
      <c r="AK1096" s="5"/>
      <c r="AL1096" s="2" t="s">
        <v>200</v>
      </c>
      <c r="AM1096" s="4"/>
      <c r="AN1096" s="4"/>
      <c r="AO1096" s="7"/>
      <c r="AP1096" s="4"/>
      <c r="AQ1096" s="8"/>
      <c r="AR1096" s="4"/>
      <c r="AS1096" s="8"/>
      <c r="AT1096" s="7"/>
      <c r="AU1096" s="7"/>
      <c r="AV1096" s="4"/>
      <c r="AW1096" s="8"/>
      <c r="AX1096" s="4"/>
      <c r="AY1096" s="8"/>
      <c r="AZ1096" s="7"/>
      <c r="BA1096" s="7"/>
      <c r="BB1096" s="7"/>
      <c r="BC1096" s="4"/>
      <c r="BD1096" s="8"/>
      <c r="BE1096" s="4"/>
      <c r="BF1096" s="8"/>
      <c r="BG1096" s="7"/>
      <c r="BH1096" s="7"/>
      <c r="BI1096" s="7"/>
      <c r="BJ1096" s="4">
        <v>46</v>
      </c>
      <c r="BK1096" s="8">
        <v>3301.5</v>
      </c>
      <c r="BL1096" s="2" t="s">
        <v>6302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6303</v>
      </c>
      <c r="BV1096" s="2" t="s">
        <v>200</v>
      </c>
      <c r="BW1096" s="2" t="s">
        <v>200</v>
      </c>
      <c r="BX1096" s="2" t="s">
        <v>6304</v>
      </c>
      <c r="BY1096" s="2" t="s">
        <v>247</v>
      </c>
      <c r="BZ1096" s="2" t="s">
        <v>212</v>
      </c>
      <c r="CA1096" s="2" t="s">
        <v>4906</v>
      </c>
      <c r="CB1096" s="2" t="s">
        <v>3610</v>
      </c>
      <c r="CC1096" s="2" t="s">
        <v>213</v>
      </c>
      <c r="CD1096" s="2" t="s">
        <v>200</v>
      </c>
      <c r="CE1096" s="4"/>
      <c r="CF1096" s="4">
        <v>194</v>
      </c>
      <c r="CG1096" s="4"/>
      <c r="CH1096" s="4">
        <v>21</v>
      </c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E1096" s="4"/>
      <c r="DF1096" s="4"/>
      <c r="DG1096" s="4"/>
      <c r="DH1096" s="4"/>
      <c r="DI1096" s="4"/>
      <c r="DJ1096" s="4"/>
      <c r="DK1096" s="4"/>
      <c r="DL1096" s="4"/>
      <c r="DM1096" s="4">
        <v>80</v>
      </c>
      <c r="DN1096" s="4"/>
      <c r="DO1096" s="4"/>
      <c r="DP1096" s="4"/>
      <c r="DQ1096" s="4"/>
      <c r="DR1096" s="4"/>
      <c r="DS1096" s="4"/>
      <c r="DT1096" s="4"/>
      <c r="DU1096" s="4"/>
      <c r="DV1096" s="4"/>
      <c r="DW1096" s="4"/>
      <c r="DX1096" s="4"/>
      <c r="DY1096" s="4"/>
      <c r="DZ1096" s="4"/>
      <c r="EA1096" s="4"/>
      <c r="EB1096" s="4"/>
      <c r="EC1096" s="4"/>
      <c r="ED1096" s="4"/>
      <c r="EE1096" s="4"/>
      <c r="EF1096" s="4"/>
      <c r="EG1096" s="4"/>
      <c r="EH1096" s="4"/>
      <c r="EI1096" s="4"/>
      <c r="EJ1096" s="4"/>
      <c r="EK1096" s="4"/>
      <c r="EL1096" s="4"/>
      <c r="EM1096" s="4"/>
      <c r="EN1096" s="4"/>
      <c r="EO1096" s="4"/>
      <c r="EP1096" s="4"/>
      <c r="EQ1096" s="4"/>
      <c r="ER1096" s="4"/>
      <c r="ES1096" s="4"/>
      <c r="ET1096" s="4"/>
      <c r="EU1096" s="4"/>
      <c r="EV1096" s="4"/>
      <c r="EW1096" s="4"/>
      <c r="EX1096" s="4"/>
      <c r="EY1096" s="4"/>
      <c r="EZ1096" s="4"/>
      <c r="FA1096" s="4"/>
      <c r="FB1096" s="4"/>
      <c r="FC1096" s="4"/>
      <c r="FD1096" s="4"/>
      <c r="FE1096" s="4"/>
      <c r="FF1096" s="4"/>
      <c r="FG1096" s="4"/>
      <c r="FH1096" s="4"/>
      <c r="FI1096" s="4"/>
      <c r="FJ1096" s="4"/>
      <c r="FK1096" s="4"/>
      <c r="FL1096" s="4"/>
      <c r="FM1096" s="4"/>
      <c r="FN1096" s="4"/>
      <c r="FO1096" s="4"/>
      <c r="FP1096" s="4"/>
      <c r="FQ1096" s="4"/>
      <c r="FR1096" s="4"/>
      <c r="FS1096" s="4"/>
      <c r="FT1096" s="4"/>
      <c r="FU1096" s="4"/>
      <c r="FV1096" s="4"/>
      <c r="FW1096" s="4"/>
      <c r="FX1096" s="4"/>
      <c r="FY1096" s="4"/>
      <c r="FZ1096" s="4"/>
      <c r="GA1096" s="4"/>
      <c r="GB1096" s="4"/>
      <c r="GC1096" s="4"/>
      <c r="GD1096" s="4"/>
      <c r="GE1096" s="4"/>
      <c r="GF1096" s="4"/>
      <c r="GG1096" s="4"/>
      <c r="GH1096" s="4"/>
    </row>
    <row r="1097">
      <c r="A1097" s="2" t="s">
        <v>6305</v>
      </c>
      <c r="B1097" s="2" t="s">
        <v>2391</v>
      </c>
      <c r="C1097" s="2" t="s">
        <v>946</v>
      </c>
      <c r="D1097" s="2" t="s">
        <v>2392</v>
      </c>
      <c r="E1097" s="2" t="s">
        <v>2393</v>
      </c>
      <c r="F1097" s="2" t="s">
        <v>6306</v>
      </c>
      <c r="G1097" s="2" t="s">
        <v>6306</v>
      </c>
      <c r="H1097" s="2" t="s">
        <v>6306</v>
      </c>
      <c r="I1097" s="2" t="s">
        <v>6307</v>
      </c>
      <c r="J1097" s="2" t="s">
        <v>951</v>
      </c>
      <c r="K1097" s="2" t="s">
        <v>237</v>
      </c>
      <c r="L1097" s="3">
        <v>5.28</v>
      </c>
      <c r="M1097" s="3">
        <v>5.54</v>
      </c>
      <c r="N1097" s="3">
        <v>8.99</v>
      </c>
      <c r="O1097" s="2" t="s">
        <v>460</v>
      </c>
      <c r="P1097" s="2" t="s">
        <v>1258</v>
      </c>
      <c r="Q1097" s="2" t="s">
        <v>206</v>
      </c>
      <c r="R1097" s="2" t="s">
        <v>1259</v>
      </c>
      <c r="S1097" s="2" t="s">
        <v>200</v>
      </c>
      <c r="T1097" s="2" t="s">
        <v>200</v>
      </c>
      <c r="U1097" s="2" t="s">
        <v>200</v>
      </c>
      <c r="V1097" s="2" t="s">
        <v>616</v>
      </c>
      <c r="W1097" s="2" t="s">
        <v>200</v>
      </c>
      <c r="X1097" s="2" t="s">
        <v>200</v>
      </c>
      <c r="Y1097" s="2" t="s">
        <v>1468</v>
      </c>
      <c r="Z1097" s="4">
        <v>439</v>
      </c>
      <c r="AA1097" s="4">
        <f>=ROUNDDOWN(627.142857142857,0)</f>
      </c>
      <c r="AB1097" s="5">
        <v>0.7</v>
      </c>
      <c r="AC1097" s="2" t="s">
        <v>200</v>
      </c>
      <c r="AD1097" s="4"/>
      <c r="AE1097" s="4"/>
      <c r="AF1097" s="6"/>
      <c r="AG1097" s="6">
        <v>47</v>
      </c>
      <c r="AH1097" s="7">
        <v>1</v>
      </c>
      <c r="AI1097" s="4"/>
      <c r="AJ1097" s="4">
        <f>=ROUNDDOWN({0},0)</f>
      </c>
      <c r="AK1097" s="5"/>
      <c r="AL1097" s="2" t="s">
        <v>200</v>
      </c>
      <c r="AM1097" s="4"/>
      <c r="AN1097" s="4"/>
      <c r="AO1097" s="7"/>
      <c r="AP1097" s="4"/>
      <c r="AQ1097" s="8"/>
      <c r="AR1097" s="4"/>
      <c r="AS1097" s="8"/>
      <c r="AT1097" s="7"/>
      <c r="AU1097" s="7"/>
      <c r="AV1097" s="4" t="s">
        <v>200</v>
      </c>
      <c r="AW1097" s="8" t="s">
        <v>200</v>
      </c>
      <c r="AX1097" s="4" t="s">
        <v>200</v>
      </c>
      <c r="AY1097" s="8" t="s">
        <v>200</v>
      </c>
      <c r="AZ1097" s="7" t="s">
        <v>200</v>
      </c>
      <c r="BA1097" s="7" t="s">
        <v>200</v>
      </c>
      <c r="BB1097" s="7"/>
      <c r="BC1097" s="4" t="s">
        <v>200</v>
      </c>
      <c r="BD1097" s="8" t="s">
        <v>200</v>
      </c>
      <c r="BE1097" s="4" t="s">
        <v>200</v>
      </c>
      <c r="BF1097" s="8" t="s">
        <v>200</v>
      </c>
      <c r="BG1097" s="7" t="s">
        <v>200</v>
      </c>
      <c r="BH1097" s="7" t="s">
        <v>200</v>
      </c>
      <c r="BI1097" s="7"/>
      <c r="BJ1097" s="4">
        <v>9</v>
      </c>
      <c r="BK1097" s="8">
        <v>54.63</v>
      </c>
      <c r="BL1097" s="2" t="s">
        <v>1029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6308</v>
      </c>
      <c r="BV1097" s="2" t="s">
        <v>200</v>
      </c>
      <c r="BW1097" s="2" t="s">
        <v>200</v>
      </c>
      <c r="BX1097" s="2" t="s">
        <v>264</v>
      </c>
      <c r="BY1097" s="2" t="s">
        <v>247</v>
      </c>
      <c r="BZ1097" s="2" t="s">
        <v>212</v>
      </c>
      <c r="CA1097" s="2" t="s">
        <v>200</v>
      </c>
      <c r="CB1097" s="2" t="s">
        <v>200</v>
      </c>
      <c r="CC1097" s="2" t="s">
        <v>213</v>
      </c>
      <c r="CD1097" s="2" t="s">
        <v>200</v>
      </c>
      <c r="CE1097" s="4"/>
      <c r="CF1097" s="4">
        <v>439</v>
      </c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/>
      <c r="EK1097" s="4"/>
      <c r="EL1097" s="4"/>
      <c r="EM1097" s="4"/>
      <c r="EN1097" s="4"/>
      <c r="EO1097" s="4"/>
      <c r="EP1097" s="4"/>
      <c r="EQ1097" s="4"/>
      <c r="ER1097" s="4"/>
      <c r="ES1097" s="4"/>
      <c r="ET1097" s="4"/>
      <c r="EU1097" s="4"/>
      <c r="EV1097" s="4"/>
      <c r="EW1097" s="4"/>
      <c r="EX1097" s="4"/>
      <c r="EY1097" s="4"/>
      <c r="EZ1097" s="4"/>
      <c r="FA1097" s="4"/>
      <c r="FB1097" s="4"/>
      <c r="FC1097" s="4"/>
      <c r="FD1097" s="4"/>
      <c r="FE1097" s="4"/>
      <c r="FF1097" s="4"/>
      <c r="FG1097" s="4"/>
      <c r="FH1097" s="4"/>
      <c r="FI1097" s="4"/>
      <c r="FJ1097" s="4"/>
      <c r="FK1097" s="4"/>
      <c r="FL1097" s="4"/>
      <c r="FM1097" s="4"/>
      <c r="FN1097" s="4"/>
      <c r="FO1097" s="4"/>
      <c r="FP1097" s="4"/>
      <c r="FQ1097" s="4"/>
      <c r="FR1097" s="4"/>
      <c r="FS1097" s="4"/>
      <c r="FT1097" s="4"/>
      <c r="FU1097" s="4"/>
      <c r="FV1097" s="4"/>
      <c r="FW1097" s="4"/>
      <c r="FX1097" s="4"/>
      <c r="FY1097" s="4"/>
      <c r="FZ1097" s="4"/>
      <c r="GA1097" s="4"/>
      <c r="GB1097" s="4"/>
      <c r="GC1097" s="4"/>
      <c r="GD1097" s="4"/>
      <c r="GE1097" s="4"/>
      <c r="GF1097" s="4"/>
      <c r="GG1097" s="4"/>
      <c r="GH1097" s="4"/>
    </row>
    <row r="1098">
      <c r="A1098" s="2" t="s">
        <v>6309</v>
      </c>
      <c r="B1098" s="2" t="s">
        <v>2391</v>
      </c>
      <c r="C1098" s="2" t="s">
        <v>946</v>
      </c>
      <c r="D1098" s="2" t="s">
        <v>2392</v>
      </c>
      <c r="E1098" s="2" t="s">
        <v>2393</v>
      </c>
      <c r="F1098" s="2" t="s">
        <v>6306</v>
      </c>
      <c r="G1098" s="2" t="s">
        <v>6306</v>
      </c>
      <c r="H1098" s="2" t="s">
        <v>6306</v>
      </c>
      <c r="I1098" s="2" t="s">
        <v>6307</v>
      </c>
      <c r="J1098" s="2" t="s">
        <v>2136</v>
      </c>
      <c r="K1098" s="2" t="s">
        <v>237</v>
      </c>
      <c r="L1098" s="3">
        <v>5.52</v>
      </c>
      <c r="M1098" s="3">
        <v>5.8</v>
      </c>
      <c r="N1098" s="3">
        <v>8.99</v>
      </c>
      <c r="O1098" s="2" t="s">
        <v>460</v>
      </c>
      <c r="P1098" s="2" t="s">
        <v>1258</v>
      </c>
      <c r="Q1098" s="2" t="s">
        <v>206</v>
      </c>
      <c r="R1098" s="2" t="s">
        <v>1259</v>
      </c>
      <c r="S1098" s="2" t="s">
        <v>200</v>
      </c>
      <c r="T1098" s="2" t="s">
        <v>200</v>
      </c>
      <c r="U1098" s="2" t="s">
        <v>200</v>
      </c>
      <c r="V1098" s="2" t="s">
        <v>616</v>
      </c>
      <c r="W1098" s="2" t="s">
        <v>200</v>
      </c>
      <c r="X1098" s="2" t="s">
        <v>200</v>
      </c>
      <c r="Y1098" s="2" t="s">
        <v>1468</v>
      </c>
      <c r="Z1098" s="4">
        <v>611</v>
      </c>
      <c r="AA1098" s="4">
        <f>=ROUNDDOWN(3055,0)</f>
      </c>
      <c r="AB1098" s="5">
        <v>0.2</v>
      </c>
      <c r="AC1098" s="2" t="s">
        <v>200</v>
      </c>
      <c r="AD1098" s="4"/>
      <c r="AE1098" s="4"/>
      <c r="AF1098" s="6"/>
      <c r="AG1098" s="6">
        <v>47</v>
      </c>
      <c r="AH1098" s="7">
        <v>1</v>
      </c>
      <c r="AI1098" s="4"/>
      <c r="AJ1098" s="4">
        <f>=ROUNDDOWN({0},0)</f>
      </c>
      <c r="AK1098" s="5"/>
      <c r="AL1098" s="2" t="s">
        <v>200</v>
      </c>
      <c r="AM1098" s="4"/>
      <c r="AN1098" s="4"/>
      <c r="AO1098" s="7"/>
      <c r="AP1098" s="4"/>
      <c r="AQ1098" s="8"/>
      <c r="AR1098" s="4"/>
      <c r="AS1098" s="8"/>
      <c r="AT1098" s="7"/>
      <c r="AU1098" s="7"/>
      <c r="AV1098" s="4" t="s">
        <v>200</v>
      </c>
      <c r="AW1098" s="8" t="s">
        <v>200</v>
      </c>
      <c r="AX1098" s="4" t="s">
        <v>200</v>
      </c>
      <c r="AY1098" s="8" t="s">
        <v>200</v>
      </c>
      <c r="AZ1098" s="7" t="s">
        <v>200</v>
      </c>
      <c r="BA1098" s="7" t="s">
        <v>200</v>
      </c>
      <c r="BB1098" s="7"/>
      <c r="BC1098" s="4" t="s">
        <v>200</v>
      </c>
      <c r="BD1098" s="8" t="s">
        <v>200</v>
      </c>
      <c r="BE1098" s="4" t="s">
        <v>200</v>
      </c>
      <c r="BF1098" s="8" t="s">
        <v>200</v>
      </c>
      <c r="BG1098" s="7" t="s">
        <v>200</v>
      </c>
      <c r="BH1098" s="7" t="s">
        <v>200</v>
      </c>
      <c r="BI1098" s="7"/>
      <c r="BJ1098" s="4"/>
      <c r="BK1098" s="8"/>
      <c r="BL1098" s="2" t="s">
        <v>1029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6310</v>
      </c>
      <c r="BV1098" s="2" t="s">
        <v>200</v>
      </c>
      <c r="BW1098" s="2" t="s">
        <v>200</v>
      </c>
      <c r="BX1098" s="2" t="s">
        <v>264</v>
      </c>
      <c r="BY1098" s="2" t="s">
        <v>247</v>
      </c>
      <c r="BZ1098" s="2" t="s">
        <v>212</v>
      </c>
      <c r="CA1098" s="2" t="s">
        <v>200</v>
      </c>
      <c r="CB1098" s="2" t="s">
        <v>200</v>
      </c>
      <c r="CC1098" s="2" t="s">
        <v>213</v>
      </c>
      <c r="CD1098" s="2" t="s">
        <v>200</v>
      </c>
      <c r="CE1098" s="4"/>
      <c r="CF1098" s="4">
        <v>611</v>
      </c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E1098" s="4"/>
      <c r="DF1098" s="4"/>
      <c r="DG1098" s="4"/>
      <c r="DH1098" s="4"/>
      <c r="DI1098" s="4"/>
      <c r="DJ1098" s="4"/>
      <c r="DK1098" s="4"/>
      <c r="DL1098" s="4"/>
      <c r="DM1098" s="4"/>
      <c r="DN1098" s="4"/>
      <c r="DO1098" s="4"/>
      <c r="DP1098" s="4"/>
      <c r="DQ1098" s="4"/>
      <c r="DR1098" s="4"/>
      <c r="DS1098" s="4"/>
      <c r="DT1098" s="4"/>
      <c r="DU1098" s="4"/>
      <c r="DV1098" s="4"/>
      <c r="DW1098" s="4"/>
      <c r="DX1098" s="4"/>
      <c r="DY1098" s="4"/>
      <c r="DZ1098" s="4"/>
      <c r="EA1098" s="4"/>
      <c r="EB1098" s="4"/>
      <c r="EC1098" s="4"/>
      <c r="ED1098" s="4"/>
      <c r="EE1098" s="4"/>
      <c r="EF1098" s="4"/>
      <c r="EG1098" s="4"/>
      <c r="EH1098" s="4"/>
      <c r="EI1098" s="4"/>
      <c r="EJ1098" s="4"/>
      <c r="EK1098" s="4"/>
      <c r="EL1098" s="4"/>
      <c r="EM1098" s="4"/>
      <c r="EN1098" s="4"/>
      <c r="EO1098" s="4"/>
      <c r="EP1098" s="4"/>
      <c r="EQ1098" s="4"/>
      <c r="ER1098" s="4"/>
      <c r="ES1098" s="4"/>
      <c r="ET1098" s="4"/>
      <c r="EU1098" s="4"/>
      <c r="EV1098" s="4"/>
      <c r="EW1098" s="4"/>
      <c r="EX1098" s="4"/>
      <c r="EY1098" s="4"/>
      <c r="EZ1098" s="4"/>
      <c r="FA1098" s="4"/>
      <c r="FB1098" s="4"/>
      <c r="FC1098" s="4"/>
      <c r="FD1098" s="4"/>
      <c r="FE1098" s="4"/>
      <c r="FF1098" s="4"/>
      <c r="FG1098" s="4"/>
      <c r="FH1098" s="4"/>
      <c r="FI1098" s="4"/>
      <c r="FJ1098" s="4"/>
      <c r="FK1098" s="4"/>
      <c r="FL1098" s="4"/>
      <c r="FM1098" s="4"/>
      <c r="FN1098" s="4"/>
      <c r="FO1098" s="4"/>
      <c r="FP1098" s="4"/>
      <c r="FQ1098" s="4"/>
      <c r="FR1098" s="4"/>
      <c r="FS1098" s="4"/>
      <c r="FT1098" s="4"/>
      <c r="FU1098" s="4"/>
      <c r="FV1098" s="4"/>
      <c r="FW1098" s="4"/>
      <c r="FX1098" s="4"/>
      <c r="FY1098" s="4"/>
      <c r="FZ1098" s="4"/>
      <c r="GA1098" s="4"/>
      <c r="GB1098" s="4"/>
      <c r="GC1098" s="4"/>
      <c r="GD1098" s="4"/>
      <c r="GE1098" s="4"/>
      <c r="GF1098" s="4"/>
      <c r="GG1098" s="4"/>
      <c r="GH1098" s="4"/>
    </row>
    <row r="1099">
      <c r="A1099" s="2" t="s">
        <v>6311</v>
      </c>
      <c r="B1099" s="2" t="s">
        <v>903</v>
      </c>
      <c r="C1099" s="2" t="s">
        <v>745</v>
      </c>
      <c r="D1099" s="2" t="s">
        <v>918</v>
      </c>
      <c r="E1099" s="2" t="s">
        <v>919</v>
      </c>
      <c r="F1099" s="2" t="s">
        <v>6312</v>
      </c>
      <c r="G1099" s="2" t="s">
        <v>6312</v>
      </c>
      <c r="H1099" s="2" t="s">
        <v>6312</v>
      </c>
      <c r="I1099" s="2" t="s">
        <v>6313</v>
      </c>
      <c r="J1099" s="2" t="s">
        <v>924</v>
      </c>
      <c r="K1099" s="2" t="s">
        <v>499</v>
      </c>
      <c r="L1099" s="3">
        <v>65</v>
      </c>
      <c r="M1099" s="3">
        <v>68.24</v>
      </c>
      <c r="N1099" s="3">
        <v>129.99</v>
      </c>
      <c r="O1099" s="2" t="s">
        <v>417</v>
      </c>
      <c r="P1099" s="2" t="s">
        <v>285</v>
      </c>
      <c r="Q1099" s="2" t="s">
        <v>206</v>
      </c>
      <c r="R1099" s="2" t="s">
        <v>200</v>
      </c>
      <c r="S1099" s="2" t="s">
        <v>6314</v>
      </c>
      <c r="T1099" s="2" t="s">
        <v>200</v>
      </c>
      <c r="U1099" s="2" t="s">
        <v>200</v>
      </c>
      <c r="V1099" s="2" t="s">
        <v>208</v>
      </c>
      <c r="W1099" s="2" t="s">
        <v>419</v>
      </c>
      <c r="X1099" s="2" t="s">
        <v>970</v>
      </c>
      <c r="Y1099" s="2" t="s">
        <v>2306</v>
      </c>
      <c r="Z1099" s="4"/>
      <c r="AA1099" s="4">
        <f>=ROUNDDOWN({0},0)</f>
      </c>
      <c r="AB1099" s="5">
        <v>1.2</v>
      </c>
      <c r="AC1099" s="2" t="s">
        <v>200</v>
      </c>
      <c r="AD1099" s="4"/>
      <c r="AE1099" s="4"/>
      <c r="AF1099" s="6">
        <v>67</v>
      </c>
      <c r="AG1099" s="6"/>
      <c r="AH1099" s="7">
        <v>0.8667</v>
      </c>
      <c r="AI1099" s="4"/>
      <c r="AJ1099" s="4">
        <f>=ROUNDDOWN({0},0)</f>
      </c>
      <c r="AK1099" s="5"/>
      <c r="AL1099" s="2" t="s">
        <v>200</v>
      </c>
      <c r="AM1099" s="4"/>
      <c r="AN1099" s="4"/>
      <c r="AO1099" s="7"/>
      <c r="AP1099" s="4"/>
      <c r="AQ1099" s="8"/>
      <c r="AR1099" s="4"/>
      <c r="AS1099" s="8"/>
      <c r="AT1099" s="7"/>
      <c r="AU1099" s="7"/>
      <c r="AV1099" s="4"/>
      <c r="AW1099" s="8"/>
      <c r="AX1099" s="4"/>
      <c r="AY1099" s="8"/>
      <c r="AZ1099" s="7"/>
      <c r="BA1099" s="7"/>
      <c r="BB1099" s="7"/>
      <c r="BC1099" s="4" t="s">
        <v>200</v>
      </c>
      <c r="BD1099" s="8" t="s">
        <v>200</v>
      </c>
      <c r="BE1099" s="4" t="s">
        <v>200</v>
      </c>
      <c r="BF1099" s="8" t="s">
        <v>200</v>
      </c>
      <c r="BG1099" s="7" t="s">
        <v>200</v>
      </c>
      <c r="BH1099" s="7" t="s">
        <v>200</v>
      </c>
      <c r="BI1099" s="7"/>
      <c r="BJ1099" s="4">
        <v>2</v>
      </c>
      <c r="BK1099" s="8">
        <v>142.03</v>
      </c>
      <c r="BL1099" s="2" t="s">
        <v>6315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6316</v>
      </c>
      <c r="BV1099" s="2" t="s">
        <v>200</v>
      </c>
      <c r="BW1099" s="2" t="s">
        <v>200</v>
      </c>
      <c r="BX1099" s="2" t="s">
        <v>289</v>
      </c>
      <c r="BY1099" s="2" t="s">
        <v>247</v>
      </c>
      <c r="BZ1099" s="2" t="s">
        <v>212</v>
      </c>
      <c r="CA1099" s="2" t="s">
        <v>6317</v>
      </c>
      <c r="CB1099" s="2" t="s">
        <v>6318</v>
      </c>
      <c r="CC1099" s="2" t="s">
        <v>213</v>
      </c>
      <c r="CD1099" s="2" t="s">
        <v>200</v>
      </c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  <c r="DZ1099" s="4"/>
      <c r="EA1099" s="4"/>
      <c r="EB1099" s="4"/>
      <c r="EC1099" s="4"/>
      <c r="ED1099" s="4"/>
      <c r="EE1099" s="4"/>
      <c r="EF1099" s="4"/>
      <c r="EG1099" s="4"/>
      <c r="EH1099" s="4"/>
      <c r="EI1099" s="4"/>
      <c r="EJ1099" s="4"/>
      <c r="EK1099" s="4"/>
      <c r="EL1099" s="4"/>
      <c r="EM1099" s="4"/>
      <c r="EN1099" s="4"/>
      <c r="EO1099" s="4"/>
      <c r="EP1099" s="4"/>
      <c r="EQ1099" s="4"/>
      <c r="ER1099" s="4"/>
      <c r="ES1099" s="4"/>
      <c r="ET1099" s="4"/>
      <c r="EU1099" s="4"/>
      <c r="EV1099" s="4"/>
      <c r="EW1099" s="4"/>
      <c r="EX1099" s="4"/>
      <c r="EY1099" s="4"/>
      <c r="EZ1099" s="4"/>
      <c r="FA1099" s="4"/>
      <c r="FB1099" s="4"/>
      <c r="FC1099" s="4"/>
      <c r="FD1099" s="4"/>
      <c r="FE1099" s="4"/>
      <c r="FF1099" s="4"/>
      <c r="FG1099" s="4"/>
      <c r="FH1099" s="4"/>
      <c r="FI1099" s="4"/>
      <c r="FJ1099" s="4"/>
      <c r="FK1099" s="4"/>
      <c r="FL1099" s="4"/>
      <c r="FM1099" s="4"/>
      <c r="FN1099" s="4"/>
      <c r="FO1099" s="4"/>
      <c r="FP1099" s="4"/>
      <c r="FQ1099" s="4"/>
      <c r="FR1099" s="4"/>
      <c r="FS1099" s="4"/>
      <c r="FT1099" s="4"/>
      <c r="FU1099" s="4"/>
      <c r="FV1099" s="4"/>
      <c r="FW1099" s="4"/>
      <c r="FX1099" s="4"/>
      <c r="FY1099" s="4"/>
      <c r="FZ1099" s="4"/>
      <c r="GA1099" s="4"/>
      <c r="GB1099" s="4"/>
      <c r="GC1099" s="4"/>
      <c r="GD1099" s="4"/>
      <c r="GE1099" s="4"/>
      <c r="GF1099" s="4"/>
      <c r="GG1099" s="4"/>
      <c r="GH1099" s="4"/>
    </row>
    <row r="1100">
      <c r="A1100" s="2" t="s">
        <v>6319</v>
      </c>
      <c r="B1100" s="2" t="s">
        <v>903</v>
      </c>
      <c r="C1100" s="2" t="s">
        <v>745</v>
      </c>
      <c r="D1100" s="2" t="s">
        <v>608</v>
      </c>
      <c r="E1100" s="2" t="s">
        <v>1324</v>
      </c>
      <c r="F1100" s="2" t="s">
        <v>6312</v>
      </c>
      <c r="G1100" s="2" t="s">
        <v>6312</v>
      </c>
      <c r="H1100" s="2" t="s">
        <v>6312</v>
      </c>
      <c r="I1100" s="2" t="s">
        <v>6320</v>
      </c>
      <c r="J1100" s="2" t="s">
        <v>924</v>
      </c>
      <c r="K1100" s="2" t="s">
        <v>203</v>
      </c>
      <c r="L1100" s="3">
        <v>75</v>
      </c>
      <c r="M1100" s="3">
        <v>78.74</v>
      </c>
      <c r="N1100" s="3">
        <v>149.99</v>
      </c>
      <c r="O1100" s="2" t="s">
        <v>417</v>
      </c>
      <c r="P1100" s="2" t="s">
        <v>285</v>
      </c>
      <c r="Q1100" s="2" t="s">
        <v>206</v>
      </c>
      <c r="R1100" s="2" t="s">
        <v>200</v>
      </c>
      <c r="S1100" s="2" t="s">
        <v>6321</v>
      </c>
      <c r="T1100" s="2" t="s">
        <v>312</v>
      </c>
      <c r="U1100" s="2" t="s">
        <v>454</v>
      </c>
      <c r="V1100" s="2" t="s">
        <v>208</v>
      </c>
      <c r="W1100" s="2" t="s">
        <v>419</v>
      </c>
      <c r="X1100" s="2" t="s">
        <v>970</v>
      </c>
      <c r="Y1100" s="2" t="s">
        <v>4507</v>
      </c>
      <c r="Z1100" s="4">
        <v>70</v>
      </c>
      <c r="AA1100" s="4">
        <f>=ROUNDDOWN(19.4444444444444,0)</f>
      </c>
      <c r="AB1100" s="5">
        <v>3.6</v>
      </c>
      <c r="AC1100" s="2" t="s">
        <v>200</v>
      </c>
      <c r="AD1100" s="4"/>
      <c r="AE1100" s="4"/>
      <c r="AF1100" s="6">
        <v>67</v>
      </c>
      <c r="AG1100" s="6"/>
      <c r="AH1100" s="7">
        <v>0.9667</v>
      </c>
      <c r="AI1100" s="4"/>
      <c r="AJ1100" s="4">
        <f>=ROUNDDOWN({0},0)</f>
      </c>
      <c r="AK1100" s="5"/>
      <c r="AL1100" s="2" t="s">
        <v>200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/>
      <c r="AW1100" s="8"/>
      <c r="AX1100" s="4"/>
      <c r="AY1100" s="8"/>
      <c r="AZ1100" s="7"/>
      <c r="BA1100" s="7"/>
      <c r="BB1100" s="7"/>
      <c r="BC1100" s="4" t="s">
        <v>200</v>
      </c>
      <c r="BD1100" s="8" t="s">
        <v>200</v>
      </c>
      <c r="BE1100" s="4" t="s">
        <v>200</v>
      </c>
      <c r="BF1100" s="8" t="s">
        <v>200</v>
      </c>
      <c r="BG1100" s="7" t="s">
        <v>200</v>
      </c>
      <c r="BH1100" s="7" t="s">
        <v>200</v>
      </c>
      <c r="BI1100" s="7"/>
      <c r="BJ1100" s="4">
        <v>10</v>
      </c>
      <c r="BK1100" s="8">
        <v>429.21</v>
      </c>
      <c r="BL1100" s="2" t="s">
        <v>6322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6323</v>
      </c>
      <c r="BV1100" s="2" t="s">
        <v>200</v>
      </c>
      <c r="BW1100" s="2" t="s">
        <v>200</v>
      </c>
      <c r="BX1100" s="2" t="s">
        <v>289</v>
      </c>
      <c r="BY1100" s="2" t="s">
        <v>247</v>
      </c>
      <c r="BZ1100" s="2" t="s">
        <v>212</v>
      </c>
      <c r="CA1100" s="2" t="s">
        <v>1830</v>
      </c>
      <c r="CB1100" s="2" t="s">
        <v>6324</v>
      </c>
      <c r="CC1100" s="2" t="s">
        <v>213</v>
      </c>
      <c r="CD1100" s="2" t="s">
        <v>200</v>
      </c>
      <c r="CE1100" s="4">
        <v>70</v>
      </c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E1100" s="4"/>
      <c r="DF1100" s="4"/>
      <c r="DG1100" s="4"/>
      <c r="DH1100" s="4"/>
      <c r="DI1100" s="4"/>
      <c r="DJ1100" s="4"/>
      <c r="DK1100" s="4"/>
      <c r="DL1100" s="4"/>
      <c r="DM1100" s="4"/>
      <c r="DN1100" s="4"/>
      <c r="DO1100" s="4"/>
      <c r="DP1100" s="4"/>
      <c r="DQ1100" s="4"/>
      <c r="DR1100" s="4"/>
      <c r="DS1100" s="4"/>
      <c r="DT1100" s="4"/>
      <c r="DU1100" s="4"/>
      <c r="DV1100" s="4"/>
      <c r="DW1100" s="4"/>
      <c r="DX1100" s="4"/>
      <c r="DY1100" s="4"/>
      <c r="DZ1100" s="4"/>
      <c r="EA1100" s="4"/>
      <c r="EB1100" s="4"/>
      <c r="EC1100" s="4"/>
      <c r="ED1100" s="4"/>
      <c r="EE1100" s="4"/>
      <c r="EF1100" s="4"/>
      <c r="EG1100" s="4"/>
      <c r="EH1100" s="4"/>
      <c r="EI1100" s="4"/>
      <c r="EJ1100" s="4"/>
      <c r="EK1100" s="4"/>
      <c r="EL1100" s="4"/>
      <c r="EM1100" s="4"/>
      <c r="EN1100" s="4"/>
      <c r="EO1100" s="4"/>
      <c r="EP1100" s="4"/>
      <c r="EQ1100" s="4"/>
      <c r="ER1100" s="4"/>
      <c r="ES1100" s="4"/>
      <c r="ET1100" s="4"/>
      <c r="EU1100" s="4"/>
      <c r="EV1100" s="4"/>
      <c r="EW1100" s="4"/>
      <c r="EX1100" s="4"/>
      <c r="EY1100" s="4"/>
      <c r="EZ1100" s="4"/>
      <c r="FA1100" s="4"/>
      <c r="FB1100" s="4"/>
      <c r="FC1100" s="4"/>
      <c r="FD1100" s="4"/>
      <c r="FE1100" s="4"/>
      <c r="FF1100" s="4"/>
      <c r="FG1100" s="4"/>
      <c r="FH1100" s="4"/>
      <c r="FI1100" s="4"/>
      <c r="FJ1100" s="4"/>
      <c r="FK1100" s="4"/>
      <c r="FL1100" s="4"/>
      <c r="FM1100" s="4"/>
      <c r="FN1100" s="4"/>
      <c r="FO1100" s="4"/>
      <c r="FP1100" s="4"/>
      <c r="FQ1100" s="4"/>
      <c r="FR1100" s="4"/>
      <c r="FS1100" s="4"/>
      <c r="FT1100" s="4"/>
      <c r="FU1100" s="4"/>
      <c r="FV1100" s="4"/>
      <c r="FW1100" s="4"/>
      <c r="FX1100" s="4"/>
      <c r="FY1100" s="4"/>
      <c r="FZ1100" s="4"/>
      <c r="GA1100" s="4"/>
      <c r="GB1100" s="4"/>
      <c r="GC1100" s="4"/>
      <c r="GD1100" s="4"/>
      <c r="GE1100" s="4"/>
      <c r="GF1100" s="4"/>
      <c r="GG1100" s="4"/>
      <c r="GH1100" s="4"/>
    </row>
    <row r="1101">
      <c r="A1101" s="2" t="s">
        <v>6325</v>
      </c>
      <c r="B1101" s="2" t="s">
        <v>903</v>
      </c>
      <c r="C1101" s="2" t="s">
        <v>745</v>
      </c>
      <c r="D1101" s="2" t="s">
        <v>608</v>
      </c>
      <c r="E1101" s="2" t="s">
        <v>1324</v>
      </c>
      <c r="F1101" s="2" t="s">
        <v>6312</v>
      </c>
      <c r="G1101" s="2" t="s">
        <v>6312</v>
      </c>
      <c r="H1101" s="2" t="s">
        <v>6312</v>
      </c>
      <c r="I1101" s="2" t="s">
        <v>6320</v>
      </c>
      <c r="J1101" s="2" t="s">
        <v>924</v>
      </c>
      <c r="K1101" s="2" t="s">
        <v>223</v>
      </c>
      <c r="L1101" s="3">
        <v>75</v>
      </c>
      <c r="M1101" s="3">
        <v>78.74</v>
      </c>
      <c r="N1101" s="3">
        <v>149.99</v>
      </c>
      <c r="O1101" s="2" t="s">
        <v>417</v>
      </c>
      <c r="P1101" s="2" t="s">
        <v>285</v>
      </c>
      <c r="Q1101" s="2" t="s">
        <v>206</v>
      </c>
      <c r="R1101" s="2" t="s">
        <v>200</v>
      </c>
      <c r="S1101" s="2" t="s">
        <v>6326</v>
      </c>
      <c r="T1101" s="2" t="s">
        <v>200</v>
      </c>
      <c r="U1101" s="2" t="s">
        <v>200</v>
      </c>
      <c r="V1101" s="2" t="s">
        <v>208</v>
      </c>
      <c r="W1101" s="2" t="s">
        <v>419</v>
      </c>
      <c r="X1101" s="2" t="s">
        <v>970</v>
      </c>
      <c r="Y1101" s="2" t="s">
        <v>261</v>
      </c>
      <c r="Z1101" s="4">
        <v>135</v>
      </c>
      <c r="AA1101" s="4">
        <f>=ROUNDDOWN(35.5263157894737,0)</f>
      </c>
      <c r="AB1101" s="5">
        <v>3.8</v>
      </c>
      <c r="AC1101" s="2" t="s">
        <v>200</v>
      </c>
      <c r="AD1101" s="4"/>
      <c r="AE1101" s="4"/>
      <c r="AF1101" s="6">
        <v>67</v>
      </c>
      <c r="AG1101" s="6"/>
      <c r="AH1101" s="7">
        <v>1</v>
      </c>
      <c r="AI1101" s="4"/>
      <c r="AJ1101" s="4">
        <f>=ROUNDDOWN({0},0)</f>
      </c>
      <c r="AK1101" s="5"/>
      <c r="AL1101" s="2" t="s">
        <v>200</v>
      </c>
      <c r="AM1101" s="4"/>
      <c r="AN1101" s="4"/>
      <c r="AO1101" s="7"/>
      <c r="AP1101" s="4"/>
      <c r="AQ1101" s="8"/>
      <c r="AR1101" s="4"/>
      <c r="AS1101" s="8"/>
      <c r="AT1101" s="7"/>
      <c r="AU1101" s="7"/>
      <c r="AV1101" s="4"/>
      <c r="AW1101" s="8"/>
      <c r="AX1101" s="4"/>
      <c r="AY1101" s="8"/>
      <c r="AZ1101" s="7"/>
      <c r="BA1101" s="7"/>
      <c r="BB1101" s="7"/>
      <c r="BC1101" s="4" t="s">
        <v>200</v>
      </c>
      <c r="BD1101" s="8" t="s">
        <v>200</v>
      </c>
      <c r="BE1101" s="4" t="s">
        <v>200</v>
      </c>
      <c r="BF1101" s="8" t="s">
        <v>200</v>
      </c>
      <c r="BG1101" s="7" t="s">
        <v>200</v>
      </c>
      <c r="BH1101" s="7" t="s">
        <v>200</v>
      </c>
      <c r="BI1101" s="7"/>
      <c r="BJ1101" s="4">
        <v>13</v>
      </c>
      <c r="BK1101" s="8">
        <v>865.93</v>
      </c>
      <c r="BL1101" s="2" t="s">
        <v>6327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6328</v>
      </c>
      <c r="BV1101" s="2" t="s">
        <v>200</v>
      </c>
      <c r="BW1101" s="2" t="s">
        <v>200</v>
      </c>
      <c r="BX1101" s="2" t="s">
        <v>289</v>
      </c>
      <c r="BY1101" s="2" t="s">
        <v>247</v>
      </c>
      <c r="BZ1101" s="2" t="s">
        <v>212</v>
      </c>
      <c r="CA1101" s="2" t="s">
        <v>972</v>
      </c>
      <c r="CB1101" s="2" t="s">
        <v>6329</v>
      </c>
      <c r="CC1101" s="2" t="s">
        <v>213</v>
      </c>
      <c r="CD1101" s="2" t="s">
        <v>200</v>
      </c>
      <c r="CE1101" s="4">
        <v>135</v>
      </c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4"/>
      <c r="EH1101" s="4"/>
      <c r="EI1101" s="4"/>
      <c r="EJ1101" s="4"/>
      <c r="EK1101" s="4"/>
      <c r="EL1101" s="4"/>
      <c r="EM1101" s="4"/>
      <c r="EN1101" s="4"/>
      <c r="EO1101" s="4"/>
      <c r="EP1101" s="4"/>
      <c r="EQ1101" s="4"/>
      <c r="ER1101" s="4"/>
      <c r="ES1101" s="4"/>
      <c r="ET1101" s="4"/>
      <c r="EU1101" s="4"/>
      <c r="EV1101" s="4"/>
      <c r="EW1101" s="4"/>
      <c r="EX1101" s="4"/>
      <c r="EY1101" s="4"/>
      <c r="EZ1101" s="4"/>
      <c r="FA1101" s="4"/>
      <c r="FB1101" s="4"/>
      <c r="FC1101" s="4"/>
      <c r="FD1101" s="4"/>
      <c r="FE1101" s="4"/>
      <c r="FF1101" s="4"/>
      <c r="FG1101" s="4"/>
      <c r="FH1101" s="4"/>
      <c r="FI1101" s="4"/>
      <c r="FJ1101" s="4"/>
      <c r="FK1101" s="4"/>
      <c r="FL1101" s="4"/>
      <c r="FM1101" s="4"/>
      <c r="FN1101" s="4"/>
      <c r="FO1101" s="4"/>
      <c r="FP1101" s="4"/>
      <c r="FQ1101" s="4"/>
      <c r="FR1101" s="4"/>
      <c r="FS1101" s="4"/>
      <c r="FT1101" s="4"/>
      <c r="FU1101" s="4"/>
      <c r="FV1101" s="4"/>
      <c r="FW1101" s="4"/>
      <c r="FX1101" s="4"/>
      <c r="FY1101" s="4"/>
      <c r="FZ1101" s="4"/>
      <c r="GA1101" s="4"/>
      <c r="GB1101" s="4"/>
      <c r="GC1101" s="4"/>
      <c r="GD1101" s="4"/>
      <c r="GE1101" s="4"/>
      <c r="GF1101" s="4"/>
      <c r="GG1101" s="4"/>
      <c r="GH1101" s="4"/>
    </row>
    <row r="1102">
      <c r="A1102" s="2" t="s">
        <v>6330</v>
      </c>
      <c r="B1102" s="2" t="s">
        <v>992</v>
      </c>
      <c r="C1102" s="2" t="s">
        <v>231</v>
      </c>
      <c r="D1102" s="2" t="s">
        <v>992</v>
      </c>
      <c r="E1102" s="2" t="s">
        <v>992</v>
      </c>
      <c r="F1102" s="2" t="s">
        <v>6331</v>
      </c>
      <c r="G1102" s="2" t="s">
        <v>6332</v>
      </c>
      <c r="H1102" s="2" t="s">
        <v>6333</v>
      </c>
      <c r="I1102" s="2" t="s">
        <v>6334</v>
      </c>
      <c r="J1102" s="2" t="s">
        <v>997</v>
      </c>
      <c r="K1102" s="2" t="s">
        <v>6335</v>
      </c>
      <c r="L1102" s="3">
        <v>45</v>
      </c>
      <c r="M1102" s="3">
        <v>47.25</v>
      </c>
      <c r="N1102" s="3">
        <v>99.99</v>
      </c>
      <c r="O1102" s="2" t="s">
        <v>417</v>
      </c>
      <c r="P1102" s="2" t="s">
        <v>285</v>
      </c>
      <c r="Q1102" s="2" t="s">
        <v>206</v>
      </c>
      <c r="R1102" s="2" t="s">
        <v>200</v>
      </c>
      <c r="S1102" s="2" t="s">
        <v>6336</v>
      </c>
      <c r="T1102" s="2" t="s">
        <v>200</v>
      </c>
      <c r="U1102" s="2" t="s">
        <v>270</v>
      </c>
      <c r="V1102" s="2" t="s">
        <v>2826</v>
      </c>
      <c r="W1102" s="2" t="s">
        <v>1975</v>
      </c>
      <c r="X1102" s="2" t="s">
        <v>200</v>
      </c>
      <c r="Y1102" s="2" t="s">
        <v>1349</v>
      </c>
      <c r="Z1102" s="4">
        <v>51</v>
      </c>
      <c r="AA1102" s="4">
        <f>=ROUNDDOWN(18.2142857142857,0)</f>
      </c>
      <c r="AB1102" s="5">
        <v>2.8</v>
      </c>
      <c r="AC1102" s="2" t="s">
        <v>200</v>
      </c>
      <c r="AD1102" s="4"/>
      <c r="AE1102" s="4"/>
      <c r="AF1102" s="6">
        <v>63</v>
      </c>
      <c r="AG1102" s="6"/>
      <c r="AH1102" s="7">
        <v>1</v>
      </c>
      <c r="AI1102" s="4"/>
      <c r="AJ1102" s="4">
        <f>=ROUNDDOWN({0},0)</f>
      </c>
      <c r="AK1102" s="5"/>
      <c r="AL1102" s="2" t="s">
        <v>200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 t="s">
        <v>200</v>
      </c>
      <c r="AW1102" s="8" t="s">
        <v>200</v>
      </c>
      <c r="AX1102" s="4" t="s">
        <v>200</v>
      </c>
      <c r="AY1102" s="8" t="s">
        <v>200</v>
      </c>
      <c r="AZ1102" s="7" t="s">
        <v>200</v>
      </c>
      <c r="BA1102" s="7" t="s">
        <v>200</v>
      </c>
      <c r="BB1102" s="7"/>
      <c r="BC1102" s="4" t="s">
        <v>200</v>
      </c>
      <c r="BD1102" s="8" t="s">
        <v>200</v>
      </c>
      <c r="BE1102" s="4" t="s">
        <v>200</v>
      </c>
      <c r="BF1102" s="8" t="s">
        <v>200</v>
      </c>
      <c r="BG1102" s="7" t="s">
        <v>200</v>
      </c>
      <c r="BH1102" s="7" t="s">
        <v>200</v>
      </c>
      <c r="BI1102" s="7"/>
      <c r="BJ1102" s="4">
        <v>5</v>
      </c>
      <c r="BK1102" s="8">
        <v>147.64</v>
      </c>
      <c r="BL1102" s="2" t="s">
        <v>6337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6338</v>
      </c>
      <c r="BV1102" s="2" t="s">
        <v>200</v>
      </c>
      <c r="BW1102" s="2" t="s">
        <v>200</v>
      </c>
      <c r="BX1102" s="2" t="s">
        <v>289</v>
      </c>
      <c r="BY1102" s="2" t="s">
        <v>247</v>
      </c>
      <c r="BZ1102" s="2" t="s">
        <v>212</v>
      </c>
      <c r="CA1102" s="2" t="s">
        <v>4438</v>
      </c>
      <c r="CB1102" s="2" t="s">
        <v>806</v>
      </c>
      <c r="CC1102" s="2" t="s">
        <v>213</v>
      </c>
      <c r="CD1102" s="2" t="s">
        <v>200</v>
      </c>
      <c r="CE1102" s="4"/>
      <c r="CF1102" s="4">
        <v>51</v>
      </c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E1102" s="4"/>
      <c r="DF1102" s="4"/>
      <c r="DG1102" s="4"/>
      <c r="DH1102" s="4"/>
      <c r="DI1102" s="4"/>
      <c r="DJ1102" s="4"/>
      <c r="DK1102" s="4"/>
      <c r="DL1102" s="4"/>
      <c r="DM1102" s="4"/>
      <c r="DN1102" s="4"/>
      <c r="DO1102" s="4"/>
      <c r="DP1102" s="4"/>
      <c r="DQ1102" s="4"/>
      <c r="DR1102" s="4"/>
      <c r="DS1102" s="4"/>
      <c r="DT1102" s="4"/>
      <c r="DU1102" s="4"/>
      <c r="DV1102" s="4"/>
      <c r="DW1102" s="4"/>
      <c r="DX1102" s="4"/>
      <c r="DY1102" s="4"/>
      <c r="DZ1102" s="4"/>
      <c r="EA1102" s="4"/>
      <c r="EB1102" s="4"/>
      <c r="EC1102" s="4"/>
      <c r="ED1102" s="4"/>
      <c r="EE1102" s="4"/>
      <c r="EF1102" s="4"/>
      <c r="EG1102" s="4"/>
      <c r="EH1102" s="4"/>
      <c r="EI1102" s="4"/>
      <c r="EJ1102" s="4"/>
      <c r="EK1102" s="4"/>
      <c r="EL1102" s="4"/>
      <c r="EM1102" s="4"/>
      <c r="EN1102" s="4"/>
      <c r="EO1102" s="4"/>
      <c r="EP1102" s="4"/>
      <c r="EQ1102" s="4"/>
      <c r="ER1102" s="4"/>
      <c r="ES1102" s="4"/>
      <c r="ET1102" s="4"/>
      <c r="EU1102" s="4"/>
      <c r="EV1102" s="4"/>
      <c r="EW1102" s="4"/>
      <c r="EX1102" s="4"/>
      <c r="EY1102" s="4"/>
      <c r="EZ1102" s="4"/>
      <c r="FA1102" s="4"/>
      <c r="FB1102" s="4"/>
      <c r="FC1102" s="4"/>
      <c r="FD1102" s="4"/>
      <c r="FE1102" s="4"/>
      <c r="FF1102" s="4"/>
      <c r="FG1102" s="4"/>
      <c r="FH1102" s="4"/>
      <c r="FI1102" s="4"/>
      <c r="FJ1102" s="4"/>
      <c r="FK1102" s="4"/>
      <c r="FL1102" s="4"/>
      <c r="FM1102" s="4"/>
      <c r="FN1102" s="4"/>
      <c r="FO1102" s="4"/>
      <c r="FP1102" s="4"/>
      <c r="FQ1102" s="4"/>
      <c r="FR1102" s="4"/>
      <c r="FS1102" s="4"/>
      <c r="FT1102" s="4"/>
      <c r="FU1102" s="4"/>
      <c r="FV1102" s="4"/>
      <c r="FW1102" s="4"/>
      <c r="FX1102" s="4"/>
      <c r="FY1102" s="4"/>
      <c r="FZ1102" s="4"/>
      <c r="GA1102" s="4"/>
      <c r="GB1102" s="4"/>
      <c r="GC1102" s="4"/>
      <c r="GD1102" s="4"/>
      <c r="GE1102" s="4"/>
      <c r="GF1102" s="4"/>
      <c r="GG1102" s="4"/>
      <c r="GH1102" s="4"/>
    </row>
    <row r="1103">
      <c r="A1103" s="2" t="s">
        <v>6339</v>
      </c>
      <c r="B1103" s="2" t="s">
        <v>992</v>
      </c>
      <c r="C1103" s="2" t="s">
        <v>231</v>
      </c>
      <c r="D1103" s="2" t="s">
        <v>992</v>
      </c>
      <c r="E1103" s="2" t="s">
        <v>992</v>
      </c>
      <c r="F1103" s="2" t="s">
        <v>6331</v>
      </c>
      <c r="G1103" s="2" t="s">
        <v>6332</v>
      </c>
      <c r="H1103" s="2" t="s">
        <v>6333</v>
      </c>
      <c r="I1103" s="2" t="s">
        <v>6334</v>
      </c>
      <c r="J1103" s="2" t="s">
        <v>1585</v>
      </c>
      <c r="K1103" s="2" t="s">
        <v>6335</v>
      </c>
      <c r="L1103" s="3">
        <v>94.5</v>
      </c>
      <c r="M1103" s="3">
        <v>99.23</v>
      </c>
      <c r="N1103" s="3">
        <v>199.98</v>
      </c>
      <c r="O1103" s="2" t="s">
        <v>460</v>
      </c>
      <c r="P1103" s="2" t="s">
        <v>285</v>
      </c>
      <c r="Q1103" s="2" t="s">
        <v>206</v>
      </c>
      <c r="R1103" s="2" t="s">
        <v>200</v>
      </c>
      <c r="S1103" s="2" t="s">
        <v>6336</v>
      </c>
      <c r="T1103" s="2" t="s">
        <v>200</v>
      </c>
      <c r="U1103" s="2" t="s">
        <v>270</v>
      </c>
      <c r="V1103" s="2" t="s">
        <v>2826</v>
      </c>
      <c r="W1103" s="2" t="s">
        <v>1975</v>
      </c>
      <c r="X1103" s="2" t="s">
        <v>200</v>
      </c>
      <c r="Y1103" s="2" t="s">
        <v>1349</v>
      </c>
      <c r="Z1103" s="4"/>
      <c r="AA1103" s="4">
        <f>=ROUNDDOWN({0},0)</f>
      </c>
      <c r="AB1103" s="5">
        <v>2</v>
      </c>
      <c r="AC1103" s="2" t="s">
        <v>200</v>
      </c>
      <c r="AD1103" s="4"/>
      <c r="AE1103" s="4"/>
      <c r="AF1103" s="6">
        <v>63</v>
      </c>
      <c r="AG1103" s="6"/>
      <c r="AH1103" s="7">
        <v>0</v>
      </c>
      <c r="AI1103" s="4"/>
      <c r="AJ1103" s="4">
        <f>=ROUNDDOWN({0},0)</f>
      </c>
      <c r="AK1103" s="5"/>
      <c r="AL1103" s="2" t="s">
        <v>200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 t="s">
        <v>200</v>
      </c>
      <c r="AW1103" s="8" t="s">
        <v>200</v>
      </c>
      <c r="AX1103" s="4" t="s">
        <v>200</v>
      </c>
      <c r="AY1103" s="8" t="s">
        <v>200</v>
      </c>
      <c r="AZ1103" s="7" t="s">
        <v>200</v>
      </c>
      <c r="BA1103" s="7" t="s">
        <v>200</v>
      </c>
      <c r="BB1103" s="7"/>
      <c r="BC1103" s="4" t="s">
        <v>200</v>
      </c>
      <c r="BD1103" s="8" t="s">
        <v>200</v>
      </c>
      <c r="BE1103" s="4" t="s">
        <v>200</v>
      </c>
      <c r="BF1103" s="8" t="s">
        <v>200</v>
      </c>
      <c r="BG1103" s="7" t="s">
        <v>200</v>
      </c>
      <c r="BH1103" s="7" t="s">
        <v>200</v>
      </c>
      <c r="BI1103" s="7"/>
      <c r="BJ1103" s="4"/>
      <c r="BK1103" s="8"/>
      <c r="BL1103" s="2" t="s">
        <v>6340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6341</v>
      </c>
      <c r="BV1103" s="2" t="s">
        <v>200</v>
      </c>
      <c r="BW1103" s="2" t="s">
        <v>200</v>
      </c>
      <c r="BX1103" s="2" t="s">
        <v>289</v>
      </c>
      <c r="BY1103" s="2" t="s">
        <v>247</v>
      </c>
      <c r="BZ1103" s="2" t="s">
        <v>212</v>
      </c>
      <c r="CA1103" s="2" t="s">
        <v>4438</v>
      </c>
      <c r="CB1103" s="2" t="s">
        <v>963</v>
      </c>
      <c r="CC1103" s="2" t="s">
        <v>213</v>
      </c>
      <c r="CD1103" s="2" t="s">
        <v>200</v>
      </c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/>
      <c r="DZ1103" s="4"/>
      <c r="EA1103" s="4"/>
      <c r="EB1103" s="4"/>
      <c r="EC1103" s="4"/>
      <c r="ED1103" s="4"/>
      <c r="EE1103" s="4"/>
      <c r="EF1103" s="4"/>
      <c r="EG1103" s="4"/>
      <c r="EH1103" s="4"/>
      <c r="EI1103" s="4"/>
      <c r="EJ1103" s="4"/>
      <c r="EK1103" s="4"/>
      <c r="EL1103" s="4"/>
      <c r="EM1103" s="4"/>
      <c r="EN1103" s="4"/>
      <c r="EO1103" s="4"/>
      <c r="EP1103" s="4"/>
      <c r="EQ1103" s="4"/>
      <c r="ER1103" s="4"/>
      <c r="ES1103" s="4"/>
      <c r="ET1103" s="4"/>
      <c r="EU1103" s="4"/>
      <c r="EV1103" s="4"/>
      <c r="EW1103" s="4"/>
      <c r="EX1103" s="4"/>
      <c r="EY1103" s="4"/>
      <c r="EZ1103" s="4"/>
      <c r="FA1103" s="4"/>
      <c r="FB1103" s="4"/>
      <c r="FC1103" s="4"/>
      <c r="FD1103" s="4"/>
      <c r="FE1103" s="4"/>
      <c r="FF1103" s="4"/>
      <c r="FG1103" s="4"/>
      <c r="FH1103" s="4"/>
      <c r="FI1103" s="4"/>
      <c r="FJ1103" s="4"/>
      <c r="FK1103" s="4"/>
      <c r="FL1103" s="4"/>
      <c r="FM1103" s="4"/>
      <c r="FN1103" s="4"/>
      <c r="FO1103" s="4"/>
      <c r="FP1103" s="4"/>
      <c r="FQ1103" s="4"/>
      <c r="FR1103" s="4"/>
      <c r="FS1103" s="4"/>
      <c r="FT1103" s="4"/>
      <c r="FU1103" s="4"/>
      <c r="FV1103" s="4"/>
      <c r="FW1103" s="4"/>
      <c r="FX1103" s="4"/>
      <c r="FY1103" s="4"/>
      <c r="FZ1103" s="4"/>
      <c r="GA1103" s="4"/>
      <c r="GB1103" s="4"/>
      <c r="GC1103" s="4"/>
      <c r="GD1103" s="4"/>
      <c r="GE1103" s="4"/>
      <c r="GF1103" s="4"/>
      <c r="GG1103" s="4"/>
      <c r="GH1103" s="4"/>
    </row>
    <row r="1104">
      <c r="A1104" s="2" t="s">
        <v>6342</v>
      </c>
      <c r="B1104" s="2" t="s">
        <v>744</v>
      </c>
      <c r="C1104" s="2" t="s">
        <v>231</v>
      </c>
      <c r="D1104" s="2" t="s">
        <v>746</v>
      </c>
      <c r="E1104" s="2" t="s">
        <v>747</v>
      </c>
      <c r="F1104" s="2" t="s">
        <v>6331</v>
      </c>
      <c r="G1104" s="2" t="s">
        <v>6343</v>
      </c>
      <c r="H1104" s="2" t="s">
        <v>6344</v>
      </c>
      <c r="I1104" s="2" t="s">
        <v>747</v>
      </c>
      <c r="J1104" s="2" t="s">
        <v>711</v>
      </c>
      <c r="K1104" s="2" t="s">
        <v>221</v>
      </c>
      <c r="L1104" s="3">
        <v>142.86</v>
      </c>
      <c r="M1104" s="3">
        <v>150</v>
      </c>
      <c r="N1104" s="3">
        <v>299</v>
      </c>
      <c r="O1104" s="2" t="s">
        <v>212</v>
      </c>
      <c r="P1104" s="2" t="s">
        <v>750</v>
      </c>
      <c r="Q1104" s="2" t="s">
        <v>206</v>
      </c>
      <c r="R1104" s="2" t="s">
        <v>200</v>
      </c>
      <c r="S1104" s="2" t="s">
        <v>200</v>
      </c>
      <c r="T1104" s="2" t="s">
        <v>200</v>
      </c>
      <c r="U1104" s="2" t="s">
        <v>270</v>
      </c>
      <c r="V1104" s="2" t="s">
        <v>208</v>
      </c>
      <c r="W1104" s="2" t="s">
        <v>419</v>
      </c>
      <c r="X1104" s="2" t="s">
        <v>241</v>
      </c>
      <c r="Y1104" s="2" t="s">
        <v>6119</v>
      </c>
      <c r="Z1104" s="4">
        <v>52</v>
      </c>
      <c r="AA1104" s="4">
        <f>=ROUNDDOWN(52,0)</f>
      </c>
      <c r="AB1104" s="5">
        <v>1</v>
      </c>
      <c r="AC1104" s="2" t="s">
        <v>200</v>
      </c>
      <c r="AD1104" s="4"/>
      <c r="AE1104" s="4"/>
      <c r="AF1104" s="6">
        <v>68</v>
      </c>
      <c r="AG1104" s="6"/>
      <c r="AH1104" s="7">
        <v>1</v>
      </c>
      <c r="AI1104" s="4"/>
      <c r="AJ1104" s="4">
        <f>=ROUNDDOWN({0},0)</f>
      </c>
      <c r="AK1104" s="5"/>
      <c r="AL1104" s="2" t="s">
        <v>200</v>
      </c>
      <c r="AM1104" s="4"/>
      <c r="AN1104" s="4"/>
      <c r="AO1104" s="7"/>
      <c r="AP1104" s="4"/>
      <c r="AQ1104" s="8"/>
      <c r="AR1104" s="4"/>
      <c r="AS1104" s="8"/>
      <c r="AT1104" s="7"/>
      <c r="AU1104" s="7"/>
      <c r="AV1104" s="4"/>
      <c r="AW1104" s="8"/>
      <c r="AX1104" s="4"/>
      <c r="AY1104" s="8"/>
      <c r="AZ1104" s="7"/>
      <c r="BA1104" s="7"/>
      <c r="BB1104" s="7"/>
      <c r="BC1104" s="4" t="s">
        <v>200</v>
      </c>
      <c r="BD1104" s="8" t="s">
        <v>200</v>
      </c>
      <c r="BE1104" s="4" t="s">
        <v>200</v>
      </c>
      <c r="BF1104" s="8" t="s">
        <v>200</v>
      </c>
      <c r="BG1104" s="7" t="s">
        <v>200</v>
      </c>
      <c r="BH1104" s="7" t="s">
        <v>200</v>
      </c>
      <c r="BI1104" s="7"/>
      <c r="BJ1104" s="4">
        <v>9</v>
      </c>
      <c r="BK1104" s="8">
        <v>1330.86</v>
      </c>
      <c r="BL1104" s="2" t="s">
        <v>1456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6345</v>
      </c>
      <c r="BV1104" s="2" t="s">
        <v>200</v>
      </c>
      <c r="BW1104" s="2" t="s">
        <v>200</v>
      </c>
      <c r="BX1104" s="2" t="s">
        <v>264</v>
      </c>
      <c r="BY1104" s="2" t="s">
        <v>247</v>
      </c>
      <c r="BZ1104" s="2" t="s">
        <v>212</v>
      </c>
      <c r="CA1104" s="2" t="s">
        <v>6119</v>
      </c>
      <c r="CB1104" s="2" t="s">
        <v>6346</v>
      </c>
      <c r="CC1104" s="2" t="s">
        <v>213</v>
      </c>
      <c r="CD1104" s="2" t="s">
        <v>200</v>
      </c>
      <c r="CE1104" s="4"/>
      <c r="CF1104" s="4">
        <v>52</v>
      </c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  <c r="DL1104" s="4"/>
      <c r="DM1104" s="4"/>
      <c r="DN1104" s="4"/>
      <c r="DO1104" s="4"/>
      <c r="DP1104" s="4"/>
      <c r="DQ1104" s="4"/>
      <c r="DR1104" s="4"/>
      <c r="DS1104" s="4"/>
      <c r="DT1104" s="4"/>
      <c r="DU1104" s="4"/>
      <c r="DV1104" s="4"/>
      <c r="DW1104" s="4"/>
      <c r="DX1104" s="4"/>
      <c r="DY1104" s="4"/>
      <c r="DZ1104" s="4"/>
      <c r="EA1104" s="4"/>
      <c r="EB1104" s="4"/>
      <c r="EC1104" s="4"/>
      <c r="ED1104" s="4"/>
      <c r="EE1104" s="4"/>
      <c r="EF1104" s="4"/>
      <c r="EG1104" s="4"/>
      <c r="EH1104" s="4"/>
      <c r="EI1104" s="4"/>
      <c r="EJ1104" s="4"/>
      <c r="EK1104" s="4"/>
      <c r="EL1104" s="4"/>
      <c r="EM1104" s="4"/>
      <c r="EN1104" s="4"/>
      <c r="EO1104" s="4"/>
      <c r="EP1104" s="4"/>
      <c r="EQ1104" s="4"/>
      <c r="ER1104" s="4"/>
      <c r="ES1104" s="4"/>
      <c r="ET1104" s="4"/>
      <c r="EU1104" s="4"/>
      <c r="EV1104" s="4"/>
      <c r="EW1104" s="4"/>
      <c r="EX1104" s="4"/>
      <c r="EY1104" s="4"/>
      <c r="EZ1104" s="4"/>
      <c r="FA1104" s="4"/>
      <c r="FB1104" s="4"/>
      <c r="FC1104" s="4"/>
      <c r="FD1104" s="4"/>
      <c r="FE1104" s="4"/>
      <c r="FF1104" s="4"/>
      <c r="FG1104" s="4"/>
      <c r="FH1104" s="4"/>
      <c r="FI1104" s="4"/>
      <c r="FJ1104" s="4"/>
      <c r="FK1104" s="4"/>
      <c r="FL1104" s="4"/>
      <c r="FM1104" s="4"/>
      <c r="FN1104" s="4"/>
      <c r="FO1104" s="4"/>
      <c r="FP1104" s="4"/>
      <c r="FQ1104" s="4"/>
      <c r="FR1104" s="4"/>
      <c r="FS1104" s="4"/>
      <c r="FT1104" s="4"/>
      <c r="FU1104" s="4"/>
      <c r="FV1104" s="4"/>
      <c r="FW1104" s="4"/>
      <c r="FX1104" s="4"/>
      <c r="FY1104" s="4"/>
      <c r="FZ1104" s="4"/>
      <c r="GA1104" s="4"/>
      <c r="GB1104" s="4"/>
      <c r="GC1104" s="4"/>
      <c r="GD1104" s="4"/>
      <c r="GE1104" s="4"/>
      <c r="GF1104" s="4"/>
      <c r="GG1104" s="4"/>
      <c r="GH1104" s="4"/>
    </row>
    <row r="1105">
      <c r="A1105" s="2" t="s">
        <v>6347</v>
      </c>
      <c r="B1105" s="2" t="s">
        <v>932</v>
      </c>
      <c r="C1105" s="2" t="s">
        <v>877</v>
      </c>
      <c r="D1105" s="2" t="s">
        <v>608</v>
      </c>
      <c r="E1105" s="2" t="s">
        <v>1324</v>
      </c>
      <c r="F1105" s="2" t="s">
        <v>6348</v>
      </c>
      <c r="G1105" s="2" t="s">
        <v>4969</v>
      </c>
      <c r="H1105" s="2" t="s">
        <v>2710</v>
      </c>
      <c r="I1105" s="2" t="s">
        <v>6349</v>
      </c>
      <c r="J1105" s="2" t="s">
        <v>1390</v>
      </c>
      <c r="K1105" s="2" t="s">
        <v>3793</v>
      </c>
      <c r="L1105" s="3">
        <v>23.8</v>
      </c>
      <c r="M1105" s="3">
        <v>24.99</v>
      </c>
      <c r="N1105" s="3">
        <v>49.99</v>
      </c>
      <c r="O1105" s="2" t="s">
        <v>460</v>
      </c>
      <c r="P1105" s="2" t="s">
        <v>285</v>
      </c>
      <c r="Q1105" s="2" t="s">
        <v>206</v>
      </c>
      <c r="R1105" s="2" t="s">
        <v>200</v>
      </c>
      <c r="S1105" s="2" t="s">
        <v>6350</v>
      </c>
      <c r="T1105" s="2" t="s">
        <v>378</v>
      </c>
      <c r="U1105" s="2" t="s">
        <v>677</v>
      </c>
      <c r="V1105" s="2" t="s">
        <v>940</v>
      </c>
      <c r="W1105" s="2" t="s">
        <v>241</v>
      </c>
      <c r="X1105" s="2" t="s">
        <v>200</v>
      </c>
      <c r="Y1105" s="2" t="s">
        <v>6351</v>
      </c>
      <c r="Z1105" s="4">
        <v>172</v>
      </c>
      <c r="AA1105" s="4">
        <f>=ROUNDDOWN(57.3333333333333,0)</f>
      </c>
      <c r="AB1105" s="5">
        <v>3</v>
      </c>
      <c r="AC1105" s="2" t="s">
        <v>200</v>
      </c>
      <c r="AD1105" s="4"/>
      <c r="AE1105" s="4"/>
      <c r="AF1105" s="6">
        <v>64</v>
      </c>
      <c r="AG1105" s="6"/>
      <c r="AH1105" s="7">
        <v>1</v>
      </c>
      <c r="AI1105" s="4"/>
      <c r="AJ1105" s="4">
        <f>=ROUNDDOWN({0},0)</f>
      </c>
      <c r="AK1105" s="5"/>
      <c r="AL1105" s="2" t="s">
        <v>200</v>
      </c>
      <c r="AM1105" s="4"/>
      <c r="AN1105" s="4"/>
      <c r="AO1105" s="7"/>
      <c r="AP1105" s="4"/>
      <c r="AQ1105" s="8"/>
      <c r="AR1105" s="4"/>
      <c r="AS1105" s="8"/>
      <c r="AT1105" s="7"/>
      <c r="AU1105" s="7"/>
      <c r="AV1105" s="4"/>
      <c r="AW1105" s="8"/>
      <c r="AX1105" s="4"/>
      <c r="AY1105" s="8"/>
      <c r="AZ1105" s="7"/>
      <c r="BA1105" s="7"/>
      <c r="BB1105" s="7"/>
      <c r="BC1105" s="4"/>
      <c r="BD1105" s="8"/>
      <c r="BE1105" s="4"/>
      <c r="BF1105" s="8"/>
      <c r="BG1105" s="7"/>
      <c r="BH1105" s="7"/>
      <c r="BI1105" s="7"/>
      <c r="BJ1105" s="4">
        <v>20</v>
      </c>
      <c r="BK1105" s="8">
        <v>378.55</v>
      </c>
      <c r="BL1105" s="2" t="s">
        <v>6352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6353</v>
      </c>
      <c r="BV1105" s="2" t="s">
        <v>200</v>
      </c>
      <c r="BW1105" s="2" t="s">
        <v>200</v>
      </c>
      <c r="BX1105" s="2" t="s">
        <v>289</v>
      </c>
      <c r="BY1105" s="2" t="s">
        <v>247</v>
      </c>
      <c r="BZ1105" s="2" t="s">
        <v>212</v>
      </c>
      <c r="CA1105" s="2" t="s">
        <v>5160</v>
      </c>
      <c r="CB1105" s="2" t="s">
        <v>365</v>
      </c>
      <c r="CC1105" s="2" t="s">
        <v>213</v>
      </c>
      <c r="CD1105" s="2" t="s">
        <v>200</v>
      </c>
      <c r="CE1105" s="4">
        <v>172</v>
      </c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  <c r="DT1105" s="4"/>
      <c r="DU1105" s="4"/>
      <c r="DV1105" s="4"/>
      <c r="DW1105" s="4"/>
      <c r="DX1105" s="4"/>
      <c r="DY1105" s="4"/>
      <c r="DZ1105" s="4"/>
      <c r="EA1105" s="4"/>
      <c r="EB1105" s="4"/>
      <c r="EC1105" s="4"/>
      <c r="ED1105" s="4"/>
      <c r="EE1105" s="4"/>
      <c r="EF1105" s="4"/>
      <c r="EG1105" s="4"/>
      <c r="EH1105" s="4"/>
      <c r="EI1105" s="4"/>
      <c r="EJ1105" s="4"/>
      <c r="EK1105" s="4"/>
      <c r="EL1105" s="4"/>
      <c r="EM1105" s="4"/>
      <c r="EN1105" s="4"/>
      <c r="EO1105" s="4"/>
      <c r="EP1105" s="4"/>
      <c r="EQ1105" s="4"/>
      <c r="ER1105" s="4"/>
      <c r="ES1105" s="4"/>
      <c r="ET1105" s="4"/>
      <c r="EU1105" s="4"/>
      <c r="EV1105" s="4"/>
      <c r="EW1105" s="4"/>
      <c r="EX1105" s="4"/>
      <c r="EY1105" s="4"/>
      <c r="EZ1105" s="4"/>
      <c r="FA1105" s="4"/>
      <c r="FB1105" s="4"/>
      <c r="FC1105" s="4"/>
      <c r="FD1105" s="4"/>
      <c r="FE1105" s="4"/>
      <c r="FF1105" s="4"/>
      <c r="FG1105" s="4"/>
      <c r="FH1105" s="4"/>
      <c r="FI1105" s="4"/>
      <c r="FJ1105" s="4"/>
      <c r="FK1105" s="4"/>
      <c r="FL1105" s="4"/>
      <c r="FM1105" s="4"/>
      <c r="FN1105" s="4"/>
      <c r="FO1105" s="4"/>
      <c r="FP1105" s="4"/>
      <c r="FQ1105" s="4"/>
      <c r="FR1105" s="4"/>
      <c r="FS1105" s="4"/>
      <c r="FT1105" s="4"/>
      <c r="FU1105" s="4"/>
      <c r="FV1105" s="4"/>
      <c r="FW1105" s="4"/>
      <c r="FX1105" s="4"/>
      <c r="FY1105" s="4"/>
      <c r="FZ1105" s="4"/>
      <c r="GA1105" s="4"/>
      <c r="GB1105" s="4"/>
      <c r="GC1105" s="4"/>
      <c r="GD1105" s="4"/>
      <c r="GE1105" s="4"/>
      <c r="GF1105" s="4"/>
      <c r="GG1105" s="4"/>
      <c r="GH1105" s="4"/>
    </row>
    <row r="1106">
      <c r="A1106" s="2" t="s">
        <v>6354</v>
      </c>
      <c r="B1106" s="2" t="s">
        <v>744</v>
      </c>
      <c r="C1106" s="2" t="s">
        <v>231</v>
      </c>
      <c r="D1106" s="2" t="s">
        <v>1275</v>
      </c>
      <c r="E1106" s="2" t="s">
        <v>1276</v>
      </c>
      <c r="F1106" s="2" t="s">
        <v>6355</v>
      </c>
      <c r="G1106" s="2" t="s">
        <v>6356</v>
      </c>
      <c r="H1106" s="2" t="s">
        <v>6357</v>
      </c>
      <c r="I1106" s="2" t="s">
        <v>4970</v>
      </c>
      <c r="J1106" s="2" t="s">
        <v>711</v>
      </c>
      <c r="K1106" s="2" t="s">
        <v>4544</v>
      </c>
      <c r="L1106" s="3">
        <v>207</v>
      </c>
      <c r="M1106" s="3">
        <v>217.35</v>
      </c>
      <c r="N1106" s="3">
        <v>439</v>
      </c>
      <c r="O1106" s="2" t="s">
        <v>212</v>
      </c>
      <c r="P1106" s="2" t="s">
        <v>750</v>
      </c>
      <c r="Q1106" s="2" t="s">
        <v>206</v>
      </c>
      <c r="R1106" s="2" t="s">
        <v>200</v>
      </c>
      <c r="S1106" s="2" t="s">
        <v>6358</v>
      </c>
      <c r="T1106" s="2" t="s">
        <v>200</v>
      </c>
      <c r="U1106" s="2" t="s">
        <v>200</v>
      </c>
      <c r="V1106" s="2" t="s">
        <v>208</v>
      </c>
      <c r="W1106" s="2" t="s">
        <v>419</v>
      </c>
      <c r="X1106" s="2" t="s">
        <v>200</v>
      </c>
      <c r="Y1106" s="2" t="s">
        <v>261</v>
      </c>
      <c r="Z1106" s="4">
        <v>118</v>
      </c>
      <c r="AA1106" s="4">
        <f>=ROUNDDOWN(23.6,0)</f>
      </c>
      <c r="AB1106" s="5">
        <v>5</v>
      </c>
      <c r="AC1106" s="2" t="s">
        <v>691</v>
      </c>
      <c r="AD1106" s="4">
        <v>100</v>
      </c>
      <c r="AE1106" s="4">
        <v>100</v>
      </c>
      <c r="AF1106" s="6">
        <v>74</v>
      </c>
      <c r="AG1106" s="6"/>
      <c r="AH1106" s="7">
        <v>1</v>
      </c>
      <c r="AI1106" s="4"/>
      <c r="AJ1106" s="4">
        <f>=ROUNDDOWN({0},0)</f>
      </c>
      <c r="AK1106" s="5"/>
      <c r="AL1106" s="2" t="s">
        <v>200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/>
      <c r="AW1106" s="8"/>
      <c r="AX1106" s="4"/>
      <c r="AY1106" s="8"/>
      <c r="AZ1106" s="7"/>
      <c r="BA1106" s="7"/>
      <c r="BB1106" s="7"/>
      <c r="BC1106" s="4"/>
      <c r="BD1106" s="8"/>
      <c r="BE1106" s="4"/>
      <c r="BF1106" s="8"/>
      <c r="BG1106" s="7"/>
      <c r="BH1106" s="7"/>
      <c r="BI1106" s="7"/>
      <c r="BJ1106" s="4">
        <v>21</v>
      </c>
      <c r="BK1106" s="8">
        <v>4160.25</v>
      </c>
      <c r="BL1106" s="2" t="s">
        <v>6359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6360</v>
      </c>
      <c r="BV1106" s="2" t="s">
        <v>200</v>
      </c>
      <c r="BW1106" s="2" t="s">
        <v>200</v>
      </c>
      <c r="BX1106" s="2" t="s">
        <v>264</v>
      </c>
      <c r="BY1106" s="2" t="s">
        <v>247</v>
      </c>
      <c r="BZ1106" s="2" t="s">
        <v>212</v>
      </c>
      <c r="CA1106" s="2" t="s">
        <v>6361</v>
      </c>
      <c r="CB1106" s="2" t="s">
        <v>6362</v>
      </c>
      <c r="CC1106" s="2" t="s">
        <v>213</v>
      </c>
      <c r="CD1106" s="2" t="s">
        <v>200</v>
      </c>
      <c r="CE1106" s="4"/>
      <c r="CF1106" s="4">
        <v>118</v>
      </c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/>
      <c r="DU1106" s="4"/>
      <c r="DV1106" s="4"/>
      <c r="DW1106" s="4"/>
      <c r="DX1106" s="4"/>
      <c r="DY1106" s="4"/>
      <c r="DZ1106" s="4"/>
      <c r="EA1106" s="4"/>
      <c r="EB1106" s="4"/>
      <c r="EC1106" s="4"/>
      <c r="ED1106" s="4"/>
      <c r="EE1106" s="4"/>
      <c r="EF1106" s="4"/>
      <c r="EG1106" s="4"/>
      <c r="EH1106" s="4"/>
      <c r="EI1106" s="4"/>
      <c r="EJ1106" s="4"/>
      <c r="EK1106" s="4"/>
      <c r="EL1106" s="4"/>
      <c r="EM1106" s="4"/>
      <c r="EN1106" s="4"/>
      <c r="EO1106" s="4"/>
      <c r="EP1106" s="4"/>
      <c r="EQ1106" s="4"/>
      <c r="ER1106" s="4"/>
      <c r="ES1106" s="4"/>
      <c r="ET1106" s="4"/>
      <c r="EU1106" s="4"/>
      <c r="EV1106" s="4"/>
      <c r="EW1106" s="4"/>
      <c r="EX1106" s="4"/>
      <c r="EY1106" s="4"/>
      <c r="EZ1106" s="4"/>
      <c r="FA1106" s="4"/>
      <c r="FB1106" s="4"/>
      <c r="FC1106" s="4"/>
      <c r="FD1106" s="4"/>
      <c r="FE1106" s="4"/>
      <c r="FF1106" s="4">
        <v>100</v>
      </c>
      <c r="FG1106" s="4"/>
      <c r="FH1106" s="4"/>
      <c r="FI1106" s="4"/>
      <c r="FJ1106" s="4"/>
      <c r="FK1106" s="4"/>
      <c r="FL1106" s="4"/>
      <c r="FM1106" s="4"/>
      <c r="FN1106" s="4"/>
      <c r="FO1106" s="4"/>
      <c r="FP1106" s="4"/>
      <c r="FQ1106" s="4"/>
      <c r="FR1106" s="4"/>
      <c r="FS1106" s="4"/>
      <c r="FT1106" s="4"/>
      <c r="FU1106" s="4"/>
      <c r="FV1106" s="4"/>
      <c r="FW1106" s="4"/>
      <c r="FX1106" s="4"/>
      <c r="FY1106" s="4"/>
      <c r="FZ1106" s="4"/>
      <c r="GA1106" s="4"/>
      <c r="GB1106" s="4"/>
      <c r="GC1106" s="4"/>
      <c r="GD1106" s="4"/>
      <c r="GE1106" s="4"/>
      <c r="GF1106" s="4"/>
      <c r="GG1106" s="4"/>
      <c r="GH1106" s="4"/>
    </row>
    <row r="1107">
      <c r="A1107" s="2" t="s">
        <v>6363</v>
      </c>
      <c r="B1107" s="2" t="s">
        <v>827</v>
      </c>
      <c r="C1107" s="2" t="s">
        <v>1010</v>
      </c>
      <c r="D1107" s="2" t="s">
        <v>828</v>
      </c>
      <c r="E1107" s="2" t="s">
        <v>1011</v>
      </c>
      <c r="F1107" s="2" t="s">
        <v>3704</v>
      </c>
      <c r="G1107" s="2" t="s">
        <v>6364</v>
      </c>
      <c r="H1107" s="2" t="s">
        <v>6365</v>
      </c>
      <c r="I1107" s="2" t="s">
        <v>6366</v>
      </c>
      <c r="J1107" s="2" t="s">
        <v>1016</v>
      </c>
      <c r="K1107" s="2" t="s">
        <v>6367</v>
      </c>
      <c r="L1107" s="3">
        <v>16.28</v>
      </c>
      <c r="M1107" s="3">
        <v>17.09</v>
      </c>
      <c r="N1107" s="3">
        <v>36.99</v>
      </c>
      <c r="O1107" s="2" t="s">
        <v>212</v>
      </c>
      <c r="P1107" s="2" t="s">
        <v>258</v>
      </c>
      <c r="Q1107" s="2" t="s">
        <v>206</v>
      </c>
      <c r="R1107" s="2" t="s">
        <v>200</v>
      </c>
      <c r="S1107" s="2" t="s">
        <v>6368</v>
      </c>
      <c r="T1107" s="2" t="s">
        <v>200</v>
      </c>
      <c r="U1107" s="2" t="s">
        <v>200</v>
      </c>
      <c r="V1107" s="2" t="s">
        <v>208</v>
      </c>
      <c r="W1107" s="2" t="s">
        <v>241</v>
      </c>
      <c r="X1107" s="2" t="s">
        <v>2035</v>
      </c>
      <c r="Y1107" s="2" t="s">
        <v>5567</v>
      </c>
      <c r="Z1107" s="4">
        <v>276</v>
      </c>
      <c r="AA1107" s="4">
        <f>=ROUNDDOWN(27.6,0)</f>
      </c>
      <c r="AB1107" s="5">
        <v>10</v>
      </c>
      <c r="AC1107" s="2" t="s">
        <v>369</v>
      </c>
      <c r="AD1107" s="4">
        <v>100</v>
      </c>
      <c r="AE1107" s="4">
        <v>100</v>
      </c>
      <c r="AF1107" s="6">
        <v>65</v>
      </c>
      <c r="AG1107" s="6"/>
      <c r="AH1107" s="7">
        <v>1</v>
      </c>
      <c r="AI1107" s="4"/>
      <c r="AJ1107" s="4">
        <f>=ROUNDDOWN({0},0)</f>
      </c>
      <c r="AK1107" s="5"/>
      <c r="AL1107" s="2" t="s">
        <v>200</v>
      </c>
      <c r="AM1107" s="4"/>
      <c r="AN1107" s="4"/>
      <c r="AO1107" s="7"/>
      <c r="AP1107" s="4"/>
      <c r="AQ1107" s="8"/>
      <c r="AR1107" s="4"/>
      <c r="AS1107" s="8"/>
      <c r="AT1107" s="7"/>
      <c r="AU1107" s="7"/>
      <c r="AV1107" s="4" t="s">
        <v>200</v>
      </c>
      <c r="AW1107" s="8" t="s">
        <v>200</v>
      </c>
      <c r="AX1107" s="4" t="s">
        <v>200</v>
      </c>
      <c r="AY1107" s="8" t="s">
        <v>200</v>
      </c>
      <c r="AZ1107" s="7" t="s">
        <v>200</v>
      </c>
      <c r="BA1107" s="7" t="s">
        <v>200</v>
      </c>
      <c r="BB1107" s="7"/>
      <c r="BC1107" s="4" t="s">
        <v>200</v>
      </c>
      <c r="BD1107" s="8" t="s">
        <v>200</v>
      </c>
      <c r="BE1107" s="4" t="s">
        <v>200</v>
      </c>
      <c r="BF1107" s="8" t="s">
        <v>200</v>
      </c>
      <c r="BG1107" s="7" t="s">
        <v>200</v>
      </c>
      <c r="BH1107" s="7" t="s">
        <v>200</v>
      </c>
      <c r="BI1107" s="7"/>
      <c r="BJ1107" s="4">
        <v>56</v>
      </c>
      <c r="BK1107" s="8">
        <v>1034.74</v>
      </c>
      <c r="BL1107" s="2" t="s">
        <v>6369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6370</v>
      </c>
      <c r="BV1107" s="2" t="s">
        <v>200</v>
      </c>
      <c r="BW1107" s="2" t="s">
        <v>200</v>
      </c>
      <c r="BX1107" s="2" t="s">
        <v>264</v>
      </c>
      <c r="BY1107" s="2" t="s">
        <v>247</v>
      </c>
      <c r="BZ1107" s="2" t="s">
        <v>212</v>
      </c>
      <c r="CA1107" s="2" t="s">
        <v>5570</v>
      </c>
      <c r="CB1107" s="2" t="s">
        <v>6371</v>
      </c>
      <c r="CC1107" s="2" t="s">
        <v>213</v>
      </c>
      <c r="CD1107" s="2" t="s">
        <v>200</v>
      </c>
      <c r="CE1107" s="4">
        <v>276</v>
      </c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  <c r="DP1107" s="4"/>
      <c r="DQ1107" s="4"/>
      <c r="DR1107" s="4"/>
      <c r="DS1107" s="4"/>
      <c r="DT1107" s="4"/>
      <c r="DU1107" s="4"/>
      <c r="DV1107" s="4"/>
      <c r="DW1107" s="4"/>
      <c r="DX1107" s="4"/>
      <c r="DY1107" s="4"/>
      <c r="DZ1107" s="4"/>
      <c r="EA1107" s="4"/>
      <c r="EB1107" s="4"/>
      <c r="EC1107" s="4"/>
      <c r="ED1107" s="4"/>
      <c r="EE1107" s="4"/>
      <c r="EF1107" s="4"/>
      <c r="EG1107" s="4"/>
      <c r="EH1107" s="4"/>
      <c r="EI1107" s="4"/>
      <c r="EJ1107" s="4"/>
      <c r="EK1107" s="4"/>
      <c r="EL1107" s="4"/>
      <c r="EM1107" s="4"/>
      <c r="EN1107" s="4"/>
      <c r="EO1107" s="4"/>
      <c r="EP1107" s="4"/>
      <c r="EQ1107" s="4"/>
      <c r="ER1107" s="4"/>
      <c r="ES1107" s="4"/>
      <c r="ET1107" s="4"/>
      <c r="EU1107" s="4"/>
      <c r="EV1107" s="4"/>
      <c r="EW1107" s="4">
        <v>100</v>
      </c>
      <c r="EX1107" s="4"/>
      <c r="EY1107" s="4"/>
      <c r="EZ1107" s="4"/>
      <c r="FA1107" s="4"/>
      <c r="FB1107" s="4"/>
      <c r="FC1107" s="4"/>
      <c r="FD1107" s="4"/>
      <c r="FE1107" s="4"/>
      <c r="FF1107" s="4"/>
      <c r="FG1107" s="4"/>
      <c r="FH1107" s="4"/>
      <c r="FI1107" s="4"/>
      <c r="FJ1107" s="4"/>
      <c r="FK1107" s="4"/>
      <c r="FL1107" s="4"/>
      <c r="FM1107" s="4"/>
      <c r="FN1107" s="4"/>
      <c r="FO1107" s="4"/>
      <c r="FP1107" s="4"/>
      <c r="FQ1107" s="4"/>
      <c r="FR1107" s="4"/>
      <c r="FS1107" s="4"/>
      <c r="FT1107" s="4"/>
      <c r="FU1107" s="4"/>
      <c r="FV1107" s="4"/>
      <c r="FW1107" s="4"/>
      <c r="FX1107" s="4"/>
      <c r="FY1107" s="4"/>
      <c r="FZ1107" s="4"/>
      <c r="GA1107" s="4"/>
      <c r="GB1107" s="4"/>
      <c r="GC1107" s="4"/>
      <c r="GD1107" s="4"/>
      <c r="GE1107" s="4"/>
      <c r="GF1107" s="4"/>
      <c r="GG1107" s="4"/>
      <c r="GH1107" s="4"/>
    </row>
    <row r="1108">
      <c r="A1108" s="2" t="s">
        <v>6372</v>
      </c>
      <c r="B1108" s="2" t="s">
        <v>827</v>
      </c>
      <c r="C1108" s="2" t="s">
        <v>1010</v>
      </c>
      <c r="D1108" s="2" t="s">
        <v>828</v>
      </c>
      <c r="E1108" s="2" t="s">
        <v>1011</v>
      </c>
      <c r="F1108" s="2" t="s">
        <v>3704</v>
      </c>
      <c r="G1108" s="2" t="s">
        <v>6364</v>
      </c>
      <c r="H1108" s="2" t="s">
        <v>6365</v>
      </c>
      <c r="I1108" s="2" t="s">
        <v>6366</v>
      </c>
      <c r="J1108" s="2" t="s">
        <v>6373</v>
      </c>
      <c r="K1108" s="2" t="s">
        <v>6367</v>
      </c>
      <c r="L1108" s="3">
        <v>12.76</v>
      </c>
      <c r="M1108" s="3">
        <v>13.4</v>
      </c>
      <c r="N1108" s="3">
        <v>28.99</v>
      </c>
      <c r="O1108" s="2" t="s">
        <v>212</v>
      </c>
      <c r="P1108" s="2" t="s">
        <v>258</v>
      </c>
      <c r="Q1108" s="2" t="s">
        <v>206</v>
      </c>
      <c r="R1108" s="2" t="s">
        <v>200</v>
      </c>
      <c r="S1108" s="2" t="s">
        <v>6368</v>
      </c>
      <c r="T1108" s="2" t="s">
        <v>200</v>
      </c>
      <c r="U1108" s="2" t="s">
        <v>200</v>
      </c>
      <c r="V1108" s="2" t="s">
        <v>208</v>
      </c>
      <c r="W1108" s="2" t="s">
        <v>241</v>
      </c>
      <c r="X1108" s="2" t="s">
        <v>2035</v>
      </c>
      <c r="Y1108" s="2" t="s">
        <v>5567</v>
      </c>
      <c r="Z1108" s="4">
        <v>144</v>
      </c>
      <c r="AA1108" s="4">
        <f>=ROUNDDOWN(20.5714285714286,0)</f>
      </c>
      <c r="AB1108" s="5">
        <v>7</v>
      </c>
      <c r="AC1108" s="2" t="s">
        <v>369</v>
      </c>
      <c r="AD1108" s="4">
        <v>112</v>
      </c>
      <c r="AE1108" s="4">
        <v>112</v>
      </c>
      <c r="AF1108" s="6">
        <v>65</v>
      </c>
      <c r="AG1108" s="6"/>
      <c r="AH1108" s="7">
        <v>1</v>
      </c>
      <c r="AI1108" s="4"/>
      <c r="AJ1108" s="4">
        <f>=ROUNDDOWN({0},0)</f>
      </c>
      <c r="AK1108" s="5"/>
      <c r="AL1108" s="2" t="s">
        <v>200</v>
      </c>
      <c r="AM1108" s="4"/>
      <c r="AN1108" s="4"/>
      <c r="AO1108" s="7"/>
      <c r="AP1108" s="4"/>
      <c r="AQ1108" s="8"/>
      <c r="AR1108" s="4"/>
      <c r="AS1108" s="8"/>
      <c r="AT1108" s="7"/>
      <c r="AU1108" s="7"/>
      <c r="AV1108" s="4" t="s">
        <v>200</v>
      </c>
      <c r="AW1108" s="8" t="s">
        <v>200</v>
      </c>
      <c r="AX1108" s="4" t="s">
        <v>200</v>
      </c>
      <c r="AY1108" s="8" t="s">
        <v>200</v>
      </c>
      <c r="AZ1108" s="7" t="s">
        <v>200</v>
      </c>
      <c r="BA1108" s="7" t="s">
        <v>200</v>
      </c>
      <c r="BB1108" s="7"/>
      <c r="BC1108" s="4" t="s">
        <v>200</v>
      </c>
      <c r="BD1108" s="8" t="s">
        <v>200</v>
      </c>
      <c r="BE1108" s="4" t="s">
        <v>200</v>
      </c>
      <c r="BF1108" s="8" t="s">
        <v>200</v>
      </c>
      <c r="BG1108" s="7" t="s">
        <v>200</v>
      </c>
      <c r="BH1108" s="7" t="s">
        <v>200</v>
      </c>
      <c r="BI1108" s="7"/>
      <c r="BJ1108" s="4">
        <v>32</v>
      </c>
      <c r="BK1108" s="8">
        <v>451.4</v>
      </c>
      <c r="BL1108" s="2" t="s">
        <v>3092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6374</v>
      </c>
      <c r="BV1108" s="2" t="s">
        <v>200</v>
      </c>
      <c r="BW1108" s="2" t="s">
        <v>200</v>
      </c>
      <c r="BX1108" s="2" t="s">
        <v>264</v>
      </c>
      <c r="BY1108" s="2" t="s">
        <v>247</v>
      </c>
      <c r="BZ1108" s="2" t="s">
        <v>212</v>
      </c>
      <c r="CA1108" s="2" t="s">
        <v>5570</v>
      </c>
      <c r="CB1108" s="2" t="s">
        <v>1472</v>
      </c>
      <c r="CC1108" s="2" t="s">
        <v>213</v>
      </c>
      <c r="CD1108" s="2" t="s">
        <v>200</v>
      </c>
      <c r="CE1108" s="4">
        <v>144</v>
      </c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  <c r="DE1108" s="4"/>
      <c r="DF1108" s="4"/>
      <c r="DG1108" s="4"/>
      <c r="DH1108" s="4"/>
      <c r="DI1108" s="4"/>
      <c r="DJ1108" s="4"/>
      <c r="DK1108" s="4"/>
      <c r="DL1108" s="4"/>
      <c r="DM1108" s="4"/>
      <c r="DN1108" s="4"/>
      <c r="DO1108" s="4"/>
      <c r="DP1108" s="4"/>
      <c r="DQ1108" s="4"/>
      <c r="DR1108" s="4"/>
      <c r="DS1108" s="4"/>
      <c r="DT1108" s="4"/>
      <c r="DU1108" s="4"/>
      <c r="DV1108" s="4"/>
      <c r="DW1108" s="4"/>
      <c r="DX1108" s="4"/>
      <c r="DY1108" s="4"/>
      <c r="DZ1108" s="4"/>
      <c r="EA1108" s="4"/>
      <c r="EB1108" s="4"/>
      <c r="EC1108" s="4"/>
      <c r="ED1108" s="4"/>
      <c r="EE1108" s="4"/>
      <c r="EF1108" s="4"/>
      <c r="EG1108" s="4"/>
      <c r="EH1108" s="4"/>
      <c r="EI1108" s="4"/>
      <c r="EJ1108" s="4"/>
      <c r="EK1108" s="4"/>
      <c r="EL1108" s="4"/>
      <c r="EM1108" s="4"/>
      <c r="EN1108" s="4"/>
      <c r="EO1108" s="4"/>
      <c r="EP1108" s="4"/>
      <c r="EQ1108" s="4"/>
      <c r="ER1108" s="4"/>
      <c r="ES1108" s="4"/>
      <c r="ET1108" s="4"/>
      <c r="EU1108" s="4"/>
      <c r="EV1108" s="4"/>
      <c r="EW1108" s="4">
        <v>112</v>
      </c>
      <c r="EX1108" s="4"/>
      <c r="EY1108" s="4"/>
      <c r="EZ1108" s="4"/>
      <c r="FA1108" s="4"/>
      <c r="FB1108" s="4"/>
      <c r="FC1108" s="4"/>
      <c r="FD1108" s="4"/>
      <c r="FE1108" s="4"/>
      <c r="FF1108" s="4"/>
      <c r="FG1108" s="4"/>
      <c r="FH1108" s="4"/>
      <c r="FI1108" s="4"/>
      <c r="FJ1108" s="4"/>
      <c r="FK1108" s="4"/>
      <c r="FL1108" s="4"/>
      <c r="FM1108" s="4"/>
      <c r="FN1108" s="4"/>
      <c r="FO1108" s="4"/>
      <c r="FP1108" s="4"/>
      <c r="FQ1108" s="4"/>
      <c r="FR1108" s="4"/>
      <c r="FS1108" s="4"/>
      <c r="FT1108" s="4"/>
      <c r="FU1108" s="4"/>
      <c r="FV1108" s="4"/>
      <c r="FW1108" s="4"/>
      <c r="FX1108" s="4"/>
      <c r="FY1108" s="4"/>
      <c r="FZ1108" s="4"/>
      <c r="GA1108" s="4"/>
      <c r="GB1108" s="4"/>
      <c r="GC1108" s="4"/>
      <c r="GD1108" s="4"/>
      <c r="GE1108" s="4"/>
      <c r="GF1108" s="4"/>
      <c r="GG1108" s="4"/>
      <c r="GH1108" s="4"/>
    </row>
    <row r="1109">
      <c r="A1109" s="2" t="s">
        <v>6375</v>
      </c>
      <c r="B1109" s="2" t="s">
        <v>827</v>
      </c>
      <c r="C1109" s="2" t="s">
        <v>1010</v>
      </c>
      <c r="D1109" s="2" t="s">
        <v>828</v>
      </c>
      <c r="E1109" s="2" t="s">
        <v>1011</v>
      </c>
      <c r="F1109" s="2" t="s">
        <v>3704</v>
      </c>
      <c r="G1109" s="2" t="s">
        <v>6364</v>
      </c>
      <c r="H1109" s="2" t="s">
        <v>6365</v>
      </c>
      <c r="I1109" s="2" t="s">
        <v>6366</v>
      </c>
      <c r="J1109" s="2" t="s">
        <v>1016</v>
      </c>
      <c r="K1109" s="2" t="s">
        <v>1700</v>
      </c>
      <c r="L1109" s="3">
        <v>16.28</v>
      </c>
      <c r="M1109" s="3">
        <v>17.09</v>
      </c>
      <c r="N1109" s="3">
        <v>36.99</v>
      </c>
      <c r="O1109" s="2" t="s">
        <v>212</v>
      </c>
      <c r="P1109" s="2" t="s">
        <v>258</v>
      </c>
      <c r="Q1109" s="2" t="s">
        <v>206</v>
      </c>
      <c r="R1109" s="2" t="s">
        <v>200</v>
      </c>
      <c r="S1109" s="2" t="s">
        <v>6376</v>
      </c>
      <c r="T1109" s="2" t="s">
        <v>200</v>
      </c>
      <c r="U1109" s="2" t="s">
        <v>200</v>
      </c>
      <c r="V1109" s="2" t="s">
        <v>208</v>
      </c>
      <c r="W1109" s="2" t="s">
        <v>241</v>
      </c>
      <c r="X1109" s="2" t="s">
        <v>2035</v>
      </c>
      <c r="Y1109" s="2" t="s">
        <v>5567</v>
      </c>
      <c r="Z1109" s="4">
        <v>313</v>
      </c>
      <c r="AA1109" s="4">
        <f>=ROUNDDOWN(26.0833333333333,0)</f>
      </c>
      <c r="AB1109" s="5">
        <v>12</v>
      </c>
      <c r="AC1109" s="2" t="s">
        <v>118</v>
      </c>
      <c r="AD1109" s="4">
        <v>148</v>
      </c>
      <c r="AE1109" s="4">
        <v>148</v>
      </c>
      <c r="AF1109" s="6">
        <v>65</v>
      </c>
      <c r="AG1109" s="6"/>
      <c r="AH1109" s="7">
        <v>1</v>
      </c>
      <c r="AI1109" s="4"/>
      <c r="AJ1109" s="4">
        <f>=ROUNDDOWN({0},0)</f>
      </c>
      <c r="AK1109" s="5"/>
      <c r="AL1109" s="2" t="s">
        <v>200</v>
      </c>
      <c r="AM1109" s="4"/>
      <c r="AN1109" s="4"/>
      <c r="AO1109" s="7"/>
      <c r="AP1109" s="4"/>
      <c r="AQ1109" s="8"/>
      <c r="AR1109" s="4"/>
      <c r="AS1109" s="8"/>
      <c r="AT1109" s="7"/>
      <c r="AU1109" s="7"/>
      <c r="AV1109" s="4" t="s">
        <v>200</v>
      </c>
      <c r="AW1109" s="8" t="s">
        <v>200</v>
      </c>
      <c r="AX1109" s="4" t="s">
        <v>200</v>
      </c>
      <c r="AY1109" s="8" t="s">
        <v>200</v>
      </c>
      <c r="AZ1109" s="7" t="s">
        <v>200</v>
      </c>
      <c r="BA1109" s="7" t="s">
        <v>200</v>
      </c>
      <c r="BB1109" s="7"/>
      <c r="BC1109" s="4" t="s">
        <v>200</v>
      </c>
      <c r="BD1109" s="8" t="s">
        <v>200</v>
      </c>
      <c r="BE1109" s="4" t="s">
        <v>200</v>
      </c>
      <c r="BF1109" s="8" t="s">
        <v>200</v>
      </c>
      <c r="BG1109" s="7" t="s">
        <v>200</v>
      </c>
      <c r="BH1109" s="7" t="s">
        <v>200</v>
      </c>
      <c r="BI1109" s="7"/>
      <c r="BJ1109" s="4">
        <v>47</v>
      </c>
      <c r="BK1109" s="8">
        <v>791.6</v>
      </c>
      <c r="BL1109" s="2" t="s">
        <v>1238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6377</v>
      </c>
      <c r="BV1109" s="2" t="s">
        <v>200</v>
      </c>
      <c r="BW1109" s="2" t="s">
        <v>200</v>
      </c>
      <c r="BX1109" s="2" t="s">
        <v>264</v>
      </c>
      <c r="BY1109" s="2" t="s">
        <v>247</v>
      </c>
      <c r="BZ1109" s="2" t="s">
        <v>212</v>
      </c>
      <c r="CA1109" s="2" t="s">
        <v>5570</v>
      </c>
      <c r="CB1109" s="2" t="s">
        <v>6378</v>
      </c>
      <c r="CC1109" s="2" t="s">
        <v>213</v>
      </c>
      <c r="CD1109" s="2" t="s">
        <v>200</v>
      </c>
      <c r="CE1109" s="4">
        <v>313</v>
      </c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E1109" s="4">
        <v>148</v>
      </c>
      <c r="DF1109" s="4"/>
      <c r="DG1109" s="4"/>
      <c r="DH1109" s="4"/>
      <c r="DI1109" s="4"/>
      <c r="DJ1109" s="4"/>
      <c r="DK1109" s="4"/>
      <c r="DL1109" s="4"/>
      <c r="DM1109" s="4"/>
      <c r="DN1109" s="4"/>
      <c r="DO1109" s="4"/>
      <c r="DP1109" s="4"/>
      <c r="DQ1109" s="4"/>
      <c r="DR1109" s="4"/>
      <c r="DS1109" s="4"/>
      <c r="DT1109" s="4"/>
      <c r="DU1109" s="4"/>
      <c r="DV1109" s="4"/>
      <c r="DW1109" s="4"/>
      <c r="DX1109" s="4"/>
      <c r="DY1109" s="4"/>
      <c r="DZ1109" s="4"/>
      <c r="EA1109" s="4"/>
      <c r="EB1109" s="4"/>
      <c r="EC1109" s="4"/>
      <c r="ED1109" s="4"/>
      <c r="EE1109" s="4"/>
      <c r="EF1109" s="4"/>
      <c r="EG1109" s="4"/>
      <c r="EH1109" s="4"/>
      <c r="EI1109" s="4"/>
      <c r="EJ1109" s="4"/>
      <c r="EK1109" s="4"/>
      <c r="EL1109" s="4"/>
      <c r="EM1109" s="4"/>
      <c r="EN1109" s="4"/>
      <c r="EO1109" s="4"/>
      <c r="EP1109" s="4"/>
      <c r="EQ1109" s="4"/>
      <c r="ER1109" s="4"/>
      <c r="ES1109" s="4"/>
      <c r="ET1109" s="4"/>
      <c r="EU1109" s="4"/>
      <c r="EV1109" s="4"/>
      <c r="EW1109" s="4"/>
      <c r="EX1109" s="4"/>
      <c r="EY1109" s="4"/>
      <c r="EZ1109" s="4"/>
      <c r="FA1109" s="4"/>
      <c r="FB1109" s="4"/>
      <c r="FC1109" s="4"/>
      <c r="FD1109" s="4"/>
      <c r="FE1109" s="4"/>
      <c r="FF1109" s="4"/>
      <c r="FG1109" s="4"/>
      <c r="FH1109" s="4"/>
      <c r="FI1109" s="4"/>
      <c r="FJ1109" s="4"/>
      <c r="FK1109" s="4"/>
      <c r="FL1109" s="4"/>
      <c r="FM1109" s="4"/>
      <c r="FN1109" s="4"/>
      <c r="FO1109" s="4"/>
      <c r="FP1109" s="4"/>
      <c r="FQ1109" s="4"/>
      <c r="FR1109" s="4"/>
      <c r="FS1109" s="4"/>
      <c r="FT1109" s="4"/>
      <c r="FU1109" s="4"/>
      <c r="FV1109" s="4"/>
      <c r="FW1109" s="4"/>
      <c r="FX1109" s="4"/>
      <c r="FY1109" s="4"/>
      <c r="FZ1109" s="4"/>
      <c r="GA1109" s="4"/>
      <c r="GB1109" s="4"/>
      <c r="GC1109" s="4"/>
      <c r="GD1109" s="4"/>
      <c r="GE1109" s="4"/>
      <c r="GF1109" s="4"/>
      <c r="GG1109" s="4"/>
      <c r="GH1109" s="4"/>
    </row>
    <row r="1110">
      <c r="A1110" s="2" t="s">
        <v>6379</v>
      </c>
      <c r="B1110" s="2" t="s">
        <v>827</v>
      </c>
      <c r="C1110" s="2" t="s">
        <v>1010</v>
      </c>
      <c r="D1110" s="2" t="s">
        <v>828</v>
      </c>
      <c r="E1110" s="2" t="s">
        <v>1011</v>
      </c>
      <c r="F1110" s="2" t="s">
        <v>3704</v>
      </c>
      <c r="G1110" s="2" t="s">
        <v>6364</v>
      </c>
      <c r="H1110" s="2" t="s">
        <v>6365</v>
      </c>
      <c r="I1110" s="2" t="s">
        <v>6366</v>
      </c>
      <c r="J1110" s="2" t="s">
        <v>6373</v>
      </c>
      <c r="K1110" s="2" t="s">
        <v>1700</v>
      </c>
      <c r="L1110" s="3">
        <v>12.76</v>
      </c>
      <c r="M1110" s="3">
        <v>13.4</v>
      </c>
      <c r="N1110" s="3">
        <v>28.99</v>
      </c>
      <c r="O1110" s="2" t="s">
        <v>212</v>
      </c>
      <c r="P1110" s="2" t="s">
        <v>258</v>
      </c>
      <c r="Q1110" s="2" t="s">
        <v>206</v>
      </c>
      <c r="R1110" s="2" t="s">
        <v>200</v>
      </c>
      <c r="S1110" s="2" t="s">
        <v>6376</v>
      </c>
      <c r="T1110" s="2" t="s">
        <v>200</v>
      </c>
      <c r="U1110" s="2" t="s">
        <v>200</v>
      </c>
      <c r="V1110" s="2" t="s">
        <v>208</v>
      </c>
      <c r="W1110" s="2" t="s">
        <v>241</v>
      </c>
      <c r="X1110" s="2" t="s">
        <v>2035</v>
      </c>
      <c r="Y1110" s="2" t="s">
        <v>5567</v>
      </c>
      <c r="Z1110" s="4">
        <v>181</v>
      </c>
      <c r="AA1110" s="4">
        <f>=ROUNDDOWN(12.9285714285714,0)</f>
      </c>
      <c r="AB1110" s="5">
        <v>14</v>
      </c>
      <c r="AC1110" s="2" t="s">
        <v>118</v>
      </c>
      <c r="AD1110" s="4">
        <v>200</v>
      </c>
      <c r="AE1110" s="4">
        <v>200</v>
      </c>
      <c r="AF1110" s="6">
        <v>65</v>
      </c>
      <c r="AG1110" s="6"/>
      <c r="AH1110" s="7">
        <v>1</v>
      </c>
      <c r="AI1110" s="4"/>
      <c r="AJ1110" s="4">
        <f>=ROUNDDOWN({0},0)</f>
      </c>
      <c r="AK1110" s="5"/>
      <c r="AL1110" s="2" t="s">
        <v>200</v>
      </c>
      <c r="AM1110" s="4"/>
      <c r="AN1110" s="4"/>
      <c r="AO1110" s="7"/>
      <c r="AP1110" s="4"/>
      <c r="AQ1110" s="8"/>
      <c r="AR1110" s="4"/>
      <c r="AS1110" s="8"/>
      <c r="AT1110" s="7"/>
      <c r="AU1110" s="7"/>
      <c r="AV1110" s="4" t="s">
        <v>200</v>
      </c>
      <c r="AW1110" s="8" t="s">
        <v>200</v>
      </c>
      <c r="AX1110" s="4" t="s">
        <v>200</v>
      </c>
      <c r="AY1110" s="8" t="s">
        <v>200</v>
      </c>
      <c r="AZ1110" s="7" t="s">
        <v>200</v>
      </c>
      <c r="BA1110" s="7" t="s">
        <v>200</v>
      </c>
      <c r="BB1110" s="7"/>
      <c r="BC1110" s="4" t="s">
        <v>200</v>
      </c>
      <c r="BD1110" s="8" t="s">
        <v>200</v>
      </c>
      <c r="BE1110" s="4" t="s">
        <v>200</v>
      </c>
      <c r="BF1110" s="8" t="s">
        <v>200</v>
      </c>
      <c r="BG1110" s="7" t="s">
        <v>200</v>
      </c>
      <c r="BH1110" s="7" t="s">
        <v>200</v>
      </c>
      <c r="BI1110" s="7"/>
      <c r="BJ1110" s="4">
        <v>62</v>
      </c>
      <c r="BK1110" s="8">
        <v>824.47</v>
      </c>
      <c r="BL1110" s="2" t="s">
        <v>6380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6381</v>
      </c>
      <c r="BV1110" s="2" t="s">
        <v>200</v>
      </c>
      <c r="BW1110" s="2" t="s">
        <v>200</v>
      </c>
      <c r="BX1110" s="2" t="s">
        <v>264</v>
      </c>
      <c r="BY1110" s="2" t="s">
        <v>247</v>
      </c>
      <c r="BZ1110" s="2" t="s">
        <v>212</v>
      </c>
      <c r="CA1110" s="2" t="s">
        <v>5570</v>
      </c>
      <c r="CB1110" s="2" t="s">
        <v>3467</v>
      </c>
      <c r="CC1110" s="2" t="s">
        <v>213</v>
      </c>
      <c r="CD1110" s="2" t="s">
        <v>200</v>
      </c>
      <c r="CE1110" s="4">
        <v>181</v>
      </c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>
        <v>200</v>
      </c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  <c r="DT1110" s="4"/>
      <c r="DU1110" s="4"/>
      <c r="DV1110" s="4"/>
      <c r="DW1110" s="4"/>
      <c r="DX1110" s="4"/>
      <c r="DY1110" s="4"/>
      <c r="DZ1110" s="4"/>
      <c r="EA1110" s="4"/>
      <c r="EB1110" s="4"/>
      <c r="EC1110" s="4"/>
      <c r="ED1110" s="4"/>
      <c r="EE1110" s="4"/>
      <c r="EF1110" s="4"/>
      <c r="EG1110" s="4"/>
      <c r="EH1110" s="4"/>
      <c r="EI1110" s="4"/>
      <c r="EJ1110" s="4"/>
      <c r="EK1110" s="4"/>
      <c r="EL1110" s="4"/>
      <c r="EM1110" s="4"/>
      <c r="EN1110" s="4"/>
      <c r="EO1110" s="4"/>
      <c r="EP1110" s="4"/>
      <c r="EQ1110" s="4"/>
      <c r="ER1110" s="4"/>
      <c r="ES1110" s="4"/>
      <c r="ET1110" s="4"/>
      <c r="EU1110" s="4"/>
      <c r="EV1110" s="4"/>
      <c r="EW1110" s="4"/>
      <c r="EX1110" s="4"/>
      <c r="EY1110" s="4"/>
      <c r="EZ1110" s="4"/>
      <c r="FA1110" s="4"/>
      <c r="FB1110" s="4"/>
      <c r="FC1110" s="4"/>
      <c r="FD1110" s="4"/>
      <c r="FE1110" s="4"/>
      <c r="FF1110" s="4"/>
      <c r="FG1110" s="4"/>
      <c r="FH1110" s="4"/>
      <c r="FI1110" s="4"/>
      <c r="FJ1110" s="4"/>
      <c r="FK1110" s="4"/>
      <c r="FL1110" s="4"/>
      <c r="FM1110" s="4"/>
      <c r="FN1110" s="4"/>
      <c r="FO1110" s="4"/>
      <c r="FP1110" s="4"/>
      <c r="FQ1110" s="4"/>
      <c r="FR1110" s="4"/>
      <c r="FS1110" s="4"/>
      <c r="FT1110" s="4"/>
      <c r="FU1110" s="4"/>
      <c r="FV1110" s="4"/>
      <c r="FW1110" s="4"/>
      <c r="FX1110" s="4"/>
      <c r="FY1110" s="4"/>
      <c r="FZ1110" s="4"/>
      <c r="GA1110" s="4"/>
      <c r="GB1110" s="4"/>
      <c r="GC1110" s="4"/>
      <c r="GD1110" s="4"/>
      <c r="GE1110" s="4"/>
      <c r="GF1110" s="4"/>
      <c r="GG1110" s="4"/>
      <c r="GH1110" s="4"/>
    </row>
    <row r="1111">
      <c r="A1111" s="2" t="s">
        <v>6382</v>
      </c>
      <c r="B1111" s="2" t="s">
        <v>903</v>
      </c>
      <c r="C1111" s="2" t="s">
        <v>1894</v>
      </c>
      <c r="D1111" s="2" t="s">
        <v>608</v>
      </c>
      <c r="E1111" s="2" t="s">
        <v>1324</v>
      </c>
      <c r="F1111" s="2" t="s">
        <v>6383</v>
      </c>
      <c r="G1111" s="2" t="s">
        <v>6383</v>
      </c>
      <c r="H1111" s="2" t="s">
        <v>6383</v>
      </c>
      <c r="I1111" s="2" t="s">
        <v>6384</v>
      </c>
      <c r="J1111" s="2" t="s">
        <v>1390</v>
      </c>
      <c r="K1111" s="2" t="s">
        <v>387</v>
      </c>
      <c r="L1111" s="3">
        <v>50.28</v>
      </c>
      <c r="M1111" s="3">
        <v>52.8</v>
      </c>
      <c r="N1111" s="3">
        <v>109.99</v>
      </c>
      <c r="O1111" s="2" t="s">
        <v>212</v>
      </c>
      <c r="P1111" s="2" t="s">
        <v>205</v>
      </c>
      <c r="Q1111" s="2" t="s">
        <v>206</v>
      </c>
      <c r="R1111" s="2" t="s">
        <v>200</v>
      </c>
      <c r="S1111" s="2" t="s">
        <v>200</v>
      </c>
      <c r="T1111" s="2" t="s">
        <v>312</v>
      </c>
      <c r="U1111" s="2" t="s">
        <v>677</v>
      </c>
      <c r="V1111" s="2" t="s">
        <v>208</v>
      </c>
      <c r="W1111" s="2" t="s">
        <v>200</v>
      </c>
      <c r="X1111" s="2" t="s">
        <v>200</v>
      </c>
      <c r="Y1111" s="2" t="s">
        <v>200</v>
      </c>
      <c r="Z1111" s="4"/>
      <c r="AA1111" s="4">
        <f>=ROUNDDOWN({0},0)</f>
      </c>
      <c r="AB1111" s="5"/>
      <c r="AC1111" s="2" t="s">
        <v>200</v>
      </c>
      <c r="AD1111" s="4"/>
      <c r="AE1111" s="4"/>
      <c r="AF1111" s="6">
        <v>67</v>
      </c>
      <c r="AG1111" s="6"/>
      <c r="AH1111" s="7"/>
      <c r="AI1111" s="4"/>
      <c r="AJ1111" s="4">
        <f>=ROUNDDOWN({0},0)</f>
      </c>
      <c r="AK1111" s="5"/>
      <c r="AL1111" s="2" t="s">
        <v>200</v>
      </c>
      <c r="AM1111" s="4"/>
      <c r="AN1111" s="4"/>
      <c r="AO1111" s="7"/>
      <c r="AP1111" s="4"/>
      <c r="AQ1111" s="8"/>
      <c r="AR1111" s="4"/>
      <c r="AS1111" s="8"/>
      <c r="AT1111" s="7"/>
      <c r="AU1111" s="7"/>
      <c r="AV1111" s="4" t="s">
        <v>200</v>
      </c>
      <c r="AW1111" s="8" t="s">
        <v>200</v>
      </c>
      <c r="AX1111" s="4" t="s">
        <v>200</v>
      </c>
      <c r="AY1111" s="8" t="s">
        <v>200</v>
      </c>
      <c r="AZ1111" s="7" t="s">
        <v>200</v>
      </c>
      <c r="BA1111" s="7" t="s">
        <v>200</v>
      </c>
      <c r="BB1111" s="7"/>
      <c r="BC1111" s="4" t="s">
        <v>200</v>
      </c>
      <c r="BD1111" s="8" t="s">
        <v>200</v>
      </c>
      <c r="BE1111" s="4" t="s">
        <v>200</v>
      </c>
      <c r="BF1111" s="8" t="s">
        <v>200</v>
      </c>
      <c r="BG1111" s="7" t="s">
        <v>200</v>
      </c>
      <c r="BH1111" s="7" t="s">
        <v>200</v>
      </c>
      <c r="BI1111" s="7"/>
      <c r="BJ1111" s="4"/>
      <c r="BK1111" s="8"/>
      <c r="BL1111" s="2" t="s">
        <v>200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210</v>
      </c>
      <c r="BV1111" s="2" t="s">
        <v>200</v>
      </c>
      <c r="BW1111" s="2" t="s">
        <v>200</v>
      </c>
      <c r="BX1111" s="2" t="s">
        <v>210</v>
      </c>
      <c r="BY1111" s="2" t="s">
        <v>211</v>
      </c>
      <c r="BZ1111" s="2" t="s">
        <v>212</v>
      </c>
      <c r="CA1111" s="2" t="s">
        <v>200</v>
      </c>
      <c r="CB1111" s="2" t="s">
        <v>200</v>
      </c>
      <c r="CC1111" s="2" t="s">
        <v>213</v>
      </c>
      <c r="CD1111" s="2" t="s">
        <v>200</v>
      </c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4"/>
      <c r="DM1111" s="4"/>
      <c r="DN1111" s="4"/>
      <c r="DO1111" s="4"/>
      <c r="DP1111" s="4"/>
      <c r="DQ1111" s="4"/>
      <c r="DR1111" s="4"/>
      <c r="DS1111" s="4"/>
      <c r="DT1111" s="4"/>
      <c r="DU1111" s="4"/>
      <c r="DV1111" s="4"/>
      <c r="DW1111" s="4"/>
      <c r="DX1111" s="4"/>
      <c r="DY1111" s="4"/>
      <c r="DZ1111" s="4"/>
      <c r="EA1111" s="4"/>
      <c r="EB1111" s="4"/>
      <c r="EC1111" s="4"/>
      <c r="ED1111" s="4"/>
      <c r="EE1111" s="4"/>
      <c r="EF1111" s="4"/>
      <c r="EG1111" s="4"/>
      <c r="EH1111" s="4"/>
      <c r="EI1111" s="4"/>
      <c r="EJ1111" s="4"/>
      <c r="EK1111" s="4"/>
      <c r="EL1111" s="4"/>
      <c r="EM1111" s="4"/>
      <c r="EN1111" s="4"/>
      <c r="EO1111" s="4"/>
      <c r="EP1111" s="4"/>
      <c r="EQ1111" s="4"/>
      <c r="ER1111" s="4"/>
      <c r="ES1111" s="4"/>
      <c r="ET1111" s="4"/>
      <c r="EU1111" s="4"/>
      <c r="EV1111" s="4"/>
      <c r="EW1111" s="4"/>
      <c r="EX1111" s="4"/>
      <c r="EY1111" s="4"/>
      <c r="EZ1111" s="4"/>
      <c r="FA1111" s="4"/>
      <c r="FB1111" s="4"/>
      <c r="FC1111" s="4"/>
      <c r="FD1111" s="4"/>
      <c r="FE1111" s="4"/>
      <c r="FF1111" s="4"/>
      <c r="FG1111" s="4"/>
      <c r="FH1111" s="4"/>
      <c r="FI1111" s="4"/>
      <c r="FJ1111" s="4"/>
      <c r="FK1111" s="4"/>
      <c r="FL1111" s="4"/>
      <c r="FM1111" s="4"/>
      <c r="FN1111" s="4"/>
      <c r="FO1111" s="4"/>
      <c r="FP1111" s="4"/>
      <c r="FQ1111" s="4"/>
      <c r="FR1111" s="4"/>
      <c r="FS1111" s="4"/>
      <c r="FT1111" s="4"/>
      <c r="FU1111" s="4"/>
      <c r="FV1111" s="4"/>
      <c r="FW1111" s="4"/>
      <c r="FX1111" s="4"/>
      <c r="FY1111" s="4"/>
      <c r="FZ1111" s="4"/>
      <c r="GA1111" s="4"/>
      <c r="GB1111" s="4"/>
      <c r="GC1111" s="4"/>
      <c r="GD1111" s="4"/>
      <c r="GE1111" s="4"/>
      <c r="GF1111" s="4"/>
      <c r="GG1111" s="4"/>
      <c r="GH1111" s="4"/>
    </row>
    <row r="1112">
      <c r="A1112" s="2" t="s">
        <v>6385</v>
      </c>
      <c r="B1112" s="2" t="s">
        <v>903</v>
      </c>
      <c r="C1112" s="2" t="s">
        <v>1894</v>
      </c>
      <c r="D1112" s="2" t="s">
        <v>608</v>
      </c>
      <c r="E1112" s="2" t="s">
        <v>1324</v>
      </c>
      <c r="F1112" s="2" t="s">
        <v>6383</v>
      </c>
      <c r="G1112" s="2" t="s">
        <v>6383</v>
      </c>
      <c r="H1112" s="2" t="s">
        <v>6383</v>
      </c>
      <c r="I1112" s="2" t="s">
        <v>6384</v>
      </c>
      <c r="J1112" s="2" t="s">
        <v>612</v>
      </c>
      <c r="K1112" s="2" t="s">
        <v>387</v>
      </c>
      <c r="L1112" s="3">
        <v>59.42</v>
      </c>
      <c r="M1112" s="3">
        <v>62.4</v>
      </c>
      <c r="N1112" s="3">
        <v>129.99</v>
      </c>
      <c r="O1112" s="2" t="s">
        <v>212</v>
      </c>
      <c r="P1112" s="2" t="s">
        <v>205</v>
      </c>
      <c r="Q1112" s="2" t="s">
        <v>206</v>
      </c>
      <c r="R1112" s="2" t="s">
        <v>200</v>
      </c>
      <c r="S1112" s="2" t="s">
        <v>200</v>
      </c>
      <c r="T1112" s="2" t="s">
        <v>312</v>
      </c>
      <c r="U1112" s="2" t="s">
        <v>454</v>
      </c>
      <c r="V1112" s="2" t="s">
        <v>208</v>
      </c>
      <c r="W1112" s="2" t="s">
        <v>200</v>
      </c>
      <c r="X1112" s="2" t="s">
        <v>200</v>
      </c>
      <c r="Y1112" s="2" t="s">
        <v>200</v>
      </c>
      <c r="Z1112" s="4"/>
      <c r="AA1112" s="4">
        <f>=ROUNDDOWN({0},0)</f>
      </c>
      <c r="AB1112" s="5"/>
      <c r="AC1112" s="2" t="s">
        <v>200</v>
      </c>
      <c r="AD1112" s="4"/>
      <c r="AE1112" s="4"/>
      <c r="AF1112" s="6">
        <v>67</v>
      </c>
      <c r="AG1112" s="6"/>
      <c r="AH1112" s="7"/>
      <c r="AI1112" s="4"/>
      <c r="AJ1112" s="4">
        <f>=ROUNDDOWN({0},0)</f>
      </c>
      <c r="AK1112" s="5"/>
      <c r="AL1112" s="2" t="s">
        <v>200</v>
      </c>
      <c r="AM1112" s="4"/>
      <c r="AN1112" s="4"/>
      <c r="AO1112" s="7"/>
      <c r="AP1112" s="4"/>
      <c r="AQ1112" s="8"/>
      <c r="AR1112" s="4"/>
      <c r="AS1112" s="8"/>
      <c r="AT1112" s="7"/>
      <c r="AU1112" s="7"/>
      <c r="AV1112" s="4" t="s">
        <v>200</v>
      </c>
      <c r="AW1112" s="8" t="s">
        <v>200</v>
      </c>
      <c r="AX1112" s="4" t="s">
        <v>200</v>
      </c>
      <c r="AY1112" s="8" t="s">
        <v>200</v>
      </c>
      <c r="AZ1112" s="7" t="s">
        <v>200</v>
      </c>
      <c r="BA1112" s="7" t="s">
        <v>200</v>
      </c>
      <c r="BB1112" s="7" t="s">
        <v>200</v>
      </c>
      <c r="BC1112" s="4" t="s">
        <v>200</v>
      </c>
      <c r="BD1112" s="8" t="s">
        <v>200</v>
      </c>
      <c r="BE1112" s="4" t="s">
        <v>200</v>
      </c>
      <c r="BF1112" s="8" t="s">
        <v>200</v>
      </c>
      <c r="BG1112" s="7" t="s">
        <v>200</v>
      </c>
      <c r="BH1112" s="7" t="s">
        <v>200</v>
      </c>
      <c r="BI1112" s="7"/>
      <c r="BJ1112" s="4"/>
      <c r="BK1112" s="8"/>
      <c r="BL1112" s="2" t="s">
        <v>200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210</v>
      </c>
      <c r="BV1112" s="2" t="s">
        <v>200</v>
      </c>
      <c r="BW1112" s="2" t="s">
        <v>200</v>
      </c>
      <c r="BX1112" s="2" t="s">
        <v>210</v>
      </c>
      <c r="BY1112" s="2" t="s">
        <v>211</v>
      </c>
      <c r="BZ1112" s="2" t="s">
        <v>212</v>
      </c>
      <c r="CA1112" s="2" t="s">
        <v>200</v>
      </c>
      <c r="CB1112" s="2" t="s">
        <v>200</v>
      </c>
      <c r="CC1112" s="2" t="s">
        <v>213</v>
      </c>
      <c r="CD1112" s="2" t="s">
        <v>200</v>
      </c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  <c r="DD1112" s="4"/>
      <c r="DE1112" s="4"/>
      <c r="DF1112" s="4"/>
      <c r="DG1112" s="4"/>
      <c r="DH1112" s="4"/>
      <c r="DI1112" s="4"/>
      <c r="DJ1112" s="4"/>
      <c r="DK1112" s="4"/>
      <c r="DL1112" s="4"/>
      <c r="DM1112" s="4"/>
      <c r="DN1112" s="4"/>
      <c r="DO1112" s="4"/>
      <c r="DP1112" s="4"/>
      <c r="DQ1112" s="4"/>
      <c r="DR1112" s="4"/>
      <c r="DS1112" s="4"/>
      <c r="DT1112" s="4"/>
      <c r="DU1112" s="4"/>
      <c r="DV1112" s="4"/>
      <c r="DW1112" s="4"/>
      <c r="DX1112" s="4"/>
      <c r="DY1112" s="4"/>
      <c r="DZ1112" s="4"/>
      <c r="EA1112" s="4"/>
      <c r="EB1112" s="4"/>
      <c r="EC1112" s="4"/>
      <c r="ED1112" s="4"/>
      <c r="EE1112" s="4"/>
      <c r="EF1112" s="4"/>
      <c r="EG1112" s="4"/>
      <c r="EH1112" s="4"/>
      <c r="EI1112" s="4"/>
      <c r="EJ1112" s="4"/>
      <c r="EK1112" s="4"/>
      <c r="EL1112" s="4"/>
      <c r="EM1112" s="4"/>
      <c r="EN1112" s="4"/>
      <c r="EO1112" s="4"/>
      <c r="EP1112" s="4"/>
      <c r="EQ1112" s="4"/>
      <c r="ER1112" s="4"/>
      <c r="ES1112" s="4"/>
      <c r="ET1112" s="4"/>
      <c r="EU1112" s="4"/>
      <c r="EV1112" s="4"/>
      <c r="EW1112" s="4"/>
      <c r="EX1112" s="4"/>
      <c r="EY1112" s="4"/>
      <c r="EZ1112" s="4"/>
      <c r="FA1112" s="4"/>
      <c r="FB1112" s="4"/>
      <c r="FC1112" s="4"/>
      <c r="FD1112" s="4"/>
      <c r="FE1112" s="4"/>
      <c r="FF1112" s="4"/>
      <c r="FG1112" s="4"/>
      <c r="FH1112" s="4"/>
      <c r="FI1112" s="4"/>
      <c r="FJ1112" s="4"/>
      <c r="FK1112" s="4"/>
      <c r="FL1112" s="4"/>
      <c r="FM1112" s="4"/>
      <c r="FN1112" s="4"/>
      <c r="FO1112" s="4"/>
      <c r="FP1112" s="4"/>
      <c r="FQ1112" s="4"/>
      <c r="FR1112" s="4"/>
      <c r="FS1112" s="4"/>
      <c r="FT1112" s="4"/>
      <c r="FU1112" s="4"/>
      <c r="FV1112" s="4"/>
      <c r="FW1112" s="4"/>
      <c r="FX1112" s="4"/>
      <c r="FY1112" s="4"/>
      <c r="FZ1112" s="4"/>
      <c r="GA1112" s="4"/>
      <c r="GB1112" s="4"/>
      <c r="GC1112" s="4"/>
      <c r="GD1112" s="4"/>
      <c r="GE1112" s="4"/>
      <c r="GF1112" s="4"/>
      <c r="GG1112" s="4"/>
      <c r="GH1112" s="4"/>
    </row>
    <row r="1113">
      <c r="A1113" s="2" t="s">
        <v>6386</v>
      </c>
      <c r="B1113" s="2" t="s">
        <v>903</v>
      </c>
      <c r="C1113" s="2" t="s">
        <v>1894</v>
      </c>
      <c r="D1113" s="2" t="s">
        <v>918</v>
      </c>
      <c r="E1113" s="2" t="s">
        <v>919</v>
      </c>
      <c r="F1113" s="2" t="s">
        <v>6383</v>
      </c>
      <c r="G1113" s="2" t="s">
        <v>6383</v>
      </c>
      <c r="H1113" s="2" t="s">
        <v>6383</v>
      </c>
      <c r="I1113" s="2" t="s">
        <v>6387</v>
      </c>
      <c r="J1113" s="2" t="s">
        <v>612</v>
      </c>
      <c r="K1113" s="2" t="s">
        <v>387</v>
      </c>
      <c r="L1113" s="3">
        <v>45.71</v>
      </c>
      <c r="M1113" s="3">
        <v>48</v>
      </c>
      <c r="N1113" s="3">
        <v>99.99</v>
      </c>
      <c r="O1113" s="2" t="s">
        <v>212</v>
      </c>
      <c r="P1113" s="2" t="s">
        <v>205</v>
      </c>
      <c r="Q1113" s="2" t="s">
        <v>206</v>
      </c>
      <c r="R1113" s="2" t="s">
        <v>200</v>
      </c>
      <c r="S1113" s="2" t="s">
        <v>200</v>
      </c>
      <c r="T1113" s="2" t="s">
        <v>312</v>
      </c>
      <c r="U1113" s="2" t="s">
        <v>454</v>
      </c>
      <c r="V1113" s="2" t="s">
        <v>208</v>
      </c>
      <c r="W1113" s="2" t="s">
        <v>200</v>
      </c>
      <c r="X1113" s="2" t="s">
        <v>200</v>
      </c>
      <c r="Y1113" s="2" t="s">
        <v>200</v>
      </c>
      <c r="Z1113" s="4"/>
      <c r="AA1113" s="4">
        <f>=ROUNDDOWN({0},0)</f>
      </c>
      <c r="AB1113" s="5"/>
      <c r="AC1113" s="2" t="s">
        <v>200</v>
      </c>
      <c r="AD1113" s="4"/>
      <c r="AE1113" s="4"/>
      <c r="AF1113" s="6">
        <v>67</v>
      </c>
      <c r="AG1113" s="6"/>
      <c r="AH1113" s="7"/>
      <c r="AI1113" s="4"/>
      <c r="AJ1113" s="4">
        <f>=ROUNDDOWN({0},0)</f>
      </c>
      <c r="AK1113" s="5"/>
      <c r="AL1113" s="2" t="s">
        <v>200</v>
      </c>
      <c r="AM1113" s="4"/>
      <c r="AN1113" s="4"/>
      <c r="AO1113" s="7"/>
      <c r="AP1113" s="4"/>
      <c r="AQ1113" s="8"/>
      <c r="AR1113" s="4"/>
      <c r="AS1113" s="8"/>
      <c r="AT1113" s="7"/>
      <c r="AU1113" s="7"/>
      <c r="AV1113" s="4" t="s">
        <v>200</v>
      </c>
      <c r="AW1113" s="8" t="s">
        <v>200</v>
      </c>
      <c r="AX1113" s="4" t="s">
        <v>200</v>
      </c>
      <c r="AY1113" s="8" t="s">
        <v>200</v>
      </c>
      <c r="AZ1113" s="7" t="s">
        <v>200</v>
      </c>
      <c r="BA1113" s="7" t="s">
        <v>200</v>
      </c>
      <c r="BB1113" s="7" t="s">
        <v>200</v>
      </c>
      <c r="BC1113" s="4" t="s">
        <v>200</v>
      </c>
      <c r="BD1113" s="8" t="s">
        <v>200</v>
      </c>
      <c r="BE1113" s="4" t="s">
        <v>200</v>
      </c>
      <c r="BF1113" s="8" t="s">
        <v>200</v>
      </c>
      <c r="BG1113" s="7" t="s">
        <v>200</v>
      </c>
      <c r="BH1113" s="7" t="s">
        <v>200</v>
      </c>
      <c r="BI1113" s="7"/>
      <c r="BJ1113" s="4"/>
      <c r="BK1113" s="8"/>
      <c r="BL1113" s="2" t="s">
        <v>200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210</v>
      </c>
      <c r="BV1113" s="2" t="s">
        <v>200</v>
      </c>
      <c r="BW1113" s="2" t="s">
        <v>200</v>
      </c>
      <c r="BX1113" s="2" t="s">
        <v>210</v>
      </c>
      <c r="BY1113" s="2" t="s">
        <v>211</v>
      </c>
      <c r="BZ1113" s="2" t="s">
        <v>212</v>
      </c>
      <c r="CA1113" s="2" t="s">
        <v>200</v>
      </c>
      <c r="CB1113" s="2" t="s">
        <v>200</v>
      </c>
      <c r="CC1113" s="2" t="s">
        <v>213</v>
      </c>
      <c r="CD1113" s="2" t="s">
        <v>200</v>
      </c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  <c r="EE1113" s="4"/>
      <c r="EF1113" s="4"/>
      <c r="EG1113" s="4"/>
      <c r="EH1113" s="4"/>
      <c r="EI1113" s="4"/>
      <c r="EJ1113" s="4"/>
      <c r="EK1113" s="4"/>
      <c r="EL1113" s="4"/>
      <c r="EM1113" s="4"/>
      <c r="EN1113" s="4"/>
      <c r="EO1113" s="4"/>
      <c r="EP1113" s="4"/>
      <c r="EQ1113" s="4"/>
      <c r="ER1113" s="4"/>
      <c r="ES1113" s="4"/>
      <c r="ET1113" s="4"/>
      <c r="EU1113" s="4"/>
      <c r="EV1113" s="4"/>
      <c r="EW1113" s="4"/>
      <c r="EX1113" s="4"/>
      <c r="EY1113" s="4"/>
      <c r="EZ1113" s="4"/>
      <c r="FA1113" s="4"/>
      <c r="FB1113" s="4"/>
      <c r="FC1113" s="4"/>
      <c r="FD1113" s="4"/>
      <c r="FE1113" s="4"/>
      <c r="FF1113" s="4"/>
      <c r="FG1113" s="4"/>
      <c r="FH1113" s="4"/>
      <c r="FI1113" s="4"/>
      <c r="FJ1113" s="4"/>
      <c r="FK1113" s="4"/>
      <c r="FL1113" s="4"/>
      <c r="FM1113" s="4"/>
      <c r="FN1113" s="4"/>
      <c r="FO1113" s="4"/>
      <c r="FP1113" s="4"/>
      <c r="FQ1113" s="4"/>
      <c r="FR1113" s="4"/>
      <c r="FS1113" s="4"/>
      <c r="FT1113" s="4"/>
      <c r="FU1113" s="4"/>
      <c r="FV1113" s="4"/>
      <c r="FW1113" s="4"/>
      <c r="FX1113" s="4"/>
      <c r="FY1113" s="4"/>
      <c r="FZ1113" s="4"/>
      <c r="GA1113" s="4"/>
      <c r="GB1113" s="4"/>
      <c r="GC1113" s="4"/>
      <c r="GD1113" s="4"/>
      <c r="GE1113" s="4"/>
      <c r="GF1113" s="4"/>
      <c r="GG1113" s="4"/>
      <c r="GH1113" s="4"/>
    </row>
    <row r="1114">
      <c r="A1114" s="2" t="s">
        <v>6388</v>
      </c>
      <c r="B1114" s="2" t="s">
        <v>903</v>
      </c>
      <c r="C1114" s="2" t="s">
        <v>1894</v>
      </c>
      <c r="D1114" s="2" t="s">
        <v>608</v>
      </c>
      <c r="E1114" s="2" t="s">
        <v>1324</v>
      </c>
      <c r="F1114" s="2" t="s">
        <v>6383</v>
      </c>
      <c r="G1114" s="2" t="s">
        <v>6383</v>
      </c>
      <c r="H1114" s="2" t="s">
        <v>6383</v>
      </c>
      <c r="I1114" s="2" t="s">
        <v>6384</v>
      </c>
      <c r="J1114" s="2" t="s">
        <v>924</v>
      </c>
      <c r="K1114" s="2" t="s">
        <v>387</v>
      </c>
      <c r="L1114" s="3">
        <v>68.57</v>
      </c>
      <c r="M1114" s="3">
        <v>72</v>
      </c>
      <c r="N1114" s="3">
        <v>149.99</v>
      </c>
      <c r="O1114" s="2" t="s">
        <v>212</v>
      </c>
      <c r="P1114" s="2" t="s">
        <v>205</v>
      </c>
      <c r="Q1114" s="2" t="s">
        <v>206</v>
      </c>
      <c r="R1114" s="2" t="s">
        <v>200</v>
      </c>
      <c r="S1114" s="2" t="s">
        <v>200</v>
      </c>
      <c r="T1114" s="2" t="s">
        <v>312</v>
      </c>
      <c r="U1114" s="2" t="s">
        <v>454</v>
      </c>
      <c r="V1114" s="2" t="s">
        <v>208</v>
      </c>
      <c r="W1114" s="2" t="s">
        <v>200</v>
      </c>
      <c r="X1114" s="2" t="s">
        <v>200</v>
      </c>
      <c r="Y1114" s="2" t="s">
        <v>200</v>
      </c>
      <c r="Z1114" s="4"/>
      <c r="AA1114" s="4">
        <f>=ROUNDDOWN({0},0)</f>
      </c>
      <c r="AB1114" s="5"/>
      <c r="AC1114" s="2" t="s">
        <v>200</v>
      </c>
      <c r="AD1114" s="4"/>
      <c r="AE1114" s="4"/>
      <c r="AF1114" s="6">
        <v>67</v>
      </c>
      <c r="AG1114" s="6"/>
      <c r="AH1114" s="7"/>
      <c r="AI1114" s="4"/>
      <c r="AJ1114" s="4">
        <f>=ROUNDDOWN({0},0)</f>
      </c>
      <c r="AK1114" s="5"/>
      <c r="AL1114" s="2" t="s">
        <v>200</v>
      </c>
      <c r="AM1114" s="4"/>
      <c r="AN1114" s="4"/>
      <c r="AO1114" s="7"/>
      <c r="AP1114" s="4"/>
      <c r="AQ1114" s="8"/>
      <c r="AR1114" s="4"/>
      <c r="AS1114" s="8"/>
      <c r="AT1114" s="7"/>
      <c r="AU1114" s="7"/>
      <c r="AV1114" s="4" t="s">
        <v>200</v>
      </c>
      <c r="AW1114" s="8" t="s">
        <v>200</v>
      </c>
      <c r="AX1114" s="4" t="s">
        <v>200</v>
      </c>
      <c r="AY1114" s="8" t="s">
        <v>200</v>
      </c>
      <c r="AZ1114" s="7" t="s">
        <v>200</v>
      </c>
      <c r="BA1114" s="7" t="s">
        <v>200</v>
      </c>
      <c r="BB1114" s="7" t="s">
        <v>200</v>
      </c>
      <c r="BC1114" s="4" t="s">
        <v>200</v>
      </c>
      <c r="BD1114" s="8" t="s">
        <v>200</v>
      </c>
      <c r="BE1114" s="4" t="s">
        <v>200</v>
      </c>
      <c r="BF1114" s="8" t="s">
        <v>200</v>
      </c>
      <c r="BG1114" s="7" t="s">
        <v>200</v>
      </c>
      <c r="BH1114" s="7" t="s">
        <v>200</v>
      </c>
      <c r="BI1114" s="7"/>
      <c r="BJ1114" s="4"/>
      <c r="BK1114" s="8"/>
      <c r="BL1114" s="2" t="s">
        <v>200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210</v>
      </c>
      <c r="BV1114" s="2" t="s">
        <v>200</v>
      </c>
      <c r="BW1114" s="2" t="s">
        <v>200</v>
      </c>
      <c r="BX1114" s="2" t="s">
        <v>210</v>
      </c>
      <c r="BY1114" s="2" t="s">
        <v>211</v>
      </c>
      <c r="BZ1114" s="2" t="s">
        <v>212</v>
      </c>
      <c r="CA1114" s="2" t="s">
        <v>200</v>
      </c>
      <c r="CB1114" s="2" t="s">
        <v>200</v>
      </c>
      <c r="CC1114" s="2" t="s">
        <v>213</v>
      </c>
      <c r="CD1114" s="2" t="s">
        <v>200</v>
      </c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/>
      <c r="DH1114" s="4"/>
      <c r="DI1114" s="4"/>
      <c r="DJ1114" s="4"/>
      <c r="DK1114" s="4"/>
      <c r="DL1114" s="4"/>
      <c r="DM1114" s="4"/>
      <c r="DN1114" s="4"/>
      <c r="DO1114" s="4"/>
      <c r="DP1114" s="4"/>
      <c r="DQ1114" s="4"/>
      <c r="DR1114" s="4"/>
      <c r="DS1114" s="4"/>
      <c r="DT1114" s="4"/>
      <c r="DU1114" s="4"/>
      <c r="DV1114" s="4"/>
      <c r="DW1114" s="4"/>
      <c r="DX1114" s="4"/>
      <c r="DY1114" s="4"/>
      <c r="DZ1114" s="4"/>
      <c r="EA1114" s="4"/>
      <c r="EB1114" s="4"/>
      <c r="EC1114" s="4"/>
      <c r="ED1114" s="4"/>
      <c r="EE1114" s="4"/>
      <c r="EF1114" s="4"/>
      <c r="EG1114" s="4"/>
      <c r="EH1114" s="4"/>
      <c r="EI1114" s="4"/>
      <c r="EJ1114" s="4"/>
      <c r="EK1114" s="4"/>
      <c r="EL1114" s="4"/>
      <c r="EM1114" s="4"/>
      <c r="EN1114" s="4"/>
      <c r="EO1114" s="4"/>
      <c r="EP1114" s="4"/>
      <c r="EQ1114" s="4"/>
      <c r="ER1114" s="4"/>
      <c r="ES1114" s="4"/>
      <c r="ET1114" s="4"/>
      <c r="EU1114" s="4"/>
      <c r="EV1114" s="4"/>
      <c r="EW1114" s="4"/>
      <c r="EX1114" s="4"/>
      <c r="EY1114" s="4"/>
      <c r="EZ1114" s="4"/>
      <c r="FA1114" s="4"/>
      <c r="FB1114" s="4"/>
      <c r="FC1114" s="4"/>
      <c r="FD1114" s="4"/>
      <c r="FE1114" s="4"/>
      <c r="FF1114" s="4"/>
      <c r="FG1114" s="4"/>
      <c r="FH1114" s="4"/>
      <c r="FI1114" s="4"/>
      <c r="FJ1114" s="4"/>
      <c r="FK1114" s="4"/>
      <c r="FL1114" s="4"/>
      <c r="FM1114" s="4"/>
      <c r="FN1114" s="4"/>
      <c r="FO1114" s="4"/>
      <c r="FP1114" s="4"/>
      <c r="FQ1114" s="4"/>
      <c r="FR1114" s="4"/>
      <c r="FS1114" s="4"/>
      <c r="FT1114" s="4"/>
      <c r="FU1114" s="4"/>
      <c r="FV1114" s="4"/>
      <c r="FW1114" s="4"/>
      <c r="FX1114" s="4"/>
      <c r="FY1114" s="4"/>
      <c r="FZ1114" s="4"/>
      <c r="GA1114" s="4"/>
      <c r="GB1114" s="4"/>
      <c r="GC1114" s="4"/>
      <c r="GD1114" s="4"/>
      <c r="GE1114" s="4"/>
      <c r="GF1114" s="4"/>
      <c r="GG1114" s="4"/>
      <c r="GH1114" s="4"/>
    </row>
    <row r="1115">
      <c r="A1115" s="2" t="s">
        <v>6389</v>
      </c>
      <c r="B1115" s="2" t="s">
        <v>903</v>
      </c>
      <c r="C1115" s="2" t="s">
        <v>1894</v>
      </c>
      <c r="D1115" s="2" t="s">
        <v>918</v>
      </c>
      <c r="E1115" s="2" t="s">
        <v>919</v>
      </c>
      <c r="F1115" s="2" t="s">
        <v>6383</v>
      </c>
      <c r="G1115" s="2" t="s">
        <v>6383</v>
      </c>
      <c r="H1115" s="2" t="s">
        <v>6383</v>
      </c>
      <c r="I1115" s="2" t="s">
        <v>6387</v>
      </c>
      <c r="J1115" s="2" t="s">
        <v>924</v>
      </c>
      <c r="K1115" s="2" t="s">
        <v>387</v>
      </c>
      <c r="L1115" s="3">
        <v>54.85</v>
      </c>
      <c r="M1115" s="3">
        <v>57.6</v>
      </c>
      <c r="N1115" s="3">
        <v>119.99</v>
      </c>
      <c r="O1115" s="2" t="s">
        <v>212</v>
      </c>
      <c r="P1115" s="2" t="s">
        <v>205</v>
      </c>
      <c r="Q1115" s="2" t="s">
        <v>206</v>
      </c>
      <c r="R1115" s="2" t="s">
        <v>200</v>
      </c>
      <c r="S1115" s="2" t="s">
        <v>200</v>
      </c>
      <c r="T1115" s="2" t="s">
        <v>312</v>
      </c>
      <c r="U1115" s="2" t="s">
        <v>454</v>
      </c>
      <c r="V1115" s="2" t="s">
        <v>208</v>
      </c>
      <c r="W1115" s="2" t="s">
        <v>200</v>
      </c>
      <c r="X1115" s="2" t="s">
        <v>200</v>
      </c>
      <c r="Y1115" s="2" t="s">
        <v>200</v>
      </c>
      <c r="Z1115" s="4"/>
      <c r="AA1115" s="4">
        <f>=ROUNDDOWN({0},0)</f>
      </c>
      <c r="AB1115" s="5"/>
      <c r="AC1115" s="2" t="s">
        <v>200</v>
      </c>
      <c r="AD1115" s="4"/>
      <c r="AE1115" s="4"/>
      <c r="AF1115" s="6">
        <v>67</v>
      </c>
      <c r="AG1115" s="6"/>
      <c r="AH1115" s="7"/>
      <c r="AI1115" s="4"/>
      <c r="AJ1115" s="4">
        <f>=ROUNDDOWN({0},0)</f>
      </c>
      <c r="AK1115" s="5"/>
      <c r="AL1115" s="2" t="s">
        <v>200</v>
      </c>
      <c r="AM1115" s="4"/>
      <c r="AN1115" s="4"/>
      <c r="AO1115" s="7"/>
      <c r="AP1115" s="4"/>
      <c r="AQ1115" s="8"/>
      <c r="AR1115" s="4"/>
      <c r="AS1115" s="8"/>
      <c r="AT1115" s="7"/>
      <c r="AU1115" s="7"/>
      <c r="AV1115" s="4" t="s">
        <v>200</v>
      </c>
      <c r="AW1115" s="8" t="s">
        <v>200</v>
      </c>
      <c r="AX1115" s="4" t="s">
        <v>200</v>
      </c>
      <c r="AY1115" s="8" t="s">
        <v>200</v>
      </c>
      <c r="AZ1115" s="7" t="s">
        <v>200</v>
      </c>
      <c r="BA1115" s="7" t="s">
        <v>200</v>
      </c>
      <c r="BB1115" s="7" t="s">
        <v>200</v>
      </c>
      <c r="BC1115" s="4" t="s">
        <v>200</v>
      </c>
      <c r="BD1115" s="8" t="s">
        <v>200</v>
      </c>
      <c r="BE1115" s="4" t="s">
        <v>200</v>
      </c>
      <c r="BF1115" s="8" t="s">
        <v>200</v>
      </c>
      <c r="BG1115" s="7" t="s">
        <v>200</v>
      </c>
      <c r="BH1115" s="7" t="s">
        <v>200</v>
      </c>
      <c r="BI1115" s="7"/>
      <c r="BJ1115" s="4"/>
      <c r="BK1115" s="8"/>
      <c r="BL1115" s="2" t="s">
        <v>200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210</v>
      </c>
      <c r="BV1115" s="2" t="s">
        <v>200</v>
      </c>
      <c r="BW1115" s="2" t="s">
        <v>200</v>
      </c>
      <c r="BX1115" s="2" t="s">
        <v>210</v>
      </c>
      <c r="BY1115" s="2" t="s">
        <v>211</v>
      </c>
      <c r="BZ1115" s="2" t="s">
        <v>212</v>
      </c>
      <c r="CA1115" s="2" t="s">
        <v>200</v>
      </c>
      <c r="CB1115" s="2" t="s">
        <v>200</v>
      </c>
      <c r="CC1115" s="2" t="s">
        <v>213</v>
      </c>
      <c r="CD1115" s="2" t="s">
        <v>200</v>
      </c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  <c r="DT1115" s="4"/>
      <c r="DU1115" s="4"/>
      <c r="DV1115" s="4"/>
      <c r="DW1115" s="4"/>
      <c r="DX1115" s="4"/>
      <c r="DY1115" s="4"/>
      <c r="DZ1115" s="4"/>
      <c r="EA1115" s="4"/>
      <c r="EB1115" s="4"/>
      <c r="EC1115" s="4"/>
      <c r="ED1115" s="4"/>
      <c r="EE1115" s="4"/>
      <c r="EF1115" s="4"/>
      <c r="EG1115" s="4"/>
      <c r="EH1115" s="4"/>
      <c r="EI1115" s="4"/>
      <c r="EJ1115" s="4"/>
      <c r="EK1115" s="4"/>
      <c r="EL1115" s="4"/>
      <c r="EM1115" s="4"/>
      <c r="EN1115" s="4"/>
      <c r="EO1115" s="4"/>
      <c r="EP1115" s="4"/>
      <c r="EQ1115" s="4"/>
      <c r="ER1115" s="4"/>
      <c r="ES1115" s="4"/>
      <c r="ET1115" s="4"/>
      <c r="EU1115" s="4"/>
      <c r="EV1115" s="4"/>
      <c r="EW1115" s="4"/>
      <c r="EX1115" s="4"/>
      <c r="EY1115" s="4"/>
      <c r="EZ1115" s="4"/>
      <c r="FA1115" s="4"/>
      <c r="FB1115" s="4"/>
      <c r="FC1115" s="4"/>
      <c r="FD1115" s="4"/>
      <c r="FE1115" s="4"/>
      <c r="FF1115" s="4"/>
      <c r="FG1115" s="4"/>
      <c r="FH1115" s="4"/>
      <c r="FI1115" s="4"/>
      <c r="FJ1115" s="4"/>
      <c r="FK1115" s="4"/>
      <c r="FL1115" s="4"/>
      <c r="FM1115" s="4"/>
      <c r="FN1115" s="4"/>
      <c r="FO1115" s="4"/>
      <c r="FP1115" s="4"/>
      <c r="FQ1115" s="4"/>
      <c r="FR1115" s="4"/>
      <c r="FS1115" s="4"/>
      <c r="FT1115" s="4"/>
      <c r="FU1115" s="4"/>
      <c r="FV1115" s="4"/>
      <c r="FW1115" s="4"/>
      <c r="FX1115" s="4"/>
      <c r="FY1115" s="4"/>
      <c r="FZ1115" s="4"/>
      <c r="GA1115" s="4"/>
      <c r="GB1115" s="4"/>
      <c r="GC1115" s="4"/>
      <c r="GD1115" s="4"/>
      <c r="GE1115" s="4"/>
      <c r="GF1115" s="4"/>
      <c r="GG1115" s="4"/>
      <c r="GH1115" s="4"/>
    </row>
    <row r="1116">
      <c r="A1116" s="2" t="s">
        <v>6390</v>
      </c>
      <c r="B1116" s="2" t="s">
        <v>903</v>
      </c>
      <c r="C1116" s="2" t="s">
        <v>1894</v>
      </c>
      <c r="D1116" s="2" t="s">
        <v>608</v>
      </c>
      <c r="E1116" s="2" t="s">
        <v>1324</v>
      </c>
      <c r="F1116" s="2" t="s">
        <v>6383</v>
      </c>
      <c r="G1116" s="2" t="s">
        <v>6383</v>
      </c>
      <c r="H1116" s="2" t="s">
        <v>6383</v>
      </c>
      <c r="I1116" s="2" t="s">
        <v>6384</v>
      </c>
      <c r="J1116" s="2" t="s">
        <v>1390</v>
      </c>
      <c r="K1116" s="2" t="s">
        <v>221</v>
      </c>
      <c r="L1116" s="3">
        <v>50.28</v>
      </c>
      <c r="M1116" s="3">
        <v>52.8</v>
      </c>
      <c r="N1116" s="3">
        <v>109.99</v>
      </c>
      <c r="O1116" s="2" t="s">
        <v>212</v>
      </c>
      <c r="P1116" s="2" t="s">
        <v>205</v>
      </c>
      <c r="Q1116" s="2" t="s">
        <v>206</v>
      </c>
      <c r="R1116" s="2" t="s">
        <v>200</v>
      </c>
      <c r="S1116" s="2" t="s">
        <v>200</v>
      </c>
      <c r="T1116" s="2" t="s">
        <v>312</v>
      </c>
      <c r="U1116" s="2" t="s">
        <v>677</v>
      </c>
      <c r="V1116" s="2" t="s">
        <v>208</v>
      </c>
      <c r="W1116" s="2" t="s">
        <v>200</v>
      </c>
      <c r="X1116" s="2" t="s">
        <v>200</v>
      </c>
      <c r="Y1116" s="2" t="s">
        <v>200</v>
      </c>
      <c r="Z1116" s="4"/>
      <c r="AA1116" s="4">
        <f>=ROUNDDOWN({0},0)</f>
      </c>
      <c r="AB1116" s="5"/>
      <c r="AC1116" s="2" t="s">
        <v>200</v>
      </c>
      <c r="AD1116" s="4"/>
      <c r="AE1116" s="4"/>
      <c r="AF1116" s="6">
        <v>67</v>
      </c>
      <c r="AG1116" s="6"/>
      <c r="AH1116" s="7"/>
      <c r="AI1116" s="4"/>
      <c r="AJ1116" s="4">
        <f>=ROUNDDOWN({0},0)</f>
      </c>
      <c r="AK1116" s="5"/>
      <c r="AL1116" s="2" t="s">
        <v>200</v>
      </c>
      <c r="AM1116" s="4"/>
      <c r="AN1116" s="4"/>
      <c r="AO1116" s="7"/>
      <c r="AP1116" s="4"/>
      <c r="AQ1116" s="8"/>
      <c r="AR1116" s="4"/>
      <c r="AS1116" s="8"/>
      <c r="AT1116" s="7"/>
      <c r="AU1116" s="7"/>
      <c r="AV1116" s="4" t="s">
        <v>200</v>
      </c>
      <c r="AW1116" s="8" t="s">
        <v>200</v>
      </c>
      <c r="AX1116" s="4" t="s">
        <v>200</v>
      </c>
      <c r="AY1116" s="8" t="s">
        <v>200</v>
      </c>
      <c r="AZ1116" s="7" t="s">
        <v>200</v>
      </c>
      <c r="BA1116" s="7" t="s">
        <v>200</v>
      </c>
      <c r="BB1116" s="7"/>
      <c r="BC1116" s="4" t="s">
        <v>200</v>
      </c>
      <c r="BD1116" s="8" t="s">
        <v>200</v>
      </c>
      <c r="BE1116" s="4" t="s">
        <v>200</v>
      </c>
      <c r="BF1116" s="8" t="s">
        <v>200</v>
      </c>
      <c r="BG1116" s="7" t="s">
        <v>200</v>
      </c>
      <c r="BH1116" s="7" t="s">
        <v>200</v>
      </c>
      <c r="BI1116" s="7"/>
      <c r="BJ1116" s="4"/>
      <c r="BK1116" s="8"/>
      <c r="BL1116" s="2" t="s">
        <v>200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210</v>
      </c>
      <c r="BV1116" s="2" t="s">
        <v>200</v>
      </c>
      <c r="BW1116" s="2" t="s">
        <v>200</v>
      </c>
      <c r="BX1116" s="2" t="s">
        <v>210</v>
      </c>
      <c r="BY1116" s="2" t="s">
        <v>211</v>
      </c>
      <c r="BZ1116" s="2" t="s">
        <v>212</v>
      </c>
      <c r="CA1116" s="2" t="s">
        <v>200</v>
      </c>
      <c r="CB1116" s="2" t="s">
        <v>200</v>
      </c>
      <c r="CC1116" s="2" t="s">
        <v>213</v>
      </c>
      <c r="CD1116" s="2" t="s">
        <v>200</v>
      </c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  <c r="DE1116" s="4"/>
      <c r="DF1116" s="4"/>
      <c r="DG1116" s="4"/>
      <c r="DH1116" s="4"/>
      <c r="DI1116" s="4"/>
      <c r="DJ1116" s="4"/>
      <c r="DK1116" s="4"/>
      <c r="DL1116" s="4"/>
      <c r="DM1116" s="4"/>
      <c r="DN1116" s="4"/>
      <c r="DO1116" s="4"/>
      <c r="DP1116" s="4"/>
      <c r="DQ1116" s="4"/>
      <c r="DR1116" s="4"/>
      <c r="DS1116" s="4"/>
      <c r="DT1116" s="4"/>
      <c r="DU1116" s="4"/>
      <c r="DV1116" s="4"/>
      <c r="DW1116" s="4"/>
      <c r="DX1116" s="4"/>
      <c r="DY1116" s="4"/>
      <c r="DZ1116" s="4"/>
      <c r="EA1116" s="4"/>
      <c r="EB1116" s="4"/>
      <c r="EC1116" s="4"/>
      <c r="ED1116" s="4"/>
      <c r="EE1116" s="4"/>
      <c r="EF1116" s="4"/>
      <c r="EG1116" s="4"/>
      <c r="EH1116" s="4"/>
      <c r="EI1116" s="4"/>
      <c r="EJ1116" s="4"/>
      <c r="EK1116" s="4"/>
      <c r="EL1116" s="4"/>
      <c r="EM1116" s="4"/>
      <c r="EN1116" s="4"/>
      <c r="EO1116" s="4"/>
      <c r="EP1116" s="4"/>
      <c r="EQ1116" s="4"/>
      <c r="ER1116" s="4"/>
      <c r="ES1116" s="4"/>
      <c r="ET1116" s="4"/>
      <c r="EU1116" s="4"/>
      <c r="EV1116" s="4"/>
      <c r="EW1116" s="4"/>
      <c r="EX1116" s="4"/>
      <c r="EY1116" s="4"/>
      <c r="EZ1116" s="4"/>
      <c r="FA1116" s="4"/>
      <c r="FB1116" s="4"/>
      <c r="FC1116" s="4"/>
      <c r="FD1116" s="4"/>
      <c r="FE1116" s="4"/>
      <c r="FF1116" s="4"/>
      <c r="FG1116" s="4"/>
      <c r="FH1116" s="4"/>
      <c r="FI1116" s="4"/>
      <c r="FJ1116" s="4"/>
      <c r="FK1116" s="4"/>
      <c r="FL1116" s="4"/>
      <c r="FM1116" s="4"/>
      <c r="FN1116" s="4"/>
      <c r="FO1116" s="4"/>
      <c r="FP1116" s="4"/>
      <c r="FQ1116" s="4"/>
      <c r="FR1116" s="4"/>
      <c r="FS1116" s="4"/>
      <c r="FT1116" s="4"/>
      <c r="FU1116" s="4"/>
      <c r="FV1116" s="4"/>
      <c r="FW1116" s="4"/>
      <c r="FX1116" s="4"/>
      <c r="FY1116" s="4"/>
      <c r="FZ1116" s="4"/>
      <c r="GA1116" s="4"/>
      <c r="GB1116" s="4"/>
      <c r="GC1116" s="4"/>
      <c r="GD1116" s="4"/>
      <c r="GE1116" s="4"/>
      <c r="GF1116" s="4"/>
      <c r="GG1116" s="4"/>
      <c r="GH1116" s="4"/>
    </row>
    <row r="1117">
      <c r="A1117" s="2" t="s">
        <v>6391</v>
      </c>
      <c r="B1117" s="2" t="s">
        <v>903</v>
      </c>
      <c r="C1117" s="2" t="s">
        <v>1894</v>
      </c>
      <c r="D1117" s="2" t="s">
        <v>608</v>
      </c>
      <c r="E1117" s="2" t="s">
        <v>1324</v>
      </c>
      <c r="F1117" s="2" t="s">
        <v>6383</v>
      </c>
      <c r="G1117" s="2" t="s">
        <v>6383</v>
      </c>
      <c r="H1117" s="2" t="s">
        <v>6383</v>
      </c>
      <c r="I1117" s="2" t="s">
        <v>6384</v>
      </c>
      <c r="J1117" s="2" t="s">
        <v>612</v>
      </c>
      <c r="K1117" s="2" t="s">
        <v>221</v>
      </c>
      <c r="L1117" s="3">
        <v>59.42</v>
      </c>
      <c r="M1117" s="3">
        <v>62.4</v>
      </c>
      <c r="N1117" s="3">
        <v>129.99</v>
      </c>
      <c r="O1117" s="2" t="s">
        <v>212</v>
      </c>
      <c r="P1117" s="2" t="s">
        <v>205</v>
      </c>
      <c r="Q1117" s="2" t="s">
        <v>206</v>
      </c>
      <c r="R1117" s="2" t="s">
        <v>200</v>
      </c>
      <c r="S1117" s="2" t="s">
        <v>200</v>
      </c>
      <c r="T1117" s="2" t="s">
        <v>312</v>
      </c>
      <c r="U1117" s="2" t="s">
        <v>454</v>
      </c>
      <c r="V1117" s="2" t="s">
        <v>208</v>
      </c>
      <c r="W1117" s="2" t="s">
        <v>200</v>
      </c>
      <c r="X1117" s="2" t="s">
        <v>200</v>
      </c>
      <c r="Y1117" s="2" t="s">
        <v>200</v>
      </c>
      <c r="Z1117" s="4"/>
      <c r="AA1117" s="4">
        <f>=ROUNDDOWN({0},0)</f>
      </c>
      <c r="AB1117" s="5"/>
      <c r="AC1117" s="2" t="s">
        <v>200</v>
      </c>
      <c r="AD1117" s="4"/>
      <c r="AE1117" s="4"/>
      <c r="AF1117" s="6">
        <v>67</v>
      </c>
      <c r="AG1117" s="6"/>
      <c r="AH1117" s="7"/>
      <c r="AI1117" s="4"/>
      <c r="AJ1117" s="4">
        <f>=ROUNDDOWN({0},0)</f>
      </c>
      <c r="AK1117" s="5"/>
      <c r="AL1117" s="2" t="s">
        <v>200</v>
      </c>
      <c r="AM1117" s="4"/>
      <c r="AN1117" s="4"/>
      <c r="AO1117" s="7"/>
      <c r="AP1117" s="4"/>
      <c r="AQ1117" s="8"/>
      <c r="AR1117" s="4"/>
      <c r="AS1117" s="8"/>
      <c r="AT1117" s="7"/>
      <c r="AU1117" s="7"/>
      <c r="AV1117" s="4" t="s">
        <v>200</v>
      </c>
      <c r="AW1117" s="8" t="s">
        <v>200</v>
      </c>
      <c r="AX1117" s="4" t="s">
        <v>200</v>
      </c>
      <c r="AY1117" s="8" t="s">
        <v>200</v>
      </c>
      <c r="AZ1117" s="7" t="s">
        <v>200</v>
      </c>
      <c r="BA1117" s="7" t="s">
        <v>200</v>
      </c>
      <c r="BB1117" s="7"/>
      <c r="BC1117" s="4" t="s">
        <v>200</v>
      </c>
      <c r="BD1117" s="8" t="s">
        <v>200</v>
      </c>
      <c r="BE1117" s="4" t="s">
        <v>200</v>
      </c>
      <c r="BF1117" s="8" t="s">
        <v>200</v>
      </c>
      <c r="BG1117" s="7" t="s">
        <v>200</v>
      </c>
      <c r="BH1117" s="7" t="s">
        <v>200</v>
      </c>
      <c r="BI1117" s="7"/>
      <c r="BJ1117" s="4"/>
      <c r="BK1117" s="8"/>
      <c r="BL1117" s="2" t="s">
        <v>200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210</v>
      </c>
      <c r="BV1117" s="2" t="s">
        <v>200</v>
      </c>
      <c r="BW1117" s="2" t="s">
        <v>200</v>
      </c>
      <c r="BX1117" s="2" t="s">
        <v>210</v>
      </c>
      <c r="BY1117" s="2" t="s">
        <v>211</v>
      </c>
      <c r="BZ1117" s="2" t="s">
        <v>212</v>
      </c>
      <c r="CA1117" s="2" t="s">
        <v>200</v>
      </c>
      <c r="CB1117" s="2" t="s">
        <v>200</v>
      </c>
      <c r="CC1117" s="2" t="s">
        <v>213</v>
      </c>
      <c r="CD1117" s="2" t="s">
        <v>200</v>
      </c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  <c r="DT1117" s="4"/>
      <c r="DU1117" s="4"/>
      <c r="DV1117" s="4"/>
      <c r="DW1117" s="4"/>
      <c r="DX1117" s="4"/>
      <c r="DY1117" s="4"/>
      <c r="DZ1117" s="4"/>
      <c r="EA1117" s="4"/>
      <c r="EB1117" s="4"/>
      <c r="EC1117" s="4"/>
      <c r="ED1117" s="4"/>
      <c r="EE1117" s="4"/>
      <c r="EF1117" s="4"/>
      <c r="EG1117" s="4"/>
      <c r="EH1117" s="4"/>
      <c r="EI1117" s="4"/>
      <c r="EJ1117" s="4"/>
      <c r="EK1117" s="4"/>
      <c r="EL1117" s="4"/>
      <c r="EM1117" s="4"/>
      <c r="EN1117" s="4"/>
      <c r="EO1117" s="4"/>
      <c r="EP1117" s="4"/>
      <c r="EQ1117" s="4"/>
      <c r="ER1117" s="4"/>
      <c r="ES1117" s="4"/>
      <c r="ET1117" s="4"/>
      <c r="EU1117" s="4"/>
      <c r="EV1117" s="4"/>
      <c r="EW1117" s="4"/>
      <c r="EX1117" s="4"/>
      <c r="EY1117" s="4"/>
      <c r="EZ1117" s="4"/>
      <c r="FA1117" s="4"/>
      <c r="FB1117" s="4"/>
      <c r="FC1117" s="4"/>
      <c r="FD1117" s="4"/>
      <c r="FE1117" s="4"/>
      <c r="FF1117" s="4"/>
      <c r="FG1117" s="4"/>
      <c r="FH1117" s="4"/>
      <c r="FI1117" s="4"/>
      <c r="FJ1117" s="4"/>
      <c r="FK1117" s="4"/>
      <c r="FL1117" s="4"/>
      <c r="FM1117" s="4"/>
      <c r="FN1117" s="4"/>
      <c r="FO1117" s="4"/>
      <c r="FP1117" s="4"/>
      <c r="FQ1117" s="4"/>
      <c r="FR1117" s="4"/>
      <c r="FS1117" s="4"/>
      <c r="FT1117" s="4"/>
      <c r="FU1117" s="4"/>
      <c r="FV1117" s="4"/>
      <c r="FW1117" s="4"/>
      <c r="FX1117" s="4"/>
      <c r="FY1117" s="4"/>
      <c r="FZ1117" s="4"/>
      <c r="GA1117" s="4"/>
      <c r="GB1117" s="4"/>
      <c r="GC1117" s="4"/>
      <c r="GD1117" s="4"/>
      <c r="GE1117" s="4"/>
      <c r="GF1117" s="4"/>
      <c r="GG1117" s="4"/>
      <c r="GH1117" s="4"/>
    </row>
    <row r="1118">
      <c r="A1118" s="2" t="s">
        <v>6392</v>
      </c>
      <c r="B1118" s="2" t="s">
        <v>903</v>
      </c>
      <c r="C1118" s="2" t="s">
        <v>1894</v>
      </c>
      <c r="D1118" s="2" t="s">
        <v>918</v>
      </c>
      <c r="E1118" s="2" t="s">
        <v>919</v>
      </c>
      <c r="F1118" s="2" t="s">
        <v>6383</v>
      </c>
      <c r="G1118" s="2" t="s">
        <v>6383</v>
      </c>
      <c r="H1118" s="2" t="s">
        <v>6383</v>
      </c>
      <c r="I1118" s="2" t="s">
        <v>6387</v>
      </c>
      <c r="J1118" s="2" t="s">
        <v>297</v>
      </c>
      <c r="K1118" s="2" t="s">
        <v>221</v>
      </c>
      <c r="L1118" s="3">
        <v>45.71</v>
      </c>
      <c r="M1118" s="3">
        <v>48</v>
      </c>
      <c r="N1118" s="3">
        <v>99.99</v>
      </c>
      <c r="O1118" s="2" t="s">
        <v>212</v>
      </c>
      <c r="P1118" s="2" t="s">
        <v>205</v>
      </c>
      <c r="Q1118" s="2" t="s">
        <v>206</v>
      </c>
      <c r="R1118" s="2" t="s">
        <v>200</v>
      </c>
      <c r="S1118" s="2" t="s">
        <v>200</v>
      </c>
      <c r="T1118" s="2" t="s">
        <v>312</v>
      </c>
      <c r="U1118" s="2" t="s">
        <v>454</v>
      </c>
      <c r="V1118" s="2" t="s">
        <v>208</v>
      </c>
      <c r="W1118" s="2" t="s">
        <v>200</v>
      </c>
      <c r="X1118" s="2" t="s">
        <v>200</v>
      </c>
      <c r="Y1118" s="2" t="s">
        <v>200</v>
      </c>
      <c r="Z1118" s="4"/>
      <c r="AA1118" s="4">
        <f>=ROUNDDOWN({0},0)</f>
      </c>
      <c r="AB1118" s="5"/>
      <c r="AC1118" s="2" t="s">
        <v>200</v>
      </c>
      <c r="AD1118" s="4"/>
      <c r="AE1118" s="4"/>
      <c r="AF1118" s="6">
        <v>67</v>
      </c>
      <c r="AG1118" s="6"/>
      <c r="AH1118" s="7"/>
      <c r="AI1118" s="4"/>
      <c r="AJ1118" s="4">
        <f>=ROUNDDOWN({0},0)</f>
      </c>
      <c r="AK1118" s="5"/>
      <c r="AL1118" s="2" t="s">
        <v>200</v>
      </c>
      <c r="AM1118" s="4"/>
      <c r="AN1118" s="4"/>
      <c r="AO1118" s="7"/>
      <c r="AP1118" s="4"/>
      <c r="AQ1118" s="8"/>
      <c r="AR1118" s="4"/>
      <c r="AS1118" s="8"/>
      <c r="AT1118" s="7"/>
      <c r="AU1118" s="7"/>
      <c r="AV1118" s="4" t="s">
        <v>200</v>
      </c>
      <c r="AW1118" s="8" t="s">
        <v>200</v>
      </c>
      <c r="AX1118" s="4" t="s">
        <v>200</v>
      </c>
      <c r="AY1118" s="8" t="s">
        <v>200</v>
      </c>
      <c r="AZ1118" s="7" t="s">
        <v>200</v>
      </c>
      <c r="BA1118" s="7" t="s">
        <v>200</v>
      </c>
      <c r="BB1118" s="7"/>
      <c r="BC1118" s="4" t="s">
        <v>200</v>
      </c>
      <c r="BD1118" s="8" t="s">
        <v>200</v>
      </c>
      <c r="BE1118" s="4" t="s">
        <v>200</v>
      </c>
      <c r="BF1118" s="8" t="s">
        <v>200</v>
      </c>
      <c r="BG1118" s="7" t="s">
        <v>200</v>
      </c>
      <c r="BH1118" s="7" t="s">
        <v>200</v>
      </c>
      <c r="BI1118" s="7"/>
      <c r="BJ1118" s="4"/>
      <c r="BK1118" s="8"/>
      <c r="BL1118" s="2" t="s">
        <v>200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210</v>
      </c>
      <c r="BV1118" s="2" t="s">
        <v>200</v>
      </c>
      <c r="BW1118" s="2" t="s">
        <v>200</v>
      </c>
      <c r="BX1118" s="2" t="s">
        <v>210</v>
      </c>
      <c r="BY1118" s="2" t="s">
        <v>211</v>
      </c>
      <c r="BZ1118" s="2" t="s">
        <v>212</v>
      </c>
      <c r="CA1118" s="2" t="s">
        <v>200</v>
      </c>
      <c r="CB1118" s="2" t="s">
        <v>200</v>
      </c>
      <c r="CC1118" s="2" t="s">
        <v>213</v>
      </c>
      <c r="CD1118" s="2" t="s">
        <v>200</v>
      </c>
      <c r="CE1118" s="4"/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/>
      <c r="DE1118" s="4"/>
      <c r="DF1118" s="4"/>
      <c r="DG1118" s="4"/>
      <c r="DH1118" s="4"/>
      <c r="DI1118" s="4"/>
      <c r="DJ1118" s="4"/>
      <c r="DK1118" s="4"/>
      <c r="DL1118" s="4"/>
      <c r="DM1118" s="4"/>
      <c r="DN1118" s="4"/>
      <c r="DO1118" s="4"/>
      <c r="DP1118" s="4"/>
      <c r="DQ1118" s="4"/>
      <c r="DR1118" s="4"/>
      <c r="DS1118" s="4"/>
      <c r="DT1118" s="4"/>
      <c r="DU1118" s="4"/>
      <c r="DV1118" s="4"/>
      <c r="DW1118" s="4"/>
      <c r="DX1118" s="4"/>
      <c r="DY1118" s="4"/>
      <c r="DZ1118" s="4"/>
      <c r="EA1118" s="4"/>
      <c r="EB1118" s="4"/>
      <c r="EC1118" s="4"/>
      <c r="ED1118" s="4"/>
      <c r="EE1118" s="4"/>
      <c r="EF1118" s="4"/>
      <c r="EG1118" s="4"/>
      <c r="EH1118" s="4"/>
      <c r="EI1118" s="4"/>
      <c r="EJ1118" s="4"/>
      <c r="EK1118" s="4"/>
      <c r="EL1118" s="4"/>
      <c r="EM1118" s="4"/>
      <c r="EN1118" s="4"/>
      <c r="EO1118" s="4"/>
      <c r="EP1118" s="4"/>
      <c r="EQ1118" s="4"/>
      <c r="ER1118" s="4"/>
      <c r="ES1118" s="4"/>
      <c r="ET1118" s="4"/>
      <c r="EU1118" s="4"/>
      <c r="EV1118" s="4"/>
      <c r="EW1118" s="4"/>
      <c r="EX1118" s="4"/>
      <c r="EY1118" s="4"/>
      <c r="EZ1118" s="4"/>
      <c r="FA1118" s="4"/>
      <c r="FB1118" s="4"/>
      <c r="FC1118" s="4"/>
      <c r="FD1118" s="4"/>
      <c r="FE1118" s="4"/>
      <c r="FF1118" s="4"/>
      <c r="FG1118" s="4"/>
      <c r="FH1118" s="4"/>
      <c r="FI1118" s="4"/>
      <c r="FJ1118" s="4"/>
      <c r="FK1118" s="4"/>
      <c r="FL1118" s="4"/>
      <c r="FM1118" s="4"/>
      <c r="FN1118" s="4"/>
      <c r="FO1118" s="4"/>
      <c r="FP1118" s="4"/>
      <c r="FQ1118" s="4"/>
      <c r="FR1118" s="4"/>
      <c r="FS1118" s="4"/>
      <c r="FT1118" s="4"/>
      <c r="FU1118" s="4"/>
      <c r="FV1118" s="4"/>
      <c r="FW1118" s="4"/>
      <c r="FX1118" s="4"/>
      <c r="FY1118" s="4"/>
      <c r="FZ1118" s="4"/>
      <c r="GA1118" s="4"/>
      <c r="GB1118" s="4"/>
      <c r="GC1118" s="4"/>
      <c r="GD1118" s="4"/>
      <c r="GE1118" s="4"/>
      <c r="GF1118" s="4"/>
      <c r="GG1118" s="4"/>
      <c r="GH1118" s="4"/>
    </row>
    <row r="1119">
      <c r="A1119" s="2" t="s">
        <v>6393</v>
      </c>
      <c r="B1119" s="2" t="s">
        <v>903</v>
      </c>
      <c r="C1119" s="2" t="s">
        <v>1894</v>
      </c>
      <c r="D1119" s="2" t="s">
        <v>608</v>
      </c>
      <c r="E1119" s="2" t="s">
        <v>1324</v>
      </c>
      <c r="F1119" s="2" t="s">
        <v>6383</v>
      </c>
      <c r="G1119" s="2" t="s">
        <v>6383</v>
      </c>
      <c r="H1119" s="2" t="s">
        <v>6383</v>
      </c>
      <c r="I1119" s="2" t="s">
        <v>6384</v>
      </c>
      <c r="J1119" s="2" t="s">
        <v>924</v>
      </c>
      <c r="K1119" s="2" t="s">
        <v>221</v>
      </c>
      <c r="L1119" s="3">
        <v>68.57</v>
      </c>
      <c r="M1119" s="3">
        <v>72</v>
      </c>
      <c r="N1119" s="3">
        <v>149.99</v>
      </c>
      <c r="O1119" s="2" t="s">
        <v>212</v>
      </c>
      <c r="P1119" s="2" t="s">
        <v>205</v>
      </c>
      <c r="Q1119" s="2" t="s">
        <v>206</v>
      </c>
      <c r="R1119" s="2" t="s">
        <v>200</v>
      </c>
      <c r="S1119" s="2" t="s">
        <v>200</v>
      </c>
      <c r="T1119" s="2" t="s">
        <v>312</v>
      </c>
      <c r="U1119" s="2" t="s">
        <v>454</v>
      </c>
      <c r="V1119" s="2" t="s">
        <v>208</v>
      </c>
      <c r="W1119" s="2" t="s">
        <v>200</v>
      </c>
      <c r="X1119" s="2" t="s">
        <v>200</v>
      </c>
      <c r="Y1119" s="2" t="s">
        <v>200</v>
      </c>
      <c r="Z1119" s="4"/>
      <c r="AA1119" s="4">
        <f>=ROUNDDOWN({0},0)</f>
      </c>
      <c r="AB1119" s="5"/>
      <c r="AC1119" s="2" t="s">
        <v>200</v>
      </c>
      <c r="AD1119" s="4"/>
      <c r="AE1119" s="4"/>
      <c r="AF1119" s="6">
        <v>67</v>
      </c>
      <c r="AG1119" s="6"/>
      <c r="AH1119" s="7"/>
      <c r="AI1119" s="4"/>
      <c r="AJ1119" s="4">
        <f>=ROUNDDOWN({0},0)</f>
      </c>
      <c r="AK1119" s="5"/>
      <c r="AL1119" s="2" t="s">
        <v>200</v>
      </c>
      <c r="AM1119" s="4"/>
      <c r="AN1119" s="4"/>
      <c r="AO1119" s="7"/>
      <c r="AP1119" s="4"/>
      <c r="AQ1119" s="8"/>
      <c r="AR1119" s="4"/>
      <c r="AS1119" s="8"/>
      <c r="AT1119" s="7"/>
      <c r="AU1119" s="7"/>
      <c r="AV1119" s="4" t="s">
        <v>200</v>
      </c>
      <c r="AW1119" s="8" t="s">
        <v>200</v>
      </c>
      <c r="AX1119" s="4" t="s">
        <v>200</v>
      </c>
      <c r="AY1119" s="8" t="s">
        <v>200</v>
      </c>
      <c r="AZ1119" s="7" t="s">
        <v>200</v>
      </c>
      <c r="BA1119" s="7" t="s">
        <v>200</v>
      </c>
      <c r="BB1119" s="7" t="s">
        <v>200</v>
      </c>
      <c r="BC1119" s="4" t="s">
        <v>200</v>
      </c>
      <c r="BD1119" s="8" t="s">
        <v>200</v>
      </c>
      <c r="BE1119" s="4" t="s">
        <v>200</v>
      </c>
      <c r="BF1119" s="8" t="s">
        <v>200</v>
      </c>
      <c r="BG1119" s="7" t="s">
        <v>200</v>
      </c>
      <c r="BH1119" s="7" t="s">
        <v>200</v>
      </c>
      <c r="BI1119" s="7"/>
      <c r="BJ1119" s="4"/>
      <c r="BK1119" s="8"/>
      <c r="BL1119" s="2" t="s">
        <v>200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210</v>
      </c>
      <c r="BV1119" s="2" t="s">
        <v>200</v>
      </c>
      <c r="BW1119" s="2" t="s">
        <v>200</v>
      </c>
      <c r="BX1119" s="2" t="s">
        <v>210</v>
      </c>
      <c r="BY1119" s="2" t="s">
        <v>211</v>
      </c>
      <c r="BZ1119" s="2" t="s">
        <v>212</v>
      </c>
      <c r="CA1119" s="2" t="s">
        <v>200</v>
      </c>
      <c r="CB1119" s="2" t="s">
        <v>200</v>
      </c>
      <c r="CC1119" s="2" t="s">
        <v>213</v>
      </c>
      <c r="CD1119" s="2" t="s">
        <v>200</v>
      </c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/>
      <c r="DU1119" s="4"/>
      <c r="DV1119" s="4"/>
      <c r="DW1119" s="4"/>
      <c r="DX1119" s="4"/>
      <c r="DY1119" s="4"/>
      <c r="DZ1119" s="4"/>
      <c r="EA1119" s="4"/>
      <c r="EB1119" s="4"/>
      <c r="EC1119" s="4"/>
      <c r="ED1119" s="4"/>
      <c r="EE1119" s="4"/>
      <c r="EF1119" s="4"/>
      <c r="EG1119" s="4"/>
      <c r="EH1119" s="4"/>
      <c r="EI1119" s="4"/>
      <c r="EJ1119" s="4"/>
      <c r="EK1119" s="4"/>
      <c r="EL1119" s="4"/>
      <c r="EM1119" s="4"/>
      <c r="EN1119" s="4"/>
      <c r="EO1119" s="4"/>
      <c r="EP1119" s="4"/>
      <c r="EQ1119" s="4"/>
      <c r="ER1119" s="4"/>
      <c r="ES1119" s="4"/>
      <c r="ET1119" s="4"/>
      <c r="EU1119" s="4"/>
      <c r="EV1119" s="4"/>
      <c r="EW1119" s="4"/>
      <c r="EX1119" s="4"/>
      <c r="EY1119" s="4"/>
      <c r="EZ1119" s="4"/>
      <c r="FA1119" s="4"/>
      <c r="FB1119" s="4"/>
      <c r="FC1119" s="4"/>
      <c r="FD1119" s="4"/>
      <c r="FE1119" s="4"/>
      <c r="FF1119" s="4"/>
      <c r="FG1119" s="4"/>
      <c r="FH1119" s="4"/>
      <c r="FI1119" s="4"/>
      <c r="FJ1119" s="4"/>
      <c r="FK1119" s="4"/>
      <c r="FL1119" s="4"/>
      <c r="FM1119" s="4"/>
      <c r="FN1119" s="4"/>
      <c r="FO1119" s="4"/>
      <c r="FP1119" s="4"/>
      <c r="FQ1119" s="4"/>
      <c r="FR1119" s="4"/>
      <c r="FS1119" s="4"/>
      <c r="FT1119" s="4"/>
      <c r="FU1119" s="4"/>
      <c r="FV1119" s="4"/>
      <c r="FW1119" s="4"/>
      <c r="FX1119" s="4"/>
      <c r="FY1119" s="4"/>
      <c r="FZ1119" s="4"/>
      <c r="GA1119" s="4"/>
      <c r="GB1119" s="4"/>
      <c r="GC1119" s="4"/>
      <c r="GD1119" s="4"/>
      <c r="GE1119" s="4"/>
      <c r="GF1119" s="4"/>
      <c r="GG1119" s="4"/>
      <c r="GH1119" s="4"/>
    </row>
    <row r="1120">
      <c r="A1120" s="2" t="s">
        <v>6394</v>
      </c>
      <c r="B1120" s="2" t="s">
        <v>903</v>
      </c>
      <c r="C1120" s="2" t="s">
        <v>1894</v>
      </c>
      <c r="D1120" s="2" t="s">
        <v>918</v>
      </c>
      <c r="E1120" s="2" t="s">
        <v>919</v>
      </c>
      <c r="F1120" s="2" t="s">
        <v>6383</v>
      </c>
      <c r="G1120" s="2" t="s">
        <v>6383</v>
      </c>
      <c r="H1120" s="2" t="s">
        <v>6383</v>
      </c>
      <c r="I1120" s="2" t="s">
        <v>6387</v>
      </c>
      <c r="J1120" s="2" t="s">
        <v>924</v>
      </c>
      <c r="K1120" s="2" t="s">
        <v>221</v>
      </c>
      <c r="L1120" s="3">
        <v>54.85</v>
      </c>
      <c r="M1120" s="3">
        <v>57.6</v>
      </c>
      <c r="N1120" s="3">
        <v>119.99</v>
      </c>
      <c r="O1120" s="2" t="s">
        <v>212</v>
      </c>
      <c r="P1120" s="2" t="s">
        <v>205</v>
      </c>
      <c r="Q1120" s="2" t="s">
        <v>206</v>
      </c>
      <c r="R1120" s="2" t="s">
        <v>200</v>
      </c>
      <c r="S1120" s="2" t="s">
        <v>200</v>
      </c>
      <c r="T1120" s="2" t="s">
        <v>312</v>
      </c>
      <c r="U1120" s="2" t="s">
        <v>454</v>
      </c>
      <c r="V1120" s="2" t="s">
        <v>208</v>
      </c>
      <c r="W1120" s="2" t="s">
        <v>200</v>
      </c>
      <c r="X1120" s="2" t="s">
        <v>200</v>
      </c>
      <c r="Y1120" s="2" t="s">
        <v>200</v>
      </c>
      <c r="Z1120" s="4"/>
      <c r="AA1120" s="4">
        <f>=ROUNDDOWN({0},0)</f>
      </c>
      <c r="AB1120" s="5"/>
      <c r="AC1120" s="2" t="s">
        <v>200</v>
      </c>
      <c r="AD1120" s="4"/>
      <c r="AE1120" s="4"/>
      <c r="AF1120" s="6">
        <v>67</v>
      </c>
      <c r="AG1120" s="6"/>
      <c r="AH1120" s="7"/>
      <c r="AI1120" s="4"/>
      <c r="AJ1120" s="4">
        <f>=ROUNDDOWN({0},0)</f>
      </c>
      <c r="AK1120" s="5"/>
      <c r="AL1120" s="2" t="s">
        <v>200</v>
      </c>
      <c r="AM1120" s="4"/>
      <c r="AN1120" s="4"/>
      <c r="AO1120" s="7"/>
      <c r="AP1120" s="4"/>
      <c r="AQ1120" s="8"/>
      <c r="AR1120" s="4"/>
      <c r="AS1120" s="8"/>
      <c r="AT1120" s="7"/>
      <c r="AU1120" s="7"/>
      <c r="AV1120" s="4" t="s">
        <v>200</v>
      </c>
      <c r="AW1120" s="8" t="s">
        <v>200</v>
      </c>
      <c r="AX1120" s="4" t="s">
        <v>200</v>
      </c>
      <c r="AY1120" s="8" t="s">
        <v>200</v>
      </c>
      <c r="AZ1120" s="7" t="s">
        <v>200</v>
      </c>
      <c r="BA1120" s="7" t="s">
        <v>200</v>
      </c>
      <c r="BB1120" s="7" t="s">
        <v>200</v>
      </c>
      <c r="BC1120" s="4" t="s">
        <v>200</v>
      </c>
      <c r="BD1120" s="8" t="s">
        <v>200</v>
      </c>
      <c r="BE1120" s="4" t="s">
        <v>200</v>
      </c>
      <c r="BF1120" s="8" t="s">
        <v>200</v>
      </c>
      <c r="BG1120" s="7" t="s">
        <v>200</v>
      </c>
      <c r="BH1120" s="7" t="s">
        <v>200</v>
      </c>
      <c r="BI1120" s="7"/>
      <c r="BJ1120" s="4"/>
      <c r="BK1120" s="8"/>
      <c r="BL1120" s="2" t="s">
        <v>200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210</v>
      </c>
      <c r="BV1120" s="2" t="s">
        <v>200</v>
      </c>
      <c r="BW1120" s="2" t="s">
        <v>200</v>
      </c>
      <c r="BX1120" s="2" t="s">
        <v>210</v>
      </c>
      <c r="BY1120" s="2" t="s">
        <v>211</v>
      </c>
      <c r="BZ1120" s="2" t="s">
        <v>212</v>
      </c>
      <c r="CA1120" s="2" t="s">
        <v>200</v>
      </c>
      <c r="CB1120" s="2" t="s">
        <v>200</v>
      </c>
      <c r="CC1120" s="2" t="s">
        <v>213</v>
      </c>
      <c r="CD1120" s="2" t="s">
        <v>200</v>
      </c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E1120" s="4"/>
      <c r="DF1120" s="4"/>
      <c r="DG1120" s="4"/>
      <c r="DH1120" s="4"/>
      <c r="DI1120" s="4"/>
      <c r="DJ1120" s="4"/>
      <c r="DK1120" s="4"/>
      <c r="DL1120" s="4"/>
      <c r="DM1120" s="4"/>
      <c r="DN1120" s="4"/>
      <c r="DO1120" s="4"/>
      <c r="DP1120" s="4"/>
      <c r="DQ1120" s="4"/>
      <c r="DR1120" s="4"/>
      <c r="DS1120" s="4"/>
      <c r="DT1120" s="4"/>
      <c r="DU1120" s="4"/>
      <c r="DV1120" s="4"/>
      <c r="DW1120" s="4"/>
      <c r="DX1120" s="4"/>
      <c r="DY1120" s="4"/>
      <c r="DZ1120" s="4"/>
      <c r="EA1120" s="4"/>
      <c r="EB1120" s="4"/>
      <c r="EC1120" s="4"/>
      <c r="ED1120" s="4"/>
      <c r="EE1120" s="4"/>
      <c r="EF1120" s="4"/>
      <c r="EG1120" s="4"/>
      <c r="EH1120" s="4"/>
      <c r="EI1120" s="4"/>
      <c r="EJ1120" s="4"/>
      <c r="EK1120" s="4"/>
      <c r="EL1120" s="4"/>
      <c r="EM1120" s="4"/>
      <c r="EN1120" s="4"/>
      <c r="EO1120" s="4"/>
      <c r="EP1120" s="4"/>
      <c r="EQ1120" s="4"/>
      <c r="ER1120" s="4"/>
      <c r="ES1120" s="4"/>
      <c r="ET1120" s="4"/>
      <c r="EU1120" s="4"/>
      <c r="EV1120" s="4"/>
      <c r="EW1120" s="4"/>
      <c r="EX1120" s="4"/>
      <c r="EY1120" s="4"/>
      <c r="EZ1120" s="4"/>
      <c r="FA1120" s="4"/>
      <c r="FB1120" s="4"/>
      <c r="FC1120" s="4"/>
      <c r="FD1120" s="4"/>
      <c r="FE1120" s="4"/>
      <c r="FF1120" s="4"/>
      <c r="FG1120" s="4"/>
      <c r="FH1120" s="4"/>
      <c r="FI1120" s="4"/>
      <c r="FJ1120" s="4"/>
      <c r="FK1120" s="4"/>
      <c r="FL1120" s="4"/>
      <c r="FM1120" s="4"/>
      <c r="FN1120" s="4"/>
      <c r="FO1120" s="4"/>
      <c r="FP1120" s="4"/>
      <c r="FQ1120" s="4"/>
      <c r="FR1120" s="4"/>
      <c r="FS1120" s="4"/>
      <c r="FT1120" s="4"/>
      <c r="FU1120" s="4"/>
      <c r="FV1120" s="4"/>
      <c r="FW1120" s="4"/>
      <c r="FX1120" s="4"/>
      <c r="FY1120" s="4"/>
      <c r="FZ1120" s="4"/>
      <c r="GA1120" s="4"/>
      <c r="GB1120" s="4"/>
      <c r="GC1120" s="4"/>
      <c r="GD1120" s="4"/>
      <c r="GE1120" s="4"/>
      <c r="GF1120" s="4"/>
      <c r="GG1120" s="4"/>
      <c r="GH1120" s="4"/>
    </row>
    <row r="1121">
      <c r="A1121" s="2" t="s">
        <v>6395</v>
      </c>
      <c r="B1121" s="2" t="s">
        <v>827</v>
      </c>
      <c r="C1121" s="2" t="s">
        <v>1375</v>
      </c>
      <c r="D1121" s="2" t="s">
        <v>3257</v>
      </c>
      <c r="E1121" s="2" t="s">
        <v>3257</v>
      </c>
      <c r="F1121" s="2" t="s">
        <v>6396</v>
      </c>
      <c r="G1121" s="2" t="s">
        <v>6397</v>
      </c>
      <c r="H1121" s="2" t="s">
        <v>6397</v>
      </c>
      <c r="I1121" s="2" t="s">
        <v>6398</v>
      </c>
      <c r="J1121" s="2" t="s">
        <v>6399</v>
      </c>
      <c r="K1121" s="2" t="s">
        <v>733</v>
      </c>
      <c r="L1121" s="3">
        <v>18.72</v>
      </c>
      <c r="M1121" s="3">
        <v>19.66</v>
      </c>
      <c r="N1121" s="3">
        <v>41.99</v>
      </c>
      <c r="O1121" s="2" t="s">
        <v>212</v>
      </c>
      <c r="P1121" s="2" t="s">
        <v>205</v>
      </c>
      <c r="Q1121" s="2" t="s">
        <v>206</v>
      </c>
      <c r="R1121" s="2" t="s">
        <v>200</v>
      </c>
      <c r="S1121" s="2" t="s">
        <v>6400</v>
      </c>
      <c r="T1121" s="2" t="s">
        <v>200</v>
      </c>
      <c r="U1121" s="2" t="s">
        <v>270</v>
      </c>
      <c r="V1121" s="2" t="s">
        <v>1433</v>
      </c>
      <c r="W1121" s="2" t="s">
        <v>200</v>
      </c>
      <c r="X1121" s="2" t="s">
        <v>200</v>
      </c>
      <c r="Y1121" s="2" t="s">
        <v>3165</v>
      </c>
      <c r="Z1121" s="4">
        <v>189</v>
      </c>
      <c r="AA1121" s="4">
        <f>=ROUNDDOWN(23.625,0)</f>
      </c>
      <c r="AB1121" s="5">
        <v>8</v>
      </c>
      <c r="AC1121" s="2" t="s">
        <v>200</v>
      </c>
      <c r="AD1121" s="4"/>
      <c r="AE1121" s="4"/>
      <c r="AF1121" s="6">
        <v>65</v>
      </c>
      <c r="AG1121" s="6"/>
      <c r="AH1121" s="7">
        <v>1</v>
      </c>
      <c r="AI1121" s="4"/>
      <c r="AJ1121" s="4">
        <f>=ROUNDDOWN({0},0)</f>
      </c>
      <c r="AK1121" s="5"/>
      <c r="AL1121" s="2" t="s">
        <v>200</v>
      </c>
      <c r="AM1121" s="4"/>
      <c r="AN1121" s="4"/>
      <c r="AO1121" s="7"/>
      <c r="AP1121" s="4"/>
      <c r="AQ1121" s="8"/>
      <c r="AR1121" s="4"/>
      <c r="AS1121" s="8"/>
      <c r="AT1121" s="7"/>
      <c r="AU1121" s="7"/>
      <c r="AV1121" s="4"/>
      <c r="AW1121" s="8"/>
      <c r="AX1121" s="4"/>
      <c r="AY1121" s="8"/>
      <c r="AZ1121" s="7"/>
      <c r="BA1121" s="7"/>
      <c r="BB1121" s="7"/>
      <c r="BC1121" s="4"/>
      <c r="BD1121" s="8"/>
      <c r="BE1121" s="4"/>
      <c r="BF1121" s="8"/>
      <c r="BG1121" s="7"/>
      <c r="BH1121" s="7"/>
      <c r="BI1121" s="7"/>
      <c r="BJ1121" s="4">
        <v>4</v>
      </c>
      <c r="BK1121" s="8">
        <v>86.12</v>
      </c>
      <c r="BL1121" s="2" t="s">
        <v>1259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6401</v>
      </c>
      <c r="BV1121" s="2" t="s">
        <v>200</v>
      </c>
      <c r="BW1121" s="2" t="s">
        <v>200</v>
      </c>
      <c r="BX1121" s="2" t="s">
        <v>3140</v>
      </c>
      <c r="BY1121" s="2" t="s">
        <v>247</v>
      </c>
      <c r="BZ1121" s="2" t="s">
        <v>212</v>
      </c>
      <c r="CA1121" s="2" t="s">
        <v>916</v>
      </c>
      <c r="CB1121" s="2" t="s">
        <v>200</v>
      </c>
      <c r="CC1121" s="2" t="s">
        <v>213</v>
      </c>
      <c r="CD1121" s="2" t="s">
        <v>200</v>
      </c>
      <c r="CE1121" s="4">
        <v>189</v>
      </c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/>
      <c r="ED1121" s="4"/>
      <c r="EE1121" s="4"/>
      <c r="EF1121" s="4"/>
      <c r="EG1121" s="4"/>
      <c r="EH1121" s="4"/>
      <c r="EI1121" s="4"/>
      <c r="EJ1121" s="4"/>
      <c r="EK1121" s="4"/>
      <c r="EL1121" s="4"/>
      <c r="EM1121" s="4"/>
      <c r="EN1121" s="4"/>
      <c r="EO1121" s="4"/>
      <c r="EP1121" s="4"/>
      <c r="EQ1121" s="4"/>
      <c r="ER1121" s="4"/>
      <c r="ES1121" s="4"/>
      <c r="ET1121" s="4"/>
      <c r="EU1121" s="4"/>
      <c r="EV1121" s="4"/>
      <c r="EW1121" s="4"/>
      <c r="EX1121" s="4"/>
      <c r="EY1121" s="4"/>
      <c r="EZ1121" s="4"/>
      <c r="FA1121" s="4"/>
      <c r="FB1121" s="4"/>
      <c r="FC1121" s="4"/>
      <c r="FD1121" s="4"/>
      <c r="FE1121" s="4"/>
      <c r="FF1121" s="4"/>
      <c r="FG1121" s="4"/>
      <c r="FH1121" s="4"/>
      <c r="FI1121" s="4"/>
      <c r="FJ1121" s="4"/>
      <c r="FK1121" s="4"/>
      <c r="FL1121" s="4"/>
      <c r="FM1121" s="4"/>
      <c r="FN1121" s="4"/>
      <c r="FO1121" s="4"/>
      <c r="FP1121" s="4"/>
      <c r="FQ1121" s="4"/>
      <c r="FR1121" s="4"/>
      <c r="FS1121" s="4"/>
      <c r="FT1121" s="4"/>
      <c r="FU1121" s="4"/>
      <c r="FV1121" s="4"/>
      <c r="FW1121" s="4"/>
      <c r="FX1121" s="4"/>
      <c r="FY1121" s="4"/>
      <c r="FZ1121" s="4"/>
      <c r="GA1121" s="4"/>
      <c r="GB1121" s="4"/>
      <c r="GC1121" s="4"/>
      <c r="GD1121" s="4"/>
      <c r="GE1121" s="4"/>
      <c r="GF1121" s="4"/>
      <c r="GG1121" s="4"/>
      <c r="GH1121" s="4"/>
    </row>
    <row r="1122">
      <c r="A1122" s="2" t="s">
        <v>6402</v>
      </c>
      <c r="B1122" s="2" t="s">
        <v>903</v>
      </c>
      <c r="C1122" s="2" t="s">
        <v>4514</v>
      </c>
      <c r="D1122" s="2" t="s">
        <v>1524</v>
      </c>
      <c r="E1122" s="2" t="s">
        <v>1525</v>
      </c>
      <c r="F1122" s="2" t="s">
        <v>6403</v>
      </c>
      <c r="G1122" s="2" t="s">
        <v>6403</v>
      </c>
      <c r="H1122" s="2" t="s">
        <v>6403</v>
      </c>
      <c r="I1122" s="2" t="s">
        <v>4543</v>
      </c>
      <c r="J1122" s="2" t="s">
        <v>1660</v>
      </c>
      <c r="K1122" s="2" t="s">
        <v>221</v>
      </c>
      <c r="L1122" s="3">
        <v>24.76</v>
      </c>
      <c r="M1122" s="3">
        <v>26</v>
      </c>
      <c r="N1122" s="3">
        <v>79.99</v>
      </c>
      <c r="O1122" s="2" t="s">
        <v>212</v>
      </c>
      <c r="P1122" s="2" t="s">
        <v>285</v>
      </c>
      <c r="Q1122" s="2" t="s">
        <v>206</v>
      </c>
      <c r="R1122" s="2" t="s">
        <v>200</v>
      </c>
      <c r="S1122" s="2" t="s">
        <v>200</v>
      </c>
      <c r="T1122" s="2" t="s">
        <v>4544</v>
      </c>
      <c r="U1122" s="2" t="s">
        <v>200</v>
      </c>
      <c r="V1122" s="2" t="s">
        <v>348</v>
      </c>
      <c r="W1122" s="2" t="s">
        <v>419</v>
      </c>
      <c r="X1122" s="2" t="s">
        <v>200</v>
      </c>
      <c r="Y1122" s="2" t="s">
        <v>3658</v>
      </c>
      <c r="Z1122" s="4">
        <v>156</v>
      </c>
      <c r="AA1122" s="4">
        <f>=ROUNDDOWN(156,0)</f>
      </c>
      <c r="AB1122" s="5">
        <v>1</v>
      </c>
      <c r="AC1122" s="2" t="s">
        <v>200</v>
      </c>
      <c r="AD1122" s="4"/>
      <c r="AE1122" s="4"/>
      <c r="AF1122" s="6">
        <v>65</v>
      </c>
      <c r="AG1122" s="6"/>
      <c r="AH1122" s="7">
        <v>1</v>
      </c>
      <c r="AI1122" s="4"/>
      <c r="AJ1122" s="4">
        <f>=ROUNDDOWN({0},0)</f>
      </c>
      <c r="AK1122" s="5"/>
      <c r="AL1122" s="2" t="s">
        <v>200</v>
      </c>
      <c r="AM1122" s="4"/>
      <c r="AN1122" s="4"/>
      <c r="AO1122" s="7"/>
      <c r="AP1122" s="4"/>
      <c r="AQ1122" s="8"/>
      <c r="AR1122" s="4"/>
      <c r="AS1122" s="8"/>
      <c r="AT1122" s="7"/>
      <c r="AU1122" s="7"/>
      <c r="AV1122" s="4"/>
      <c r="AW1122" s="8"/>
      <c r="AX1122" s="4"/>
      <c r="AY1122" s="8"/>
      <c r="AZ1122" s="7"/>
      <c r="BA1122" s="7"/>
      <c r="BB1122" s="7"/>
      <c r="BC1122" s="4" t="s">
        <v>200</v>
      </c>
      <c r="BD1122" s="8" t="s">
        <v>200</v>
      </c>
      <c r="BE1122" s="4" t="s">
        <v>200</v>
      </c>
      <c r="BF1122" s="8" t="s">
        <v>200</v>
      </c>
      <c r="BG1122" s="7" t="s">
        <v>200</v>
      </c>
      <c r="BH1122" s="7" t="s">
        <v>200</v>
      </c>
      <c r="BI1122" s="7"/>
      <c r="BJ1122" s="4">
        <v>5</v>
      </c>
      <c r="BK1122" s="8">
        <v>162.23</v>
      </c>
      <c r="BL1122" s="2" t="s">
        <v>6404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6405</v>
      </c>
      <c r="BV1122" s="2" t="s">
        <v>200</v>
      </c>
      <c r="BW1122" s="2" t="s">
        <v>200</v>
      </c>
      <c r="BX1122" s="2" t="s">
        <v>289</v>
      </c>
      <c r="BY1122" s="2" t="s">
        <v>247</v>
      </c>
      <c r="BZ1122" s="2" t="s">
        <v>212</v>
      </c>
      <c r="CA1122" s="2" t="s">
        <v>1218</v>
      </c>
      <c r="CB1122" s="2" t="s">
        <v>4548</v>
      </c>
      <c r="CC1122" s="2" t="s">
        <v>213</v>
      </c>
      <c r="CD1122" s="2" t="s">
        <v>200</v>
      </c>
      <c r="CE1122" s="4">
        <v>156</v>
      </c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  <c r="DD1122" s="4"/>
      <c r="DE1122" s="4"/>
      <c r="DF1122" s="4"/>
      <c r="DG1122" s="4"/>
      <c r="DH1122" s="4"/>
      <c r="DI1122" s="4"/>
      <c r="DJ1122" s="4"/>
      <c r="DK1122" s="4"/>
      <c r="DL1122" s="4"/>
      <c r="DM1122" s="4"/>
      <c r="DN1122" s="4"/>
      <c r="DO1122" s="4"/>
      <c r="DP1122" s="4"/>
      <c r="DQ1122" s="4"/>
      <c r="DR1122" s="4"/>
      <c r="DS1122" s="4"/>
      <c r="DT1122" s="4"/>
      <c r="DU1122" s="4"/>
      <c r="DV1122" s="4"/>
      <c r="DW1122" s="4"/>
      <c r="DX1122" s="4"/>
      <c r="DY1122" s="4"/>
      <c r="DZ1122" s="4"/>
      <c r="EA1122" s="4"/>
      <c r="EB1122" s="4"/>
      <c r="EC1122" s="4"/>
      <c r="ED1122" s="4"/>
      <c r="EE1122" s="4"/>
      <c r="EF1122" s="4"/>
      <c r="EG1122" s="4"/>
      <c r="EH1122" s="4"/>
      <c r="EI1122" s="4"/>
      <c r="EJ1122" s="4"/>
      <c r="EK1122" s="4"/>
      <c r="EL1122" s="4"/>
      <c r="EM1122" s="4"/>
      <c r="EN1122" s="4"/>
      <c r="EO1122" s="4"/>
      <c r="EP1122" s="4"/>
      <c r="EQ1122" s="4"/>
      <c r="ER1122" s="4"/>
      <c r="ES1122" s="4"/>
      <c r="ET1122" s="4"/>
      <c r="EU1122" s="4"/>
      <c r="EV1122" s="4"/>
      <c r="EW1122" s="4"/>
      <c r="EX1122" s="4"/>
      <c r="EY1122" s="4"/>
      <c r="EZ1122" s="4"/>
      <c r="FA1122" s="4"/>
      <c r="FB1122" s="4"/>
      <c r="FC1122" s="4"/>
      <c r="FD1122" s="4"/>
      <c r="FE1122" s="4"/>
      <c r="FF1122" s="4"/>
      <c r="FG1122" s="4"/>
      <c r="FH1122" s="4"/>
      <c r="FI1122" s="4"/>
      <c r="FJ1122" s="4"/>
      <c r="FK1122" s="4"/>
      <c r="FL1122" s="4"/>
      <c r="FM1122" s="4"/>
      <c r="FN1122" s="4"/>
      <c r="FO1122" s="4"/>
      <c r="FP1122" s="4"/>
      <c r="FQ1122" s="4"/>
      <c r="FR1122" s="4"/>
      <c r="FS1122" s="4"/>
      <c r="FT1122" s="4"/>
      <c r="FU1122" s="4"/>
      <c r="FV1122" s="4"/>
      <c r="FW1122" s="4"/>
      <c r="FX1122" s="4"/>
      <c r="FY1122" s="4"/>
      <c r="FZ1122" s="4"/>
      <c r="GA1122" s="4"/>
      <c r="GB1122" s="4"/>
      <c r="GC1122" s="4"/>
      <c r="GD1122" s="4"/>
      <c r="GE1122" s="4"/>
      <c r="GF1122" s="4"/>
      <c r="GG1122" s="4"/>
      <c r="GH1122" s="4"/>
    </row>
    <row r="1123">
      <c r="A1123" s="2" t="s">
        <v>6406</v>
      </c>
      <c r="B1123" s="2" t="s">
        <v>903</v>
      </c>
      <c r="C1123" s="2" t="s">
        <v>4514</v>
      </c>
      <c r="D1123" s="2" t="s">
        <v>1524</v>
      </c>
      <c r="E1123" s="2" t="s">
        <v>1525</v>
      </c>
      <c r="F1123" s="2" t="s">
        <v>6403</v>
      </c>
      <c r="G1123" s="2" t="s">
        <v>6403</v>
      </c>
      <c r="H1123" s="2" t="s">
        <v>6403</v>
      </c>
      <c r="I1123" s="2" t="s">
        <v>4543</v>
      </c>
      <c r="J1123" s="2" t="s">
        <v>1660</v>
      </c>
      <c r="K1123" s="2" t="s">
        <v>2163</v>
      </c>
      <c r="L1123" s="3">
        <v>24.76</v>
      </c>
      <c r="M1123" s="3">
        <v>26</v>
      </c>
      <c r="N1123" s="3">
        <v>79.99</v>
      </c>
      <c r="O1123" s="2" t="s">
        <v>212</v>
      </c>
      <c r="P1123" s="2" t="s">
        <v>285</v>
      </c>
      <c r="Q1123" s="2" t="s">
        <v>206</v>
      </c>
      <c r="R1123" s="2" t="s">
        <v>200</v>
      </c>
      <c r="S1123" s="2" t="s">
        <v>200</v>
      </c>
      <c r="T1123" s="2" t="s">
        <v>200</v>
      </c>
      <c r="U1123" s="2" t="s">
        <v>200</v>
      </c>
      <c r="V1123" s="2" t="s">
        <v>348</v>
      </c>
      <c r="W1123" s="2" t="s">
        <v>419</v>
      </c>
      <c r="X1123" s="2" t="s">
        <v>200</v>
      </c>
      <c r="Y1123" s="2" t="s">
        <v>3658</v>
      </c>
      <c r="Z1123" s="4">
        <v>103</v>
      </c>
      <c r="AA1123" s="4">
        <f>=ROUNDDOWN(51.5,0)</f>
      </c>
      <c r="AB1123" s="5">
        <v>2</v>
      </c>
      <c r="AC1123" s="2" t="s">
        <v>200</v>
      </c>
      <c r="AD1123" s="4"/>
      <c r="AE1123" s="4"/>
      <c r="AF1123" s="6">
        <v>65</v>
      </c>
      <c r="AG1123" s="6"/>
      <c r="AH1123" s="7">
        <v>1</v>
      </c>
      <c r="AI1123" s="4"/>
      <c r="AJ1123" s="4">
        <f>=ROUNDDOWN({0},0)</f>
      </c>
      <c r="AK1123" s="5"/>
      <c r="AL1123" s="2" t="s">
        <v>200</v>
      </c>
      <c r="AM1123" s="4"/>
      <c r="AN1123" s="4"/>
      <c r="AO1123" s="7"/>
      <c r="AP1123" s="4"/>
      <c r="AQ1123" s="8"/>
      <c r="AR1123" s="4"/>
      <c r="AS1123" s="8"/>
      <c r="AT1123" s="7"/>
      <c r="AU1123" s="7"/>
      <c r="AV1123" s="4"/>
      <c r="AW1123" s="8"/>
      <c r="AX1123" s="4"/>
      <c r="AY1123" s="8"/>
      <c r="AZ1123" s="7"/>
      <c r="BA1123" s="7"/>
      <c r="BB1123" s="7"/>
      <c r="BC1123" s="4" t="s">
        <v>200</v>
      </c>
      <c r="BD1123" s="8" t="s">
        <v>200</v>
      </c>
      <c r="BE1123" s="4" t="s">
        <v>200</v>
      </c>
      <c r="BF1123" s="8" t="s">
        <v>200</v>
      </c>
      <c r="BG1123" s="7" t="s">
        <v>200</v>
      </c>
      <c r="BH1123" s="7" t="s">
        <v>200</v>
      </c>
      <c r="BI1123" s="7"/>
      <c r="BJ1123" s="4">
        <v>16</v>
      </c>
      <c r="BK1123" s="8">
        <v>232.96</v>
      </c>
      <c r="BL1123" s="2" t="s">
        <v>6407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6408</v>
      </c>
      <c r="BV1123" s="2" t="s">
        <v>200</v>
      </c>
      <c r="BW1123" s="2" t="s">
        <v>200</v>
      </c>
      <c r="BX1123" s="2" t="s">
        <v>289</v>
      </c>
      <c r="BY1123" s="2" t="s">
        <v>247</v>
      </c>
      <c r="BZ1123" s="2" t="s">
        <v>212</v>
      </c>
      <c r="CA1123" s="2" t="s">
        <v>1218</v>
      </c>
      <c r="CB1123" s="2" t="s">
        <v>2512</v>
      </c>
      <c r="CC1123" s="2" t="s">
        <v>213</v>
      </c>
      <c r="CD1123" s="2" t="s">
        <v>200</v>
      </c>
      <c r="CE1123" s="4">
        <v>103</v>
      </c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4"/>
      <c r="DY1123" s="4"/>
      <c r="DZ1123" s="4"/>
      <c r="EA1123" s="4"/>
      <c r="EB1123" s="4"/>
      <c r="EC1123" s="4"/>
      <c r="ED1123" s="4"/>
      <c r="EE1123" s="4"/>
      <c r="EF1123" s="4"/>
      <c r="EG1123" s="4"/>
      <c r="EH1123" s="4"/>
      <c r="EI1123" s="4"/>
      <c r="EJ1123" s="4"/>
      <c r="EK1123" s="4"/>
      <c r="EL1123" s="4"/>
      <c r="EM1123" s="4"/>
      <c r="EN1123" s="4"/>
      <c r="EO1123" s="4"/>
      <c r="EP1123" s="4"/>
      <c r="EQ1123" s="4"/>
      <c r="ER1123" s="4"/>
      <c r="ES1123" s="4"/>
      <c r="ET1123" s="4"/>
      <c r="EU1123" s="4"/>
      <c r="EV1123" s="4"/>
      <c r="EW1123" s="4"/>
      <c r="EX1123" s="4"/>
      <c r="EY1123" s="4"/>
      <c r="EZ1123" s="4"/>
      <c r="FA1123" s="4"/>
      <c r="FB1123" s="4"/>
      <c r="FC1123" s="4"/>
      <c r="FD1123" s="4"/>
      <c r="FE1123" s="4"/>
      <c r="FF1123" s="4"/>
      <c r="FG1123" s="4"/>
      <c r="FH1123" s="4"/>
      <c r="FI1123" s="4"/>
      <c r="FJ1123" s="4"/>
      <c r="FK1123" s="4"/>
      <c r="FL1123" s="4"/>
      <c r="FM1123" s="4"/>
      <c r="FN1123" s="4"/>
      <c r="FO1123" s="4"/>
      <c r="FP1123" s="4"/>
      <c r="FQ1123" s="4"/>
      <c r="FR1123" s="4"/>
      <c r="FS1123" s="4"/>
      <c r="FT1123" s="4"/>
      <c r="FU1123" s="4"/>
      <c r="FV1123" s="4"/>
      <c r="FW1123" s="4"/>
      <c r="FX1123" s="4"/>
      <c r="FY1123" s="4"/>
      <c r="FZ1123" s="4"/>
      <c r="GA1123" s="4"/>
      <c r="GB1123" s="4"/>
      <c r="GC1123" s="4"/>
      <c r="GD1123" s="4"/>
      <c r="GE1123" s="4"/>
      <c r="GF1123" s="4"/>
      <c r="GG1123" s="4"/>
      <c r="GH1123" s="4"/>
    </row>
    <row r="1124">
      <c r="A1124" s="2" t="s">
        <v>6409</v>
      </c>
      <c r="B1124" s="2" t="s">
        <v>705</v>
      </c>
      <c r="C1124" s="2" t="s">
        <v>706</v>
      </c>
      <c r="D1124" s="2" t="s">
        <v>707</v>
      </c>
      <c r="E1124" s="2" t="s">
        <v>708</v>
      </c>
      <c r="F1124" s="2" t="s">
        <v>6410</v>
      </c>
      <c r="G1124" s="2" t="s">
        <v>6410</v>
      </c>
      <c r="H1124" s="2" t="s">
        <v>6410</v>
      </c>
      <c r="I1124" s="2" t="s">
        <v>6411</v>
      </c>
      <c r="J1124" s="2" t="s">
        <v>711</v>
      </c>
      <c r="K1124" s="2" t="s">
        <v>4422</v>
      </c>
      <c r="L1124" s="3">
        <v>26.5</v>
      </c>
      <c r="M1124" s="3">
        <v>27.82</v>
      </c>
      <c r="N1124" s="3">
        <v>59.99</v>
      </c>
      <c r="O1124" s="2" t="s">
        <v>460</v>
      </c>
      <c r="P1124" s="2" t="s">
        <v>285</v>
      </c>
      <c r="Q1124" s="2" t="s">
        <v>206</v>
      </c>
      <c r="R1124" s="2" t="s">
        <v>200</v>
      </c>
      <c r="S1124" s="2" t="s">
        <v>200</v>
      </c>
      <c r="T1124" s="2" t="s">
        <v>200</v>
      </c>
      <c r="U1124" s="2" t="s">
        <v>270</v>
      </c>
      <c r="V1124" s="2" t="s">
        <v>616</v>
      </c>
      <c r="W1124" s="2" t="s">
        <v>379</v>
      </c>
      <c r="X1124" s="2" t="s">
        <v>200</v>
      </c>
      <c r="Y1124" s="2" t="s">
        <v>6412</v>
      </c>
      <c r="Z1124" s="4">
        <v>126</v>
      </c>
      <c r="AA1124" s="4">
        <f>=ROUNDDOWN({0},0)</f>
      </c>
      <c r="AB1124" s="5"/>
      <c r="AC1124" s="2" t="s">
        <v>200</v>
      </c>
      <c r="AD1124" s="4"/>
      <c r="AE1124" s="4"/>
      <c r="AF1124" s="6">
        <v>65</v>
      </c>
      <c r="AG1124" s="6"/>
      <c r="AH1124" s="7">
        <v>1</v>
      </c>
      <c r="AI1124" s="4"/>
      <c r="AJ1124" s="4">
        <f>=ROUNDDOWN({0},0)</f>
      </c>
      <c r="AK1124" s="5"/>
      <c r="AL1124" s="2" t="s">
        <v>200</v>
      </c>
      <c r="AM1124" s="4"/>
      <c r="AN1124" s="4"/>
      <c r="AO1124" s="7"/>
      <c r="AP1124" s="4"/>
      <c r="AQ1124" s="8"/>
      <c r="AR1124" s="4"/>
      <c r="AS1124" s="8"/>
      <c r="AT1124" s="7"/>
      <c r="AU1124" s="7"/>
      <c r="AV1124" s="4"/>
      <c r="AW1124" s="8"/>
      <c r="AX1124" s="4"/>
      <c r="AY1124" s="8"/>
      <c r="AZ1124" s="7"/>
      <c r="BA1124" s="7"/>
      <c r="BB1124" s="7"/>
      <c r="BC1124" s="4"/>
      <c r="BD1124" s="8"/>
      <c r="BE1124" s="4"/>
      <c r="BF1124" s="8"/>
      <c r="BG1124" s="7"/>
      <c r="BH1124" s="7"/>
      <c r="BI1124" s="7"/>
      <c r="BJ1124" s="4"/>
      <c r="BK1124" s="8"/>
      <c r="BL1124" s="2" t="s">
        <v>6413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6414</v>
      </c>
      <c r="BV1124" s="2" t="s">
        <v>200</v>
      </c>
      <c r="BW1124" s="2" t="s">
        <v>200</v>
      </c>
      <c r="BX1124" s="2" t="s">
        <v>289</v>
      </c>
      <c r="BY1124" s="2" t="s">
        <v>247</v>
      </c>
      <c r="BZ1124" s="2" t="s">
        <v>212</v>
      </c>
      <c r="CA1124" s="2" t="s">
        <v>6415</v>
      </c>
      <c r="CB1124" s="2" t="s">
        <v>6416</v>
      </c>
      <c r="CC1124" s="2" t="s">
        <v>213</v>
      </c>
      <c r="CD1124" s="2" t="s">
        <v>200</v>
      </c>
      <c r="CE1124" s="4"/>
      <c r="CF1124" s="4">
        <v>126</v>
      </c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  <c r="DD1124" s="4"/>
      <c r="DE1124" s="4"/>
      <c r="DF1124" s="4"/>
      <c r="DG1124" s="4"/>
      <c r="DH1124" s="4"/>
      <c r="DI1124" s="4"/>
      <c r="DJ1124" s="4"/>
      <c r="DK1124" s="4"/>
      <c r="DL1124" s="4"/>
      <c r="DM1124" s="4"/>
      <c r="DN1124" s="4"/>
      <c r="DO1124" s="4"/>
      <c r="DP1124" s="4"/>
      <c r="DQ1124" s="4"/>
      <c r="DR1124" s="4"/>
      <c r="DS1124" s="4"/>
      <c r="DT1124" s="4"/>
      <c r="DU1124" s="4"/>
      <c r="DV1124" s="4"/>
      <c r="DW1124" s="4"/>
      <c r="DX1124" s="4"/>
      <c r="DY1124" s="4"/>
      <c r="DZ1124" s="4"/>
      <c r="EA1124" s="4"/>
      <c r="EB1124" s="4"/>
      <c r="EC1124" s="4"/>
      <c r="ED1124" s="4"/>
      <c r="EE1124" s="4"/>
      <c r="EF1124" s="4"/>
      <c r="EG1124" s="4"/>
      <c r="EH1124" s="4"/>
      <c r="EI1124" s="4"/>
      <c r="EJ1124" s="4"/>
      <c r="EK1124" s="4"/>
      <c r="EL1124" s="4"/>
      <c r="EM1124" s="4"/>
      <c r="EN1124" s="4"/>
      <c r="EO1124" s="4"/>
      <c r="EP1124" s="4"/>
      <c r="EQ1124" s="4"/>
      <c r="ER1124" s="4"/>
      <c r="ES1124" s="4"/>
      <c r="ET1124" s="4"/>
      <c r="EU1124" s="4"/>
      <c r="EV1124" s="4"/>
      <c r="EW1124" s="4"/>
      <c r="EX1124" s="4"/>
      <c r="EY1124" s="4"/>
      <c r="EZ1124" s="4"/>
      <c r="FA1124" s="4"/>
      <c r="FB1124" s="4"/>
      <c r="FC1124" s="4"/>
      <c r="FD1124" s="4"/>
      <c r="FE1124" s="4"/>
      <c r="FF1124" s="4"/>
      <c r="FG1124" s="4"/>
      <c r="FH1124" s="4"/>
      <c r="FI1124" s="4"/>
      <c r="FJ1124" s="4"/>
      <c r="FK1124" s="4"/>
      <c r="FL1124" s="4"/>
      <c r="FM1124" s="4"/>
      <c r="FN1124" s="4"/>
      <c r="FO1124" s="4"/>
      <c r="FP1124" s="4"/>
      <c r="FQ1124" s="4"/>
      <c r="FR1124" s="4"/>
      <c r="FS1124" s="4"/>
      <c r="FT1124" s="4"/>
      <c r="FU1124" s="4"/>
      <c r="FV1124" s="4"/>
      <c r="FW1124" s="4"/>
      <c r="FX1124" s="4"/>
      <c r="FY1124" s="4"/>
      <c r="FZ1124" s="4"/>
      <c r="GA1124" s="4"/>
      <c r="GB1124" s="4"/>
      <c r="GC1124" s="4"/>
      <c r="GD1124" s="4"/>
      <c r="GE1124" s="4"/>
      <c r="GF1124" s="4"/>
      <c r="GG1124" s="4"/>
      <c r="GH1124" s="4"/>
    </row>
    <row r="1125">
      <c r="A1125" s="2" t="s">
        <v>6417</v>
      </c>
      <c r="B1125" s="2" t="s">
        <v>744</v>
      </c>
      <c r="C1125" s="2" t="s">
        <v>745</v>
      </c>
      <c r="D1125" s="2" t="s">
        <v>2839</v>
      </c>
      <c r="E1125" s="2" t="s">
        <v>2840</v>
      </c>
      <c r="F1125" s="2" t="s">
        <v>6418</v>
      </c>
      <c r="G1125" s="2" t="s">
        <v>6418</v>
      </c>
      <c r="H1125" s="2" t="s">
        <v>6418</v>
      </c>
      <c r="I1125" s="2" t="s">
        <v>6419</v>
      </c>
      <c r="J1125" s="2" t="s">
        <v>711</v>
      </c>
      <c r="K1125" s="2" t="s">
        <v>237</v>
      </c>
      <c r="L1125" s="3">
        <v>405</v>
      </c>
      <c r="M1125" s="3">
        <v>425.25</v>
      </c>
      <c r="N1125" s="3">
        <v>849</v>
      </c>
      <c r="O1125" s="2" t="s">
        <v>212</v>
      </c>
      <c r="P1125" s="2" t="s">
        <v>285</v>
      </c>
      <c r="Q1125" s="2" t="s">
        <v>206</v>
      </c>
      <c r="R1125" s="2" t="s">
        <v>200</v>
      </c>
      <c r="S1125" s="2" t="s">
        <v>200</v>
      </c>
      <c r="T1125" s="2" t="s">
        <v>200</v>
      </c>
      <c r="U1125" s="2" t="s">
        <v>200</v>
      </c>
      <c r="V1125" s="2" t="s">
        <v>616</v>
      </c>
      <c r="W1125" s="2" t="s">
        <v>712</v>
      </c>
      <c r="X1125" s="2" t="s">
        <v>379</v>
      </c>
      <c r="Y1125" s="2" t="s">
        <v>812</v>
      </c>
      <c r="Z1125" s="4">
        <v>164</v>
      </c>
      <c r="AA1125" s="4">
        <f>=ROUNDDOWN(149.090909090909,0)</f>
      </c>
      <c r="AB1125" s="5">
        <v>1.1</v>
      </c>
      <c r="AC1125" s="2" t="s">
        <v>200</v>
      </c>
      <c r="AD1125" s="4"/>
      <c r="AE1125" s="4"/>
      <c r="AF1125" s="6">
        <v>74</v>
      </c>
      <c r="AG1125" s="6"/>
      <c r="AH1125" s="7">
        <v>1</v>
      </c>
      <c r="AI1125" s="4"/>
      <c r="AJ1125" s="4">
        <f>=ROUNDDOWN({0},0)</f>
      </c>
      <c r="AK1125" s="5"/>
      <c r="AL1125" s="2" t="s">
        <v>200</v>
      </c>
      <c r="AM1125" s="4"/>
      <c r="AN1125" s="4"/>
      <c r="AO1125" s="7"/>
      <c r="AP1125" s="4"/>
      <c r="AQ1125" s="8"/>
      <c r="AR1125" s="4"/>
      <c r="AS1125" s="8"/>
      <c r="AT1125" s="7"/>
      <c r="AU1125" s="7"/>
      <c r="AV1125" s="4"/>
      <c r="AW1125" s="8"/>
      <c r="AX1125" s="4"/>
      <c r="AY1125" s="8"/>
      <c r="AZ1125" s="7"/>
      <c r="BA1125" s="7"/>
      <c r="BB1125" s="7"/>
      <c r="BC1125" s="4" t="s">
        <v>200</v>
      </c>
      <c r="BD1125" s="8" t="s">
        <v>200</v>
      </c>
      <c r="BE1125" s="4" t="s">
        <v>200</v>
      </c>
      <c r="BF1125" s="8" t="s">
        <v>200</v>
      </c>
      <c r="BG1125" s="7" t="s">
        <v>200</v>
      </c>
      <c r="BH1125" s="7" t="s">
        <v>200</v>
      </c>
      <c r="BI1125" s="7"/>
      <c r="BJ1125" s="4">
        <v>16</v>
      </c>
      <c r="BK1125" s="8">
        <v>3636.03</v>
      </c>
      <c r="BL1125" s="2" t="s">
        <v>752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6420</v>
      </c>
      <c r="BV1125" s="2" t="s">
        <v>200</v>
      </c>
      <c r="BW1125" s="2" t="s">
        <v>200</v>
      </c>
      <c r="BX1125" s="2" t="s">
        <v>289</v>
      </c>
      <c r="BY1125" s="2" t="s">
        <v>247</v>
      </c>
      <c r="BZ1125" s="2" t="s">
        <v>212</v>
      </c>
      <c r="CA1125" s="2" t="s">
        <v>1044</v>
      </c>
      <c r="CB1125" s="2" t="s">
        <v>4360</v>
      </c>
      <c r="CC1125" s="2" t="s">
        <v>213</v>
      </c>
      <c r="CD1125" s="2" t="s">
        <v>200</v>
      </c>
      <c r="CE1125" s="4"/>
      <c r="CF1125" s="4">
        <v>164</v>
      </c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4"/>
      <c r="EA1125" s="4"/>
      <c r="EB1125" s="4"/>
      <c r="EC1125" s="4"/>
      <c r="ED1125" s="4"/>
      <c r="EE1125" s="4"/>
      <c r="EF1125" s="4"/>
      <c r="EG1125" s="4"/>
      <c r="EH1125" s="4"/>
      <c r="EI1125" s="4"/>
      <c r="EJ1125" s="4"/>
      <c r="EK1125" s="4"/>
      <c r="EL1125" s="4"/>
      <c r="EM1125" s="4"/>
      <c r="EN1125" s="4"/>
      <c r="EO1125" s="4"/>
      <c r="EP1125" s="4"/>
      <c r="EQ1125" s="4"/>
      <c r="ER1125" s="4"/>
      <c r="ES1125" s="4"/>
      <c r="ET1125" s="4"/>
      <c r="EU1125" s="4"/>
      <c r="EV1125" s="4"/>
      <c r="EW1125" s="4"/>
      <c r="EX1125" s="4"/>
      <c r="EY1125" s="4"/>
      <c r="EZ1125" s="4"/>
      <c r="FA1125" s="4"/>
      <c r="FB1125" s="4"/>
      <c r="FC1125" s="4"/>
      <c r="FD1125" s="4"/>
      <c r="FE1125" s="4"/>
      <c r="FF1125" s="4"/>
      <c r="FG1125" s="4"/>
      <c r="FH1125" s="4"/>
      <c r="FI1125" s="4"/>
      <c r="FJ1125" s="4"/>
      <c r="FK1125" s="4"/>
      <c r="FL1125" s="4"/>
      <c r="FM1125" s="4"/>
      <c r="FN1125" s="4"/>
      <c r="FO1125" s="4"/>
      <c r="FP1125" s="4"/>
      <c r="FQ1125" s="4"/>
      <c r="FR1125" s="4"/>
      <c r="FS1125" s="4"/>
      <c r="FT1125" s="4"/>
      <c r="FU1125" s="4"/>
      <c r="FV1125" s="4"/>
      <c r="FW1125" s="4"/>
      <c r="FX1125" s="4"/>
      <c r="FY1125" s="4"/>
      <c r="FZ1125" s="4"/>
      <c r="GA1125" s="4"/>
      <c r="GB1125" s="4"/>
      <c r="GC1125" s="4"/>
      <c r="GD1125" s="4"/>
      <c r="GE1125" s="4"/>
      <c r="GF1125" s="4"/>
      <c r="GG1125" s="4"/>
      <c r="GH1125" s="4"/>
    </row>
    <row r="1126">
      <c r="A1126" s="2" t="s">
        <v>6421</v>
      </c>
      <c r="B1126" s="2" t="s">
        <v>744</v>
      </c>
      <c r="C1126" s="2" t="s">
        <v>745</v>
      </c>
      <c r="D1126" s="2" t="s">
        <v>988</v>
      </c>
      <c r="E1126" s="2" t="s">
        <v>2832</v>
      </c>
      <c r="F1126" s="2" t="s">
        <v>6418</v>
      </c>
      <c r="G1126" s="2" t="s">
        <v>6418</v>
      </c>
      <c r="H1126" s="2" t="s">
        <v>6418</v>
      </c>
      <c r="I1126" s="2" t="s">
        <v>6422</v>
      </c>
      <c r="J1126" s="2" t="s">
        <v>297</v>
      </c>
      <c r="K1126" s="2" t="s">
        <v>6423</v>
      </c>
      <c r="L1126" s="3">
        <v>370</v>
      </c>
      <c r="M1126" s="3">
        <v>388.5</v>
      </c>
      <c r="N1126" s="3">
        <v>769</v>
      </c>
      <c r="O1126" s="2" t="s">
        <v>460</v>
      </c>
      <c r="P1126" s="2" t="s">
        <v>285</v>
      </c>
      <c r="Q1126" s="2" t="s">
        <v>206</v>
      </c>
      <c r="R1126" s="2" t="s">
        <v>200</v>
      </c>
      <c r="S1126" s="2" t="s">
        <v>200</v>
      </c>
      <c r="T1126" s="2" t="s">
        <v>200</v>
      </c>
      <c r="U1126" s="2" t="s">
        <v>270</v>
      </c>
      <c r="V1126" s="2" t="s">
        <v>616</v>
      </c>
      <c r="W1126" s="2" t="s">
        <v>712</v>
      </c>
      <c r="X1126" s="2" t="s">
        <v>712</v>
      </c>
      <c r="Y1126" s="2" t="s">
        <v>4009</v>
      </c>
      <c r="Z1126" s="4">
        <v>56</v>
      </c>
      <c r="AA1126" s="4">
        <f>=ROUNDDOWN(280,0)</f>
      </c>
      <c r="AB1126" s="5">
        <v>0.2</v>
      </c>
      <c r="AC1126" s="2" t="s">
        <v>200</v>
      </c>
      <c r="AD1126" s="4"/>
      <c r="AE1126" s="4"/>
      <c r="AF1126" s="6">
        <v>74</v>
      </c>
      <c r="AG1126" s="6"/>
      <c r="AH1126" s="7">
        <v>1</v>
      </c>
      <c r="AI1126" s="4"/>
      <c r="AJ1126" s="4">
        <f>=ROUNDDOWN({0},0)</f>
      </c>
      <c r="AK1126" s="5"/>
      <c r="AL1126" s="2" t="s">
        <v>200</v>
      </c>
      <c r="AM1126" s="4"/>
      <c r="AN1126" s="4"/>
      <c r="AO1126" s="7"/>
      <c r="AP1126" s="4"/>
      <c r="AQ1126" s="8"/>
      <c r="AR1126" s="4"/>
      <c r="AS1126" s="8"/>
      <c r="AT1126" s="7"/>
      <c r="AU1126" s="7"/>
      <c r="AV1126" s="4"/>
      <c r="AW1126" s="8"/>
      <c r="AX1126" s="4"/>
      <c r="AY1126" s="8"/>
      <c r="AZ1126" s="7"/>
      <c r="BA1126" s="7"/>
      <c r="BB1126" s="7"/>
      <c r="BC1126" s="4" t="s">
        <v>200</v>
      </c>
      <c r="BD1126" s="8" t="s">
        <v>200</v>
      </c>
      <c r="BE1126" s="4" t="s">
        <v>200</v>
      </c>
      <c r="BF1126" s="8" t="s">
        <v>200</v>
      </c>
      <c r="BG1126" s="7" t="s">
        <v>200</v>
      </c>
      <c r="BH1126" s="7" t="s">
        <v>200</v>
      </c>
      <c r="BI1126" s="7"/>
      <c r="BJ1126" s="4">
        <v>9</v>
      </c>
      <c r="BK1126" s="8">
        <v>609.15</v>
      </c>
      <c r="BL1126" s="2" t="s">
        <v>1675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6424</v>
      </c>
      <c r="BV1126" s="2" t="s">
        <v>200</v>
      </c>
      <c r="BW1126" s="2" t="s">
        <v>200</v>
      </c>
      <c r="BX1126" s="2" t="s">
        <v>289</v>
      </c>
      <c r="BY1126" s="2" t="s">
        <v>247</v>
      </c>
      <c r="BZ1126" s="2" t="s">
        <v>212</v>
      </c>
      <c r="CA1126" s="2" t="s">
        <v>6425</v>
      </c>
      <c r="CB1126" s="2" t="s">
        <v>5207</v>
      </c>
      <c r="CC1126" s="2" t="s">
        <v>213</v>
      </c>
      <c r="CD1126" s="2" t="s">
        <v>200</v>
      </c>
      <c r="CE1126" s="4"/>
      <c r="CF1126" s="4">
        <v>56</v>
      </c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  <c r="DE1126" s="4"/>
      <c r="DF1126" s="4"/>
      <c r="DG1126" s="4"/>
      <c r="DH1126" s="4"/>
      <c r="DI1126" s="4"/>
      <c r="DJ1126" s="4"/>
      <c r="DK1126" s="4"/>
      <c r="DL1126" s="4"/>
      <c r="DM1126" s="4"/>
      <c r="DN1126" s="4"/>
      <c r="DO1126" s="4"/>
      <c r="DP1126" s="4"/>
      <c r="DQ1126" s="4"/>
      <c r="DR1126" s="4"/>
      <c r="DS1126" s="4"/>
      <c r="DT1126" s="4"/>
      <c r="DU1126" s="4"/>
      <c r="DV1126" s="4"/>
      <c r="DW1126" s="4"/>
      <c r="DX1126" s="4"/>
      <c r="DY1126" s="4"/>
      <c r="DZ1126" s="4"/>
      <c r="EA1126" s="4"/>
      <c r="EB1126" s="4"/>
      <c r="EC1126" s="4"/>
      <c r="ED1126" s="4"/>
      <c r="EE1126" s="4"/>
      <c r="EF1126" s="4"/>
      <c r="EG1126" s="4"/>
      <c r="EH1126" s="4"/>
      <c r="EI1126" s="4"/>
      <c r="EJ1126" s="4"/>
      <c r="EK1126" s="4"/>
      <c r="EL1126" s="4"/>
      <c r="EM1126" s="4"/>
      <c r="EN1126" s="4"/>
      <c r="EO1126" s="4"/>
      <c r="EP1126" s="4"/>
      <c r="EQ1126" s="4"/>
      <c r="ER1126" s="4"/>
      <c r="ES1126" s="4"/>
      <c r="ET1126" s="4"/>
      <c r="EU1126" s="4"/>
      <c r="EV1126" s="4"/>
      <c r="EW1126" s="4"/>
      <c r="EX1126" s="4"/>
      <c r="EY1126" s="4"/>
      <c r="EZ1126" s="4"/>
      <c r="FA1126" s="4"/>
      <c r="FB1126" s="4"/>
      <c r="FC1126" s="4"/>
      <c r="FD1126" s="4"/>
      <c r="FE1126" s="4"/>
      <c r="FF1126" s="4"/>
      <c r="FG1126" s="4"/>
      <c r="FH1126" s="4"/>
      <c r="FI1126" s="4"/>
      <c r="FJ1126" s="4"/>
      <c r="FK1126" s="4"/>
      <c r="FL1126" s="4"/>
      <c r="FM1126" s="4"/>
      <c r="FN1126" s="4"/>
      <c r="FO1126" s="4"/>
      <c r="FP1126" s="4"/>
      <c r="FQ1126" s="4"/>
      <c r="FR1126" s="4"/>
      <c r="FS1126" s="4"/>
      <c r="FT1126" s="4"/>
      <c r="FU1126" s="4"/>
      <c r="FV1126" s="4"/>
      <c r="FW1126" s="4"/>
      <c r="FX1126" s="4"/>
      <c r="FY1126" s="4"/>
      <c r="FZ1126" s="4"/>
      <c r="GA1126" s="4"/>
      <c r="GB1126" s="4"/>
      <c r="GC1126" s="4"/>
      <c r="GD1126" s="4"/>
      <c r="GE1126" s="4"/>
      <c r="GF1126" s="4"/>
      <c r="GG1126" s="4"/>
      <c r="GH1126" s="4"/>
    </row>
    <row r="1127">
      <c r="A1127" s="2" t="s">
        <v>6426</v>
      </c>
      <c r="B1127" s="2" t="s">
        <v>932</v>
      </c>
      <c r="C1127" s="2" t="s">
        <v>1839</v>
      </c>
      <c r="D1127" s="2" t="s">
        <v>1818</v>
      </c>
      <c r="E1127" s="2" t="s">
        <v>2000</v>
      </c>
      <c r="F1127" s="2" t="s">
        <v>6418</v>
      </c>
      <c r="G1127" s="2" t="s">
        <v>2498</v>
      </c>
      <c r="H1127" s="2" t="s">
        <v>6427</v>
      </c>
      <c r="I1127" s="2" t="s">
        <v>6428</v>
      </c>
      <c r="J1127" s="2" t="s">
        <v>612</v>
      </c>
      <c r="K1127" s="2" t="s">
        <v>436</v>
      </c>
      <c r="L1127" s="3">
        <v>71.39</v>
      </c>
      <c r="M1127" s="3">
        <v>74.96</v>
      </c>
      <c r="N1127" s="3">
        <v>139.99</v>
      </c>
      <c r="O1127" s="2" t="s">
        <v>212</v>
      </c>
      <c r="P1127" s="2" t="s">
        <v>258</v>
      </c>
      <c r="Q1127" s="2" t="s">
        <v>206</v>
      </c>
      <c r="R1127" s="2" t="s">
        <v>200</v>
      </c>
      <c r="S1127" s="2" t="s">
        <v>6429</v>
      </c>
      <c r="T1127" s="2" t="s">
        <v>312</v>
      </c>
      <c r="U1127" s="2" t="s">
        <v>454</v>
      </c>
      <c r="V1127" s="2" t="s">
        <v>208</v>
      </c>
      <c r="W1127" s="2" t="s">
        <v>379</v>
      </c>
      <c r="X1127" s="2" t="s">
        <v>2565</v>
      </c>
      <c r="Y1127" s="2" t="s">
        <v>6430</v>
      </c>
      <c r="Z1127" s="4">
        <v>101</v>
      </c>
      <c r="AA1127" s="4">
        <f>=ROUNDDOWN(101,0)</f>
      </c>
      <c r="AB1127" s="5">
        <v>1</v>
      </c>
      <c r="AC1127" s="2" t="s">
        <v>200</v>
      </c>
      <c r="AD1127" s="4"/>
      <c r="AE1127" s="4"/>
      <c r="AF1127" s="6">
        <v>69</v>
      </c>
      <c r="AG1127" s="6"/>
      <c r="AH1127" s="7">
        <v>1</v>
      </c>
      <c r="AI1127" s="4"/>
      <c r="AJ1127" s="4">
        <f>=ROUNDDOWN({0},0)</f>
      </c>
      <c r="AK1127" s="5"/>
      <c r="AL1127" s="2" t="s">
        <v>200</v>
      </c>
      <c r="AM1127" s="4"/>
      <c r="AN1127" s="4"/>
      <c r="AO1127" s="7"/>
      <c r="AP1127" s="4"/>
      <c r="AQ1127" s="8"/>
      <c r="AR1127" s="4"/>
      <c r="AS1127" s="8"/>
      <c r="AT1127" s="7"/>
      <c r="AU1127" s="7"/>
      <c r="AV1127" s="4" t="s">
        <v>200</v>
      </c>
      <c r="AW1127" s="8" t="s">
        <v>200</v>
      </c>
      <c r="AX1127" s="4" t="s">
        <v>200</v>
      </c>
      <c r="AY1127" s="8" t="s">
        <v>200</v>
      </c>
      <c r="AZ1127" s="7" t="s">
        <v>200</v>
      </c>
      <c r="BA1127" s="7" t="s">
        <v>200</v>
      </c>
      <c r="BB1127" s="7"/>
      <c r="BC1127" s="4" t="s">
        <v>200</v>
      </c>
      <c r="BD1127" s="8" t="s">
        <v>200</v>
      </c>
      <c r="BE1127" s="4" t="s">
        <v>200</v>
      </c>
      <c r="BF1127" s="8" t="s">
        <v>200</v>
      </c>
      <c r="BG1127" s="7" t="s">
        <v>200</v>
      </c>
      <c r="BH1127" s="7" t="s">
        <v>200</v>
      </c>
      <c r="BI1127" s="7"/>
      <c r="BJ1127" s="4">
        <v>3</v>
      </c>
      <c r="BK1127" s="8">
        <v>253.49</v>
      </c>
      <c r="BL1127" s="2" t="s">
        <v>752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6431</v>
      </c>
      <c r="BV1127" s="2" t="s">
        <v>200</v>
      </c>
      <c r="BW1127" s="2" t="s">
        <v>200</v>
      </c>
      <c r="BX1127" s="2" t="s">
        <v>264</v>
      </c>
      <c r="BY1127" s="2" t="s">
        <v>247</v>
      </c>
      <c r="BZ1127" s="2" t="s">
        <v>212</v>
      </c>
      <c r="CA1127" s="2" t="s">
        <v>6430</v>
      </c>
      <c r="CB1127" s="2" t="s">
        <v>1320</v>
      </c>
      <c r="CC1127" s="2" t="s">
        <v>213</v>
      </c>
      <c r="CD1127" s="2" t="s">
        <v>200</v>
      </c>
      <c r="CE1127" s="4">
        <v>101</v>
      </c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/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  <c r="DZ1127" s="4"/>
      <c r="EA1127" s="4"/>
      <c r="EB1127" s="4"/>
      <c r="EC1127" s="4"/>
      <c r="ED1127" s="4"/>
      <c r="EE1127" s="4"/>
      <c r="EF1127" s="4"/>
      <c r="EG1127" s="4"/>
      <c r="EH1127" s="4"/>
      <c r="EI1127" s="4"/>
      <c r="EJ1127" s="4"/>
      <c r="EK1127" s="4"/>
      <c r="EL1127" s="4"/>
      <c r="EM1127" s="4"/>
      <c r="EN1127" s="4"/>
      <c r="EO1127" s="4"/>
      <c r="EP1127" s="4"/>
      <c r="EQ1127" s="4"/>
      <c r="ER1127" s="4"/>
      <c r="ES1127" s="4"/>
      <c r="ET1127" s="4"/>
      <c r="EU1127" s="4"/>
      <c r="EV1127" s="4"/>
      <c r="EW1127" s="4"/>
      <c r="EX1127" s="4"/>
      <c r="EY1127" s="4"/>
      <c r="EZ1127" s="4"/>
      <c r="FA1127" s="4"/>
      <c r="FB1127" s="4"/>
      <c r="FC1127" s="4"/>
      <c r="FD1127" s="4"/>
      <c r="FE1127" s="4"/>
      <c r="FF1127" s="4"/>
      <c r="FG1127" s="4"/>
      <c r="FH1127" s="4"/>
      <c r="FI1127" s="4"/>
      <c r="FJ1127" s="4"/>
      <c r="FK1127" s="4"/>
      <c r="FL1127" s="4"/>
      <c r="FM1127" s="4"/>
      <c r="FN1127" s="4"/>
      <c r="FO1127" s="4"/>
      <c r="FP1127" s="4"/>
      <c r="FQ1127" s="4"/>
      <c r="FR1127" s="4"/>
      <c r="FS1127" s="4"/>
      <c r="FT1127" s="4"/>
      <c r="FU1127" s="4"/>
      <c r="FV1127" s="4"/>
      <c r="FW1127" s="4"/>
      <c r="FX1127" s="4"/>
      <c r="FY1127" s="4"/>
      <c r="FZ1127" s="4"/>
      <c r="GA1127" s="4"/>
      <c r="GB1127" s="4"/>
      <c r="GC1127" s="4"/>
      <c r="GD1127" s="4"/>
      <c r="GE1127" s="4"/>
      <c r="GF1127" s="4"/>
      <c r="GG1127" s="4"/>
      <c r="GH1127" s="4"/>
    </row>
    <row r="1128">
      <c r="A1128" s="2" t="s">
        <v>6432</v>
      </c>
      <c r="B1128" s="2" t="s">
        <v>932</v>
      </c>
      <c r="C1128" s="2" t="s">
        <v>1839</v>
      </c>
      <c r="D1128" s="2" t="s">
        <v>1818</v>
      </c>
      <c r="E1128" s="2" t="s">
        <v>2000</v>
      </c>
      <c r="F1128" s="2" t="s">
        <v>6418</v>
      </c>
      <c r="G1128" s="2" t="s">
        <v>2498</v>
      </c>
      <c r="H1128" s="2" t="s">
        <v>6427</v>
      </c>
      <c r="I1128" s="2" t="s">
        <v>6428</v>
      </c>
      <c r="J1128" s="2" t="s">
        <v>924</v>
      </c>
      <c r="K1128" s="2" t="s">
        <v>436</v>
      </c>
      <c r="L1128" s="3">
        <v>81.59</v>
      </c>
      <c r="M1128" s="3">
        <v>85.67</v>
      </c>
      <c r="N1128" s="3">
        <v>159.99</v>
      </c>
      <c r="O1128" s="2" t="s">
        <v>212</v>
      </c>
      <c r="P1128" s="2" t="s">
        <v>258</v>
      </c>
      <c r="Q1128" s="2" t="s">
        <v>206</v>
      </c>
      <c r="R1128" s="2" t="s">
        <v>200</v>
      </c>
      <c r="S1128" s="2" t="s">
        <v>6429</v>
      </c>
      <c r="T1128" s="2" t="s">
        <v>312</v>
      </c>
      <c r="U1128" s="2" t="s">
        <v>454</v>
      </c>
      <c r="V1128" s="2" t="s">
        <v>208</v>
      </c>
      <c r="W1128" s="2" t="s">
        <v>379</v>
      </c>
      <c r="X1128" s="2" t="s">
        <v>2565</v>
      </c>
      <c r="Y1128" s="2" t="s">
        <v>6430</v>
      </c>
      <c r="Z1128" s="4">
        <v>53</v>
      </c>
      <c r="AA1128" s="4">
        <f>=ROUNDDOWN(26.5,0)</f>
      </c>
      <c r="AB1128" s="5">
        <v>2</v>
      </c>
      <c r="AC1128" s="2" t="s">
        <v>109</v>
      </c>
      <c r="AD1128" s="4">
        <v>60</v>
      </c>
      <c r="AE1128" s="4">
        <v>60</v>
      </c>
      <c r="AF1128" s="6">
        <v>69</v>
      </c>
      <c r="AG1128" s="6"/>
      <c r="AH1128" s="7">
        <v>1</v>
      </c>
      <c r="AI1128" s="4"/>
      <c r="AJ1128" s="4">
        <f>=ROUNDDOWN({0},0)</f>
      </c>
      <c r="AK1128" s="5"/>
      <c r="AL1128" s="2" t="s">
        <v>200</v>
      </c>
      <c r="AM1128" s="4"/>
      <c r="AN1128" s="4"/>
      <c r="AO1128" s="7"/>
      <c r="AP1128" s="4"/>
      <c r="AQ1128" s="8"/>
      <c r="AR1128" s="4"/>
      <c r="AS1128" s="8"/>
      <c r="AT1128" s="7"/>
      <c r="AU1128" s="7"/>
      <c r="AV1128" s="4" t="s">
        <v>200</v>
      </c>
      <c r="AW1128" s="8" t="s">
        <v>200</v>
      </c>
      <c r="AX1128" s="4" t="s">
        <v>200</v>
      </c>
      <c r="AY1128" s="8" t="s">
        <v>200</v>
      </c>
      <c r="AZ1128" s="7" t="s">
        <v>200</v>
      </c>
      <c r="BA1128" s="7" t="s">
        <v>200</v>
      </c>
      <c r="BB1128" s="7"/>
      <c r="BC1128" s="4" t="s">
        <v>200</v>
      </c>
      <c r="BD1128" s="8" t="s">
        <v>200</v>
      </c>
      <c r="BE1128" s="4" t="s">
        <v>200</v>
      </c>
      <c r="BF1128" s="8" t="s">
        <v>200</v>
      </c>
      <c r="BG1128" s="7" t="s">
        <v>200</v>
      </c>
      <c r="BH1128" s="7" t="s">
        <v>200</v>
      </c>
      <c r="BI1128" s="7"/>
      <c r="BJ1128" s="4">
        <v>8</v>
      </c>
      <c r="BK1128" s="8">
        <v>723.97</v>
      </c>
      <c r="BL1128" s="2" t="s">
        <v>6433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6434</v>
      </c>
      <c r="BV1128" s="2" t="s">
        <v>200</v>
      </c>
      <c r="BW1128" s="2" t="s">
        <v>200</v>
      </c>
      <c r="BX1128" s="2" t="s">
        <v>264</v>
      </c>
      <c r="BY1128" s="2" t="s">
        <v>247</v>
      </c>
      <c r="BZ1128" s="2" t="s">
        <v>212</v>
      </c>
      <c r="CA1128" s="2" t="s">
        <v>6430</v>
      </c>
      <c r="CB1128" s="2" t="s">
        <v>6435</v>
      </c>
      <c r="CC1128" s="2" t="s">
        <v>213</v>
      </c>
      <c r="CD1128" s="2" t="s">
        <v>200</v>
      </c>
      <c r="CE1128" s="4">
        <v>53</v>
      </c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>
        <v>60</v>
      </c>
      <c r="CV1128" s="4"/>
      <c r="CW1128" s="4"/>
      <c r="CX1128" s="4"/>
      <c r="CY1128" s="4"/>
      <c r="CZ1128" s="4"/>
      <c r="DA1128" s="4"/>
      <c r="DB1128" s="4"/>
      <c r="DC1128" s="4"/>
      <c r="DD1128" s="4"/>
      <c r="DE1128" s="4"/>
      <c r="DF1128" s="4"/>
      <c r="DG1128" s="4"/>
      <c r="DH1128" s="4"/>
      <c r="DI1128" s="4"/>
      <c r="DJ1128" s="4"/>
      <c r="DK1128" s="4"/>
      <c r="DL1128" s="4"/>
      <c r="DM1128" s="4"/>
      <c r="DN1128" s="4"/>
      <c r="DO1128" s="4"/>
      <c r="DP1128" s="4"/>
      <c r="DQ1128" s="4"/>
      <c r="DR1128" s="4"/>
      <c r="DS1128" s="4"/>
      <c r="DT1128" s="4"/>
      <c r="DU1128" s="4"/>
      <c r="DV1128" s="4"/>
      <c r="DW1128" s="4"/>
      <c r="DX1128" s="4"/>
      <c r="DY1128" s="4"/>
      <c r="DZ1128" s="4"/>
      <c r="EA1128" s="4"/>
      <c r="EB1128" s="4"/>
      <c r="EC1128" s="4"/>
      <c r="ED1128" s="4"/>
      <c r="EE1128" s="4"/>
      <c r="EF1128" s="4"/>
      <c r="EG1128" s="4"/>
      <c r="EH1128" s="4"/>
      <c r="EI1128" s="4"/>
      <c r="EJ1128" s="4"/>
      <c r="EK1128" s="4"/>
      <c r="EL1128" s="4"/>
      <c r="EM1128" s="4"/>
      <c r="EN1128" s="4"/>
      <c r="EO1128" s="4"/>
      <c r="EP1128" s="4"/>
      <c r="EQ1128" s="4"/>
      <c r="ER1128" s="4"/>
      <c r="ES1128" s="4"/>
      <c r="ET1128" s="4"/>
      <c r="EU1128" s="4"/>
      <c r="EV1128" s="4"/>
      <c r="EW1128" s="4"/>
      <c r="EX1128" s="4"/>
      <c r="EY1128" s="4"/>
      <c r="EZ1128" s="4"/>
      <c r="FA1128" s="4"/>
      <c r="FB1128" s="4"/>
      <c r="FC1128" s="4"/>
      <c r="FD1128" s="4"/>
      <c r="FE1128" s="4"/>
      <c r="FF1128" s="4"/>
      <c r="FG1128" s="4"/>
      <c r="FH1128" s="4"/>
      <c r="FI1128" s="4"/>
      <c r="FJ1128" s="4"/>
      <c r="FK1128" s="4"/>
      <c r="FL1128" s="4"/>
      <c r="FM1128" s="4"/>
      <c r="FN1128" s="4"/>
      <c r="FO1128" s="4"/>
      <c r="FP1128" s="4"/>
      <c r="FQ1128" s="4"/>
      <c r="FR1128" s="4"/>
      <c r="FS1128" s="4"/>
      <c r="FT1128" s="4"/>
      <c r="FU1128" s="4"/>
      <c r="FV1128" s="4"/>
      <c r="FW1128" s="4"/>
      <c r="FX1128" s="4"/>
      <c r="FY1128" s="4"/>
      <c r="FZ1128" s="4"/>
      <c r="GA1128" s="4"/>
      <c r="GB1128" s="4"/>
      <c r="GC1128" s="4"/>
      <c r="GD1128" s="4"/>
      <c r="GE1128" s="4"/>
      <c r="GF1128" s="4"/>
      <c r="GG1128" s="4"/>
      <c r="GH1128" s="4"/>
    </row>
    <row r="1129">
      <c r="A1129" s="2" t="s">
        <v>6436</v>
      </c>
      <c r="B1129" s="2" t="s">
        <v>230</v>
      </c>
      <c r="C1129" s="2" t="s">
        <v>877</v>
      </c>
      <c r="D1129" s="2" t="s">
        <v>232</v>
      </c>
      <c r="E1129" s="2" t="s">
        <v>233</v>
      </c>
      <c r="F1129" s="2" t="s">
        <v>6437</v>
      </c>
      <c r="G1129" s="2" t="s">
        <v>6437</v>
      </c>
      <c r="H1129" s="2" t="s">
        <v>6437</v>
      </c>
      <c r="I1129" s="2" t="s">
        <v>3399</v>
      </c>
      <c r="J1129" s="2" t="s">
        <v>297</v>
      </c>
      <c r="K1129" s="2" t="s">
        <v>6438</v>
      </c>
      <c r="L1129" s="3">
        <v>18</v>
      </c>
      <c r="M1129" s="3">
        <v>18.9</v>
      </c>
      <c r="N1129" s="3">
        <v>39.99</v>
      </c>
      <c r="O1129" s="2" t="s">
        <v>212</v>
      </c>
      <c r="P1129" s="2" t="s">
        <v>285</v>
      </c>
      <c r="Q1129" s="2" t="s">
        <v>206</v>
      </c>
      <c r="R1129" s="2" t="s">
        <v>200</v>
      </c>
      <c r="S1129" s="2" t="s">
        <v>6439</v>
      </c>
      <c r="T1129" s="2" t="s">
        <v>378</v>
      </c>
      <c r="U1129" s="2" t="s">
        <v>240</v>
      </c>
      <c r="V1129" s="2" t="s">
        <v>3191</v>
      </c>
      <c r="W1129" s="2" t="s">
        <v>242</v>
      </c>
      <c r="X1129" s="2" t="s">
        <v>200</v>
      </c>
      <c r="Y1129" s="2" t="s">
        <v>6440</v>
      </c>
      <c r="Z1129" s="4">
        <v>48</v>
      </c>
      <c r="AA1129" s="4">
        <f>=ROUNDDOWN(11.4285714285714,0)</f>
      </c>
      <c r="AB1129" s="5">
        <v>4.2</v>
      </c>
      <c r="AC1129" s="2" t="s">
        <v>200</v>
      </c>
      <c r="AD1129" s="4"/>
      <c r="AE1129" s="4"/>
      <c r="AF1129" s="6">
        <v>66</v>
      </c>
      <c r="AG1129" s="6"/>
      <c r="AH1129" s="7">
        <v>1</v>
      </c>
      <c r="AI1129" s="4"/>
      <c r="AJ1129" s="4">
        <f>=ROUNDDOWN({0},0)</f>
      </c>
      <c r="AK1129" s="5"/>
      <c r="AL1129" s="2" t="s">
        <v>200</v>
      </c>
      <c r="AM1129" s="4"/>
      <c r="AN1129" s="4"/>
      <c r="AO1129" s="7"/>
      <c r="AP1129" s="4"/>
      <c r="AQ1129" s="8"/>
      <c r="AR1129" s="4"/>
      <c r="AS1129" s="8"/>
      <c r="AT1129" s="7"/>
      <c r="AU1129" s="7"/>
      <c r="AV1129" s="4"/>
      <c r="AW1129" s="8"/>
      <c r="AX1129" s="4"/>
      <c r="AY1129" s="8"/>
      <c r="AZ1129" s="7"/>
      <c r="BA1129" s="7"/>
      <c r="BB1129" s="7"/>
      <c r="BC1129" s="4" t="s">
        <v>200</v>
      </c>
      <c r="BD1129" s="8" t="s">
        <v>200</v>
      </c>
      <c r="BE1129" s="4" t="s">
        <v>200</v>
      </c>
      <c r="BF1129" s="8" t="s">
        <v>200</v>
      </c>
      <c r="BG1129" s="7" t="s">
        <v>200</v>
      </c>
      <c r="BH1129" s="7" t="s">
        <v>200</v>
      </c>
      <c r="BI1129" s="7"/>
      <c r="BJ1129" s="4">
        <v>33</v>
      </c>
      <c r="BK1129" s="8">
        <v>614.65</v>
      </c>
      <c r="BL1129" s="2" t="s">
        <v>6441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6442</v>
      </c>
      <c r="BV1129" s="2" t="s">
        <v>200</v>
      </c>
      <c r="BW1129" s="2" t="s">
        <v>200</v>
      </c>
      <c r="BX1129" s="2" t="s">
        <v>289</v>
      </c>
      <c r="BY1129" s="2" t="s">
        <v>247</v>
      </c>
      <c r="BZ1129" s="2" t="s">
        <v>212</v>
      </c>
      <c r="CA1129" s="2" t="s">
        <v>6443</v>
      </c>
      <c r="CB1129" s="2" t="s">
        <v>6444</v>
      </c>
      <c r="CC1129" s="2" t="s">
        <v>213</v>
      </c>
      <c r="CD1129" s="2" t="s">
        <v>200</v>
      </c>
      <c r="CE1129" s="4">
        <v>48</v>
      </c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/>
      <c r="DW1129" s="4"/>
      <c r="DX1129" s="4"/>
      <c r="DY1129" s="4"/>
      <c r="DZ1129" s="4"/>
      <c r="EA1129" s="4"/>
      <c r="EB1129" s="4"/>
      <c r="EC1129" s="4"/>
      <c r="ED1129" s="4"/>
      <c r="EE1129" s="4"/>
      <c r="EF1129" s="4"/>
      <c r="EG1129" s="4"/>
      <c r="EH1129" s="4"/>
      <c r="EI1129" s="4"/>
      <c r="EJ1129" s="4"/>
      <c r="EK1129" s="4"/>
      <c r="EL1129" s="4"/>
      <c r="EM1129" s="4"/>
      <c r="EN1129" s="4"/>
      <c r="EO1129" s="4"/>
      <c r="EP1129" s="4"/>
      <c r="EQ1129" s="4"/>
      <c r="ER1129" s="4"/>
      <c r="ES1129" s="4"/>
      <c r="ET1129" s="4"/>
      <c r="EU1129" s="4"/>
      <c r="EV1129" s="4"/>
      <c r="EW1129" s="4"/>
      <c r="EX1129" s="4"/>
      <c r="EY1129" s="4"/>
      <c r="EZ1129" s="4"/>
      <c r="FA1129" s="4"/>
      <c r="FB1129" s="4"/>
      <c r="FC1129" s="4"/>
      <c r="FD1129" s="4"/>
      <c r="FE1129" s="4"/>
      <c r="FF1129" s="4"/>
      <c r="FG1129" s="4"/>
      <c r="FH1129" s="4"/>
      <c r="FI1129" s="4"/>
      <c r="FJ1129" s="4"/>
      <c r="FK1129" s="4"/>
      <c r="FL1129" s="4"/>
      <c r="FM1129" s="4"/>
      <c r="FN1129" s="4"/>
      <c r="FO1129" s="4"/>
      <c r="FP1129" s="4"/>
      <c r="FQ1129" s="4"/>
      <c r="FR1129" s="4"/>
      <c r="FS1129" s="4"/>
      <c r="FT1129" s="4"/>
      <c r="FU1129" s="4"/>
      <c r="FV1129" s="4"/>
      <c r="FW1129" s="4"/>
      <c r="FX1129" s="4"/>
      <c r="FY1129" s="4"/>
      <c r="FZ1129" s="4"/>
      <c r="GA1129" s="4"/>
      <c r="GB1129" s="4"/>
      <c r="GC1129" s="4"/>
      <c r="GD1129" s="4"/>
      <c r="GE1129" s="4"/>
      <c r="GF1129" s="4"/>
      <c r="GG1129" s="4"/>
      <c r="GH1129" s="4"/>
    </row>
    <row r="1130">
      <c r="A1130" s="2" t="s">
        <v>6445</v>
      </c>
      <c r="B1130" s="2" t="s">
        <v>230</v>
      </c>
      <c r="C1130" s="2" t="s">
        <v>877</v>
      </c>
      <c r="D1130" s="2" t="s">
        <v>232</v>
      </c>
      <c r="E1130" s="2" t="s">
        <v>233</v>
      </c>
      <c r="F1130" s="2" t="s">
        <v>6437</v>
      </c>
      <c r="G1130" s="2" t="s">
        <v>6437</v>
      </c>
      <c r="H1130" s="2" t="s">
        <v>6437</v>
      </c>
      <c r="I1130" s="2" t="s">
        <v>3399</v>
      </c>
      <c r="J1130" s="2" t="s">
        <v>269</v>
      </c>
      <c r="K1130" s="2" t="s">
        <v>6446</v>
      </c>
      <c r="L1130" s="3">
        <v>15.4</v>
      </c>
      <c r="M1130" s="3">
        <v>16.17</v>
      </c>
      <c r="N1130" s="3">
        <v>34.99</v>
      </c>
      <c r="O1130" s="2" t="s">
        <v>212</v>
      </c>
      <c r="P1130" s="2" t="s">
        <v>258</v>
      </c>
      <c r="Q1130" s="2" t="s">
        <v>206</v>
      </c>
      <c r="R1130" s="2" t="s">
        <v>200</v>
      </c>
      <c r="S1130" s="2" t="s">
        <v>6447</v>
      </c>
      <c r="T1130" s="2" t="s">
        <v>378</v>
      </c>
      <c r="U1130" s="2" t="s">
        <v>454</v>
      </c>
      <c r="V1130" s="2" t="s">
        <v>3191</v>
      </c>
      <c r="W1130" s="2" t="s">
        <v>379</v>
      </c>
      <c r="X1130" s="2" t="s">
        <v>200</v>
      </c>
      <c r="Y1130" s="2" t="s">
        <v>6448</v>
      </c>
      <c r="Z1130" s="4">
        <v>229</v>
      </c>
      <c r="AA1130" s="4">
        <f>=ROUNDDOWN(152.666666666667,0)</f>
      </c>
      <c r="AB1130" s="5">
        <v>1.5</v>
      </c>
      <c r="AC1130" s="2" t="s">
        <v>200</v>
      </c>
      <c r="AD1130" s="4"/>
      <c r="AE1130" s="4"/>
      <c r="AF1130" s="6">
        <v>66</v>
      </c>
      <c r="AG1130" s="6"/>
      <c r="AH1130" s="7">
        <v>1</v>
      </c>
      <c r="AI1130" s="4"/>
      <c r="AJ1130" s="4">
        <f>=ROUNDDOWN({0},0)</f>
      </c>
      <c r="AK1130" s="5"/>
      <c r="AL1130" s="2" t="s">
        <v>200</v>
      </c>
      <c r="AM1130" s="4"/>
      <c r="AN1130" s="4"/>
      <c r="AO1130" s="7"/>
      <c r="AP1130" s="4"/>
      <c r="AQ1130" s="8"/>
      <c r="AR1130" s="4"/>
      <c r="AS1130" s="8"/>
      <c r="AT1130" s="7"/>
      <c r="AU1130" s="7"/>
      <c r="AV1130" s="4"/>
      <c r="AW1130" s="8"/>
      <c r="AX1130" s="4"/>
      <c r="AY1130" s="8"/>
      <c r="AZ1130" s="7"/>
      <c r="BA1130" s="7"/>
      <c r="BB1130" s="7"/>
      <c r="BC1130" s="4" t="s">
        <v>200</v>
      </c>
      <c r="BD1130" s="8" t="s">
        <v>200</v>
      </c>
      <c r="BE1130" s="4" t="s">
        <v>200</v>
      </c>
      <c r="BF1130" s="8" t="s">
        <v>200</v>
      </c>
      <c r="BG1130" s="7" t="s">
        <v>200</v>
      </c>
      <c r="BH1130" s="7" t="s">
        <v>200</v>
      </c>
      <c r="BI1130" s="7"/>
      <c r="BJ1130" s="4">
        <v>17</v>
      </c>
      <c r="BK1130" s="8">
        <v>295.05</v>
      </c>
      <c r="BL1130" s="2" t="s">
        <v>6449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6450</v>
      </c>
      <c r="BV1130" s="2" t="s">
        <v>200</v>
      </c>
      <c r="BW1130" s="2" t="s">
        <v>200</v>
      </c>
      <c r="BX1130" s="2" t="s">
        <v>264</v>
      </c>
      <c r="BY1130" s="2" t="s">
        <v>247</v>
      </c>
      <c r="BZ1130" s="2" t="s">
        <v>212</v>
      </c>
      <c r="CA1130" s="2" t="s">
        <v>6451</v>
      </c>
      <c r="CB1130" s="2" t="s">
        <v>6452</v>
      </c>
      <c r="CC1130" s="2" t="s">
        <v>213</v>
      </c>
      <c r="CD1130" s="2" t="s">
        <v>200</v>
      </c>
      <c r="CE1130" s="4">
        <v>229</v>
      </c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E1130" s="4"/>
      <c r="DF1130" s="4"/>
      <c r="DG1130" s="4"/>
      <c r="DH1130" s="4"/>
      <c r="DI1130" s="4"/>
      <c r="DJ1130" s="4"/>
      <c r="DK1130" s="4"/>
      <c r="DL1130" s="4"/>
      <c r="DM1130" s="4"/>
      <c r="DN1130" s="4"/>
      <c r="DO1130" s="4"/>
      <c r="DP1130" s="4"/>
      <c r="DQ1130" s="4"/>
      <c r="DR1130" s="4"/>
      <c r="DS1130" s="4"/>
      <c r="DT1130" s="4"/>
      <c r="DU1130" s="4"/>
      <c r="DV1130" s="4"/>
      <c r="DW1130" s="4"/>
      <c r="DX1130" s="4"/>
      <c r="DY1130" s="4"/>
      <c r="DZ1130" s="4"/>
      <c r="EA1130" s="4"/>
      <c r="EB1130" s="4"/>
      <c r="EC1130" s="4"/>
      <c r="ED1130" s="4"/>
      <c r="EE1130" s="4"/>
      <c r="EF1130" s="4"/>
      <c r="EG1130" s="4"/>
      <c r="EH1130" s="4"/>
      <c r="EI1130" s="4"/>
      <c r="EJ1130" s="4"/>
      <c r="EK1130" s="4"/>
      <c r="EL1130" s="4"/>
      <c r="EM1130" s="4"/>
      <c r="EN1130" s="4"/>
      <c r="EO1130" s="4"/>
      <c r="EP1130" s="4"/>
      <c r="EQ1130" s="4"/>
      <c r="ER1130" s="4"/>
      <c r="ES1130" s="4"/>
      <c r="ET1130" s="4"/>
      <c r="EU1130" s="4"/>
      <c r="EV1130" s="4"/>
      <c r="EW1130" s="4"/>
      <c r="EX1130" s="4"/>
      <c r="EY1130" s="4"/>
      <c r="EZ1130" s="4"/>
      <c r="FA1130" s="4"/>
      <c r="FB1130" s="4"/>
      <c r="FC1130" s="4"/>
      <c r="FD1130" s="4"/>
      <c r="FE1130" s="4"/>
      <c r="FF1130" s="4"/>
      <c r="FG1130" s="4"/>
      <c r="FH1130" s="4"/>
      <c r="FI1130" s="4"/>
      <c r="FJ1130" s="4"/>
      <c r="FK1130" s="4"/>
      <c r="FL1130" s="4"/>
      <c r="FM1130" s="4"/>
      <c r="FN1130" s="4"/>
      <c r="FO1130" s="4"/>
      <c r="FP1130" s="4"/>
      <c r="FQ1130" s="4"/>
      <c r="FR1130" s="4"/>
      <c r="FS1130" s="4"/>
      <c r="FT1130" s="4"/>
      <c r="FU1130" s="4"/>
      <c r="FV1130" s="4"/>
      <c r="FW1130" s="4"/>
      <c r="FX1130" s="4"/>
      <c r="FY1130" s="4"/>
      <c r="FZ1130" s="4"/>
      <c r="GA1130" s="4"/>
      <c r="GB1130" s="4"/>
      <c r="GC1130" s="4"/>
      <c r="GD1130" s="4"/>
      <c r="GE1130" s="4"/>
      <c r="GF1130" s="4"/>
      <c r="GG1130" s="4"/>
      <c r="GH1130" s="4"/>
    </row>
    <row r="1131">
      <c r="A1131" s="2" t="s">
        <v>6453</v>
      </c>
      <c r="B1131" s="2" t="s">
        <v>744</v>
      </c>
      <c r="C1131" s="2" t="s">
        <v>745</v>
      </c>
      <c r="D1131" s="2" t="s">
        <v>6454</v>
      </c>
      <c r="E1131" s="2" t="s">
        <v>6455</v>
      </c>
      <c r="F1131" s="2" t="s">
        <v>6456</v>
      </c>
      <c r="G1131" s="2" t="s">
        <v>6456</v>
      </c>
      <c r="H1131" s="2" t="s">
        <v>6456</v>
      </c>
      <c r="I1131" s="2" t="s">
        <v>6457</v>
      </c>
      <c r="J1131" s="2" t="s">
        <v>6458</v>
      </c>
      <c r="K1131" s="2" t="s">
        <v>1174</v>
      </c>
      <c r="L1131" s="3">
        <v>900</v>
      </c>
      <c r="M1131" s="3">
        <v>945</v>
      </c>
      <c r="N1131" s="3">
        <v>1896</v>
      </c>
      <c r="O1131" s="2" t="s">
        <v>212</v>
      </c>
      <c r="P1131" s="2" t="s">
        <v>802</v>
      </c>
      <c r="Q1131" s="2" t="s">
        <v>206</v>
      </c>
      <c r="R1131" s="2" t="s">
        <v>200</v>
      </c>
      <c r="S1131" s="2" t="s">
        <v>200</v>
      </c>
      <c r="T1131" s="2" t="s">
        <v>200</v>
      </c>
      <c r="U1131" s="2" t="s">
        <v>240</v>
      </c>
      <c r="V1131" s="2" t="s">
        <v>616</v>
      </c>
      <c r="W1131" s="2" t="s">
        <v>379</v>
      </c>
      <c r="X1131" s="2" t="s">
        <v>200</v>
      </c>
      <c r="Y1131" s="2" t="s">
        <v>6459</v>
      </c>
      <c r="Z1131" s="4"/>
      <c r="AA1131" s="4">
        <f>=ROUNDDOWN({0},0)</f>
      </c>
      <c r="AB1131" s="5"/>
      <c r="AC1131" s="2" t="s">
        <v>200</v>
      </c>
      <c r="AD1131" s="4"/>
      <c r="AE1131" s="4"/>
      <c r="AF1131" s="6"/>
      <c r="AG1131" s="6"/>
      <c r="AH1131" s="7"/>
      <c r="AI1131" s="4"/>
      <c r="AJ1131" s="4">
        <f>=ROUNDDOWN({0},0)</f>
      </c>
      <c r="AK1131" s="5"/>
      <c r="AL1131" s="2" t="s">
        <v>200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/>
      <c r="AW1131" s="8"/>
      <c r="AX1131" s="4"/>
      <c r="AY1131" s="8"/>
      <c r="AZ1131" s="7"/>
      <c r="BA1131" s="7"/>
      <c r="BB1131" s="7"/>
      <c r="BC1131" s="4"/>
      <c r="BD1131" s="8"/>
      <c r="BE1131" s="4"/>
      <c r="BF1131" s="8"/>
      <c r="BG1131" s="7"/>
      <c r="BH1131" s="7"/>
      <c r="BI1131" s="7"/>
      <c r="BJ1131" s="4"/>
      <c r="BK1131" s="8"/>
      <c r="BL1131" s="2" t="s">
        <v>200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6460</v>
      </c>
      <c r="BV1131" s="2" t="s">
        <v>200</v>
      </c>
      <c r="BW1131" s="2" t="s">
        <v>200</v>
      </c>
      <c r="BX1131" s="2" t="s">
        <v>264</v>
      </c>
      <c r="BY1131" s="2" t="s">
        <v>247</v>
      </c>
      <c r="BZ1131" s="2" t="s">
        <v>212</v>
      </c>
      <c r="CA1131" s="2" t="s">
        <v>1028</v>
      </c>
      <c r="CB1131" s="2" t="s">
        <v>200</v>
      </c>
      <c r="CC1131" s="2" t="s">
        <v>213</v>
      </c>
      <c r="CD1131" s="2" t="s">
        <v>200</v>
      </c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  <c r="DZ1131" s="4"/>
      <c r="EA1131" s="4"/>
      <c r="EB1131" s="4"/>
      <c r="EC1131" s="4"/>
      <c r="ED1131" s="4"/>
      <c r="EE1131" s="4"/>
      <c r="EF1131" s="4"/>
      <c r="EG1131" s="4"/>
      <c r="EH1131" s="4"/>
      <c r="EI1131" s="4"/>
      <c r="EJ1131" s="4"/>
      <c r="EK1131" s="4"/>
      <c r="EL1131" s="4"/>
      <c r="EM1131" s="4"/>
      <c r="EN1131" s="4"/>
      <c r="EO1131" s="4"/>
      <c r="EP1131" s="4"/>
      <c r="EQ1131" s="4"/>
      <c r="ER1131" s="4"/>
      <c r="ES1131" s="4"/>
      <c r="ET1131" s="4"/>
      <c r="EU1131" s="4"/>
      <c r="EV1131" s="4"/>
      <c r="EW1131" s="4"/>
      <c r="EX1131" s="4"/>
      <c r="EY1131" s="4"/>
      <c r="EZ1131" s="4"/>
      <c r="FA1131" s="4"/>
      <c r="FB1131" s="4"/>
      <c r="FC1131" s="4"/>
      <c r="FD1131" s="4"/>
      <c r="FE1131" s="4"/>
      <c r="FF1131" s="4"/>
      <c r="FG1131" s="4"/>
      <c r="FH1131" s="4"/>
      <c r="FI1131" s="4"/>
      <c r="FJ1131" s="4"/>
      <c r="FK1131" s="4"/>
      <c r="FL1131" s="4"/>
      <c r="FM1131" s="4"/>
      <c r="FN1131" s="4"/>
      <c r="FO1131" s="4"/>
      <c r="FP1131" s="4"/>
      <c r="FQ1131" s="4"/>
      <c r="FR1131" s="4"/>
      <c r="FS1131" s="4"/>
      <c r="FT1131" s="4"/>
      <c r="FU1131" s="4"/>
      <c r="FV1131" s="4"/>
      <c r="FW1131" s="4"/>
      <c r="FX1131" s="4"/>
      <c r="FY1131" s="4"/>
      <c r="FZ1131" s="4"/>
      <c r="GA1131" s="4"/>
      <c r="GB1131" s="4"/>
      <c r="GC1131" s="4"/>
      <c r="GD1131" s="4"/>
      <c r="GE1131" s="4"/>
      <c r="GF1131" s="4"/>
      <c r="GG1131" s="4"/>
      <c r="GH1131" s="4"/>
    </row>
    <row r="1132">
      <c r="A1132" s="2" t="s">
        <v>6461</v>
      </c>
      <c r="B1132" s="2" t="s">
        <v>719</v>
      </c>
      <c r="C1132" s="2" t="s">
        <v>231</v>
      </c>
      <c r="D1132" s="2" t="s">
        <v>1535</v>
      </c>
      <c r="E1132" s="2" t="s">
        <v>1536</v>
      </c>
      <c r="F1132" s="2" t="s">
        <v>6462</v>
      </c>
      <c r="G1132" s="2" t="s">
        <v>6462</v>
      </c>
      <c r="H1132" s="2" t="s">
        <v>6462</v>
      </c>
      <c r="I1132" s="2" t="s">
        <v>6463</v>
      </c>
      <c r="J1132" s="2" t="s">
        <v>711</v>
      </c>
      <c r="K1132" s="2" t="s">
        <v>637</v>
      </c>
      <c r="L1132" s="3">
        <v>71.42</v>
      </c>
      <c r="M1132" s="3">
        <v>75</v>
      </c>
      <c r="N1132" s="3">
        <v>149.99</v>
      </c>
      <c r="O1132" s="2" t="s">
        <v>212</v>
      </c>
      <c r="P1132" s="2" t="s">
        <v>258</v>
      </c>
      <c r="Q1132" s="2" t="s">
        <v>206</v>
      </c>
      <c r="R1132" s="2" t="s">
        <v>200</v>
      </c>
      <c r="S1132" s="2" t="s">
        <v>200</v>
      </c>
      <c r="T1132" s="2" t="s">
        <v>200</v>
      </c>
      <c r="U1132" s="2" t="s">
        <v>270</v>
      </c>
      <c r="V1132" s="2" t="s">
        <v>616</v>
      </c>
      <c r="W1132" s="2" t="s">
        <v>242</v>
      </c>
      <c r="X1132" s="2" t="s">
        <v>242</v>
      </c>
      <c r="Y1132" s="2" t="s">
        <v>5314</v>
      </c>
      <c r="Z1132" s="4">
        <v>135</v>
      </c>
      <c r="AA1132" s="4">
        <f>=ROUNDDOWN(27,0)</f>
      </c>
      <c r="AB1132" s="5">
        <v>5</v>
      </c>
      <c r="AC1132" s="2" t="s">
        <v>200</v>
      </c>
      <c r="AD1132" s="4"/>
      <c r="AE1132" s="4"/>
      <c r="AF1132" s="6">
        <v>63</v>
      </c>
      <c r="AG1132" s="6">
        <v>46</v>
      </c>
      <c r="AH1132" s="7">
        <v>1</v>
      </c>
      <c r="AI1132" s="4"/>
      <c r="AJ1132" s="4">
        <f>=ROUNDDOWN({0},0)</f>
      </c>
      <c r="AK1132" s="5"/>
      <c r="AL1132" s="2" t="s">
        <v>200</v>
      </c>
      <c r="AM1132" s="4"/>
      <c r="AN1132" s="4"/>
      <c r="AO1132" s="7"/>
      <c r="AP1132" s="4"/>
      <c r="AQ1132" s="8"/>
      <c r="AR1132" s="4"/>
      <c r="AS1132" s="8"/>
      <c r="AT1132" s="7"/>
      <c r="AU1132" s="7"/>
      <c r="AV1132" s="4"/>
      <c r="AW1132" s="8"/>
      <c r="AX1132" s="4"/>
      <c r="AY1132" s="8"/>
      <c r="AZ1132" s="7"/>
      <c r="BA1132" s="7"/>
      <c r="BB1132" s="7"/>
      <c r="BC1132" s="4"/>
      <c r="BD1132" s="8"/>
      <c r="BE1132" s="4"/>
      <c r="BF1132" s="8"/>
      <c r="BG1132" s="7"/>
      <c r="BH1132" s="7"/>
      <c r="BI1132" s="7"/>
      <c r="BJ1132" s="4">
        <v>9</v>
      </c>
      <c r="BK1132" s="8">
        <v>691.41</v>
      </c>
      <c r="BL1132" s="2" t="s">
        <v>6464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6465</v>
      </c>
      <c r="BV1132" s="2" t="s">
        <v>200</v>
      </c>
      <c r="BW1132" s="2" t="s">
        <v>200</v>
      </c>
      <c r="BX1132" s="2" t="s">
        <v>264</v>
      </c>
      <c r="BY1132" s="2" t="s">
        <v>247</v>
      </c>
      <c r="BZ1132" s="2" t="s">
        <v>212</v>
      </c>
      <c r="CA1132" s="2" t="s">
        <v>6195</v>
      </c>
      <c r="CB1132" s="2" t="s">
        <v>2786</v>
      </c>
      <c r="CC1132" s="2" t="s">
        <v>213</v>
      </c>
      <c r="CD1132" s="2" t="s">
        <v>200</v>
      </c>
      <c r="CE1132" s="4"/>
      <c r="CF1132" s="4"/>
      <c r="CG1132" s="4"/>
      <c r="CH1132" s="4">
        <v>135</v>
      </c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4"/>
      <c r="DM1132" s="4"/>
      <c r="DN1132" s="4"/>
      <c r="DO1132" s="4"/>
      <c r="DP1132" s="4"/>
      <c r="DQ1132" s="4"/>
      <c r="DR1132" s="4"/>
      <c r="DS1132" s="4"/>
      <c r="DT1132" s="4"/>
      <c r="DU1132" s="4"/>
      <c r="DV1132" s="4"/>
      <c r="DW1132" s="4"/>
      <c r="DX1132" s="4"/>
      <c r="DY1132" s="4"/>
      <c r="DZ1132" s="4"/>
      <c r="EA1132" s="4"/>
      <c r="EB1132" s="4"/>
      <c r="EC1132" s="4"/>
      <c r="ED1132" s="4"/>
      <c r="EE1132" s="4"/>
      <c r="EF1132" s="4"/>
      <c r="EG1132" s="4"/>
      <c r="EH1132" s="4"/>
      <c r="EI1132" s="4"/>
      <c r="EJ1132" s="4"/>
      <c r="EK1132" s="4"/>
      <c r="EL1132" s="4"/>
      <c r="EM1132" s="4"/>
      <c r="EN1132" s="4"/>
      <c r="EO1132" s="4"/>
      <c r="EP1132" s="4"/>
      <c r="EQ1132" s="4"/>
      <c r="ER1132" s="4"/>
      <c r="ES1132" s="4"/>
      <c r="ET1132" s="4"/>
      <c r="EU1132" s="4"/>
      <c r="EV1132" s="4"/>
      <c r="EW1132" s="4"/>
      <c r="EX1132" s="4"/>
      <c r="EY1132" s="4"/>
      <c r="EZ1132" s="4"/>
      <c r="FA1132" s="4"/>
      <c r="FB1132" s="4"/>
      <c r="FC1132" s="4"/>
      <c r="FD1132" s="4"/>
      <c r="FE1132" s="4"/>
      <c r="FF1132" s="4"/>
      <c r="FG1132" s="4"/>
      <c r="FH1132" s="4"/>
      <c r="FI1132" s="4"/>
      <c r="FJ1132" s="4"/>
      <c r="FK1132" s="4"/>
      <c r="FL1132" s="4"/>
      <c r="FM1132" s="4"/>
      <c r="FN1132" s="4"/>
      <c r="FO1132" s="4"/>
      <c r="FP1132" s="4"/>
      <c r="FQ1132" s="4"/>
      <c r="FR1132" s="4"/>
      <c r="FS1132" s="4"/>
      <c r="FT1132" s="4"/>
      <c r="FU1132" s="4"/>
      <c r="FV1132" s="4"/>
      <c r="FW1132" s="4"/>
      <c r="FX1132" s="4"/>
      <c r="FY1132" s="4"/>
      <c r="FZ1132" s="4"/>
      <c r="GA1132" s="4"/>
      <c r="GB1132" s="4"/>
      <c r="GC1132" s="4"/>
      <c r="GD1132" s="4"/>
      <c r="GE1132" s="4"/>
      <c r="GF1132" s="4"/>
      <c r="GG1132" s="4"/>
      <c r="GH1132" s="4"/>
    </row>
    <row r="1133">
      <c r="A1133" s="2" t="s">
        <v>6466</v>
      </c>
      <c r="B1133" s="2" t="s">
        <v>230</v>
      </c>
      <c r="C1133" s="2" t="s">
        <v>3397</v>
      </c>
      <c r="D1133" s="2" t="s">
        <v>232</v>
      </c>
      <c r="E1133" s="2" t="s">
        <v>233</v>
      </c>
      <c r="F1133" s="2" t="s">
        <v>6467</v>
      </c>
      <c r="G1133" s="2" t="s">
        <v>6467</v>
      </c>
      <c r="H1133" s="2" t="s">
        <v>6467</v>
      </c>
      <c r="I1133" s="2" t="s">
        <v>309</v>
      </c>
      <c r="J1133" s="2" t="s">
        <v>256</v>
      </c>
      <c r="K1133" s="2" t="s">
        <v>660</v>
      </c>
      <c r="L1133" s="3">
        <v>21.62</v>
      </c>
      <c r="M1133" s="3">
        <v>22.7</v>
      </c>
      <c r="N1133" s="3">
        <v>46.99</v>
      </c>
      <c r="O1133" s="2" t="s">
        <v>212</v>
      </c>
      <c r="P1133" s="2" t="s">
        <v>205</v>
      </c>
      <c r="Q1133" s="2" t="s">
        <v>206</v>
      </c>
      <c r="R1133" s="2" t="s">
        <v>200</v>
      </c>
      <c r="S1133" s="2" t="s">
        <v>6468</v>
      </c>
      <c r="T1133" s="2" t="s">
        <v>592</v>
      </c>
      <c r="U1133" s="2" t="s">
        <v>454</v>
      </c>
      <c r="V1133" s="2" t="s">
        <v>208</v>
      </c>
      <c r="W1133" s="2" t="s">
        <v>241</v>
      </c>
      <c r="X1133" s="2" t="s">
        <v>379</v>
      </c>
      <c r="Y1133" s="2" t="s">
        <v>6469</v>
      </c>
      <c r="Z1133" s="4">
        <v>229</v>
      </c>
      <c r="AA1133" s="4">
        <f>=ROUNDDOWN(9.95652173913044,0)</f>
      </c>
      <c r="AB1133" s="5">
        <v>23</v>
      </c>
      <c r="AC1133" s="2" t="s">
        <v>200</v>
      </c>
      <c r="AD1133" s="4"/>
      <c r="AE1133" s="4"/>
      <c r="AF1133" s="6">
        <v>65</v>
      </c>
      <c r="AG1133" s="6"/>
      <c r="AH1133" s="7">
        <v>1</v>
      </c>
      <c r="AI1133" s="4"/>
      <c r="AJ1133" s="4">
        <f>=ROUNDDOWN({0},0)</f>
      </c>
      <c r="AK1133" s="5"/>
      <c r="AL1133" s="2" t="s">
        <v>200</v>
      </c>
      <c r="AM1133" s="4"/>
      <c r="AN1133" s="4"/>
      <c r="AO1133" s="7"/>
      <c r="AP1133" s="4"/>
      <c r="AQ1133" s="8"/>
      <c r="AR1133" s="4"/>
      <c r="AS1133" s="8"/>
      <c r="AT1133" s="7"/>
      <c r="AU1133" s="7"/>
      <c r="AV1133" s="4" t="s">
        <v>200</v>
      </c>
      <c r="AW1133" s="8" t="s">
        <v>200</v>
      </c>
      <c r="AX1133" s="4" t="s">
        <v>200</v>
      </c>
      <c r="AY1133" s="8" t="s">
        <v>200</v>
      </c>
      <c r="AZ1133" s="7" t="s">
        <v>200</v>
      </c>
      <c r="BA1133" s="7" t="s">
        <v>200</v>
      </c>
      <c r="BB1133" s="7"/>
      <c r="BC1133" s="4" t="s">
        <v>200</v>
      </c>
      <c r="BD1133" s="8" t="s">
        <v>200</v>
      </c>
      <c r="BE1133" s="4" t="s">
        <v>200</v>
      </c>
      <c r="BF1133" s="8" t="s">
        <v>200</v>
      </c>
      <c r="BG1133" s="7" t="s">
        <v>200</v>
      </c>
      <c r="BH1133" s="7" t="s">
        <v>200</v>
      </c>
      <c r="BI1133" s="7"/>
      <c r="BJ1133" s="4">
        <v>110</v>
      </c>
      <c r="BK1133" s="8">
        <v>2687.51</v>
      </c>
      <c r="BL1133" s="2" t="s">
        <v>3355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6470</v>
      </c>
      <c r="BV1133" s="2" t="s">
        <v>200</v>
      </c>
      <c r="BW1133" s="2" t="s">
        <v>200</v>
      </c>
      <c r="BX1133" s="2" t="s">
        <v>264</v>
      </c>
      <c r="BY1133" s="2" t="s">
        <v>247</v>
      </c>
      <c r="BZ1133" s="2" t="s">
        <v>212</v>
      </c>
      <c r="CA1133" s="2" t="s">
        <v>372</v>
      </c>
      <c r="CB1133" s="2" t="s">
        <v>200</v>
      </c>
      <c r="CC1133" s="2" t="s">
        <v>213</v>
      </c>
      <c r="CD1133" s="2" t="s">
        <v>200</v>
      </c>
      <c r="CE1133" s="4">
        <v>107</v>
      </c>
      <c r="CF1133" s="4">
        <v>122</v>
      </c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E1133" s="4"/>
      <c r="DF1133" s="4"/>
      <c r="DG1133" s="4"/>
      <c r="DH1133" s="4"/>
      <c r="DI1133" s="4"/>
      <c r="DJ1133" s="4"/>
      <c r="DK1133" s="4"/>
      <c r="DL1133" s="4"/>
      <c r="DM1133" s="4"/>
      <c r="DN1133" s="4"/>
      <c r="DO1133" s="4"/>
      <c r="DP1133" s="4"/>
      <c r="DQ1133" s="4"/>
      <c r="DR1133" s="4"/>
      <c r="DS1133" s="4"/>
      <c r="DT1133" s="4"/>
      <c r="DU1133" s="4"/>
      <c r="DV1133" s="4"/>
      <c r="DW1133" s="4"/>
      <c r="DX1133" s="4"/>
      <c r="DY1133" s="4"/>
      <c r="DZ1133" s="4"/>
      <c r="EA1133" s="4"/>
      <c r="EB1133" s="4"/>
      <c r="EC1133" s="4"/>
      <c r="ED1133" s="4"/>
      <c r="EE1133" s="4"/>
      <c r="EF1133" s="4"/>
      <c r="EG1133" s="4"/>
      <c r="EH1133" s="4"/>
      <c r="EI1133" s="4"/>
      <c r="EJ1133" s="4"/>
      <c r="EK1133" s="4"/>
      <c r="EL1133" s="4"/>
      <c r="EM1133" s="4"/>
      <c r="EN1133" s="4"/>
      <c r="EO1133" s="4"/>
      <c r="EP1133" s="4"/>
      <c r="EQ1133" s="4"/>
      <c r="ER1133" s="4"/>
      <c r="ES1133" s="4"/>
      <c r="ET1133" s="4"/>
      <c r="EU1133" s="4"/>
      <c r="EV1133" s="4"/>
      <c r="EW1133" s="4"/>
      <c r="EX1133" s="4"/>
      <c r="EY1133" s="4"/>
      <c r="EZ1133" s="4"/>
      <c r="FA1133" s="4"/>
      <c r="FB1133" s="4"/>
      <c r="FC1133" s="4"/>
      <c r="FD1133" s="4"/>
      <c r="FE1133" s="4"/>
      <c r="FF1133" s="4"/>
      <c r="FG1133" s="4"/>
      <c r="FH1133" s="4"/>
      <c r="FI1133" s="4"/>
      <c r="FJ1133" s="4"/>
      <c r="FK1133" s="4"/>
      <c r="FL1133" s="4"/>
      <c r="FM1133" s="4"/>
      <c r="FN1133" s="4"/>
      <c r="FO1133" s="4"/>
      <c r="FP1133" s="4"/>
      <c r="FQ1133" s="4"/>
      <c r="FR1133" s="4"/>
      <c r="FS1133" s="4"/>
      <c r="FT1133" s="4"/>
      <c r="FU1133" s="4"/>
      <c r="FV1133" s="4"/>
      <c r="FW1133" s="4"/>
      <c r="FX1133" s="4"/>
      <c r="FY1133" s="4"/>
      <c r="FZ1133" s="4"/>
      <c r="GA1133" s="4"/>
      <c r="GB1133" s="4"/>
      <c r="GC1133" s="4"/>
      <c r="GD1133" s="4"/>
      <c r="GE1133" s="4"/>
      <c r="GF1133" s="4"/>
      <c r="GG1133" s="4"/>
      <c r="GH1133" s="4"/>
    </row>
    <row r="1134">
      <c r="A1134" s="2" t="s">
        <v>6471</v>
      </c>
      <c r="B1134" s="2" t="s">
        <v>230</v>
      </c>
      <c r="C1134" s="2" t="s">
        <v>3397</v>
      </c>
      <c r="D1134" s="2" t="s">
        <v>232</v>
      </c>
      <c r="E1134" s="2" t="s">
        <v>233</v>
      </c>
      <c r="F1134" s="2" t="s">
        <v>6467</v>
      </c>
      <c r="G1134" s="2" t="s">
        <v>6467</v>
      </c>
      <c r="H1134" s="2" t="s">
        <v>6467</v>
      </c>
      <c r="I1134" s="2" t="s">
        <v>309</v>
      </c>
      <c r="J1134" s="2" t="s">
        <v>269</v>
      </c>
      <c r="K1134" s="2" t="s">
        <v>660</v>
      </c>
      <c r="L1134" s="3">
        <v>23.04</v>
      </c>
      <c r="M1134" s="3">
        <v>24.19</v>
      </c>
      <c r="N1134" s="3">
        <v>47.99</v>
      </c>
      <c r="O1134" s="2" t="s">
        <v>212</v>
      </c>
      <c r="P1134" s="2" t="s">
        <v>205</v>
      </c>
      <c r="Q1134" s="2" t="s">
        <v>206</v>
      </c>
      <c r="R1134" s="2" t="s">
        <v>200</v>
      </c>
      <c r="S1134" s="2" t="s">
        <v>6468</v>
      </c>
      <c r="T1134" s="2" t="s">
        <v>592</v>
      </c>
      <c r="U1134" s="2" t="s">
        <v>454</v>
      </c>
      <c r="V1134" s="2" t="s">
        <v>208</v>
      </c>
      <c r="W1134" s="2" t="s">
        <v>241</v>
      </c>
      <c r="X1134" s="2" t="s">
        <v>379</v>
      </c>
      <c r="Y1134" s="2" t="s">
        <v>6469</v>
      </c>
      <c r="Z1134" s="4">
        <v>451</v>
      </c>
      <c r="AA1134" s="4">
        <f>=ROUNDDOWN(136.666666666667,0)</f>
      </c>
      <c r="AB1134" s="5">
        <v>3.3</v>
      </c>
      <c r="AC1134" s="2" t="s">
        <v>200</v>
      </c>
      <c r="AD1134" s="4"/>
      <c r="AE1134" s="4"/>
      <c r="AF1134" s="6">
        <v>65</v>
      </c>
      <c r="AG1134" s="6"/>
      <c r="AH1134" s="7">
        <v>1</v>
      </c>
      <c r="AI1134" s="4"/>
      <c r="AJ1134" s="4">
        <f>=ROUNDDOWN({0},0)</f>
      </c>
      <c r="AK1134" s="5"/>
      <c r="AL1134" s="2" t="s">
        <v>200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 t="s">
        <v>200</v>
      </c>
      <c r="AW1134" s="8" t="s">
        <v>200</v>
      </c>
      <c r="AX1134" s="4" t="s">
        <v>200</v>
      </c>
      <c r="AY1134" s="8" t="s">
        <v>200</v>
      </c>
      <c r="AZ1134" s="7" t="s">
        <v>200</v>
      </c>
      <c r="BA1134" s="7" t="s">
        <v>200</v>
      </c>
      <c r="BB1134" s="7"/>
      <c r="BC1134" s="4" t="s">
        <v>200</v>
      </c>
      <c r="BD1134" s="8" t="s">
        <v>200</v>
      </c>
      <c r="BE1134" s="4" t="s">
        <v>200</v>
      </c>
      <c r="BF1134" s="8" t="s">
        <v>200</v>
      </c>
      <c r="BG1134" s="7" t="s">
        <v>200</v>
      </c>
      <c r="BH1134" s="7" t="s">
        <v>200</v>
      </c>
      <c r="BI1134" s="7"/>
      <c r="BJ1134" s="4">
        <v>84</v>
      </c>
      <c r="BK1134" s="8">
        <v>2166.76</v>
      </c>
      <c r="BL1134" s="2" t="s">
        <v>3358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6472</v>
      </c>
      <c r="BV1134" s="2" t="s">
        <v>200</v>
      </c>
      <c r="BW1134" s="2" t="s">
        <v>200</v>
      </c>
      <c r="BX1134" s="2" t="s">
        <v>264</v>
      </c>
      <c r="BY1134" s="2" t="s">
        <v>247</v>
      </c>
      <c r="BZ1134" s="2" t="s">
        <v>212</v>
      </c>
      <c r="CA1134" s="2" t="s">
        <v>372</v>
      </c>
      <c r="CB1134" s="2" t="s">
        <v>200</v>
      </c>
      <c r="CC1134" s="2" t="s">
        <v>213</v>
      </c>
      <c r="CD1134" s="2" t="s">
        <v>200</v>
      </c>
      <c r="CE1134" s="4">
        <v>275</v>
      </c>
      <c r="CF1134" s="4">
        <v>176</v>
      </c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/>
      <c r="DL1134" s="4"/>
      <c r="DM1134" s="4"/>
      <c r="DN1134" s="4"/>
      <c r="DO1134" s="4"/>
      <c r="DP1134" s="4"/>
      <c r="DQ1134" s="4"/>
      <c r="DR1134" s="4"/>
      <c r="DS1134" s="4"/>
      <c r="DT1134" s="4"/>
      <c r="DU1134" s="4"/>
      <c r="DV1134" s="4"/>
      <c r="DW1134" s="4"/>
      <c r="DX1134" s="4"/>
      <c r="DY1134" s="4"/>
      <c r="DZ1134" s="4"/>
      <c r="EA1134" s="4"/>
      <c r="EB1134" s="4"/>
      <c r="EC1134" s="4"/>
      <c r="ED1134" s="4"/>
      <c r="EE1134" s="4"/>
      <c r="EF1134" s="4"/>
      <c r="EG1134" s="4"/>
      <c r="EH1134" s="4"/>
      <c r="EI1134" s="4"/>
      <c r="EJ1134" s="4"/>
      <c r="EK1134" s="4"/>
      <c r="EL1134" s="4"/>
      <c r="EM1134" s="4"/>
      <c r="EN1134" s="4"/>
      <c r="EO1134" s="4"/>
      <c r="EP1134" s="4"/>
      <c r="EQ1134" s="4"/>
      <c r="ER1134" s="4"/>
      <c r="ES1134" s="4"/>
      <c r="ET1134" s="4"/>
      <c r="EU1134" s="4"/>
      <c r="EV1134" s="4"/>
      <c r="EW1134" s="4"/>
      <c r="EX1134" s="4"/>
      <c r="EY1134" s="4"/>
      <c r="EZ1134" s="4"/>
      <c r="FA1134" s="4"/>
      <c r="FB1134" s="4"/>
      <c r="FC1134" s="4"/>
      <c r="FD1134" s="4"/>
      <c r="FE1134" s="4"/>
      <c r="FF1134" s="4"/>
      <c r="FG1134" s="4"/>
      <c r="FH1134" s="4"/>
      <c r="FI1134" s="4"/>
      <c r="FJ1134" s="4"/>
      <c r="FK1134" s="4"/>
      <c r="FL1134" s="4"/>
      <c r="FM1134" s="4"/>
      <c r="FN1134" s="4"/>
      <c r="FO1134" s="4"/>
      <c r="FP1134" s="4"/>
      <c r="FQ1134" s="4"/>
      <c r="FR1134" s="4"/>
      <c r="FS1134" s="4"/>
      <c r="FT1134" s="4"/>
      <c r="FU1134" s="4"/>
      <c r="FV1134" s="4"/>
      <c r="FW1134" s="4"/>
      <c r="FX1134" s="4"/>
      <c r="FY1134" s="4"/>
      <c r="FZ1134" s="4"/>
      <c r="GA1134" s="4"/>
      <c r="GB1134" s="4"/>
      <c r="GC1134" s="4"/>
      <c r="GD1134" s="4"/>
      <c r="GE1134" s="4"/>
      <c r="GF1134" s="4"/>
      <c r="GG1134" s="4"/>
      <c r="GH1134" s="4"/>
    </row>
    <row r="1135">
      <c r="A1135" s="2" t="s">
        <v>6473</v>
      </c>
      <c r="B1135" s="2" t="s">
        <v>230</v>
      </c>
      <c r="C1135" s="2" t="s">
        <v>3397</v>
      </c>
      <c r="D1135" s="2" t="s">
        <v>232</v>
      </c>
      <c r="E1135" s="2" t="s">
        <v>233</v>
      </c>
      <c r="F1135" s="2" t="s">
        <v>6467</v>
      </c>
      <c r="G1135" s="2" t="s">
        <v>6467</v>
      </c>
      <c r="H1135" s="2" t="s">
        <v>6467</v>
      </c>
      <c r="I1135" s="2" t="s">
        <v>309</v>
      </c>
      <c r="J1135" s="2" t="s">
        <v>277</v>
      </c>
      <c r="K1135" s="2" t="s">
        <v>660</v>
      </c>
      <c r="L1135" s="3">
        <v>25.3</v>
      </c>
      <c r="M1135" s="3">
        <v>26.57</v>
      </c>
      <c r="N1135" s="3">
        <v>54.99</v>
      </c>
      <c r="O1135" s="2" t="s">
        <v>212</v>
      </c>
      <c r="P1135" s="2" t="s">
        <v>205</v>
      </c>
      <c r="Q1135" s="2" t="s">
        <v>206</v>
      </c>
      <c r="R1135" s="2" t="s">
        <v>200</v>
      </c>
      <c r="S1135" s="2" t="s">
        <v>6468</v>
      </c>
      <c r="T1135" s="2" t="s">
        <v>592</v>
      </c>
      <c r="U1135" s="2" t="s">
        <v>240</v>
      </c>
      <c r="V1135" s="2" t="s">
        <v>208</v>
      </c>
      <c r="W1135" s="2" t="s">
        <v>241</v>
      </c>
      <c r="X1135" s="2" t="s">
        <v>379</v>
      </c>
      <c r="Y1135" s="2" t="s">
        <v>6469</v>
      </c>
      <c r="Z1135" s="4">
        <v>539</v>
      </c>
      <c r="AA1135" s="4">
        <f>=ROUNDDOWN(33.6875,0)</f>
      </c>
      <c r="AB1135" s="5">
        <v>16</v>
      </c>
      <c r="AC1135" s="2" t="s">
        <v>200</v>
      </c>
      <c r="AD1135" s="4"/>
      <c r="AE1135" s="4"/>
      <c r="AF1135" s="6">
        <v>65</v>
      </c>
      <c r="AG1135" s="6"/>
      <c r="AH1135" s="7">
        <v>1</v>
      </c>
      <c r="AI1135" s="4"/>
      <c r="AJ1135" s="4">
        <f>=ROUNDDOWN({0},0)</f>
      </c>
      <c r="AK1135" s="5"/>
      <c r="AL1135" s="2" t="s">
        <v>200</v>
      </c>
      <c r="AM1135" s="4"/>
      <c r="AN1135" s="4"/>
      <c r="AO1135" s="7"/>
      <c r="AP1135" s="4"/>
      <c r="AQ1135" s="8"/>
      <c r="AR1135" s="4"/>
      <c r="AS1135" s="8"/>
      <c r="AT1135" s="7"/>
      <c r="AU1135" s="7"/>
      <c r="AV1135" s="4" t="s">
        <v>200</v>
      </c>
      <c r="AW1135" s="8" t="s">
        <v>200</v>
      </c>
      <c r="AX1135" s="4" t="s">
        <v>200</v>
      </c>
      <c r="AY1135" s="8" t="s">
        <v>200</v>
      </c>
      <c r="AZ1135" s="7" t="s">
        <v>200</v>
      </c>
      <c r="BA1135" s="7" t="s">
        <v>200</v>
      </c>
      <c r="BB1135" s="7"/>
      <c r="BC1135" s="4" t="s">
        <v>200</v>
      </c>
      <c r="BD1135" s="8" t="s">
        <v>200</v>
      </c>
      <c r="BE1135" s="4" t="s">
        <v>200</v>
      </c>
      <c r="BF1135" s="8" t="s">
        <v>200</v>
      </c>
      <c r="BG1135" s="7" t="s">
        <v>200</v>
      </c>
      <c r="BH1135" s="7" t="s">
        <v>200</v>
      </c>
      <c r="BI1135" s="7"/>
      <c r="BJ1135" s="4">
        <v>99</v>
      </c>
      <c r="BK1135" s="8">
        <v>2835.12</v>
      </c>
      <c r="BL1135" s="2" t="s">
        <v>2353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6474</v>
      </c>
      <c r="BV1135" s="2" t="s">
        <v>200</v>
      </c>
      <c r="BW1135" s="2" t="s">
        <v>200</v>
      </c>
      <c r="BX1135" s="2" t="s">
        <v>264</v>
      </c>
      <c r="BY1135" s="2" t="s">
        <v>247</v>
      </c>
      <c r="BZ1135" s="2" t="s">
        <v>212</v>
      </c>
      <c r="CA1135" s="2" t="s">
        <v>372</v>
      </c>
      <c r="CB1135" s="2" t="s">
        <v>200</v>
      </c>
      <c r="CC1135" s="2" t="s">
        <v>213</v>
      </c>
      <c r="CD1135" s="2" t="s">
        <v>200</v>
      </c>
      <c r="CE1135" s="4">
        <v>324</v>
      </c>
      <c r="CF1135" s="4">
        <v>215</v>
      </c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  <c r="DZ1135" s="4"/>
      <c r="EA1135" s="4"/>
      <c r="EB1135" s="4"/>
      <c r="EC1135" s="4"/>
      <c r="ED1135" s="4"/>
      <c r="EE1135" s="4"/>
      <c r="EF1135" s="4"/>
      <c r="EG1135" s="4"/>
      <c r="EH1135" s="4"/>
      <c r="EI1135" s="4"/>
      <c r="EJ1135" s="4"/>
      <c r="EK1135" s="4"/>
      <c r="EL1135" s="4"/>
      <c r="EM1135" s="4"/>
      <c r="EN1135" s="4"/>
      <c r="EO1135" s="4"/>
      <c r="EP1135" s="4"/>
      <c r="EQ1135" s="4"/>
      <c r="ER1135" s="4"/>
      <c r="ES1135" s="4"/>
      <c r="ET1135" s="4"/>
      <c r="EU1135" s="4"/>
      <c r="EV1135" s="4"/>
      <c r="EW1135" s="4"/>
      <c r="EX1135" s="4"/>
      <c r="EY1135" s="4"/>
      <c r="EZ1135" s="4"/>
      <c r="FA1135" s="4"/>
      <c r="FB1135" s="4"/>
      <c r="FC1135" s="4"/>
      <c r="FD1135" s="4"/>
      <c r="FE1135" s="4"/>
      <c r="FF1135" s="4"/>
      <c r="FG1135" s="4"/>
      <c r="FH1135" s="4"/>
      <c r="FI1135" s="4"/>
      <c r="FJ1135" s="4"/>
      <c r="FK1135" s="4"/>
      <c r="FL1135" s="4"/>
      <c r="FM1135" s="4"/>
      <c r="FN1135" s="4"/>
      <c r="FO1135" s="4"/>
      <c r="FP1135" s="4"/>
      <c r="FQ1135" s="4"/>
      <c r="FR1135" s="4"/>
      <c r="FS1135" s="4"/>
      <c r="FT1135" s="4"/>
      <c r="FU1135" s="4"/>
      <c r="FV1135" s="4"/>
      <c r="FW1135" s="4"/>
      <c r="FX1135" s="4"/>
      <c r="FY1135" s="4"/>
      <c r="FZ1135" s="4"/>
      <c r="GA1135" s="4"/>
      <c r="GB1135" s="4"/>
      <c r="GC1135" s="4"/>
      <c r="GD1135" s="4"/>
      <c r="GE1135" s="4"/>
      <c r="GF1135" s="4"/>
      <c r="GG1135" s="4"/>
      <c r="GH1135" s="4"/>
    </row>
    <row r="1136">
      <c r="A1136" s="2" t="s">
        <v>6475</v>
      </c>
      <c r="B1136" s="2" t="s">
        <v>230</v>
      </c>
      <c r="C1136" s="2" t="s">
        <v>3397</v>
      </c>
      <c r="D1136" s="2" t="s">
        <v>232</v>
      </c>
      <c r="E1136" s="2" t="s">
        <v>233</v>
      </c>
      <c r="F1136" s="2" t="s">
        <v>6467</v>
      </c>
      <c r="G1136" s="2" t="s">
        <v>6467</v>
      </c>
      <c r="H1136" s="2" t="s">
        <v>6467</v>
      </c>
      <c r="I1136" s="2" t="s">
        <v>309</v>
      </c>
      <c r="J1136" s="2" t="s">
        <v>256</v>
      </c>
      <c r="K1136" s="2" t="s">
        <v>237</v>
      </c>
      <c r="L1136" s="3">
        <v>21.62</v>
      </c>
      <c r="M1136" s="3">
        <v>22.7</v>
      </c>
      <c r="N1136" s="3">
        <v>46.99</v>
      </c>
      <c r="O1136" s="2" t="s">
        <v>212</v>
      </c>
      <c r="P1136" s="2" t="s">
        <v>258</v>
      </c>
      <c r="Q1136" s="2" t="s">
        <v>206</v>
      </c>
      <c r="R1136" s="2" t="s">
        <v>200</v>
      </c>
      <c r="S1136" s="2" t="s">
        <v>6476</v>
      </c>
      <c r="T1136" s="2" t="s">
        <v>592</v>
      </c>
      <c r="U1136" s="2" t="s">
        <v>454</v>
      </c>
      <c r="V1136" s="2" t="s">
        <v>208</v>
      </c>
      <c r="W1136" s="2" t="s">
        <v>241</v>
      </c>
      <c r="X1136" s="2" t="s">
        <v>379</v>
      </c>
      <c r="Y1136" s="2" t="s">
        <v>6477</v>
      </c>
      <c r="Z1136" s="4">
        <v>140</v>
      </c>
      <c r="AA1136" s="4">
        <f>=ROUNDDOWN(23.3333333333333,0)</f>
      </c>
      <c r="AB1136" s="5">
        <v>6</v>
      </c>
      <c r="AC1136" s="2" t="s">
        <v>200</v>
      </c>
      <c r="AD1136" s="4"/>
      <c r="AE1136" s="4"/>
      <c r="AF1136" s="6">
        <v>65</v>
      </c>
      <c r="AG1136" s="6"/>
      <c r="AH1136" s="7">
        <v>1</v>
      </c>
      <c r="AI1136" s="4"/>
      <c r="AJ1136" s="4">
        <f>=ROUNDDOWN({0},0)</f>
      </c>
      <c r="AK1136" s="5"/>
      <c r="AL1136" s="2" t="s">
        <v>200</v>
      </c>
      <c r="AM1136" s="4"/>
      <c r="AN1136" s="4"/>
      <c r="AO1136" s="7"/>
      <c r="AP1136" s="4"/>
      <c r="AQ1136" s="8"/>
      <c r="AR1136" s="4"/>
      <c r="AS1136" s="8"/>
      <c r="AT1136" s="7"/>
      <c r="AU1136" s="7"/>
      <c r="AV1136" s="4" t="s">
        <v>200</v>
      </c>
      <c r="AW1136" s="8" t="s">
        <v>200</v>
      </c>
      <c r="AX1136" s="4" t="s">
        <v>200</v>
      </c>
      <c r="AY1136" s="8" t="s">
        <v>200</v>
      </c>
      <c r="AZ1136" s="7" t="s">
        <v>200</v>
      </c>
      <c r="BA1136" s="7" t="s">
        <v>200</v>
      </c>
      <c r="BB1136" s="7"/>
      <c r="BC1136" s="4" t="s">
        <v>200</v>
      </c>
      <c r="BD1136" s="8" t="s">
        <v>200</v>
      </c>
      <c r="BE1136" s="4" t="s">
        <v>200</v>
      </c>
      <c r="BF1136" s="8" t="s">
        <v>200</v>
      </c>
      <c r="BG1136" s="7" t="s">
        <v>200</v>
      </c>
      <c r="BH1136" s="7" t="s">
        <v>200</v>
      </c>
      <c r="BI1136" s="7"/>
      <c r="BJ1136" s="4">
        <v>49</v>
      </c>
      <c r="BK1136" s="8">
        <v>1167.26</v>
      </c>
      <c r="BL1136" s="2" t="s">
        <v>3596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6478</v>
      </c>
      <c r="BV1136" s="2" t="s">
        <v>200</v>
      </c>
      <c r="BW1136" s="2" t="s">
        <v>200</v>
      </c>
      <c r="BX1136" s="2" t="s">
        <v>264</v>
      </c>
      <c r="BY1136" s="2" t="s">
        <v>247</v>
      </c>
      <c r="BZ1136" s="2" t="s">
        <v>212</v>
      </c>
      <c r="CA1136" s="2" t="s">
        <v>6346</v>
      </c>
      <c r="CB1136" s="2" t="s">
        <v>3383</v>
      </c>
      <c r="CC1136" s="2" t="s">
        <v>213</v>
      </c>
      <c r="CD1136" s="2" t="s">
        <v>200</v>
      </c>
      <c r="CE1136" s="4">
        <v>65</v>
      </c>
      <c r="CF1136" s="4">
        <v>75</v>
      </c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  <c r="DE1136" s="4"/>
      <c r="DF1136" s="4"/>
      <c r="DG1136" s="4"/>
      <c r="DH1136" s="4"/>
      <c r="DI1136" s="4"/>
      <c r="DJ1136" s="4"/>
      <c r="DK1136" s="4"/>
      <c r="DL1136" s="4"/>
      <c r="DM1136" s="4"/>
      <c r="DN1136" s="4"/>
      <c r="DO1136" s="4"/>
      <c r="DP1136" s="4"/>
      <c r="DQ1136" s="4"/>
      <c r="DR1136" s="4"/>
      <c r="DS1136" s="4"/>
      <c r="DT1136" s="4"/>
      <c r="DU1136" s="4"/>
      <c r="DV1136" s="4"/>
      <c r="DW1136" s="4"/>
      <c r="DX1136" s="4"/>
      <c r="DY1136" s="4"/>
      <c r="DZ1136" s="4"/>
      <c r="EA1136" s="4"/>
      <c r="EB1136" s="4"/>
      <c r="EC1136" s="4"/>
      <c r="ED1136" s="4"/>
      <c r="EE1136" s="4"/>
      <c r="EF1136" s="4"/>
      <c r="EG1136" s="4"/>
      <c r="EH1136" s="4"/>
      <c r="EI1136" s="4"/>
      <c r="EJ1136" s="4"/>
      <c r="EK1136" s="4"/>
      <c r="EL1136" s="4"/>
      <c r="EM1136" s="4"/>
      <c r="EN1136" s="4"/>
      <c r="EO1136" s="4"/>
      <c r="EP1136" s="4"/>
      <c r="EQ1136" s="4"/>
      <c r="ER1136" s="4"/>
      <c r="ES1136" s="4"/>
      <c r="ET1136" s="4"/>
      <c r="EU1136" s="4"/>
      <c r="EV1136" s="4"/>
      <c r="EW1136" s="4"/>
      <c r="EX1136" s="4"/>
      <c r="EY1136" s="4"/>
      <c r="EZ1136" s="4"/>
      <c r="FA1136" s="4"/>
      <c r="FB1136" s="4"/>
      <c r="FC1136" s="4"/>
      <c r="FD1136" s="4"/>
      <c r="FE1136" s="4"/>
      <c r="FF1136" s="4"/>
      <c r="FG1136" s="4"/>
      <c r="FH1136" s="4"/>
      <c r="FI1136" s="4"/>
      <c r="FJ1136" s="4"/>
      <c r="FK1136" s="4"/>
      <c r="FL1136" s="4"/>
      <c r="FM1136" s="4"/>
      <c r="FN1136" s="4"/>
      <c r="FO1136" s="4"/>
      <c r="FP1136" s="4"/>
      <c r="FQ1136" s="4"/>
      <c r="FR1136" s="4"/>
      <c r="FS1136" s="4"/>
      <c r="FT1136" s="4"/>
      <c r="FU1136" s="4"/>
      <c r="FV1136" s="4"/>
      <c r="FW1136" s="4"/>
      <c r="FX1136" s="4"/>
      <c r="FY1136" s="4"/>
      <c r="FZ1136" s="4"/>
      <c r="GA1136" s="4"/>
      <c r="GB1136" s="4"/>
      <c r="GC1136" s="4"/>
      <c r="GD1136" s="4"/>
      <c r="GE1136" s="4"/>
      <c r="GF1136" s="4"/>
      <c r="GG1136" s="4"/>
      <c r="GH1136" s="4"/>
    </row>
    <row r="1137">
      <c r="A1137" s="2" t="s">
        <v>6479</v>
      </c>
      <c r="B1137" s="2" t="s">
        <v>230</v>
      </c>
      <c r="C1137" s="2" t="s">
        <v>3397</v>
      </c>
      <c r="D1137" s="2" t="s">
        <v>232</v>
      </c>
      <c r="E1137" s="2" t="s">
        <v>233</v>
      </c>
      <c r="F1137" s="2" t="s">
        <v>6467</v>
      </c>
      <c r="G1137" s="2" t="s">
        <v>6467</v>
      </c>
      <c r="H1137" s="2" t="s">
        <v>6467</v>
      </c>
      <c r="I1137" s="2" t="s">
        <v>309</v>
      </c>
      <c r="J1137" s="2" t="s">
        <v>269</v>
      </c>
      <c r="K1137" s="2" t="s">
        <v>237</v>
      </c>
      <c r="L1137" s="3">
        <v>23.04</v>
      </c>
      <c r="M1137" s="3">
        <v>24.19</v>
      </c>
      <c r="N1137" s="3">
        <v>47.99</v>
      </c>
      <c r="O1137" s="2" t="s">
        <v>212</v>
      </c>
      <c r="P1137" s="2" t="s">
        <v>258</v>
      </c>
      <c r="Q1137" s="2" t="s">
        <v>206</v>
      </c>
      <c r="R1137" s="2" t="s">
        <v>200</v>
      </c>
      <c r="S1137" s="2" t="s">
        <v>6476</v>
      </c>
      <c r="T1137" s="2" t="s">
        <v>592</v>
      </c>
      <c r="U1137" s="2" t="s">
        <v>454</v>
      </c>
      <c r="V1137" s="2" t="s">
        <v>208</v>
      </c>
      <c r="W1137" s="2" t="s">
        <v>241</v>
      </c>
      <c r="X1137" s="2" t="s">
        <v>379</v>
      </c>
      <c r="Y1137" s="2" t="s">
        <v>6477</v>
      </c>
      <c r="Z1137" s="4">
        <v>65</v>
      </c>
      <c r="AA1137" s="4">
        <f>=ROUNDDOWN(16.25,0)</f>
      </c>
      <c r="AB1137" s="5">
        <v>4</v>
      </c>
      <c r="AC1137" s="2" t="s">
        <v>200</v>
      </c>
      <c r="AD1137" s="4"/>
      <c r="AE1137" s="4"/>
      <c r="AF1137" s="6">
        <v>65</v>
      </c>
      <c r="AG1137" s="6"/>
      <c r="AH1137" s="7">
        <v>1</v>
      </c>
      <c r="AI1137" s="4"/>
      <c r="AJ1137" s="4">
        <f>=ROUNDDOWN({0},0)</f>
      </c>
      <c r="AK1137" s="5"/>
      <c r="AL1137" s="2" t="s">
        <v>200</v>
      </c>
      <c r="AM1137" s="4"/>
      <c r="AN1137" s="4"/>
      <c r="AO1137" s="7"/>
      <c r="AP1137" s="4"/>
      <c r="AQ1137" s="8"/>
      <c r="AR1137" s="4"/>
      <c r="AS1137" s="8"/>
      <c r="AT1137" s="7"/>
      <c r="AU1137" s="7"/>
      <c r="AV1137" s="4" t="s">
        <v>200</v>
      </c>
      <c r="AW1137" s="8" t="s">
        <v>200</v>
      </c>
      <c r="AX1137" s="4" t="s">
        <v>200</v>
      </c>
      <c r="AY1137" s="8" t="s">
        <v>200</v>
      </c>
      <c r="AZ1137" s="7" t="s">
        <v>200</v>
      </c>
      <c r="BA1137" s="7" t="s">
        <v>200</v>
      </c>
      <c r="BB1137" s="7"/>
      <c r="BC1137" s="4" t="s">
        <v>200</v>
      </c>
      <c r="BD1137" s="8" t="s">
        <v>200</v>
      </c>
      <c r="BE1137" s="4" t="s">
        <v>200</v>
      </c>
      <c r="BF1137" s="8" t="s">
        <v>200</v>
      </c>
      <c r="BG1137" s="7" t="s">
        <v>200</v>
      </c>
      <c r="BH1137" s="7" t="s">
        <v>200</v>
      </c>
      <c r="BI1137" s="7"/>
      <c r="BJ1137" s="4">
        <v>38</v>
      </c>
      <c r="BK1137" s="8">
        <v>964.24</v>
      </c>
      <c r="BL1137" s="2" t="s">
        <v>6480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6481</v>
      </c>
      <c r="BV1137" s="2" t="s">
        <v>200</v>
      </c>
      <c r="BW1137" s="2" t="s">
        <v>200</v>
      </c>
      <c r="BX1137" s="2" t="s">
        <v>264</v>
      </c>
      <c r="BY1137" s="2" t="s">
        <v>247</v>
      </c>
      <c r="BZ1137" s="2" t="s">
        <v>212</v>
      </c>
      <c r="CA1137" s="2" t="s">
        <v>6346</v>
      </c>
      <c r="CB1137" s="2" t="s">
        <v>4670</v>
      </c>
      <c r="CC1137" s="2" t="s">
        <v>213</v>
      </c>
      <c r="CD1137" s="2" t="s">
        <v>200</v>
      </c>
      <c r="CE1137" s="4">
        <v>18</v>
      </c>
      <c r="CF1137" s="4">
        <v>47</v>
      </c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/>
      <c r="EE1137" s="4"/>
      <c r="EF1137" s="4"/>
      <c r="EG1137" s="4"/>
      <c r="EH1137" s="4"/>
      <c r="EI1137" s="4"/>
      <c r="EJ1137" s="4"/>
      <c r="EK1137" s="4"/>
      <c r="EL1137" s="4"/>
      <c r="EM1137" s="4"/>
      <c r="EN1137" s="4"/>
      <c r="EO1137" s="4"/>
      <c r="EP1137" s="4"/>
      <c r="EQ1137" s="4"/>
      <c r="ER1137" s="4"/>
      <c r="ES1137" s="4"/>
      <c r="ET1137" s="4"/>
      <c r="EU1137" s="4"/>
      <c r="EV1137" s="4"/>
      <c r="EW1137" s="4"/>
      <c r="EX1137" s="4"/>
      <c r="EY1137" s="4"/>
      <c r="EZ1137" s="4"/>
      <c r="FA1137" s="4"/>
      <c r="FB1137" s="4"/>
      <c r="FC1137" s="4"/>
      <c r="FD1137" s="4"/>
      <c r="FE1137" s="4"/>
      <c r="FF1137" s="4"/>
      <c r="FG1137" s="4"/>
      <c r="FH1137" s="4"/>
      <c r="FI1137" s="4"/>
      <c r="FJ1137" s="4"/>
      <c r="FK1137" s="4"/>
      <c r="FL1137" s="4"/>
      <c r="FM1137" s="4"/>
      <c r="FN1137" s="4"/>
      <c r="FO1137" s="4"/>
      <c r="FP1137" s="4"/>
      <c r="FQ1137" s="4"/>
      <c r="FR1137" s="4"/>
      <c r="FS1137" s="4"/>
      <c r="FT1137" s="4"/>
      <c r="FU1137" s="4"/>
      <c r="FV1137" s="4"/>
      <c r="FW1137" s="4"/>
      <c r="FX1137" s="4"/>
      <c r="FY1137" s="4"/>
      <c r="FZ1137" s="4"/>
      <c r="GA1137" s="4"/>
      <c r="GB1137" s="4"/>
      <c r="GC1137" s="4"/>
      <c r="GD1137" s="4"/>
      <c r="GE1137" s="4"/>
      <c r="GF1137" s="4"/>
      <c r="GG1137" s="4"/>
      <c r="GH1137" s="4"/>
    </row>
    <row r="1138">
      <c r="A1138" s="2" t="s">
        <v>6482</v>
      </c>
      <c r="B1138" s="2" t="s">
        <v>230</v>
      </c>
      <c r="C1138" s="2" t="s">
        <v>3397</v>
      </c>
      <c r="D1138" s="2" t="s">
        <v>232</v>
      </c>
      <c r="E1138" s="2" t="s">
        <v>233</v>
      </c>
      <c r="F1138" s="2" t="s">
        <v>6467</v>
      </c>
      <c r="G1138" s="2" t="s">
        <v>6467</v>
      </c>
      <c r="H1138" s="2" t="s">
        <v>6467</v>
      </c>
      <c r="I1138" s="2" t="s">
        <v>309</v>
      </c>
      <c r="J1138" s="2" t="s">
        <v>277</v>
      </c>
      <c r="K1138" s="2" t="s">
        <v>237</v>
      </c>
      <c r="L1138" s="3">
        <v>25.3</v>
      </c>
      <c r="M1138" s="3">
        <v>26.56</v>
      </c>
      <c r="N1138" s="3">
        <v>54.99</v>
      </c>
      <c r="O1138" s="2" t="s">
        <v>212</v>
      </c>
      <c r="P1138" s="2" t="s">
        <v>258</v>
      </c>
      <c r="Q1138" s="2" t="s">
        <v>206</v>
      </c>
      <c r="R1138" s="2" t="s">
        <v>200</v>
      </c>
      <c r="S1138" s="2" t="s">
        <v>6476</v>
      </c>
      <c r="T1138" s="2" t="s">
        <v>592</v>
      </c>
      <c r="U1138" s="2" t="s">
        <v>240</v>
      </c>
      <c r="V1138" s="2" t="s">
        <v>208</v>
      </c>
      <c r="W1138" s="2" t="s">
        <v>241</v>
      </c>
      <c r="X1138" s="2" t="s">
        <v>379</v>
      </c>
      <c r="Y1138" s="2" t="s">
        <v>6477</v>
      </c>
      <c r="Z1138" s="4">
        <v>172</v>
      </c>
      <c r="AA1138" s="4">
        <f>=ROUNDDOWN(28.6666666666667,0)</f>
      </c>
      <c r="AB1138" s="5">
        <v>6</v>
      </c>
      <c r="AC1138" s="2" t="s">
        <v>200</v>
      </c>
      <c r="AD1138" s="4"/>
      <c r="AE1138" s="4"/>
      <c r="AF1138" s="6">
        <v>65</v>
      </c>
      <c r="AG1138" s="6"/>
      <c r="AH1138" s="7">
        <v>1</v>
      </c>
      <c r="AI1138" s="4"/>
      <c r="AJ1138" s="4">
        <f>=ROUNDDOWN({0},0)</f>
      </c>
      <c r="AK1138" s="5"/>
      <c r="AL1138" s="2" t="s">
        <v>200</v>
      </c>
      <c r="AM1138" s="4"/>
      <c r="AN1138" s="4"/>
      <c r="AO1138" s="7"/>
      <c r="AP1138" s="4"/>
      <c r="AQ1138" s="8"/>
      <c r="AR1138" s="4"/>
      <c r="AS1138" s="8"/>
      <c r="AT1138" s="7"/>
      <c r="AU1138" s="7"/>
      <c r="AV1138" s="4" t="s">
        <v>200</v>
      </c>
      <c r="AW1138" s="8" t="s">
        <v>200</v>
      </c>
      <c r="AX1138" s="4" t="s">
        <v>200</v>
      </c>
      <c r="AY1138" s="8" t="s">
        <v>200</v>
      </c>
      <c r="AZ1138" s="7" t="s">
        <v>200</v>
      </c>
      <c r="BA1138" s="7" t="s">
        <v>200</v>
      </c>
      <c r="BB1138" s="7"/>
      <c r="BC1138" s="4" t="s">
        <v>200</v>
      </c>
      <c r="BD1138" s="8" t="s">
        <v>200</v>
      </c>
      <c r="BE1138" s="4" t="s">
        <v>200</v>
      </c>
      <c r="BF1138" s="8" t="s">
        <v>200</v>
      </c>
      <c r="BG1138" s="7" t="s">
        <v>200</v>
      </c>
      <c r="BH1138" s="7" t="s">
        <v>200</v>
      </c>
      <c r="BI1138" s="7"/>
      <c r="BJ1138" s="4">
        <v>67</v>
      </c>
      <c r="BK1138" s="8">
        <v>1864.41</v>
      </c>
      <c r="BL1138" s="2" t="s">
        <v>6483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6484</v>
      </c>
      <c r="BV1138" s="2" t="s">
        <v>200</v>
      </c>
      <c r="BW1138" s="2" t="s">
        <v>200</v>
      </c>
      <c r="BX1138" s="2" t="s">
        <v>264</v>
      </c>
      <c r="BY1138" s="2" t="s">
        <v>247</v>
      </c>
      <c r="BZ1138" s="2" t="s">
        <v>212</v>
      </c>
      <c r="CA1138" s="2" t="s">
        <v>6346</v>
      </c>
      <c r="CB1138" s="2" t="s">
        <v>3106</v>
      </c>
      <c r="CC1138" s="2" t="s">
        <v>213</v>
      </c>
      <c r="CD1138" s="2" t="s">
        <v>200</v>
      </c>
      <c r="CE1138" s="4">
        <v>76</v>
      </c>
      <c r="CF1138" s="4">
        <v>96</v>
      </c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  <c r="DE1138" s="4"/>
      <c r="DF1138" s="4"/>
      <c r="DG1138" s="4"/>
      <c r="DH1138" s="4"/>
      <c r="DI1138" s="4"/>
      <c r="DJ1138" s="4"/>
      <c r="DK1138" s="4"/>
      <c r="DL1138" s="4"/>
      <c r="DM1138" s="4"/>
      <c r="DN1138" s="4"/>
      <c r="DO1138" s="4"/>
      <c r="DP1138" s="4"/>
      <c r="DQ1138" s="4"/>
      <c r="DR1138" s="4"/>
      <c r="DS1138" s="4"/>
      <c r="DT1138" s="4"/>
      <c r="DU1138" s="4"/>
      <c r="DV1138" s="4"/>
      <c r="DW1138" s="4"/>
      <c r="DX1138" s="4"/>
      <c r="DY1138" s="4"/>
      <c r="DZ1138" s="4"/>
      <c r="EA1138" s="4"/>
      <c r="EB1138" s="4"/>
      <c r="EC1138" s="4"/>
      <c r="ED1138" s="4"/>
      <c r="EE1138" s="4"/>
      <c r="EF1138" s="4"/>
      <c r="EG1138" s="4"/>
      <c r="EH1138" s="4"/>
      <c r="EI1138" s="4"/>
      <c r="EJ1138" s="4"/>
      <c r="EK1138" s="4"/>
      <c r="EL1138" s="4"/>
      <c r="EM1138" s="4"/>
      <c r="EN1138" s="4"/>
      <c r="EO1138" s="4"/>
      <c r="EP1138" s="4"/>
      <c r="EQ1138" s="4"/>
      <c r="ER1138" s="4"/>
      <c r="ES1138" s="4"/>
      <c r="ET1138" s="4"/>
      <c r="EU1138" s="4"/>
      <c r="EV1138" s="4"/>
      <c r="EW1138" s="4"/>
      <c r="EX1138" s="4"/>
      <c r="EY1138" s="4"/>
      <c r="EZ1138" s="4"/>
      <c r="FA1138" s="4"/>
      <c r="FB1138" s="4"/>
      <c r="FC1138" s="4"/>
      <c r="FD1138" s="4"/>
      <c r="FE1138" s="4"/>
      <c r="FF1138" s="4"/>
      <c r="FG1138" s="4"/>
      <c r="FH1138" s="4"/>
      <c r="FI1138" s="4"/>
      <c r="FJ1138" s="4"/>
      <c r="FK1138" s="4"/>
      <c r="FL1138" s="4"/>
      <c r="FM1138" s="4"/>
      <c r="FN1138" s="4"/>
      <c r="FO1138" s="4"/>
      <c r="FP1138" s="4"/>
      <c r="FQ1138" s="4"/>
      <c r="FR1138" s="4"/>
      <c r="FS1138" s="4"/>
      <c r="FT1138" s="4"/>
      <c r="FU1138" s="4"/>
      <c r="FV1138" s="4"/>
      <c r="FW1138" s="4"/>
      <c r="FX1138" s="4"/>
      <c r="FY1138" s="4"/>
      <c r="FZ1138" s="4"/>
      <c r="GA1138" s="4"/>
      <c r="GB1138" s="4"/>
      <c r="GC1138" s="4"/>
      <c r="GD1138" s="4"/>
      <c r="GE1138" s="4"/>
      <c r="GF1138" s="4"/>
      <c r="GG1138" s="4"/>
      <c r="GH1138" s="4"/>
    </row>
    <row r="1139">
      <c r="A1139" s="2" t="s">
        <v>6485</v>
      </c>
      <c r="B1139" s="2" t="s">
        <v>230</v>
      </c>
      <c r="C1139" s="2" t="s">
        <v>3397</v>
      </c>
      <c r="D1139" s="2" t="s">
        <v>232</v>
      </c>
      <c r="E1139" s="2" t="s">
        <v>233</v>
      </c>
      <c r="F1139" s="2" t="s">
        <v>6467</v>
      </c>
      <c r="G1139" s="2" t="s">
        <v>6467</v>
      </c>
      <c r="H1139" s="2" t="s">
        <v>6467</v>
      </c>
      <c r="I1139" s="2" t="s">
        <v>309</v>
      </c>
      <c r="J1139" s="2" t="s">
        <v>269</v>
      </c>
      <c r="K1139" s="2" t="s">
        <v>387</v>
      </c>
      <c r="L1139" s="3">
        <v>23.04</v>
      </c>
      <c r="M1139" s="3">
        <v>24.19</v>
      </c>
      <c r="N1139" s="3">
        <v>47.99</v>
      </c>
      <c r="O1139" s="2" t="s">
        <v>212</v>
      </c>
      <c r="P1139" s="2" t="s">
        <v>258</v>
      </c>
      <c r="Q1139" s="2" t="s">
        <v>206</v>
      </c>
      <c r="R1139" s="2" t="s">
        <v>200</v>
      </c>
      <c r="S1139" s="2" t="s">
        <v>6486</v>
      </c>
      <c r="T1139" s="2" t="s">
        <v>592</v>
      </c>
      <c r="U1139" s="2" t="s">
        <v>454</v>
      </c>
      <c r="V1139" s="2" t="s">
        <v>208</v>
      </c>
      <c r="W1139" s="2" t="s">
        <v>241</v>
      </c>
      <c r="X1139" s="2" t="s">
        <v>379</v>
      </c>
      <c r="Y1139" s="2" t="s">
        <v>261</v>
      </c>
      <c r="Z1139" s="4">
        <v>166</v>
      </c>
      <c r="AA1139" s="4">
        <f>=ROUNDDOWN(7.21739130434783,0)</f>
      </c>
      <c r="AB1139" s="5">
        <v>23</v>
      </c>
      <c r="AC1139" s="2" t="s">
        <v>200</v>
      </c>
      <c r="AD1139" s="4"/>
      <c r="AE1139" s="4"/>
      <c r="AF1139" s="6">
        <v>65</v>
      </c>
      <c r="AG1139" s="6"/>
      <c r="AH1139" s="7">
        <v>1</v>
      </c>
      <c r="AI1139" s="4"/>
      <c r="AJ1139" s="4">
        <f>=ROUNDDOWN({0},0)</f>
      </c>
      <c r="AK1139" s="5"/>
      <c r="AL1139" s="2" t="s">
        <v>200</v>
      </c>
      <c r="AM1139" s="4"/>
      <c r="AN1139" s="4"/>
      <c r="AO1139" s="7"/>
      <c r="AP1139" s="4"/>
      <c r="AQ1139" s="8"/>
      <c r="AR1139" s="4"/>
      <c r="AS1139" s="8"/>
      <c r="AT1139" s="7"/>
      <c r="AU1139" s="7"/>
      <c r="AV1139" s="4" t="s">
        <v>200</v>
      </c>
      <c r="AW1139" s="8" t="s">
        <v>200</v>
      </c>
      <c r="AX1139" s="4" t="s">
        <v>200</v>
      </c>
      <c r="AY1139" s="8" t="s">
        <v>200</v>
      </c>
      <c r="AZ1139" s="7" t="s">
        <v>200</v>
      </c>
      <c r="BA1139" s="7" t="s">
        <v>200</v>
      </c>
      <c r="BB1139" s="7"/>
      <c r="BC1139" s="4" t="s">
        <v>200</v>
      </c>
      <c r="BD1139" s="8" t="s">
        <v>200</v>
      </c>
      <c r="BE1139" s="4" t="s">
        <v>200</v>
      </c>
      <c r="BF1139" s="8" t="s">
        <v>200</v>
      </c>
      <c r="BG1139" s="7" t="s">
        <v>200</v>
      </c>
      <c r="BH1139" s="7" t="s">
        <v>200</v>
      </c>
      <c r="BI1139" s="7"/>
      <c r="BJ1139" s="4">
        <v>102</v>
      </c>
      <c r="BK1139" s="8">
        <v>2567.31</v>
      </c>
      <c r="BL1139" s="2" t="s">
        <v>6487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6488</v>
      </c>
      <c r="BV1139" s="2" t="s">
        <v>200</v>
      </c>
      <c r="BW1139" s="2" t="s">
        <v>200</v>
      </c>
      <c r="BX1139" s="2" t="s">
        <v>264</v>
      </c>
      <c r="BY1139" s="2" t="s">
        <v>247</v>
      </c>
      <c r="BZ1139" s="2" t="s">
        <v>212</v>
      </c>
      <c r="CA1139" s="2" t="s">
        <v>265</v>
      </c>
      <c r="CB1139" s="2" t="s">
        <v>6489</v>
      </c>
      <c r="CC1139" s="2" t="s">
        <v>213</v>
      </c>
      <c r="CD1139" s="2" t="s">
        <v>200</v>
      </c>
      <c r="CE1139" s="4"/>
      <c r="CF1139" s="4">
        <v>166</v>
      </c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/>
      <c r="DX1139" s="4"/>
      <c r="DY1139" s="4"/>
      <c r="DZ1139" s="4"/>
      <c r="EA1139" s="4"/>
      <c r="EB1139" s="4"/>
      <c r="EC1139" s="4"/>
      <c r="ED1139" s="4"/>
      <c r="EE1139" s="4"/>
      <c r="EF1139" s="4"/>
      <c r="EG1139" s="4"/>
      <c r="EH1139" s="4"/>
      <c r="EI1139" s="4"/>
      <c r="EJ1139" s="4"/>
      <c r="EK1139" s="4"/>
      <c r="EL1139" s="4"/>
      <c r="EM1139" s="4"/>
      <c r="EN1139" s="4"/>
      <c r="EO1139" s="4"/>
      <c r="EP1139" s="4"/>
      <c r="EQ1139" s="4"/>
      <c r="ER1139" s="4"/>
      <c r="ES1139" s="4"/>
      <c r="ET1139" s="4"/>
      <c r="EU1139" s="4"/>
      <c r="EV1139" s="4"/>
      <c r="EW1139" s="4"/>
      <c r="EX1139" s="4"/>
      <c r="EY1139" s="4"/>
      <c r="EZ1139" s="4"/>
      <c r="FA1139" s="4"/>
      <c r="FB1139" s="4"/>
      <c r="FC1139" s="4"/>
      <c r="FD1139" s="4"/>
      <c r="FE1139" s="4"/>
      <c r="FF1139" s="4"/>
      <c r="FG1139" s="4"/>
      <c r="FH1139" s="4"/>
      <c r="FI1139" s="4"/>
      <c r="FJ1139" s="4"/>
      <c r="FK1139" s="4"/>
      <c r="FL1139" s="4"/>
      <c r="FM1139" s="4"/>
      <c r="FN1139" s="4"/>
      <c r="FO1139" s="4"/>
      <c r="FP1139" s="4"/>
      <c r="FQ1139" s="4"/>
      <c r="FR1139" s="4"/>
      <c r="FS1139" s="4"/>
      <c r="FT1139" s="4"/>
      <c r="FU1139" s="4"/>
      <c r="FV1139" s="4"/>
      <c r="FW1139" s="4"/>
      <c r="FX1139" s="4"/>
      <c r="FY1139" s="4"/>
      <c r="FZ1139" s="4"/>
      <c r="GA1139" s="4"/>
      <c r="GB1139" s="4"/>
      <c r="GC1139" s="4"/>
      <c r="GD1139" s="4"/>
      <c r="GE1139" s="4"/>
      <c r="GF1139" s="4"/>
      <c r="GG1139" s="4"/>
      <c r="GH1139" s="4"/>
    </row>
    <row r="1140">
      <c r="A1140" s="2" t="s">
        <v>6490</v>
      </c>
      <c r="B1140" s="2" t="s">
        <v>230</v>
      </c>
      <c r="C1140" s="2" t="s">
        <v>3397</v>
      </c>
      <c r="D1140" s="2" t="s">
        <v>232</v>
      </c>
      <c r="E1140" s="2" t="s">
        <v>233</v>
      </c>
      <c r="F1140" s="2" t="s">
        <v>6467</v>
      </c>
      <c r="G1140" s="2" t="s">
        <v>6467</v>
      </c>
      <c r="H1140" s="2" t="s">
        <v>6467</v>
      </c>
      <c r="I1140" s="2" t="s">
        <v>309</v>
      </c>
      <c r="J1140" s="2" t="s">
        <v>236</v>
      </c>
      <c r="K1140" s="2" t="s">
        <v>387</v>
      </c>
      <c r="L1140" s="3">
        <v>31.85</v>
      </c>
      <c r="M1140" s="3">
        <v>33.44</v>
      </c>
      <c r="N1140" s="3">
        <v>64.99</v>
      </c>
      <c r="O1140" s="2" t="s">
        <v>212</v>
      </c>
      <c r="P1140" s="2" t="s">
        <v>258</v>
      </c>
      <c r="Q1140" s="2" t="s">
        <v>206</v>
      </c>
      <c r="R1140" s="2" t="s">
        <v>200</v>
      </c>
      <c r="S1140" s="2" t="s">
        <v>6486</v>
      </c>
      <c r="T1140" s="2" t="s">
        <v>592</v>
      </c>
      <c r="U1140" s="2" t="s">
        <v>240</v>
      </c>
      <c r="V1140" s="2" t="s">
        <v>208</v>
      </c>
      <c r="W1140" s="2" t="s">
        <v>241</v>
      </c>
      <c r="X1140" s="2" t="s">
        <v>379</v>
      </c>
      <c r="Y1140" s="2" t="s">
        <v>261</v>
      </c>
      <c r="Z1140" s="4">
        <v>116</v>
      </c>
      <c r="AA1140" s="4">
        <f>=ROUNDDOWN(19.3333333333333,0)</f>
      </c>
      <c r="AB1140" s="5">
        <v>6</v>
      </c>
      <c r="AC1140" s="2" t="s">
        <v>200</v>
      </c>
      <c r="AD1140" s="4"/>
      <c r="AE1140" s="4"/>
      <c r="AF1140" s="6">
        <v>65</v>
      </c>
      <c r="AG1140" s="6"/>
      <c r="AH1140" s="7">
        <v>1</v>
      </c>
      <c r="AI1140" s="4"/>
      <c r="AJ1140" s="4">
        <f>=ROUNDDOWN({0},0)</f>
      </c>
      <c r="AK1140" s="5"/>
      <c r="AL1140" s="2" t="s">
        <v>200</v>
      </c>
      <c r="AM1140" s="4"/>
      <c r="AN1140" s="4"/>
      <c r="AO1140" s="7"/>
      <c r="AP1140" s="4"/>
      <c r="AQ1140" s="8"/>
      <c r="AR1140" s="4"/>
      <c r="AS1140" s="8"/>
      <c r="AT1140" s="7"/>
      <c r="AU1140" s="7"/>
      <c r="AV1140" s="4" t="s">
        <v>200</v>
      </c>
      <c r="AW1140" s="8" t="s">
        <v>200</v>
      </c>
      <c r="AX1140" s="4" t="s">
        <v>200</v>
      </c>
      <c r="AY1140" s="8" t="s">
        <v>200</v>
      </c>
      <c r="AZ1140" s="7" t="s">
        <v>200</v>
      </c>
      <c r="BA1140" s="7" t="s">
        <v>200</v>
      </c>
      <c r="BB1140" s="7"/>
      <c r="BC1140" s="4" t="s">
        <v>200</v>
      </c>
      <c r="BD1140" s="8" t="s">
        <v>200</v>
      </c>
      <c r="BE1140" s="4" t="s">
        <v>200</v>
      </c>
      <c r="BF1140" s="8" t="s">
        <v>200</v>
      </c>
      <c r="BG1140" s="7" t="s">
        <v>200</v>
      </c>
      <c r="BH1140" s="7" t="s">
        <v>200</v>
      </c>
      <c r="BI1140" s="7"/>
      <c r="BJ1140" s="4">
        <v>86</v>
      </c>
      <c r="BK1140" s="8">
        <v>2959.15</v>
      </c>
      <c r="BL1140" s="2" t="s">
        <v>3490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6491</v>
      </c>
      <c r="BV1140" s="2" t="s">
        <v>200</v>
      </c>
      <c r="BW1140" s="2" t="s">
        <v>200</v>
      </c>
      <c r="BX1140" s="2" t="s">
        <v>264</v>
      </c>
      <c r="BY1140" s="2" t="s">
        <v>247</v>
      </c>
      <c r="BZ1140" s="2" t="s">
        <v>212</v>
      </c>
      <c r="CA1140" s="2" t="s">
        <v>265</v>
      </c>
      <c r="CB1140" s="2" t="s">
        <v>6492</v>
      </c>
      <c r="CC1140" s="2" t="s">
        <v>213</v>
      </c>
      <c r="CD1140" s="2" t="s">
        <v>200</v>
      </c>
      <c r="CE1140" s="4">
        <v>20</v>
      </c>
      <c r="CF1140" s="4">
        <v>96</v>
      </c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E1140" s="4"/>
      <c r="DF1140" s="4"/>
      <c r="DG1140" s="4"/>
      <c r="DH1140" s="4"/>
      <c r="DI1140" s="4"/>
      <c r="DJ1140" s="4"/>
      <c r="DK1140" s="4"/>
      <c r="DL1140" s="4"/>
      <c r="DM1140" s="4"/>
      <c r="DN1140" s="4"/>
      <c r="DO1140" s="4"/>
      <c r="DP1140" s="4"/>
      <c r="DQ1140" s="4"/>
      <c r="DR1140" s="4"/>
      <c r="DS1140" s="4"/>
      <c r="DT1140" s="4"/>
      <c r="DU1140" s="4"/>
      <c r="DV1140" s="4"/>
      <c r="DW1140" s="4"/>
      <c r="DX1140" s="4"/>
      <c r="DY1140" s="4"/>
      <c r="DZ1140" s="4"/>
      <c r="EA1140" s="4"/>
      <c r="EB1140" s="4"/>
      <c r="EC1140" s="4"/>
      <c r="ED1140" s="4"/>
      <c r="EE1140" s="4"/>
      <c r="EF1140" s="4"/>
      <c r="EG1140" s="4"/>
      <c r="EH1140" s="4"/>
      <c r="EI1140" s="4"/>
      <c r="EJ1140" s="4"/>
      <c r="EK1140" s="4"/>
      <c r="EL1140" s="4"/>
      <c r="EM1140" s="4"/>
      <c r="EN1140" s="4"/>
      <c r="EO1140" s="4"/>
      <c r="EP1140" s="4"/>
      <c r="EQ1140" s="4"/>
      <c r="ER1140" s="4"/>
      <c r="ES1140" s="4"/>
      <c r="ET1140" s="4"/>
      <c r="EU1140" s="4"/>
      <c r="EV1140" s="4"/>
      <c r="EW1140" s="4"/>
      <c r="EX1140" s="4"/>
      <c r="EY1140" s="4"/>
      <c r="EZ1140" s="4"/>
      <c r="FA1140" s="4"/>
      <c r="FB1140" s="4"/>
      <c r="FC1140" s="4"/>
      <c r="FD1140" s="4"/>
      <c r="FE1140" s="4"/>
      <c r="FF1140" s="4"/>
      <c r="FG1140" s="4"/>
      <c r="FH1140" s="4"/>
      <c r="FI1140" s="4"/>
      <c r="FJ1140" s="4"/>
      <c r="FK1140" s="4"/>
      <c r="FL1140" s="4"/>
      <c r="FM1140" s="4"/>
      <c r="FN1140" s="4"/>
      <c r="FO1140" s="4"/>
      <c r="FP1140" s="4"/>
      <c r="FQ1140" s="4"/>
      <c r="FR1140" s="4"/>
      <c r="FS1140" s="4"/>
      <c r="FT1140" s="4"/>
      <c r="FU1140" s="4"/>
      <c r="FV1140" s="4"/>
      <c r="FW1140" s="4"/>
      <c r="FX1140" s="4"/>
      <c r="FY1140" s="4"/>
      <c r="FZ1140" s="4"/>
      <c r="GA1140" s="4"/>
      <c r="GB1140" s="4"/>
      <c r="GC1140" s="4"/>
      <c r="GD1140" s="4"/>
      <c r="GE1140" s="4"/>
      <c r="GF1140" s="4"/>
      <c r="GG1140" s="4"/>
      <c r="GH1140" s="4"/>
    </row>
    <row r="1141">
      <c r="A1141" s="2" t="s">
        <v>6493</v>
      </c>
      <c r="B1141" s="2" t="s">
        <v>230</v>
      </c>
      <c r="C1141" s="2" t="s">
        <v>3397</v>
      </c>
      <c r="D1141" s="2" t="s">
        <v>232</v>
      </c>
      <c r="E1141" s="2" t="s">
        <v>233</v>
      </c>
      <c r="F1141" s="2" t="s">
        <v>6467</v>
      </c>
      <c r="G1141" s="2" t="s">
        <v>6467</v>
      </c>
      <c r="H1141" s="2" t="s">
        <v>6467</v>
      </c>
      <c r="I1141" s="2" t="s">
        <v>309</v>
      </c>
      <c r="J1141" s="2" t="s">
        <v>277</v>
      </c>
      <c r="K1141" s="2" t="s">
        <v>1174</v>
      </c>
      <c r="L1141" s="3">
        <v>25.3</v>
      </c>
      <c r="M1141" s="3">
        <v>26.56</v>
      </c>
      <c r="N1141" s="3">
        <v>54.99</v>
      </c>
      <c r="O1141" s="2" t="s">
        <v>212</v>
      </c>
      <c r="P1141" s="2" t="s">
        <v>258</v>
      </c>
      <c r="Q1141" s="2" t="s">
        <v>206</v>
      </c>
      <c r="R1141" s="2" t="s">
        <v>200</v>
      </c>
      <c r="S1141" s="2" t="s">
        <v>6494</v>
      </c>
      <c r="T1141" s="2" t="s">
        <v>592</v>
      </c>
      <c r="U1141" s="2" t="s">
        <v>240</v>
      </c>
      <c r="V1141" s="2" t="s">
        <v>208</v>
      </c>
      <c r="W1141" s="2" t="s">
        <v>241</v>
      </c>
      <c r="X1141" s="2" t="s">
        <v>379</v>
      </c>
      <c r="Y1141" s="2" t="s">
        <v>261</v>
      </c>
      <c r="Z1141" s="4"/>
      <c r="AA1141" s="4">
        <f>=ROUNDDOWN({0},0)</f>
      </c>
      <c r="AB1141" s="5">
        <v>8</v>
      </c>
      <c r="AC1141" s="2" t="s">
        <v>200</v>
      </c>
      <c r="AD1141" s="4"/>
      <c r="AE1141" s="4"/>
      <c r="AF1141" s="6">
        <v>65</v>
      </c>
      <c r="AG1141" s="6"/>
      <c r="AH1141" s="7">
        <v>1</v>
      </c>
      <c r="AI1141" s="4"/>
      <c r="AJ1141" s="4">
        <f>=ROUNDDOWN({0},0)</f>
      </c>
      <c r="AK1141" s="5"/>
      <c r="AL1141" s="2" t="s">
        <v>200</v>
      </c>
      <c r="AM1141" s="4"/>
      <c r="AN1141" s="4"/>
      <c r="AO1141" s="7"/>
      <c r="AP1141" s="4"/>
      <c r="AQ1141" s="8"/>
      <c r="AR1141" s="4"/>
      <c r="AS1141" s="8"/>
      <c r="AT1141" s="7"/>
      <c r="AU1141" s="7"/>
      <c r="AV1141" s="4"/>
      <c r="AW1141" s="8"/>
      <c r="AX1141" s="4"/>
      <c r="AY1141" s="8"/>
      <c r="AZ1141" s="7"/>
      <c r="BA1141" s="7"/>
      <c r="BB1141" s="7"/>
      <c r="BC1141" s="4" t="s">
        <v>200</v>
      </c>
      <c r="BD1141" s="8" t="s">
        <v>200</v>
      </c>
      <c r="BE1141" s="4" t="s">
        <v>200</v>
      </c>
      <c r="BF1141" s="8" t="s">
        <v>200</v>
      </c>
      <c r="BG1141" s="7" t="s">
        <v>200</v>
      </c>
      <c r="BH1141" s="7" t="s">
        <v>200</v>
      </c>
      <c r="BI1141" s="7"/>
      <c r="BJ1141" s="4">
        <v>108</v>
      </c>
      <c r="BK1141" s="8">
        <v>2971.17</v>
      </c>
      <c r="BL1141" s="2" t="s">
        <v>6495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6496</v>
      </c>
      <c r="BV1141" s="2" t="s">
        <v>200</v>
      </c>
      <c r="BW1141" s="2" t="s">
        <v>200</v>
      </c>
      <c r="BX1141" s="2" t="s">
        <v>264</v>
      </c>
      <c r="BY1141" s="2" t="s">
        <v>247</v>
      </c>
      <c r="BZ1141" s="2" t="s">
        <v>212</v>
      </c>
      <c r="CA1141" s="2" t="s">
        <v>265</v>
      </c>
      <c r="CB1141" s="2" t="s">
        <v>6497</v>
      </c>
      <c r="CC1141" s="2" t="s">
        <v>213</v>
      </c>
      <c r="CD1141" s="2" t="s">
        <v>200</v>
      </c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4"/>
      <c r="DM1141" s="4"/>
      <c r="DN1141" s="4"/>
      <c r="DO1141" s="4"/>
      <c r="DP1141" s="4"/>
      <c r="DQ1141" s="4"/>
      <c r="DR1141" s="4"/>
      <c r="DS1141" s="4"/>
      <c r="DT1141" s="4"/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  <c r="EE1141" s="4"/>
      <c r="EF1141" s="4"/>
      <c r="EG1141" s="4"/>
      <c r="EH1141" s="4"/>
      <c r="EI1141" s="4"/>
      <c r="EJ1141" s="4"/>
      <c r="EK1141" s="4"/>
      <c r="EL1141" s="4"/>
      <c r="EM1141" s="4"/>
      <c r="EN1141" s="4"/>
      <c r="EO1141" s="4"/>
      <c r="EP1141" s="4"/>
      <c r="EQ1141" s="4"/>
      <c r="ER1141" s="4"/>
      <c r="ES1141" s="4"/>
      <c r="ET1141" s="4"/>
      <c r="EU1141" s="4"/>
      <c r="EV1141" s="4"/>
      <c r="EW1141" s="4"/>
      <c r="EX1141" s="4"/>
      <c r="EY1141" s="4"/>
      <c r="EZ1141" s="4"/>
      <c r="FA1141" s="4"/>
      <c r="FB1141" s="4"/>
      <c r="FC1141" s="4"/>
      <c r="FD1141" s="4"/>
      <c r="FE1141" s="4"/>
      <c r="FF1141" s="4"/>
      <c r="FG1141" s="4"/>
      <c r="FH1141" s="4"/>
      <c r="FI1141" s="4"/>
      <c r="FJ1141" s="4"/>
      <c r="FK1141" s="4"/>
      <c r="FL1141" s="4"/>
      <c r="FM1141" s="4"/>
      <c r="FN1141" s="4"/>
      <c r="FO1141" s="4"/>
      <c r="FP1141" s="4"/>
      <c r="FQ1141" s="4"/>
      <c r="FR1141" s="4"/>
      <c r="FS1141" s="4"/>
      <c r="FT1141" s="4"/>
      <c r="FU1141" s="4"/>
      <c r="FV1141" s="4"/>
      <c r="FW1141" s="4"/>
      <c r="FX1141" s="4"/>
      <c r="FY1141" s="4"/>
      <c r="FZ1141" s="4"/>
      <c r="GA1141" s="4"/>
      <c r="GB1141" s="4"/>
      <c r="GC1141" s="4"/>
      <c r="GD1141" s="4"/>
      <c r="GE1141" s="4"/>
      <c r="GF1141" s="4"/>
      <c r="GG1141" s="4"/>
      <c r="GH1141" s="4"/>
    </row>
    <row r="1142">
      <c r="A1142" s="2" t="s">
        <v>6498</v>
      </c>
      <c r="B1142" s="2" t="s">
        <v>230</v>
      </c>
      <c r="C1142" s="2" t="s">
        <v>3397</v>
      </c>
      <c r="D1142" s="2" t="s">
        <v>232</v>
      </c>
      <c r="E1142" s="2" t="s">
        <v>233</v>
      </c>
      <c r="F1142" s="2" t="s">
        <v>6467</v>
      </c>
      <c r="G1142" s="2" t="s">
        <v>6467</v>
      </c>
      <c r="H1142" s="2" t="s">
        <v>6467</v>
      </c>
      <c r="I1142" s="2" t="s">
        <v>309</v>
      </c>
      <c r="J1142" s="2" t="s">
        <v>256</v>
      </c>
      <c r="K1142" s="2" t="s">
        <v>416</v>
      </c>
      <c r="L1142" s="3">
        <v>21.62</v>
      </c>
      <c r="M1142" s="3">
        <v>22.7</v>
      </c>
      <c r="N1142" s="3">
        <v>46.99</v>
      </c>
      <c r="O1142" s="2" t="s">
        <v>212</v>
      </c>
      <c r="P1142" s="2" t="s">
        <v>258</v>
      </c>
      <c r="Q1142" s="2" t="s">
        <v>206</v>
      </c>
      <c r="R1142" s="2" t="s">
        <v>200</v>
      </c>
      <c r="S1142" s="2" t="s">
        <v>6499</v>
      </c>
      <c r="T1142" s="2" t="s">
        <v>592</v>
      </c>
      <c r="U1142" s="2" t="s">
        <v>454</v>
      </c>
      <c r="V1142" s="2" t="s">
        <v>208</v>
      </c>
      <c r="W1142" s="2" t="s">
        <v>241</v>
      </c>
      <c r="X1142" s="2" t="s">
        <v>379</v>
      </c>
      <c r="Y1142" s="2" t="s">
        <v>261</v>
      </c>
      <c r="Z1142" s="4">
        <v>157</v>
      </c>
      <c r="AA1142" s="4">
        <f>=ROUNDDOWN(14.2727272727273,0)</f>
      </c>
      <c r="AB1142" s="5">
        <v>11</v>
      </c>
      <c r="AC1142" s="2" t="s">
        <v>200</v>
      </c>
      <c r="AD1142" s="4"/>
      <c r="AE1142" s="4"/>
      <c r="AF1142" s="6">
        <v>65</v>
      </c>
      <c r="AG1142" s="6"/>
      <c r="AH1142" s="7">
        <v>1</v>
      </c>
      <c r="AI1142" s="4"/>
      <c r="AJ1142" s="4">
        <f>=ROUNDDOWN({0},0)</f>
      </c>
      <c r="AK1142" s="5"/>
      <c r="AL1142" s="2" t="s">
        <v>200</v>
      </c>
      <c r="AM1142" s="4"/>
      <c r="AN1142" s="4"/>
      <c r="AO1142" s="7"/>
      <c r="AP1142" s="4"/>
      <c r="AQ1142" s="8"/>
      <c r="AR1142" s="4"/>
      <c r="AS1142" s="8"/>
      <c r="AT1142" s="7"/>
      <c r="AU1142" s="7"/>
      <c r="AV1142" s="4"/>
      <c r="AW1142" s="8"/>
      <c r="AX1142" s="4"/>
      <c r="AY1142" s="8"/>
      <c r="AZ1142" s="7"/>
      <c r="BA1142" s="7"/>
      <c r="BB1142" s="7"/>
      <c r="BC1142" s="4" t="s">
        <v>200</v>
      </c>
      <c r="BD1142" s="8" t="s">
        <v>200</v>
      </c>
      <c r="BE1142" s="4" t="s">
        <v>200</v>
      </c>
      <c r="BF1142" s="8" t="s">
        <v>200</v>
      </c>
      <c r="BG1142" s="7" t="s">
        <v>200</v>
      </c>
      <c r="BH1142" s="7" t="s">
        <v>200</v>
      </c>
      <c r="BI1142" s="7"/>
      <c r="BJ1142" s="4">
        <v>84</v>
      </c>
      <c r="BK1142" s="8">
        <v>2008.94</v>
      </c>
      <c r="BL1142" s="2" t="s">
        <v>3416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6500</v>
      </c>
      <c r="BV1142" s="2" t="s">
        <v>200</v>
      </c>
      <c r="BW1142" s="2" t="s">
        <v>200</v>
      </c>
      <c r="BX1142" s="2" t="s">
        <v>264</v>
      </c>
      <c r="BY1142" s="2" t="s">
        <v>247</v>
      </c>
      <c r="BZ1142" s="2" t="s">
        <v>212</v>
      </c>
      <c r="CA1142" s="2" t="s">
        <v>265</v>
      </c>
      <c r="CB1142" s="2" t="s">
        <v>6501</v>
      </c>
      <c r="CC1142" s="2" t="s">
        <v>213</v>
      </c>
      <c r="CD1142" s="2" t="s">
        <v>200</v>
      </c>
      <c r="CE1142" s="4">
        <v>33</v>
      </c>
      <c r="CF1142" s="4">
        <v>124</v>
      </c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E1142" s="4"/>
      <c r="DF1142" s="4"/>
      <c r="DG1142" s="4"/>
      <c r="DH1142" s="4"/>
      <c r="DI1142" s="4"/>
      <c r="DJ1142" s="4"/>
      <c r="DK1142" s="4"/>
      <c r="DL1142" s="4"/>
      <c r="DM1142" s="4"/>
      <c r="DN1142" s="4"/>
      <c r="DO1142" s="4"/>
      <c r="DP1142" s="4"/>
      <c r="DQ1142" s="4"/>
      <c r="DR1142" s="4"/>
      <c r="DS1142" s="4"/>
      <c r="DT1142" s="4"/>
      <c r="DU1142" s="4"/>
      <c r="DV1142" s="4"/>
      <c r="DW1142" s="4"/>
      <c r="DX1142" s="4"/>
      <c r="DY1142" s="4"/>
      <c r="DZ1142" s="4"/>
      <c r="EA1142" s="4"/>
      <c r="EB1142" s="4"/>
      <c r="EC1142" s="4"/>
      <c r="ED1142" s="4"/>
      <c r="EE1142" s="4"/>
      <c r="EF1142" s="4"/>
      <c r="EG1142" s="4"/>
      <c r="EH1142" s="4"/>
      <c r="EI1142" s="4"/>
      <c r="EJ1142" s="4"/>
      <c r="EK1142" s="4"/>
      <c r="EL1142" s="4"/>
      <c r="EM1142" s="4"/>
      <c r="EN1142" s="4"/>
      <c r="EO1142" s="4"/>
      <c r="EP1142" s="4"/>
      <c r="EQ1142" s="4"/>
      <c r="ER1142" s="4"/>
      <c r="ES1142" s="4"/>
      <c r="ET1142" s="4"/>
      <c r="EU1142" s="4"/>
      <c r="EV1142" s="4"/>
      <c r="EW1142" s="4"/>
      <c r="EX1142" s="4"/>
      <c r="EY1142" s="4"/>
      <c r="EZ1142" s="4"/>
      <c r="FA1142" s="4"/>
      <c r="FB1142" s="4"/>
      <c r="FC1142" s="4"/>
      <c r="FD1142" s="4"/>
      <c r="FE1142" s="4"/>
      <c r="FF1142" s="4"/>
      <c r="FG1142" s="4"/>
      <c r="FH1142" s="4"/>
      <c r="FI1142" s="4"/>
      <c r="FJ1142" s="4"/>
      <c r="FK1142" s="4"/>
      <c r="FL1142" s="4"/>
      <c r="FM1142" s="4"/>
      <c r="FN1142" s="4"/>
      <c r="FO1142" s="4"/>
      <c r="FP1142" s="4"/>
      <c r="FQ1142" s="4"/>
      <c r="FR1142" s="4"/>
      <c r="FS1142" s="4"/>
      <c r="FT1142" s="4"/>
      <c r="FU1142" s="4"/>
      <c r="FV1142" s="4"/>
      <c r="FW1142" s="4"/>
      <c r="FX1142" s="4"/>
      <c r="FY1142" s="4"/>
      <c r="FZ1142" s="4"/>
      <c r="GA1142" s="4"/>
      <c r="GB1142" s="4"/>
      <c r="GC1142" s="4"/>
      <c r="GD1142" s="4"/>
      <c r="GE1142" s="4"/>
      <c r="GF1142" s="4"/>
      <c r="GG1142" s="4"/>
      <c r="GH1142" s="4"/>
    </row>
    <row r="1143">
      <c r="A1143" s="2" t="s">
        <v>6502</v>
      </c>
      <c r="B1143" s="2" t="s">
        <v>230</v>
      </c>
      <c r="C1143" s="2" t="s">
        <v>3397</v>
      </c>
      <c r="D1143" s="2" t="s">
        <v>232</v>
      </c>
      <c r="E1143" s="2" t="s">
        <v>233</v>
      </c>
      <c r="F1143" s="2" t="s">
        <v>6467</v>
      </c>
      <c r="G1143" s="2" t="s">
        <v>6467</v>
      </c>
      <c r="H1143" s="2" t="s">
        <v>6467</v>
      </c>
      <c r="I1143" s="2" t="s">
        <v>309</v>
      </c>
      <c r="J1143" s="2" t="s">
        <v>236</v>
      </c>
      <c r="K1143" s="2" t="s">
        <v>221</v>
      </c>
      <c r="L1143" s="3">
        <v>31.85</v>
      </c>
      <c r="M1143" s="3">
        <v>33.44</v>
      </c>
      <c r="N1143" s="3">
        <v>64.99</v>
      </c>
      <c r="O1143" s="2" t="s">
        <v>212</v>
      </c>
      <c r="P1143" s="2" t="s">
        <v>1247</v>
      </c>
      <c r="Q1143" s="2" t="s">
        <v>206</v>
      </c>
      <c r="R1143" s="2" t="s">
        <v>200</v>
      </c>
      <c r="S1143" s="2" t="s">
        <v>6503</v>
      </c>
      <c r="T1143" s="2" t="s">
        <v>592</v>
      </c>
      <c r="U1143" s="2" t="s">
        <v>240</v>
      </c>
      <c r="V1143" s="2" t="s">
        <v>208</v>
      </c>
      <c r="W1143" s="2" t="s">
        <v>241</v>
      </c>
      <c r="X1143" s="2" t="s">
        <v>379</v>
      </c>
      <c r="Y1143" s="2" t="s">
        <v>261</v>
      </c>
      <c r="Z1143" s="4">
        <v>307</v>
      </c>
      <c r="AA1143" s="4">
        <f>=ROUNDDOWN(19.1875,0)</f>
      </c>
      <c r="AB1143" s="5">
        <v>16</v>
      </c>
      <c r="AC1143" s="2" t="s">
        <v>200</v>
      </c>
      <c r="AD1143" s="4"/>
      <c r="AE1143" s="4"/>
      <c r="AF1143" s="6">
        <v>65</v>
      </c>
      <c r="AG1143" s="6"/>
      <c r="AH1143" s="7">
        <v>1</v>
      </c>
      <c r="AI1143" s="4"/>
      <c r="AJ1143" s="4">
        <f>=ROUNDDOWN({0},0)</f>
      </c>
      <c r="AK1143" s="5"/>
      <c r="AL1143" s="2" t="s">
        <v>200</v>
      </c>
      <c r="AM1143" s="4"/>
      <c r="AN1143" s="4"/>
      <c r="AO1143" s="7"/>
      <c r="AP1143" s="4"/>
      <c r="AQ1143" s="8"/>
      <c r="AR1143" s="4"/>
      <c r="AS1143" s="8"/>
      <c r="AT1143" s="7"/>
      <c r="AU1143" s="7"/>
      <c r="AV1143" s="4"/>
      <c r="AW1143" s="8"/>
      <c r="AX1143" s="4"/>
      <c r="AY1143" s="8"/>
      <c r="AZ1143" s="7"/>
      <c r="BA1143" s="7"/>
      <c r="BB1143" s="7"/>
      <c r="BC1143" s="4" t="s">
        <v>200</v>
      </c>
      <c r="BD1143" s="8" t="s">
        <v>200</v>
      </c>
      <c r="BE1143" s="4" t="s">
        <v>200</v>
      </c>
      <c r="BF1143" s="8" t="s">
        <v>200</v>
      </c>
      <c r="BG1143" s="7" t="s">
        <v>200</v>
      </c>
      <c r="BH1143" s="7" t="s">
        <v>200</v>
      </c>
      <c r="BI1143" s="7"/>
      <c r="BJ1143" s="4">
        <v>203</v>
      </c>
      <c r="BK1143" s="8">
        <v>6977.81</v>
      </c>
      <c r="BL1143" s="2" t="s">
        <v>6504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6505</v>
      </c>
      <c r="BV1143" s="2" t="s">
        <v>200</v>
      </c>
      <c r="BW1143" s="2" t="s">
        <v>200</v>
      </c>
      <c r="BX1143" s="2" t="s">
        <v>264</v>
      </c>
      <c r="BY1143" s="2" t="s">
        <v>247</v>
      </c>
      <c r="BZ1143" s="2" t="s">
        <v>212</v>
      </c>
      <c r="CA1143" s="2" t="s">
        <v>265</v>
      </c>
      <c r="CB1143" s="2" t="s">
        <v>2819</v>
      </c>
      <c r="CC1143" s="2" t="s">
        <v>213</v>
      </c>
      <c r="CD1143" s="2" t="s">
        <v>200</v>
      </c>
      <c r="CE1143" s="4">
        <v>55</v>
      </c>
      <c r="CF1143" s="4">
        <v>252</v>
      </c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/>
      <c r="DT1143" s="4"/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  <c r="EE1143" s="4"/>
      <c r="EF1143" s="4"/>
      <c r="EG1143" s="4"/>
      <c r="EH1143" s="4"/>
      <c r="EI1143" s="4"/>
      <c r="EJ1143" s="4"/>
      <c r="EK1143" s="4"/>
      <c r="EL1143" s="4"/>
      <c r="EM1143" s="4"/>
      <c r="EN1143" s="4"/>
      <c r="EO1143" s="4"/>
      <c r="EP1143" s="4"/>
      <c r="EQ1143" s="4"/>
      <c r="ER1143" s="4"/>
      <c r="ES1143" s="4"/>
      <c r="ET1143" s="4"/>
      <c r="EU1143" s="4"/>
      <c r="EV1143" s="4"/>
      <c r="EW1143" s="4"/>
      <c r="EX1143" s="4"/>
      <c r="EY1143" s="4"/>
      <c r="EZ1143" s="4"/>
      <c r="FA1143" s="4"/>
      <c r="FB1143" s="4"/>
      <c r="FC1143" s="4"/>
      <c r="FD1143" s="4"/>
      <c r="FE1143" s="4"/>
      <c r="FF1143" s="4"/>
      <c r="FG1143" s="4"/>
      <c r="FH1143" s="4"/>
      <c r="FI1143" s="4"/>
      <c r="FJ1143" s="4"/>
      <c r="FK1143" s="4"/>
      <c r="FL1143" s="4"/>
      <c r="FM1143" s="4"/>
      <c r="FN1143" s="4"/>
      <c r="FO1143" s="4"/>
      <c r="FP1143" s="4"/>
      <c r="FQ1143" s="4"/>
      <c r="FR1143" s="4"/>
      <c r="FS1143" s="4"/>
      <c r="FT1143" s="4"/>
      <c r="FU1143" s="4"/>
      <c r="FV1143" s="4"/>
      <c r="FW1143" s="4"/>
      <c r="FX1143" s="4"/>
      <c r="FY1143" s="4"/>
      <c r="FZ1143" s="4"/>
      <c r="GA1143" s="4"/>
      <c r="GB1143" s="4"/>
      <c r="GC1143" s="4"/>
      <c r="GD1143" s="4"/>
      <c r="GE1143" s="4"/>
      <c r="GF1143" s="4"/>
      <c r="GG1143" s="4"/>
      <c r="GH1143" s="4"/>
    </row>
    <row r="1144">
      <c r="A1144" s="2" t="s">
        <v>6506</v>
      </c>
      <c r="B1144" s="2" t="s">
        <v>230</v>
      </c>
      <c r="C1144" s="2" t="s">
        <v>3397</v>
      </c>
      <c r="D1144" s="2" t="s">
        <v>232</v>
      </c>
      <c r="E1144" s="2" t="s">
        <v>233</v>
      </c>
      <c r="F1144" s="2" t="s">
        <v>6467</v>
      </c>
      <c r="G1144" s="2" t="s">
        <v>6467</v>
      </c>
      <c r="H1144" s="2" t="s">
        <v>6467</v>
      </c>
      <c r="I1144" s="2" t="s">
        <v>309</v>
      </c>
      <c r="J1144" s="2" t="s">
        <v>256</v>
      </c>
      <c r="K1144" s="2" t="s">
        <v>1188</v>
      </c>
      <c r="L1144" s="3">
        <v>24</v>
      </c>
      <c r="M1144" s="3">
        <v>25.2</v>
      </c>
      <c r="N1144" s="3">
        <v>49.99</v>
      </c>
      <c r="O1144" s="2" t="s">
        <v>212</v>
      </c>
      <c r="P1144" s="2" t="s">
        <v>258</v>
      </c>
      <c r="Q1144" s="2" t="s">
        <v>206</v>
      </c>
      <c r="R1144" s="2" t="s">
        <v>200</v>
      </c>
      <c r="S1144" s="2" t="s">
        <v>6507</v>
      </c>
      <c r="T1144" s="2" t="s">
        <v>592</v>
      </c>
      <c r="U1144" s="2" t="s">
        <v>454</v>
      </c>
      <c r="V1144" s="2" t="s">
        <v>885</v>
      </c>
      <c r="W1144" s="2" t="s">
        <v>241</v>
      </c>
      <c r="X1144" s="2" t="s">
        <v>379</v>
      </c>
      <c r="Y1144" s="2" t="s">
        <v>4277</v>
      </c>
      <c r="Z1144" s="4">
        <v>109</v>
      </c>
      <c r="AA1144" s="4">
        <f>=ROUNDDOWN(27.25,0)</f>
      </c>
      <c r="AB1144" s="5">
        <v>4</v>
      </c>
      <c r="AC1144" s="2" t="s">
        <v>200</v>
      </c>
      <c r="AD1144" s="4"/>
      <c r="AE1144" s="4"/>
      <c r="AF1144" s="6">
        <v>65</v>
      </c>
      <c r="AG1144" s="6"/>
      <c r="AH1144" s="7">
        <v>1</v>
      </c>
      <c r="AI1144" s="4"/>
      <c r="AJ1144" s="4">
        <f>=ROUNDDOWN({0},0)</f>
      </c>
      <c r="AK1144" s="5"/>
      <c r="AL1144" s="2" t="s">
        <v>200</v>
      </c>
      <c r="AM1144" s="4"/>
      <c r="AN1144" s="4"/>
      <c r="AO1144" s="7"/>
      <c r="AP1144" s="4"/>
      <c r="AQ1144" s="8"/>
      <c r="AR1144" s="4"/>
      <c r="AS1144" s="8"/>
      <c r="AT1144" s="7"/>
      <c r="AU1144" s="7"/>
      <c r="AV1144" s="4"/>
      <c r="AW1144" s="8"/>
      <c r="AX1144" s="4"/>
      <c r="AY1144" s="8"/>
      <c r="AZ1144" s="7"/>
      <c r="BA1144" s="7"/>
      <c r="BB1144" s="7"/>
      <c r="BC1144" s="4" t="s">
        <v>200</v>
      </c>
      <c r="BD1144" s="8" t="s">
        <v>200</v>
      </c>
      <c r="BE1144" s="4" t="s">
        <v>200</v>
      </c>
      <c r="BF1144" s="8" t="s">
        <v>200</v>
      </c>
      <c r="BG1144" s="7" t="s">
        <v>200</v>
      </c>
      <c r="BH1144" s="7" t="s">
        <v>200</v>
      </c>
      <c r="BI1144" s="7"/>
      <c r="BJ1144" s="4">
        <v>73</v>
      </c>
      <c r="BK1144" s="8">
        <v>1920.2</v>
      </c>
      <c r="BL1144" s="2" t="s">
        <v>913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6508</v>
      </c>
      <c r="BV1144" s="2" t="s">
        <v>200</v>
      </c>
      <c r="BW1144" s="2" t="s">
        <v>200</v>
      </c>
      <c r="BX1144" s="2" t="s">
        <v>264</v>
      </c>
      <c r="BY1144" s="2" t="s">
        <v>247</v>
      </c>
      <c r="BZ1144" s="2" t="s">
        <v>212</v>
      </c>
      <c r="CA1144" s="2" t="s">
        <v>6509</v>
      </c>
      <c r="CB1144" s="2" t="s">
        <v>200</v>
      </c>
      <c r="CC1144" s="2" t="s">
        <v>213</v>
      </c>
      <c r="CD1144" s="2" t="s">
        <v>200</v>
      </c>
      <c r="CE1144" s="4">
        <v>33</v>
      </c>
      <c r="CF1144" s="4">
        <v>76</v>
      </c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/>
      <c r="DN1144" s="4"/>
      <c r="DO1144" s="4"/>
      <c r="DP1144" s="4"/>
      <c r="DQ1144" s="4"/>
      <c r="DR1144" s="4"/>
      <c r="DS1144" s="4"/>
      <c r="DT1144" s="4"/>
      <c r="DU1144" s="4"/>
      <c r="DV1144" s="4"/>
      <c r="DW1144" s="4"/>
      <c r="DX1144" s="4"/>
      <c r="DY1144" s="4"/>
      <c r="DZ1144" s="4"/>
      <c r="EA1144" s="4"/>
      <c r="EB1144" s="4"/>
      <c r="EC1144" s="4"/>
      <c r="ED1144" s="4"/>
      <c r="EE1144" s="4"/>
      <c r="EF1144" s="4"/>
      <c r="EG1144" s="4"/>
      <c r="EH1144" s="4"/>
      <c r="EI1144" s="4"/>
      <c r="EJ1144" s="4"/>
      <c r="EK1144" s="4"/>
      <c r="EL1144" s="4"/>
      <c r="EM1144" s="4"/>
      <c r="EN1144" s="4"/>
      <c r="EO1144" s="4"/>
      <c r="EP1144" s="4"/>
      <c r="EQ1144" s="4"/>
      <c r="ER1144" s="4"/>
      <c r="ES1144" s="4"/>
      <c r="ET1144" s="4"/>
      <c r="EU1144" s="4"/>
      <c r="EV1144" s="4"/>
      <c r="EW1144" s="4"/>
      <c r="EX1144" s="4"/>
      <c r="EY1144" s="4"/>
      <c r="EZ1144" s="4"/>
      <c r="FA1144" s="4"/>
      <c r="FB1144" s="4"/>
      <c r="FC1144" s="4"/>
      <c r="FD1144" s="4"/>
      <c r="FE1144" s="4"/>
      <c r="FF1144" s="4"/>
      <c r="FG1144" s="4"/>
      <c r="FH1144" s="4"/>
      <c r="FI1144" s="4"/>
      <c r="FJ1144" s="4"/>
      <c r="FK1144" s="4"/>
      <c r="FL1144" s="4"/>
      <c r="FM1144" s="4"/>
      <c r="FN1144" s="4"/>
      <c r="FO1144" s="4"/>
      <c r="FP1144" s="4"/>
      <c r="FQ1144" s="4"/>
      <c r="FR1144" s="4"/>
      <c r="FS1144" s="4"/>
      <c r="FT1144" s="4"/>
      <c r="FU1144" s="4"/>
      <c r="FV1144" s="4"/>
      <c r="FW1144" s="4"/>
      <c r="FX1144" s="4"/>
      <c r="FY1144" s="4"/>
      <c r="FZ1144" s="4"/>
      <c r="GA1144" s="4"/>
      <c r="GB1144" s="4"/>
      <c r="GC1144" s="4"/>
      <c r="GD1144" s="4"/>
      <c r="GE1144" s="4"/>
      <c r="GF1144" s="4"/>
      <c r="GG1144" s="4"/>
      <c r="GH1144" s="4"/>
    </row>
    <row r="1145">
      <c r="A1145" s="2" t="s">
        <v>6510</v>
      </c>
      <c r="B1145" s="2" t="s">
        <v>230</v>
      </c>
      <c r="C1145" s="2" t="s">
        <v>3397</v>
      </c>
      <c r="D1145" s="2" t="s">
        <v>232</v>
      </c>
      <c r="E1145" s="2" t="s">
        <v>233</v>
      </c>
      <c r="F1145" s="2" t="s">
        <v>6467</v>
      </c>
      <c r="G1145" s="2" t="s">
        <v>6467</v>
      </c>
      <c r="H1145" s="2" t="s">
        <v>6467</v>
      </c>
      <c r="I1145" s="2" t="s">
        <v>309</v>
      </c>
      <c r="J1145" s="2" t="s">
        <v>277</v>
      </c>
      <c r="K1145" s="2" t="s">
        <v>6511</v>
      </c>
      <c r="L1145" s="3">
        <v>28.2</v>
      </c>
      <c r="M1145" s="3">
        <v>29.61</v>
      </c>
      <c r="N1145" s="3">
        <v>59.99</v>
      </c>
      <c r="O1145" s="2" t="s">
        <v>212</v>
      </c>
      <c r="P1145" s="2" t="s">
        <v>258</v>
      </c>
      <c r="Q1145" s="2" t="s">
        <v>206</v>
      </c>
      <c r="R1145" s="2" t="s">
        <v>200</v>
      </c>
      <c r="S1145" s="2" t="s">
        <v>6512</v>
      </c>
      <c r="T1145" s="2" t="s">
        <v>592</v>
      </c>
      <c r="U1145" s="2" t="s">
        <v>240</v>
      </c>
      <c r="V1145" s="2" t="s">
        <v>3270</v>
      </c>
      <c r="W1145" s="2" t="s">
        <v>241</v>
      </c>
      <c r="X1145" s="2" t="s">
        <v>379</v>
      </c>
      <c r="Y1145" s="2" t="s">
        <v>4277</v>
      </c>
      <c r="Z1145" s="4">
        <v>101</v>
      </c>
      <c r="AA1145" s="4">
        <f>=ROUNDDOWN(7.21428571428571,0)</f>
      </c>
      <c r="AB1145" s="5">
        <v>14</v>
      </c>
      <c r="AC1145" s="2" t="s">
        <v>200</v>
      </c>
      <c r="AD1145" s="4"/>
      <c r="AE1145" s="4"/>
      <c r="AF1145" s="6">
        <v>65</v>
      </c>
      <c r="AG1145" s="6"/>
      <c r="AH1145" s="7">
        <v>1</v>
      </c>
      <c r="AI1145" s="4"/>
      <c r="AJ1145" s="4">
        <f>=ROUNDDOWN({0},0)</f>
      </c>
      <c r="AK1145" s="5"/>
      <c r="AL1145" s="2" t="s">
        <v>200</v>
      </c>
      <c r="AM1145" s="4"/>
      <c r="AN1145" s="4"/>
      <c r="AO1145" s="7"/>
      <c r="AP1145" s="4"/>
      <c r="AQ1145" s="8"/>
      <c r="AR1145" s="4"/>
      <c r="AS1145" s="8"/>
      <c r="AT1145" s="7"/>
      <c r="AU1145" s="7"/>
      <c r="AV1145" s="4"/>
      <c r="AW1145" s="8"/>
      <c r="AX1145" s="4"/>
      <c r="AY1145" s="8"/>
      <c r="AZ1145" s="7"/>
      <c r="BA1145" s="7"/>
      <c r="BB1145" s="7"/>
      <c r="BC1145" s="4" t="s">
        <v>200</v>
      </c>
      <c r="BD1145" s="8" t="s">
        <v>200</v>
      </c>
      <c r="BE1145" s="4" t="s">
        <v>200</v>
      </c>
      <c r="BF1145" s="8" t="s">
        <v>200</v>
      </c>
      <c r="BG1145" s="7" t="s">
        <v>200</v>
      </c>
      <c r="BH1145" s="7" t="s">
        <v>200</v>
      </c>
      <c r="BI1145" s="7"/>
      <c r="BJ1145" s="4">
        <v>196</v>
      </c>
      <c r="BK1145" s="8">
        <v>6056.68</v>
      </c>
      <c r="BL1145" s="2" t="s">
        <v>341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6513</v>
      </c>
      <c r="BV1145" s="2" t="s">
        <v>200</v>
      </c>
      <c r="BW1145" s="2" t="s">
        <v>200</v>
      </c>
      <c r="BX1145" s="2" t="s">
        <v>264</v>
      </c>
      <c r="BY1145" s="2" t="s">
        <v>247</v>
      </c>
      <c r="BZ1145" s="2" t="s">
        <v>212</v>
      </c>
      <c r="CA1145" s="2" t="s">
        <v>6509</v>
      </c>
      <c r="CB1145" s="2" t="s">
        <v>2089</v>
      </c>
      <c r="CC1145" s="2" t="s">
        <v>213</v>
      </c>
      <c r="CD1145" s="2" t="s">
        <v>200</v>
      </c>
      <c r="CE1145" s="4"/>
      <c r="CF1145" s="4">
        <v>101</v>
      </c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4"/>
      <c r="DN1145" s="4"/>
      <c r="DO1145" s="4"/>
      <c r="DP1145" s="4"/>
      <c r="DQ1145" s="4"/>
      <c r="DR1145" s="4"/>
      <c r="DS1145" s="4"/>
      <c r="DT1145" s="4"/>
      <c r="DU1145" s="4"/>
      <c r="DV1145" s="4"/>
      <c r="DW1145" s="4"/>
      <c r="DX1145" s="4"/>
      <c r="DY1145" s="4"/>
      <c r="DZ1145" s="4"/>
      <c r="EA1145" s="4"/>
      <c r="EB1145" s="4"/>
      <c r="EC1145" s="4"/>
      <c r="ED1145" s="4"/>
      <c r="EE1145" s="4"/>
      <c r="EF1145" s="4"/>
      <c r="EG1145" s="4"/>
      <c r="EH1145" s="4"/>
      <c r="EI1145" s="4"/>
      <c r="EJ1145" s="4"/>
      <c r="EK1145" s="4"/>
      <c r="EL1145" s="4"/>
      <c r="EM1145" s="4"/>
      <c r="EN1145" s="4"/>
      <c r="EO1145" s="4"/>
      <c r="EP1145" s="4"/>
      <c r="EQ1145" s="4"/>
      <c r="ER1145" s="4"/>
      <c r="ES1145" s="4"/>
      <c r="ET1145" s="4"/>
      <c r="EU1145" s="4"/>
      <c r="EV1145" s="4"/>
      <c r="EW1145" s="4"/>
      <c r="EX1145" s="4"/>
      <c r="EY1145" s="4"/>
      <c r="EZ1145" s="4"/>
      <c r="FA1145" s="4"/>
      <c r="FB1145" s="4"/>
      <c r="FC1145" s="4"/>
      <c r="FD1145" s="4"/>
      <c r="FE1145" s="4"/>
      <c r="FF1145" s="4"/>
      <c r="FG1145" s="4"/>
      <c r="FH1145" s="4"/>
      <c r="FI1145" s="4"/>
      <c r="FJ1145" s="4"/>
      <c r="FK1145" s="4"/>
      <c r="FL1145" s="4"/>
      <c r="FM1145" s="4"/>
      <c r="FN1145" s="4"/>
      <c r="FO1145" s="4"/>
      <c r="FP1145" s="4"/>
      <c r="FQ1145" s="4"/>
      <c r="FR1145" s="4"/>
      <c r="FS1145" s="4"/>
      <c r="FT1145" s="4"/>
      <c r="FU1145" s="4"/>
      <c r="FV1145" s="4"/>
      <c r="FW1145" s="4"/>
      <c r="FX1145" s="4"/>
      <c r="FY1145" s="4"/>
      <c r="FZ1145" s="4"/>
      <c r="GA1145" s="4"/>
      <c r="GB1145" s="4"/>
      <c r="GC1145" s="4"/>
      <c r="GD1145" s="4"/>
      <c r="GE1145" s="4"/>
      <c r="GF1145" s="4"/>
      <c r="GG1145" s="4"/>
      <c r="GH1145" s="4"/>
    </row>
    <row r="1146">
      <c r="A1146" s="2" t="s">
        <v>6514</v>
      </c>
      <c r="B1146" s="2" t="s">
        <v>230</v>
      </c>
      <c r="C1146" s="2" t="s">
        <v>3397</v>
      </c>
      <c r="D1146" s="2" t="s">
        <v>232</v>
      </c>
      <c r="E1146" s="2" t="s">
        <v>233</v>
      </c>
      <c r="F1146" s="2" t="s">
        <v>6467</v>
      </c>
      <c r="G1146" s="2" t="s">
        <v>6467</v>
      </c>
      <c r="H1146" s="2" t="s">
        <v>6467</v>
      </c>
      <c r="I1146" s="2" t="s">
        <v>309</v>
      </c>
      <c r="J1146" s="2" t="s">
        <v>256</v>
      </c>
      <c r="K1146" s="2" t="s">
        <v>436</v>
      </c>
      <c r="L1146" s="3">
        <v>21.62</v>
      </c>
      <c r="M1146" s="3">
        <v>22.7</v>
      </c>
      <c r="N1146" s="3">
        <v>46.99</v>
      </c>
      <c r="O1146" s="2" t="s">
        <v>212</v>
      </c>
      <c r="P1146" s="2" t="s">
        <v>258</v>
      </c>
      <c r="Q1146" s="2" t="s">
        <v>206</v>
      </c>
      <c r="R1146" s="2" t="s">
        <v>200</v>
      </c>
      <c r="S1146" s="2" t="s">
        <v>6515</v>
      </c>
      <c r="T1146" s="2" t="s">
        <v>592</v>
      </c>
      <c r="U1146" s="2" t="s">
        <v>454</v>
      </c>
      <c r="V1146" s="2" t="s">
        <v>208</v>
      </c>
      <c r="W1146" s="2" t="s">
        <v>241</v>
      </c>
      <c r="X1146" s="2" t="s">
        <v>379</v>
      </c>
      <c r="Y1146" s="2" t="s">
        <v>261</v>
      </c>
      <c r="Z1146" s="4">
        <v>180</v>
      </c>
      <c r="AA1146" s="4">
        <f>=ROUNDDOWN(12,0)</f>
      </c>
      <c r="AB1146" s="5">
        <v>15</v>
      </c>
      <c r="AC1146" s="2" t="s">
        <v>200</v>
      </c>
      <c r="AD1146" s="4"/>
      <c r="AE1146" s="4"/>
      <c r="AF1146" s="6">
        <v>65</v>
      </c>
      <c r="AG1146" s="6"/>
      <c r="AH1146" s="7">
        <v>1</v>
      </c>
      <c r="AI1146" s="4"/>
      <c r="AJ1146" s="4">
        <f>=ROUNDDOWN({0},0)</f>
      </c>
      <c r="AK1146" s="5"/>
      <c r="AL1146" s="2" t="s">
        <v>200</v>
      </c>
      <c r="AM1146" s="4"/>
      <c r="AN1146" s="4"/>
      <c r="AO1146" s="7"/>
      <c r="AP1146" s="4"/>
      <c r="AQ1146" s="8"/>
      <c r="AR1146" s="4"/>
      <c r="AS1146" s="8"/>
      <c r="AT1146" s="7"/>
      <c r="AU1146" s="7"/>
      <c r="AV1146" s="4"/>
      <c r="AW1146" s="8"/>
      <c r="AX1146" s="4"/>
      <c r="AY1146" s="8"/>
      <c r="AZ1146" s="7"/>
      <c r="BA1146" s="7"/>
      <c r="BB1146" s="7"/>
      <c r="BC1146" s="4" t="s">
        <v>200</v>
      </c>
      <c r="BD1146" s="8" t="s">
        <v>200</v>
      </c>
      <c r="BE1146" s="4" t="s">
        <v>200</v>
      </c>
      <c r="BF1146" s="8" t="s">
        <v>200</v>
      </c>
      <c r="BG1146" s="7" t="s">
        <v>200</v>
      </c>
      <c r="BH1146" s="7" t="s">
        <v>200</v>
      </c>
      <c r="BI1146" s="7"/>
      <c r="BJ1146" s="4">
        <v>116</v>
      </c>
      <c r="BK1146" s="8">
        <v>2822.2</v>
      </c>
      <c r="BL1146" s="2" t="s">
        <v>6516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6517</v>
      </c>
      <c r="BV1146" s="2" t="s">
        <v>200</v>
      </c>
      <c r="BW1146" s="2" t="s">
        <v>200</v>
      </c>
      <c r="BX1146" s="2" t="s">
        <v>264</v>
      </c>
      <c r="BY1146" s="2" t="s">
        <v>247</v>
      </c>
      <c r="BZ1146" s="2" t="s">
        <v>212</v>
      </c>
      <c r="CA1146" s="2" t="s">
        <v>265</v>
      </c>
      <c r="CB1146" s="2" t="s">
        <v>6518</v>
      </c>
      <c r="CC1146" s="2" t="s">
        <v>213</v>
      </c>
      <c r="CD1146" s="2" t="s">
        <v>200</v>
      </c>
      <c r="CE1146" s="4"/>
      <c r="CF1146" s="4">
        <v>180</v>
      </c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/>
      <c r="DW1146" s="4"/>
      <c r="DX1146" s="4"/>
      <c r="DY1146" s="4"/>
      <c r="DZ1146" s="4"/>
      <c r="EA1146" s="4"/>
      <c r="EB1146" s="4"/>
      <c r="EC1146" s="4"/>
      <c r="ED1146" s="4"/>
      <c r="EE1146" s="4"/>
      <c r="EF1146" s="4"/>
      <c r="EG1146" s="4"/>
      <c r="EH1146" s="4"/>
      <c r="EI1146" s="4"/>
      <c r="EJ1146" s="4"/>
      <c r="EK1146" s="4"/>
      <c r="EL1146" s="4"/>
      <c r="EM1146" s="4"/>
      <c r="EN1146" s="4"/>
      <c r="EO1146" s="4"/>
      <c r="EP1146" s="4"/>
      <c r="EQ1146" s="4"/>
      <c r="ER1146" s="4"/>
      <c r="ES1146" s="4"/>
      <c r="ET1146" s="4"/>
      <c r="EU1146" s="4"/>
      <c r="EV1146" s="4"/>
      <c r="EW1146" s="4"/>
      <c r="EX1146" s="4"/>
      <c r="EY1146" s="4"/>
      <c r="EZ1146" s="4"/>
      <c r="FA1146" s="4"/>
      <c r="FB1146" s="4"/>
      <c r="FC1146" s="4"/>
      <c r="FD1146" s="4"/>
      <c r="FE1146" s="4"/>
      <c r="FF1146" s="4"/>
      <c r="FG1146" s="4"/>
      <c r="FH1146" s="4"/>
      <c r="FI1146" s="4"/>
      <c r="FJ1146" s="4"/>
      <c r="FK1146" s="4"/>
      <c r="FL1146" s="4"/>
      <c r="FM1146" s="4"/>
      <c r="FN1146" s="4"/>
      <c r="FO1146" s="4"/>
      <c r="FP1146" s="4"/>
      <c r="FQ1146" s="4"/>
      <c r="FR1146" s="4"/>
      <c r="FS1146" s="4"/>
      <c r="FT1146" s="4"/>
      <c r="FU1146" s="4"/>
      <c r="FV1146" s="4"/>
      <c r="FW1146" s="4"/>
      <c r="FX1146" s="4"/>
      <c r="FY1146" s="4"/>
      <c r="FZ1146" s="4"/>
      <c r="GA1146" s="4"/>
      <c r="GB1146" s="4"/>
      <c r="GC1146" s="4"/>
      <c r="GD1146" s="4"/>
      <c r="GE1146" s="4"/>
      <c r="GF1146" s="4"/>
      <c r="GG1146" s="4"/>
      <c r="GH1146" s="4"/>
    </row>
    <row r="1147">
      <c r="A1147" s="2" t="s">
        <v>6519</v>
      </c>
      <c r="B1147" s="2" t="s">
        <v>230</v>
      </c>
      <c r="C1147" s="2" t="s">
        <v>3397</v>
      </c>
      <c r="D1147" s="2" t="s">
        <v>232</v>
      </c>
      <c r="E1147" s="2" t="s">
        <v>233</v>
      </c>
      <c r="F1147" s="2" t="s">
        <v>6467</v>
      </c>
      <c r="G1147" s="2" t="s">
        <v>6467</v>
      </c>
      <c r="H1147" s="2" t="s">
        <v>6467</v>
      </c>
      <c r="I1147" s="2" t="s">
        <v>309</v>
      </c>
      <c r="J1147" s="2" t="s">
        <v>236</v>
      </c>
      <c r="K1147" s="2" t="s">
        <v>539</v>
      </c>
      <c r="L1147" s="3">
        <v>31.85</v>
      </c>
      <c r="M1147" s="3">
        <v>33.44</v>
      </c>
      <c r="N1147" s="3">
        <v>64.99</v>
      </c>
      <c r="O1147" s="2" t="s">
        <v>212</v>
      </c>
      <c r="P1147" s="2" t="s">
        <v>258</v>
      </c>
      <c r="Q1147" s="2" t="s">
        <v>206</v>
      </c>
      <c r="R1147" s="2" t="s">
        <v>200</v>
      </c>
      <c r="S1147" s="2" t="s">
        <v>6520</v>
      </c>
      <c r="T1147" s="2" t="s">
        <v>592</v>
      </c>
      <c r="U1147" s="2" t="s">
        <v>240</v>
      </c>
      <c r="V1147" s="2" t="s">
        <v>208</v>
      </c>
      <c r="W1147" s="2" t="s">
        <v>241</v>
      </c>
      <c r="X1147" s="2" t="s">
        <v>379</v>
      </c>
      <c r="Y1147" s="2" t="s">
        <v>261</v>
      </c>
      <c r="Z1147" s="4">
        <v>58</v>
      </c>
      <c r="AA1147" s="4">
        <f>=ROUNDDOWN(6.44444444444444,0)</f>
      </c>
      <c r="AB1147" s="5">
        <v>9</v>
      </c>
      <c r="AC1147" s="2" t="s">
        <v>200</v>
      </c>
      <c r="AD1147" s="4"/>
      <c r="AE1147" s="4"/>
      <c r="AF1147" s="6">
        <v>65</v>
      </c>
      <c r="AG1147" s="6"/>
      <c r="AH1147" s="7">
        <v>1</v>
      </c>
      <c r="AI1147" s="4"/>
      <c r="AJ1147" s="4">
        <f>=ROUNDDOWN({0},0)</f>
      </c>
      <c r="AK1147" s="5"/>
      <c r="AL1147" s="2" t="s">
        <v>200</v>
      </c>
      <c r="AM1147" s="4"/>
      <c r="AN1147" s="4"/>
      <c r="AO1147" s="7"/>
      <c r="AP1147" s="4"/>
      <c r="AQ1147" s="8"/>
      <c r="AR1147" s="4"/>
      <c r="AS1147" s="8"/>
      <c r="AT1147" s="7"/>
      <c r="AU1147" s="7"/>
      <c r="AV1147" s="4"/>
      <c r="AW1147" s="8"/>
      <c r="AX1147" s="4"/>
      <c r="AY1147" s="8"/>
      <c r="AZ1147" s="7"/>
      <c r="BA1147" s="7"/>
      <c r="BB1147" s="7"/>
      <c r="BC1147" s="4" t="s">
        <v>200</v>
      </c>
      <c r="BD1147" s="8" t="s">
        <v>200</v>
      </c>
      <c r="BE1147" s="4" t="s">
        <v>200</v>
      </c>
      <c r="BF1147" s="8" t="s">
        <v>200</v>
      </c>
      <c r="BG1147" s="7" t="s">
        <v>200</v>
      </c>
      <c r="BH1147" s="7" t="s">
        <v>200</v>
      </c>
      <c r="BI1147" s="7"/>
      <c r="BJ1147" s="4">
        <v>144</v>
      </c>
      <c r="BK1147" s="8">
        <v>4923.44</v>
      </c>
      <c r="BL1147" s="2" t="s">
        <v>370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6521</v>
      </c>
      <c r="BV1147" s="2" t="s">
        <v>200</v>
      </c>
      <c r="BW1147" s="2" t="s">
        <v>200</v>
      </c>
      <c r="BX1147" s="2" t="s">
        <v>264</v>
      </c>
      <c r="BY1147" s="2" t="s">
        <v>247</v>
      </c>
      <c r="BZ1147" s="2" t="s">
        <v>212</v>
      </c>
      <c r="CA1147" s="2" t="s">
        <v>265</v>
      </c>
      <c r="CB1147" s="2" t="s">
        <v>6522</v>
      </c>
      <c r="CC1147" s="2" t="s">
        <v>213</v>
      </c>
      <c r="CD1147" s="2" t="s">
        <v>200</v>
      </c>
      <c r="CE1147" s="4"/>
      <c r="CF1147" s="4">
        <v>58</v>
      </c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/>
      <c r="DP1147" s="4"/>
      <c r="DQ1147" s="4"/>
      <c r="DR1147" s="4"/>
      <c r="DS1147" s="4"/>
      <c r="DT1147" s="4"/>
      <c r="DU1147" s="4"/>
      <c r="DV1147" s="4"/>
      <c r="DW1147" s="4"/>
      <c r="DX1147" s="4"/>
      <c r="DY1147" s="4"/>
      <c r="DZ1147" s="4"/>
      <c r="EA1147" s="4"/>
      <c r="EB1147" s="4"/>
      <c r="EC1147" s="4"/>
      <c r="ED1147" s="4"/>
      <c r="EE1147" s="4"/>
      <c r="EF1147" s="4"/>
      <c r="EG1147" s="4"/>
      <c r="EH1147" s="4"/>
      <c r="EI1147" s="4"/>
      <c r="EJ1147" s="4"/>
      <c r="EK1147" s="4"/>
      <c r="EL1147" s="4"/>
      <c r="EM1147" s="4"/>
      <c r="EN1147" s="4"/>
      <c r="EO1147" s="4"/>
      <c r="EP1147" s="4"/>
      <c r="EQ1147" s="4"/>
      <c r="ER1147" s="4"/>
      <c r="ES1147" s="4"/>
      <c r="ET1147" s="4"/>
      <c r="EU1147" s="4"/>
      <c r="EV1147" s="4"/>
      <c r="EW1147" s="4"/>
      <c r="EX1147" s="4"/>
      <c r="EY1147" s="4"/>
      <c r="EZ1147" s="4"/>
      <c r="FA1147" s="4"/>
      <c r="FB1147" s="4"/>
      <c r="FC1147" s="4"/>
      <c r="FD1147" s="4"/>
      <c r="FE1147" s="4"/>
      <c r="FF1147" s="4"/>
      <c r="FG1147" s="4"/>
      <c r="FH1147" s="4"/>
      <c r="FI1147" s="4"/>
      <c r="FJ1147" s="4"/>
      <c r="FK1147" s="4"/>
      <c r="FL1147" s="4"/>
      <c r="FM1147" s="4"/>
      <c r="FN1147" s="4"/>
      <c r="FO1147" s="4"/>
      <c r="FP1147" s="4"/>
      <c r="FQ1147" s="4"/>
      <c r="FR1147" s="4"/>
      <c r="FS1147" s="4"/>
      <c r="FT1147" s="4"/>
      <c r="FU1147" s="4"/>
      <c r="FV1147" s="4"/>
      <c r="FW1147" s="4"/>
      <c r="FX1147" s="4"/>
      <c r="FY1147" s="4"/>
      <c r="FZ1147" s="4"/>
      <c r="GA1147" s="4"/>
      <c r="GB1147" s="4"/>
      <c r="GC1147" s="4"/>
      <c r="GD1147" s="4"/>
      <c r="GE1147" s="4"/>
      <c r="GF1147" s="4"/>
      <c r="GG1147" s="4"/>
      <c r="GH1147" s="4"/>
    </row>
    <row r="1148">
      <c r="A1148" s="2" t="s">
        <v>6523</v>
      </c>
      <c r="B1148" s="2" t="s">
        <v>230</v>
      </c>
      <c r="C1148" s="2" t="s">
        <v>3397</v>
      </c>
      <c r="D1148" s="2" t="s">
        <v>232</v>
      </c>
      <c r="E1148" s="2" t="s">
        <v>233</v>
      </c>
      <c r="F1148" s="2" t="s">
        <v>6467</v>
      </c>
      <c r="G1148" s="2" t="s">
        <v>6467</v>
      </c>
      <c r="H1148" s="2" t="s">
        <v>6467</v>
      </c>
      <c r="I1148" s="2" t="s">
        <v>309</v>
      </c>
      <c r="J1148" s="2" t="s">
        <v>269</v>
      </c>
      <c r="K1148" s="2" t="s">
        <v>1153</v>
      </c>
      <c r="L1148" s="3">
        <v>23.04</v>
      </c>
      <c r="M1148" s="3">
        <v>24.19</v>
      </c>
      <c r="N1148" s="3">
        <v>47.99</v>
      </c>
      <c r="O1148" s="2" t="s">
        <v>212</v>
      </c>
      <c r="P1148" s="2" t="s">
        <v>258</v>
      </c>
      <c r="Q1148" s="2" t="s">
        <v>206</v>
      </c>
      <c r="R1148" s="2" t="s">
        <v>200</v>
      </c>
      <c r="S1148" s="2" t="s">
        <v>6524</v>
      </c>
      <c r="T1148" s="2" t="s">
        <v>592</v>
      </c>
      <c r="U1148" s="2" t="s">
        <v>454</v>
      </c>
      <c r="V1148" s="2" t="s">
        <v>208</v>
      </c>
      <c r="W1148" s="2" t="s">
        <v>241</v>
      </c>
      <c r="X1148" s="2" t="s">
        <v>379</v>
      </c>
      <c r="Y1148" s="2" t="s">
        <v>261</v>
      </c>
      <c r="Z1148" s="4">
        <v>106</v>
      </c>
      <c r="AA1148" s="4">
        <f>=ROUNDDOWN(26.5,0)</f>
      </c>
      <c r="AB1148" s="5">
        <v>4</v>
      </c>
      <c r="AC1148" s="2" t="s">
        <v>200</v>
      </c>
      <c r="AD1148" s="4"/>
      <c r="AE1148" s="4"/>
      <c r="AF1148" s="6">
        <v>65</v>
      </c>
      <c r="AG1148" s="6"/>
      <c r="AH1148" s="7">
        <v>1</v>
      </c>
      <c r="AI1148" s="4"/>
      <c r="AJ1148" s="4">
        <f>=ROUNDDOWN({0},0)</f>
      </c>
      <c r="AK1148" s="5"/>
      <c r="AL1148" s="2" t="s">
        <v>200</v>
      </c>
      <c r="AM1148" s="4"/>
      <c r="AN1148" s="4"/>
      <c r="AO1148" s="7"/>
      <c r="AP1148" s="4"/>
      <c r="AQ1148" s="8"/>
      <c r="AR1148" s="4"/>
      <c r="AS1148" s="8"/>
      <c r="AT1148" s="7"/>
      <c r="AU1148" s="7"/>
      <c r="AV1148" s="4"/>
      <c r="AW1148" s="8"/>
      <c r="AX1148" s="4"/>
      <c r="AY1148" s="8"/>
      <c r="AZ1148" s="7"/>
      <c r="BA1148" s="7"/>
      <c r="BB1148" s="7"/>
      <c r="BC1148" s="4" t="s">
        <v>200</v>
      </c>
      <c r="BD1148" s="8" t="s">
        <v>200</v>
      </c>
      <c r="BE1148" s="4" t="s">
        <v>200</v>
      </c>
      <c r="BF1148" s="8" t="s">
        <v>200</v>
      </c>
      <c r="BG1148" s="7" t="s">
        <v>200</v>
      </c>
      <c r="BH1148" s="7" t="s">
        <v>200</v>
      </c>
      <c r="BI1148" s="7"/>
      <c r="BJ1148" s="4">
        <v>28</v>
      </c>
      <c r="BK1148" s="8">
        <v>703.18</v>
      </c>
      <c r="BL1148" s="2" t="s">
        <v>6525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6526</v>
      </c>
      <c r="BV1148" s="2" t="s">
        <v>200</v>
      </c>
      <c r="BW1148" s="2" t="s">
        <v>200</v>
      </c>
      <c r="BX1148" s="2" t="s">
        <v>264</v>
      </c>
      <c r="BY1148" s="2" t="s">
        <v>247</v>
      </c>
      <c r="BZ1148" s="2" t="s">
        <v>212</v>
      </c>
      <c r="CA1148" s="2" t="s">
        <v>265</v>
      </c>
      <c r="CB1148" s="2" t="s">
        <v>6527</v>
      </c>
      <c r="CC1148" s="2" t="s">
        <v>213</v>
      </c>
      <c r="CD1148" s="2" t="s">
        <v>200</v>
      </c>
      <c r="CE1148" s="4">
        <v>60</v>
      </c>
      <c r="CF1148" s="4">
        <v>46</v>
      </c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  <c r="DZ1148" s="4"/>
      <c r="EA1148" s="4"/>
      <c r="EB1148" s="4"/>
      <c r="EC1148" s="4"/>
      <c r="ED1148" s="4"/>
      <c r="EE1148" s="4"/>
      <c r="EF1148" s="4"/>
      <c r="EG1148" s="4"/>
      <c r="EH1148" s="4"/>
      <c r="EI1148" s="4"/>
      <c r="EJ1148" s="4"/>
      <c r="EK1148" s="4"/>
      <c r="EL1148" s="4"/>
      <c r="EM1148" s="4"/>
      <c r="EN1148" s="4"/>
      <c r="EO1148" s="4"/>
      <c r="EP1148" s="4"/>
      <c r="EQ1148" s="4"/>
      <c r="ER1148" s="4"/>
      <c r="ES1148" s="4"/>
      <c r="ET1148" s="4"/>
      <c r="EU1148" s="4"/>
      <c r="EV1148" s="4"/>
      <c r="EW1148" s="4"/>
      <c r="EX1148" s="4"/>
      <c r="EY1148" s="4"/>
      <c r="EZ1148" s="4"/>
      <c r="FA1148" s="4"/>
      <c r="FB1148" s="4"/>
      <c r="FC1148" s="4"/>
      <c r="FD1148" s="4"/>
      <c r="FE1148" s="4"/>
      <c r="FF1148" s="4"/>
      <c r="FG1148" s="4"/>
      <c r="FH1148" s="4"/>
      <c r="FI1148" s="4"/>
      <c r="FJ1148" s="4"/>
      <c r="FK1148" s="4"/>
      <c r="FL1148" s="4"/>
      <c r="FM1148" s="4"/>
      <c r="FN1148" s="4"/>
      <c r="FO1148" s="4"/>
      <c r="FP1148" s="4"/>
      <c r="FQ1148" s="4"/>
      <c r="FR1148" s="4"/>
      <c r="FS1148" s="4"/>
      <c r="FT1148" s="4"/>
      <c r="FU1148" s="4"/>
      <c r="FV1148" s="4"/>
      <c r="FW1148" s="4"/>
      <c r="FX1148" s="4"/>
      <c r="FY1148" s="4"/>
      <c r="FZ1148" s="4"/>
      <c r="GA1148" s="4"/>
      <c r="GB1148" s="4"/>
      <c r="GC1148" s="4"/>
      <c r="GD1148" s="4"/>
      <c r="GE1148" s="4"/>
      <c r="GF1148" s="4"/>
      <c r="GG1148" s="4"/>
      <c r="GH1148" s="4"/>
    </row>
    <row r="1149">
      <c r="A1149" s="2" t="s">
        <v>6528</v>
      </c>
      <c r="B1149" s="2" t="s">
        <v>230</v>
      </c>
      <c r="C1149" s="2" t="s">
        <v>877</v>
      </c>
      <c r="D1149" s="2" t="s">
        <v>232</v>
      </c>
      <c r="E1149" s="2" t="s">
        <v>233</v>
      </c>
      <c r="F1149" s="2" t="s">
        <v>378</v>
      </c>
      <c r="G1149" s="2" t="s">
        <v>378</v>
      </c>
      <c r="H1149" s="2" t="s">
        <v>378</v>
      </c>
      <c r="I1149" s="2" t="s">
        <v>6529</v>
      </c>
      <c r="J1149" s="2" t="s">
        <v>256</v>
      </c>
      <c r="K1149" s="2" t="s">
        <v>387</v>
      </c>
      <c r="L1149" s="3">
        <v>11.18</v>
      </c>
      <c r="M1149" s="3">
        <v>11.74</v>
      </c>
      <c r="N1149" s="3">
        <v>27.99</v>
      </c>
      <c r="O1149" s="2" t="s">
        <v>212</v>
      </c>
      <c r="P1149" s="2" t="s">
        <v>258</v>
      </c>
      <c r="Q1149" s="2" t="s">
        <v>206</v>
      </c>
      <c r="R1149" s="2" t="s">
        <v>200</v>
      </c>
      <c r="S1149" s="2" t="s">
        <v>6530</v>
      </c>
      <c r="T1149" s="2" t="s">
        <v>378</v>
      </c>
      <c r="U1149" s="2" t="s">
        <v>454</v>
      </c>
      <c r="V1149" s="2" t="s">
        <v>208</v>
      </c>
      <c r="W1149" s="2" t="s">
        <v>241</v>
      </c>
      <c r="X1149" s="2" t="s">
        <v>200</v>
      </c>
      <c r="Y1149" s="2" t="s">
        <v>6531</v>
      </c>
      <c r="Z1149" s="4">
        <v>42</v>
      </c>
      <c r="AA1149" s="4">
        <f>=ROUNDDOWN(20,0)</f>
      </c>
      <c r="AB1149" s="5">
        <v>2.1</v>
      </c>
      <c r="AC1149" s="2" t="s">
        <v>200</v>
      </c>
      <c r="AD1149" s="4"/>
      <c r="AE1149" s="4"/>
      <c r="AF1149" s="6">
        <v>65</v>
      </c>
      <c r="AG1149" s="6"/>
      <c r="AH1149" s="7">
        <v>1</v>
      </c>
      <c r="AI1149" s="4"/>
      <c r="AJ1149" s="4">
        <f>=ROUNDDOWN({0},0)</f>
      </c>
      <c r="AK1149" s="5"/>
      <c r="AL1149" s="2" t="s">
        <v>200</v>
      </c>
      <c r="AM1149" s="4"/>
      <c r="AN1149" s="4"/>
      <c r="AO1149" s="7"/>
      <c r="AP1149" s="4"/>
      <c r="AQ1149" s="8"/>
      <c r="AR1149" s="4"/>
      <c r="AS1149" s="8"/>
      <c r="AT1149" s="7"/>
      <c r="AU1149" s="7"/>
      <c r="AV1149" s="4" t="s">
        <v>200</v>
      </c>
      <c r="AW1149" s="8" t="s">
        <v>200</v>
      </c>
      <c r="AX1149" s="4" t="s">
        <v>200</v>
      </c>
      <c r="AY1149" s="8" t="s">
        <v>200</v>
      </c>
      <c r="AZ1149" s="7" t="s">
        <v>200</v>
      </c>
      <c r="BA1149" s="7" t="s">
        <v>200</v>
      </c>
      <c r="BB1149" s="7"/>
      <c r="BC1149" s="4" t="s">
        <v>200</v>
      </c>
      <c r="BD1149" s="8" t="s">
        <v>200</v>
      </c>
      <c r="BE1149" s="4" t="s">
        <v>200</v>
      </c>
      <c r="BF1149" s="8" t="s">
        <v>200</v>
      </c>
      <c r="BG1149" s="7" t="s">
        <v>200</v>
      </c>
      <c r="BH1149" s="7" t="s">
        <v>200</v>
      </c>
      <c r="BI1149" s="7"/>
      <c r="BJ1149" s="4">
        <v>21</v>
      </c>
      <c r="BK1149" s="8">
        <v>250.33</v>
      </c>
      <c r="BL1149" s="2" t="s">
        <v>3355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6532</v>
      </c>
      <c r="BV1149" s="2" t="s">
        <v>200</v>
      </c>
      <c r="BW1149" s="2" t="s">
        <v>200</v>
      </c>
      <c r="BX1149" s="2" t="s">
        <v>264</v>
      </c>
      <c r="BY1149" s="2" t="s">
        <v>247</v>
      </c>
      <c r="BZ1149" s="2" t="s">
        <v>212</v>
      </c>
      <c r="CA1149" s="2" t="s">
        <v>343</v>
      </c>
      <c r="CB1149" s="2" t="s">
        <v>1533</v>
      </c>
      <c r="CC1149" s="2" t="s">
        <v>213</v>
      </c>
      <c r="CD1149" s="2" t="s">
        <v>200</v>
      </c>
      <c r="CE1149" s="4">
        <v>42</v>
      </c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/>
      <c r="DS1149" s="4"/>
      <c r="DT1149" s="4"/>
      <c r="DU1149" s="4"/>
      <c r="DV1149" s="4"/>
      <c r="DW1149" s="4"/>
      <c r="DX1149" s="4"/>
      <c r="DY1149" s="4"/>
      <c r="DZ1149" s="4"/>
      <c r="EA1149" s="4"/>
      <c r="EB1149" s="4"/>
      <c r="EC1149" s="4"/>
      <c r="ED1149" s="4"/>
      <c r="EE1149" s="4"/>
      <c r="EF1149" s="4"/>
      <c r="EG1149" s="4"/>
      <c r="EH1149" s="4"/>
      <c r="EI1149" s="4"/>
      <c r="EJ1149" s="4"/>
      <c r="EK1149" s="4"/>
      <c r="EL1149" s="4"/>
      <c r="EM1149" s="4"/>
      <c r="EN1149" s="4"/>
      <c r="EO1149" s="4"/>
      <c r="EP1149" s="4"/>
      <c r="EQ1149" s="4"/>
      <c r="ER1149" s="4"/>
      <c r="ES1149" s="4"/>
      <c r="ET1149" s="4"/>
      <c r="EU1149" s="4"/>
      <c r="EV1149" s="4"/>
      <c r="EW1149" s="4"/>
      <c r="EX1149" s="4"/>
      <c r="EY1149" s="4"/>
      <c r="EZ1149" s="4"/>
      <c r="FA1149" s="4"/>
      <c r="FB1149" s="4"/>
      <c r="FC1149" s="4"/>
      <c r="FD1149" s="4"/>
      <c r="FE1149" s="4"/>
      <c r="FF1149" s="4"/>
      <c r="FG1149" s="4"/>
      <c r="FH1149" s="4"/>
      <c r="FI1149" s="4"/>
      <c r="FJ1149" s="4"/>
      <c r="FK1149" s="4"/>
      <c r="FL1149" s="4"/>
      <c r="FM1149" s="4"/>
      <c r="FN1149" s="4"/>
      <c r="FO1149" s="4"/>
      <c r="FP1149" s="4"/>
      <c r="FQ1149" s="4"/>
      <c r="FR1149" s="4"/>
      <c r="FS1149" s="4"/>
      <c r="FT1149" s="4"/>
      <c r="FU1149" s="4"/>
      <c r="FV1149" s="4"/>
      <c r="FW1149" s="4"/>
      <c r="FX1149" s="4"/>
      <c r="FY1149" s="4"/>
      <c r="FZ1149" s="4"/>
      <c r="GA1149" s="4"/>
      <c r="GB1149" s="4"/>
      <c r="GC1149" s="4"/>
      <c r="GD1149" s="4"/>
      <c r="GE1149" s="4"/>
      <c r="GF1149" s="4"/>
      <c r="GG1149" s="4"/>
      <c r="GH1149" s="4"/>
    </row>
    <row r="1150">
      <c r="A1150" s="2" t="s">
        <v>6533</v>
      </c>
      <c r="B1150" s="2" t="s">
        <v>230</v>
      </c>
      <c r="C1150" s="2" t="s">
        <v>877</v>
      </c>
      <c r="D1150" s="2" t="s">
        <v>232</v>
      </c>
      <c r="E1150" s="2" t="s">
        <v>233</v>
      </c>
      <c r="F1150" s="2" t="s">
        <v>378</v>
      </c>
      <c r="G1150" s="2" t="s">
        <v>378</v>
      </c>
      <c r="H1150" s="2" t="s">
        <v>378</v>
      </c>
      <c r="I1150" s="2" t="s">
        <v>6529</v>
      </c>
      <c r="J1150" s="2" t="s">
        <v>269</v>
      </c>
      <c r="K1150" s="2" t="s">
        <v>387</v>
      </c>
      <c r="L1150" s="3">
        <v>11.18</v>
      </c>
      <c r="M1150" s="3">
        <v>11.74</v>
      </c>
      <c r="N1150" s="3">
        <v>27.99</v>
      </c>
      <c r="O1150" s="2" t="s">
        <v>212</v>
      </c>
      <c r="P1150" s="2" t="s">
        <v>258</v>
      </c>
      <c r="Q1150" s="2" t="s">
        <v>206</v>
      </c>
      <c r="R1150" s="2" t="s">
        <v>200</v>
      </c>
      <c r="S1150" s="2" t="s">
        <v>6530</v>
      </c>
      <c r="T1150" s="2" t="s">
        <v>378</v>
      </c>
      <c r="U1150" s="2" t="s">
        <v>454</v>
      </c>
      <c r="V1150" s="2" t="s">
        <v>208</v>
      </c>
      <c r="W1150" s="2" t="s">
        <v>241</v>
      </c>
      <c r="X1150" s="2" t="s">
        <v>200</v>
      </c>
      <c r="Y1150" s="2" t="s">
        <v>6531</v>
      </c>
      <c r="Z1150" s="4">
        <v>182</v>
      </c>
      <c r="AA1150" s="4">
        <f>=ROUNDDOWN(91,0)</f>
      </c>
      <c r="AB1150" s="5">
        <v>2</v>
      </c>
      <c r="AC1150" s="2" t="s">
        <v>200</v>
      </c>
      <c r="AD1150" s="4"/>
      <c r="AE1150" s="4"/>
      <c r="AF1150" s="6">
        <v>65</v>
      </c>
      <c r="AG1150" s="6"/>
      <c r="AH1150" s="7">
        <v>1</v>
      </c>
      <c r="AI1150" s="4"/>
      <c r="AJ1150" s="4">
        <f>=ROUNDDOWN({0},0)</f>
      </c>
      <c r="AK1150" s="5"/>
      <c r="AL1150" s="2" t="s">
        <v>200</v>
      </c>
      <c r="AM1150" s="4"/>
      <c r="AN1150" s="4"/>
      <c r="AO1150" s="7"/>
      <c r="AP1150" s="4"/>
      <c r="AQ1150" s="8"/>
      <c r="AR1150" s="4"/>
      <c r="AS1150" s="8"/>
      <c r="AT1150" s="7"/>
      <c r="AU1150" s="7"/>
      <c r="AV1150" s="4" t="s">
        <v>200</v>
      </c>
      <c r="AW1150" s="8" t="s">
        <v>200</v>
      </c>
      <c r="AX1150" s="4" t="s">
        <v>200</v>
      </c>
      <c r="AY1150" s="8" t="s">
        <v>200</v>
      </c>
      <c r="AZ1150" s="7" t="s">
        <v>200</v>
      </c>
      <c r="BA1150" s="7" t="s">
        <v>200</v>
      </c>
      <c r="BB1150" s="7"/>
      <c r="BC1150" s="4" t="s">
        <v>200</v>
      </c>
      <c r="BD1150" s="8" t="s">
        <v>200</v>
      </c>
      <c r="BE1150" s="4" t="s">
        <v>200</v>
      </c>
      <c r="BF1150" s="8" t="s">
        <v>200</v>
      </c>
      <c r="BG1150" s="7" t="s">
        <v>200</v>
      </c>
      <c r="BH1150" s="7" t="s">
        <v>200</v>
      </c>
      <c r="BI1150" s="7"/>
      <c r="BJ1150" s="4">
        <v>10</v>
      </c>
      <c r="BK1150" s="8">
        <v>115.9</v>
      </c>
      <c r="BL1150" s="2" t="s">
        <v>1111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6534</v>
      </c>
      <c r="BV1150" s="2" t="s">
        <v>200</v>
      </c>
      <c r="BW1150" s="2" t="s">
        <v>200</v>
      </c>
      <c r="BX1150" s="2" t="s">
        <v>264</v>
      </c>
      <c r="BY1150" s="2" t="s">
        <v>247</v>
      </c>
      <c r="BZ1150" s="2" t="s">
        <v>212</v>
      </c>
      <c r="CA1150" s="2" t="s">
        <v>343</v>
      </c>
      <c r="CB1150" s="2" t="s">
        <v>2270</v>
      </c>
      <c r="CC1150" s="2" t="s">
        <v>213</v>
      </c>
      <c r="CD1150" s="2" t="s">
        <v>200</v>
      </c>
      <c r="CE1150" s="4">
        <v>182</v>
      </c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E1150" s="4"/>
      <c r="DF1150" s="4"/>
      <c r="DG1150" s="4"/>
      <c r="DH1150" s="4"/>
      <c r="DI1150" s="4"/>
      <c r="DJ1150" s="4"/>
      <c r="DK1150" s="4"/>
      <c r="DL1150" s="4"/>
      <c r="DM1150" s="4"/>
      <c r="DN1150" s="4"/>
      <c r="DO1150" s="4"/>
      <c r="DP1150" s="4"/>
      <c r="DQ1150" s="4"/>
      <c r="DR1150" s="4"/>
      <c r="DS1150" s="4"/>
      <c r="DT1150" s="4"/>
      <c r="DU1150" s="4"/>
      <c r="DV1150" s="4"/>
      <c r="DW1150" s="4"/>
      <c r="DX1150" s="4"/>
      <c r="DY1150" s="4"/>
      <c r="DZ1150" s="4"/>
      <c r="EA1150" s="4"/>
      <c r="EB1150" s="4"/>
      <c r="EC1150" s="4"/>
      <c r="ED1150" s="4"/>
      <c r="EE1150" s="4"/>
      <c r="EF1150" s="4"/>
      <c r="EG1150" s="4"/>
      <c r="EH1150" s="4"/>
      <c r="EI1150" s="4"/>
      <c r="EJ1150" s="4"/>
      <c r="EK1150" s="4"/>
      <c r="EL1150" s="4"/>
      <c r="EM1150" s="4"/>
      <c r="EN1150" s="4"/>
      <c r="EO1150" s="4"/>
      <c r="EP1150" s="4"/>
      <c r="EQ1150" s="4"/>
      <c r="ER1150" s="4"/>
      <c r="ES1150" s="4"/>
      <c r="ET1150" s="4"/>
      <c r="EU1150" s="4"/>
      <c r="EV1150" s="4"/>
      <c r="EW1150" s="4"/>
      <c r="EX1150" s="4"/>
      <c r="EY1150" s="4"/>
      <c r="EZ1150" s="4"/>
      <c r="FA1150" s="4"/>
      <c r="FB1150" s="4"/>
      <c r="FC1150" s="4"/>
      <c r="FD1150" s="4"/>
      <c r="FE1150" s="4"/>
      <c r="FF1150" s="4"/>
      <c r="FG1150" s="4"/>
      <c r="FH1150" s="4"/>
      <c r="FI1150" s="4"/>
      <c r="FJ1150" s="4"/>
      <c r="FK1150" s="4"/>
      <c r="FL1150" s="4"/>
      <c r="FM1150" s="4"/>
      <c r="FN1150" s="4"/>
      <c r="FO1150" s="4"/>
      <c r="FP1150" s="4"/>
      <c r="FQ1150" s="4"/>
      <c r="FR1150" s="4"/>
      <c r="FS1150" s="4"/>
      <c r="FT1150" s="4"/>
      <c r="FU1150" s="4"/>
      <c r="FV1150" s="4"/>
      <c r="FW1150" s="4"/>
      <c r="FX1150" s="4"/>
      <c r="FY1150" s="4"/>
      <c r="FZ1150" s="4"/>
      <c r="GA1150" s="4"/>
      <c r="GB1150" s="4"/>
      <c r="GC1150" s="4"/>
      <c r="GD1150" s="4"/>
      <c r="GE1150" s="4"/>
      <c r="GF1150" s="4"/>
      <c r="GG1150" s="4"/>
      <c r="GH1150" s="4"/>
    </row>
    <row r="1151">
      <c r="A1151" s="2" t="s">
        <v>6535</v>
      </c>
      <c r="B1151" s="2" t="s">
        <v>230</v>
      </c>
      <c r="C1151" s="2" t="s">
        <v>877</v>
      </c>
      <c r="D1151" s="2" t="s">
        <v>232</v>
      </c>
      <c r="E1151" s="2" t="s">
        <v>233</v>
      </c>
      <c r="F1151" s="2" t="s">
        <v>378</v>
      </c>
      <c r="G1151" s="2" t="s">
        <v>378</v>
      </c>
      <c r="H1151" s="2" t="s">
        <v>378</v>
      </c>
      <c r="I1151" s="2" t="s">
        <v>6529</v>
      </c>
      <c r="J1151" s="2" t="s">
        <v>302</v>
      </c>
      <c r="K1151" s="2" t="s">
        <v>387</v>
      </c>
      <c r="L1151" s="3">
        <v>16.75</v>
      </c>
      <c r="M1151" s="3">
        <v>17.59</v>
      </c>
      <c r="N1151" s="3">
        <v>37.99</v>
      </c>
      <c r="O1151" s="2" t="s">
        <v>212</v>
      </c>
      <c r="P1151" s="2" t="s">
        <v>258</v>
      </c>
      <c r="Q1151" s="2" t="s">
        <v>206</v>
      </c>
      <c r="R1151" s="2" t="s">
        <v>200</v>
      </c>
      <c r="S1151" s="2" t="s">
        <v>6530</v>
      </c>
      <c r="T1151" s="2" t="s">
        <v>378</v>
      </c>
      <c r="U1151" s="2" t="s">
        <v>240</v>
      </c>
      <c r="V1151" s="2" t="s">
        <v>208</v>
      </c>
      <c r="W1151" s="2" t="s">
        <v>241</v>
      </c>
      <c r="X1151" s="2" t="s">
        <v>200</v>
      </c>
      <c r="Y1151" s="2" t="s">
        <v>6531</v>
      </c>
      <c r="Z1151" s="4">
        <v>151</v>
      </c>
      <c r="AA1151" s="4">
        <f>=ROUNDDOWN(50.3333333333333,0)</f>
      </c>
      <c r="AB1151" s="5">
        <v>3</v>
      </c>
      <c r="AC1151" s="2" t="s">
        <v>200</v>
      </c>
      <c r="AD1151" s="4"/>
      <c r="AE1151" s="4"/>
      <c r="AF1151" s="6">
        <v>65</v>
      </c>
      <c r="AG1151" s="6"/>
      <c r="AH1151" s="7">
        <v>1</v>
      </c>
      <c r="AI1151" s="4"/>
      <c r="AJ1151" s="4">
        <f>=ROUNDDOWN({0},0)</f>
      </c>
      <c r="AK1151" s="5"/>
      <c r="AL1151" s="2" t="s">
        <v>200</v>
      </c>
      <c r="AM1151" s="4"/>
      <c r="AN1151" s="4"/>
      <c r="AO1151" s="7"/>
      <c r="AP1151" s="4"/>
      <c r="AQ1151" s="8"/>
      <c r="AR1151" s="4"/>
      <c r="AS1151" s="8"/>
      <c r="AT1151" s="7"/>
      <c r="AU1151" s="7"/>
      <c r="AV1151" s="4" t="s">
        <v>200</v>
      </c>
      <c r="AW1151" s="8" t="s">
        <v>200</v>
      </c>
      <c r="AX1151" s="4" t="s">
        <v>200</v>
      </c>
      <c r="AY1151" s="8" t="s">
        <v>200</v>
      </c>
      <c r="AZ1151" s="7" t="s">
        <v>200</v>
      </c>
      <c r="BA1151" s="7" t="s">
        <v>200</v>
      </c>
      <c r="BB1151" s="7"/>
      <c r="BC1151" s="4" t="s">
        <v>200</v>
      </c>
      <c r="BD1151" s="8" t="s">
        <v>200</v>
      </c>
      <c r="BE1151" s="4" t="s">
        <v>200</v>
      </c>
      <c r="BF1151" s="8" t="s">
        <v>200</v>
      </c>
      <c r="BG1151" s="7" t="s">
        <v>200</v>
      </c>
      <c r="BH1151" s="7" t="s">
        <v>200</v>
      </c>
      <c r="BI1151" s="7"/>
      <c r="BJ1151" s="4">
        <v>7</v>
      </c>
      <c r="BK1151" s="8">
        <v>117.25</v>
      </c>
      <c r="BL1151" s="2" t="s">
        <v>6536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6537</v>
      </c>
      <c r="BV1151" s="2" t="s">
        <v>200</v>
      </c>
      <c r="BW1151" s="2" t="s">
        <v>200</v>
      </c>
      <c r="BX1151" s="2" t="s">
        <v>264</v>
      </c>
      <c r="BY1151" s="2" t="s">
        <v>247</v>
      </c>
      <c r="BZ1151" s="2" t="s">
        <v>212</v>
      </c>
      <c r="CA1151" s="2" t="s">
        <v>343</v>
      </c>
      <c r="CB1151" s="2" t="s">
        <v>200</v>
      </c>
      <c r="CC1151" s="2" t="s">
        <v>213</v>
      </c>
      <c r="CD1151" s="2" t="s">
        <v>200</v>
      </c>
      <c r="CE1151" s="4">
        <v>151</v>
      </c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  <c r="DT1151" s="4"/>
      <c r="DU1151" s="4"/>
      <c r="DV1151" s="4"/>
      <c r="DW1151" s="4"/>
      <c r="DX1151" s="4"/>
      <c r="DY1151" s="4"/>
      <c r="DZ1151" s="4"/>
      <c r="EA1151" s="4"/>
      <c r="EB1151" s="4"/>
      <c r="EC1151" s="4"/>
      <c r="ED1151" s="4"/>
      <c r="EE1151" s="4"/>
      <c r="EF1151" s="4"/>
      <c r="EG1151" s="4"/>
      <c r="EH1151" s="4"/>
      <c r="EI1151" s="4"/>
      <c r="EJ1151" s="4"/>
      <c r="EK1151" s="4"/>
      <c r="EL1151" s="4"/>
      <c r="EM1151" s="4"/>
      <c r="EN1151" s="4"/>
      <c r="EO1151" s="4"/>
      <c r="EP1151" s="4"/>
      <c r="EQ1151" s="4"/>
      <c r="ER1151" s="4"/>
      <c r="ES1151" s="4"/>
      <c r="ET1151" s="4"/>
      <c r="EU1151" s="4"/>
      <c r="EV1151" s="4"/>
      <c r="EW1151" s="4"/>
      <c r="EX1151" s="4"/>
      <c r="EY1151" s="4"/>
      <c r="EZ1151" s="4"/>
      <c r="FA1151" s="4"/>
      <c r="FB1151" s="4"/>
      <c r="FC1151" s="4"/>
      <c r="FD1151" s="4"/>
      <c r="FE1151" s="4"/>
      <c r="FF1151" s="4"/>
      <c r="FG1151" s="4"/>
      <c r="FH1151" s="4"/>
      <c r="FI1151" s="4"/>
      <c r="FJ1151" s="4"/>
      <c r="FK1151" s="4"/>
      <c r="FL1151" s="4"/>
      <c r="FM1151" s="4"/>
      <c r="FN1151" s="4"/>
      <c r="FO1151" s="4"/>
      <c r="FP1151" s="4"/>
      <c r="FQ1151" s="4"/>
      <c r="FR1151" s="4"/>
      <c r="FS1151" s="4"/>
      <c r="FT1151" s="4"/>
      <c r="FU1151" s="4"/>
      <c r="FV1151" s="4"/>
      <c r="FW1151" s="4"/>
      <c r="FX1151" s="4"/>
      <c r="FY1151" s="4"/>
      <c r="FZ1151" s="4"/>
      <c r="GA1151" s="4"/>
      <c r="GB1151" s="4"/>
      <c r="GC1151" s="4"/>
      <c r="GD1151" s="4"/>
      <c r="GE1151" s="4"/>
      <c r="GF1151" s="4"/>
      <c r="GG1151" s="4"/>
      <c r="GH1151" s="4"/>
    </row>
    <row r="1152">
      <c r="A1152" s="2" t="s">
        <v>6538</v>
      </c>
      <c r="B1152" s="2" t="s">
        <v>230</v>
      </c>
      <c r="C1152" s="2" t="s">
        <v>877</v>
      </c>
      <c r="D1152" s="2" t="s">
        <v>232</v>
      </c>
      <c r="E1152" s="2" t="s">
        <v>233</v>
      </c>
      <c r="F1152" s="2" t="s">
        <v>378</v>
      </c>
      <c r="G1152" s="2" t="s">
        <v>378</v>
      </c>
      <c r="H1152" s="2" t="s">
        <v>378</v>
      </c>
      <c r="I1152" s="2" t="s">
        <v>6529</v>
      </c>
      <c r="J1152" s="2" t="s">
        <v>269</v>
      </c>
      <c r="K1152" s="2" t="s">
        <v>499</v>
      </c>
      <c r="L1152" s="3">
        <v>11.18</v>
      </c>
      <c r="M1152" s="3">
        <v>11.74</v>
      </c>
      <c r="N1152" s="3">
        <v>27.99</v>
      </c>
      <c r="O1152" s="2" t="s">
        <v>212</v>
      </c>
      <c r="P1152" s="2" t="s">
        <v>258</v>
      </c>
      <c r="Q1152" s="2" t="s">
        <v>206</v>
      </c>
      <c r="R1152" s="2" t="s">
        <v>200</v>
      </c>
      <c r="S1152" s="2" t="s">
        <v>6539</v>
      </c>
      <c r="T1152" s="2" t="s">
        <v>378</v>
      </c>
      <c r="U1152" s="2" t="s">
        <v>454</v>
      </c>
      <c r="V1152" s="2" t="s">
        <v>208</v>
      </c>
      <c r="W1152" s="2" t="s">
        <v>241</v>
      </c>
      <c r="X1152" s="2" t="s">
        <v>200</v>
      </c>
      <c r="Y1152" s="2" t="s">
        <v>6531</v>
      </c>
      <c r="Z1152" s="4">
        <v>169</v>
      </c>
      <c r="AA1152" s="4">
        <f>=ROUNDDOWN(84.5,0)</f>
      </c>
      <c r="AB1152" s="5">
        <v>2</v>
      </c>
      <c r="AC1152" s="2" t="s">
        <v>200</v>
      </c>
      <c r="AD1152" s="4"/>
      <c r="AE1152" s="4"/>
      <c r="AF1152" s="6">
        <v>65</v>
      </c>
      <c r="AG1152" s="6"/>
      <c r="AH1152" s="7">
        <v>1</v>
      </c>
      <c r="AI1152" s="4"/>
      <c r="AJ1152" s="4">
        <f>=ROUNDDOWN({0},0)</f>
      </c>
      <c r="AK1152" s="5"/>
      <c r="AL1152" s="2" t="s">
        <v>200</v>
      </c>
      <c r="AM1152" s="4"/>
      <c r="AN1152" s="4"/>
      <c r="AO1152" s="7"/>
      <c r="AP1152" s="4"/>
      <c r="AQ1152" s="8"/>
      <c r="AR1152" s="4"/>
      <c r="AS1152" s="8"/>
      <c r="AT1152" s="7"/>
      <c r="AU1152" s="7"/>
      <c r="AV1152" s="4" t="s">
        <v>200</v>
      </c>
      <c r="AW1152" s="8" t="s">
        <v>200</v>
      </c>
      <c r="AX1152" s="4" t="s">
        <v>200</v>
      </c>
      <c r="AY1152" s="8" t="s">
        <v>200</v>
      </c>
      <c r="AZ1152" s="7" t="s">
        <v>200</v>
      </c>
      <c r="BA1152" s="7" t="s">
        <v>200</v>
      </c>
      <c r="BB1152" s="7"/>
      <c r="BC1152" s="4" t="s">
        <v>200</v>
      </c>
      <c r="BD1152" s="8" t="s">
        <v>200</v>
      </c>
      <c r="BE1152" s="4" t="s">
        <v>200</v>
      </c>
      <c r="BF1152" s="8" t="s">
        <v>200</v>
      </c>
      <c r="BG1152" s="7" t="s">
        <v>200</v>
      </c>
      <c r="BH1152" s="7" t="s">
        <v>200</v>
      </c>
      <c r="BI1152" s="7"/>
      <c r="BJ1152" s="4">
        <v>14</v>
      </c>
      <c r="BK1152" s="8">
        <v>155.71</v>
      </c>
      <c r="BL1152" s="2" t="s">
        <v>2436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6540</v>
      </c>
      <c r="BV1152" s="2" t="s">
        <v>200</v>
      </c>
      <c r="BW1152" s="2" t="s">
        <v>200</v>
      </c>
      <c r="BX1152" s="2" t="s">
        <v>264</v>
      </c>
      <c r="BY1152" s="2" t="s">
        <v>247</v>
      </c>
      <c r="BZ1152" s="2" t="s">
        <v>212</v>
      </c>
      <c r="CA1152" s="2" t="s">
        <v>343</v>
      </c>
      <c r="CB1152" s="2" t="s">
        <v>2993</v>
      </c>
      <c r="CC1152" s="2" t="s">
        <v>213</v>
      </c>
      <c r="CD1152" s="2" t="s">
        <v>200</v>
      </c>
      <c r="CE1152" s="4">
        <v>169</v>
      </c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E1152" s="4"/>
      <c r="DF1152" s="4"/>
      <c r="DG1152" s="4"/>
      <c r="DH1152" s="4"/>
      <c r="DI1152" s="4"/>
      <c r="DJ1152" s="4"/>
      <c r="DK1152" s="4"/>
      <c r="DL1152" s="4"/>
      <c r="DM1152" s="4"/>
      <c r="DN1152" s="4"/>
      <c r="DO1152" s="4"/>
      <c r="DP1152" s="4"/>
      <c r="DQ1152" s="4"/>
      <c r="DR1152" s="4"/>
      <c r="DS1152" s="4"/>
      <c r="DT1152" s="4"/>
      <c r="DU1152" s="4"/>
      <c r="DV1152" s="4"/>
      <c r="DW1152" s="4"/>
      <c r="DX1152" s="4"/>
      <c r="DY1152" s="4"/>
      <c r="DZ1152" s="4"/>
      <c r="EA1152" s="4"/>
      <c r="EB1152" s="4"/>
      <c r="EC1152" s="4"/>
      <c r="ED1152" s="4"/>
      <c r="EE1152" s="4"/>
      <c r="EF1152" s="4"/>
      <c r="EG1152" s="4"/>
      <c r="EH1152" s="4"/>
      <c r="EI1152" s="4"/>
      <c r="EJ1152" s="4"/>
      <c r="EK1152" s="4"/>
      <c r="EL1152" s="4"/>
      <c r="EM1152" s="4"/>
      <c r="EN1152" s="4"/>
      <c r="EO1152" s="4"/>
      <c r="EP1152" s="4"/>
      <c r="EQ1152" s="4"/>
      <c r="ER1152" s="4"/>
      <c r="ES1152" s="4"/>
      <c r="ET1152" s="4"/>
      <c r="EU1152" s="4"/>
      <c r="EV1152" s="4"/>
      <c r="EW1152" s="4"/>
      <c r="EX1152" s="4"/>
      <c r="EY1152" s="4"/>
      <c r="EZ1152" s="4"/>
      <c r="FA1152" s="4"/>
      <c r="FB1152" s="4"/>
      <c r="FC1152" s="4"/>
      <c r="FD1152" s="4"/>
      <c r="FE1152" s="4"/>
      <c r="FF1152" s="4"/>
      <c r="FG1152" s="4"/>
      <c r="FH1152" s="4"/>
      <c r="FI1152" s="4"/>
      <c r="FJ1152" s="4"/>
      <c r="FK1152" s="4"/>
      <c r="FL1152" s="4"/>
      <c r="FM1152" s="4"/>
      <c r="FN1152" s="4"/>
      <c r="FO1152" s="4"/>
      <c r="FP1152" s="4"/>
      <c r="FQ1152" s="4"/>
      <c r="FR1152" s="4"/>
      <c r="FS1152" s="4"/>
      <c r="FT1152" s="4"/>
      <c r="FU1152" s="4"/>
      <c r="FV1152" s="4"/>
      <c r="FW1152" s="4"/>
      <c r="FX1152" s="4"/>
      <c r="FY1152" s="4"/>
      <c r="FZ1152" s="4"/>
      <c r="GA1152" s="4"/>
      <c r="GB1152" s="4"/>
      <c r="GC1152" s="4"/>
      <c r="GD1152" s="4"/>
      <c r="GE1152" s="4"/>
      <c r="GF1152" s="4"/>
      <c r="GG1152" s="4"/>
      <c r="GH1152" s="4"/>
    </row>
    <row r="1153">
      <c r="A1153" s="2" t="s">
        <v>6541</v>
      </c>
      <c r="B1153" s="2" t="s">
        <v>230</v>
      </c>
      <c r="C1153" s="2" t="s">
        <v>877</v>
      </c>
      <c r="D1153" s="2" t="s">
        <v>232</v>
      </c>
      <c r="E1153" s="2" t="s">
        <v>233</v>
      </c>
      <c r="F1153" s="2" t="s">
        <v>378</v>
      </c>
      <c r="G1153" s="2" t="s">
        <v>378</v>
      </c>
      <c r="H1153" s="2" t="s">
        <v>378</v>
      </c>
      <c r="I1153" s="2" t="s">
        <v>6529</v>
      </c>
      <c r="J1153" s="2" t="s">
        <v>302</v>
      </c>
      <c r="K1153" s="2" t="s">
        <v>499</v>
      </c>
      <c r="L1153" s="3">
        <v>16.75</v>
      </c>
      <c r="M1153" s="3">
        <v>17.59</v>
      </c>
      <c r="N1153" s="3">
        <v>37.99</v>
      </c>
      <c r="O1153" s="2" t="s">
        <v>212</v>
      </c>
      <c r="P1153" s="2" t="s">
        <v>258</v>
      </c>
      <c r="Q1153" s="2" t="s">
        <v>206</v>
      </c>
      <c r="R1153" s="2" t="s">
        <v>200</v>
      </c>
      <c r="S1153" s="2" t="s">
        <v>6539</v>
      </c>
      <c r="T1153" s="2" t="s">
        <v>378</v>
      </c>
      <c r="U1153" s="2" t="s">
        <v>240</v>
      </c>
      <c r="V1153" s="2" t="s">
        <v>208</v>
      </c>
      <c r="W1153" s="2" t="s">
        <v>241</v>
      </c>
      <c r="X1153" s="2" t="s">
        <v>200</v>
      </c>
      <c r="Y1153" s="2" t="s">
        <v>6531</v>
      </c>
      <c r="Z1153" s="4">
        <v>60</v>
      </c>
      <c r="AA1153" s="4">
        <f>=ROUNDDOWN(42.8571428571429,0)</f>
      </c>
      <c r="AB1153" s="5">
        <v>1.4</v>
      </c>
      <c r="AC1153" s="2" t="s">
        <v>200</v>
      </c>
      <c r="AD1153" s="4"/>
      <c r="AE1153" s="4"/>
      <c r="AF1153" s="6">
        <v>65</v>
      </c>
      <c r="AG1153" s="6"/>
      <c r="AH1153" s="7">
        <v>1</v>
      </c>
      <c r="AI1153" s="4"/>
      <c r="AJ1153" s="4">
        <f>=ROUNDDOWN({0},0)</f>
      </c>
      <c r="AK1153" s="5"/>
      <c r="AL1153" s="2" t="s">
        <v>200</v>
      </c>
      <c r="AM1153" s="4"/>
      <c r="AN1153" s="4"/>
      <c r="AO1153" s="7"/>
      <c r="AP1153" s="4"/>
      <c r="AQ1153" s="8"/>
      <c r="AR1153" s="4"/>
      <c r="AS1153" s="8"/>
      <c r="AT1153" s="7"/>
      <c r="AU1153" s="7"/>
      <c r="AV1153" s="4" t="s">
        <v>200</v>
      </c>
      <c r="AW1153" s="8" t="s">
        <v>200</v>
      </c>
      <c r="AX1153" s="4" t="s">
        <v>200</v>
      </c>
      <c r="AY1153" s="8" t="s">
        <v>200</v>
      </c>
      <c r="AZ1153" s="7" t="s">
        <v>200</v>
      </c>
      <c r="BA1153" s="7" t="s">
        <v>200</v>
      </c>
      <c r="BB1153" s="7"/>
      <c r="BC1153" s="4" t="s">
        <v>200</v>
      </c>
      <c r="BD1153" s="8" t="s">
        <v>200</v>
      </c>
      <c r="BE1153" s="4" t="s">
        <v>200</v>
      </c>
      <c r="BF1153" s="8" t="s">
        <v>200</v>
      </c>
      <c r="BG1153" s="7" t="s">
        <v>200</v>
      </c>
      <c r="BH1153" s="7" t="s">
        <v>200</v>
      </c>
      <c r="BI1153" s="7"/>
      <c r="BJ1153" s="4">
        <v>4</v>
      </c>
      <c r="BK1153" s="8">
        <v>66.44</v>
      </c>
      <c r="BL1153" s="2" t="s">
        <v>319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6542</v>
      </c>
      <c r="BV1153" s="2" t="s">
        <v>200</v>
      </c>
      <c r="BW1153" s="2" t="s">
        <v>200</v>
      </c>
      <c r="BX1153" s="2" t="s">
        <v>264</v>
      </c>
      <c r="BY1153" s="2" t="s">
        <v>247</v>
      </c>
      <c r="BZ1153" s="2" t="s">
        <v>212</v>
      </c>
      <c r="CA1153" s="2" t="s">
        <v>343</v>
      </c>
      <c r="CB1153" s="2" t="s">
        <v>4846</v>
      </c>
      <c r="CC1153" s="2" t="s">
        <v>213</v>
      </c>
      <c r="CD1153" s="2" t="s">
        <v>200</v>
      </c>
      <c r="CE1153" s="4">
        <v>60</v>
      </c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  <c r="DT1153" s="4"/>
      <c r="DU1153" s="4"/>
      <c r="DV1153" s="4"/>
      <c r="DW1153" s="4"/>
      <c r="DX1153" s="4"/>
      <c r="DY1153" s="4"/>
      <c r="DZ1153" s="4"/>
      <c r="EA1153" s="4"/>
      <c r="EB1153" s="4"/>
      <c r="EC1153" s="4"/>
      <c r="ED1153" s="4"/>
      <c r="EE1153" s="4"/>
      <c r="EF1153" s="4"/>
      <c r="EG1153" s="4"/>
      <c r="EH1153" s="4"/>
      <c r="EI1153" s="4"/>
      <c r="EJ1153" s="4"/>
      <c r="EK1153" s="4"/>
      <c r="EL1153" s="4"/>
      <c r="EM1153" s="4"/>
      <c r="EN1153" s="4"/>
      <c r="EO1153" s="4"/>
      <c r="EP1153" s="4"/>
      <c r="EQ1153" s="4"/>
      <c r="ER1153" s="4"/>
      <c r="ES1153" s="4"/>
      <c r="ET1153" s="4"/>
      <c r="EU1153" s="4"/>
      <c r="EV1153" s="4"/>
      <c r="EW1153" s="4"/>
      <c r="EX1153" s="4"/>
      <c r="EY1153" s="4"/>
      <c r="EZ1153" s="4"/>
      <c r="FA1153" s="4"/>
      <c r="FB1153" s="4"/>
      <c r="FC1153" s="4"/>
      <c r="FD1153" s="4"/>
      <c r="FE1153" s="4"/>
      <c r="FF1153" s="4"/>
      <c r="FG1153" s="4"/>
      <c r="FH1153" s="4"/>
      <c r="FI1153" s="4"/>
      <c r="FJ1153" s="4"/>
      <c r="FK1153" s="4"/>
      <c r="FL1153" s="4"/>
      <c r="FM1153" s="4"/>
      <c r="FN1153" s="4"/>
      <c r="FO1153" s="4"/>
      <c r="FP1153" s="4"/>
      <c r="FQ1153" s="4"/>
      <c r="FR1153" s="4"/>
      <c r="FS1153" s="4"/>
      <c r="FT1153" s="4"/>
      <c r="FU1153" s="4"/>
      <c r="FV1153" s="4"/>
      <c r="FW1153" s="4"/>
      <c r="FX1153" s="4"/>
      <c r="FY1153" s="4"/>
      <c r="FZ1153" s="4"/>
      <c r="GA1153" s="4"/>
      <c r="GB1153" s="4"/>
      <c r="GC1153" s="4"/>
      <c r="GD1153" s="4"/>
      <c r="GE1153" s="4"/>
      <c r="GF1153" s="4"/>
      <c r="GG1153" s="4"/>
      <c r="GH1153" s="4"/>
    </row>
    <row r="1154">
      <c r="A1154" s="2" t="s">
        <v>6543</v>
      </c>
      <c r="B1154" s="2" t="s">
        <v>230</v>
      </c>
      <c r="C1154" s="2" t="s">
        <v>877</v>
      </c>
      <c r="D1154" s="2" t="s">
        <v>232</v>
      </c>
      <c r="E1154" s="2" t="s">
        <v>233</v>
      </c>
      <c r="F1154" s="2" t="s">
        <v>378</v>
      </c>
      <c r="G1154" s="2" t="s">
        <v>378</v>
      </c>
      <c r="H1154" s="2" t="s">
        <v>378</v>
      </c>
      <c r="I1154" s="2" t="s">
        <v>6529</v>
      </c>
      <c r="J1154" s="2" t="s">
        <v>256</v>
      </c>
      <c r="K1154" s="2" t="s">
        <v>1214</v>
      </c>
      <c r="L1154" s="3">
        <v>11.18</v>
      </c>
      <c r="M1154" s="3">
        <v>11.74</v>
      </c>
      <c r="N1154" s="3">
        <v>27.99</v>
      </c>
      <c r="O1154" s="2" t="s">
        <v>212</v>
      </c>
      <c r="P1154" s="2" t="s">
        <v>258</v>
      </c>
      <c r="Q1154" s="2" t="s">
        <v>206</v>
      </c>
      <c r="R1154" s="2" t="s">
        <v>200</v>
      </c>
      <c r="S1154" s="2" t="s">
        <v>6544</v>
      </c>
      <c r="T1154" s="2" t="s">
        <v>378</v>
      </c>
      <c r="U1154" s="2" t="s">
        <v>200</v>
      </c>
      <c r="V1154" s="2" t="s">
        <v>208</v>
      </c>
      <c r="W1154" s="2" t="s">
        <v>241</v>
      </c>
      <c r="X1154" s="2" t="s">
        <v>200</v>
      </c>
      <c r="Y1154" s="2" t="s">
        <v>261</v>
      </c>
      <c r="Z1154" s="4">
        <v>142</v>
      </c>
      <c r="AA1154" s="4">
        <f>=ROUNDDOWN(15.7777777777778,0)</f>
      </c>
      <c r="AB1154" s="5">
        <v>9</v>
      </c>
      <c r="AC1154" s="2" t="s">
        <v>116</v>
      </c>
      <c r="AD1154" s="4">
        <v>50</v>
      </c>
      <c r="AE1154" s="4">
        <v>230</v>
      </c>
      <c r="AF1154" s="6">
        <v>65</v>
      </c>
      <c r="AG1154" s="6"/>
      <c r="AH1154" s="7">
        <v>1</v>
      </c>
      <c r="AI1154" s="4"/>
      <c r="AJ1154" s="4">
        <f>=ROUNDDOWN({0},0)</f>
      </c>
      <c r="AK1154" s="5"/>
      <c r="AL1154" s="2" t="s">
        <v>200</v>
      </c>
      <c r="AM1154" s="4"/>
      <c r="AN1154" s="4"/>
      <c r="AO1154" s="7"/>
      <c r="AP1154" s="4"/>
      <c r="AQ1154" s="8"/>
      <c r="AR1154" s="4"/>
      <c r="AS1154" s="8"/>
      <c r="AT1154" s="7"/>
      <c r="AU1154" s="7"/>
      <c r="AV1154" s="4" t="s">
        <v>200</v>
      </c>
      <c r="AW1154" s="8" t="s">
        <v>200</v>
      </c>
      <c r="AX1154" s="4" t="s">
        <v>200</v>
      </c>
      <c r="AY1154" s="8" t="s">
        <v>200</v>
      </c>
      <c r="AZ1154" s="7" t="s">
        <v>200</v>
      </c>
      <c r="BA1154" s="7" t="s">
        <v>200</v>
      </c>
      <c r="BB1154" s="7" t="s">
        <v>200</v>
      </c>
      <c r="BC1154" s="4" t="s">
        <v>200</v>
      </c>
      <c r="BD1154" s="8" t="s">
        <v>200</v>
      </c>
      <c r="BE1154" s="4" t="s">
        <v>200</v>
      </c>
      <c r="BF1154" s="8" t="s">
        <v>200</v>
      </c>
      <c r="BG1154" s="7" t="s">
        <v>200</v>
      </c>
      <c r="BH1154" s="7" t="s">
        <v>200</v>
      </c>
      <c r="BI1154" s="7"/>
      <c r="BJ1154" s="4">
        <v>41</v>
      </c>
      <c r="BK1154" s="8">
        <v>491.35</v>
      </c>
      <c r="BL1154" s="2" t="s">
        <v>6545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6546</v>
      </c>
      <c r="BV1154" s="2" t="s">
        <v>200</v>
      </c>
      <c r="BW1154" s="2" t="s">
        <v>200</v>
      </c>
      <c r="BX1154" s="2" t="s">
        <v>264</v>
      </c>
      <c r="BY1154" s="2" t="s">
        <v>247</v>
      </c>
      <c r="BZ1154" s="2" t="s">
        <v>212</v>
      </c>
      <c r="CA1154" s="2" t="s">
        <v>6329</v>
      </c>
      <c r="CB1154" s="2" t="s">
        <v>6547</v>
      </c>
      <c r="CC1154" s="2" t="s">
        <v>213</v>
      </c>
      <c r="CD1154" s="2" t="s">
        <v>200</v>
      </c>
      <c r="CE1154" s="4">
        <v>142</v>
      </c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>
        <v>50</v>
      </c>
      <c r="DD1154" s="4"/>
      <c r="DE1154" s="4"/>
      <c r="DF1154" s="4"/>
      <c r="DG1154" s="4"/>
      <c r="DH1154" s="4"/>
      <c r="DI1154" s="4"/>
      <c r="DJ1154" s="4"/>
      <c r="DK1154" s="4"/>
      <c r="DL1154" s="4"/>
      <c r="DM1154" s="4"/>
      <c r="DN1154" s="4"/>
      <c r="DO1154" s="4"/>
      <c r="DP1154" s="4"/>
      <c r="DQ1154" s="4"/>
      <c r="DR1154" s="4"/>
      <c r="DS1154" s="4"/>
      <c r="DT1154" s="4"/>
      <c r="DU1154" s="4"/>
      <c r="DV1154" s="4"/>
      <c r="DW1154" s="4"/>
      <c r="DX1154" s="4"/>
      <c r="DY1154" s="4"/>
      <c r="DZ1154" s="4"/>
      <c r="EA1154" s="4"/>
      <c r="EB1154" s="4"/>
      <c r="EC1154" s="4"/>
      <c r="ED1154" s="4"/>
      <c r="EE1154" s="4"/>
      <c r="EF1154" s="4"/>
      <c r="EG1154" s="4"/>
      <c r="EH1154" s="4"/>
      <c r="EI1154" s="4"/>
      <c r="EJ1154" s="4"/>
      <c r="EK1154" s="4"/>
      <c r="EL1154" s="4"/>
      <c r="EM1154" s="4"/>
      <c r="EN1154" s="4"/>
      <c r="EO1154" s="4"/>
      <c r="EP1154" s="4">
        <v>80</v>
      </c>
      <c r="EQ1154" s="4"/>
      <c r="ER1154" s="4"/>
      <c r="ES1154" s="4"/>
      <c r="ET1154" s="4"/>
      <c r="EU1154" s="4"/>
      <c r="EV1154" s="4"/>
      <c r="EW1154" s="4"/>
      <c r="EX1154" s="4"/>
      <c r="EY1154" s="4"/>
      <c r="EZ1154" s="4"/>
      <c r="FA1154" s="4"/>
      <c r="FB1154" s="4"/>
      <c r="FC1154" s="4"/>
      <c r="FD1154" s="4"/>
      <c r="FE1154" s="4"/>
      <c r="FF1154" s="4"/>
      <c r="FG1154" s="4"/>
      <c r="FH1154" s="4"/>
      <c r="FI1154" s="4">
        <v>100</v>
      </c>
      <c r="FJ1154" s="4"/>
      <c r="FK1154" s="4"/>
      <c r="FL1154" s="4"/>
      <c r="FM1154" s="4"/>
      <c r="FN1154" s="4"/>
      <c r="FO1154" s="4"/>
      <c r="FP1154" s="4"/>
      <c r="FQ1154" s="4"/>
      <c r="FR1154" s="4"/>
      <c r="FS1154" s="4"/>
      <c r="FT1154" s="4"/>
      <c r="FU1154" s="4"/>
      <c r="FV1154" s="4"/>
      <c r="FW1154" s="4"/>
      <c r="FX1154" s="4"/>
      <c r="FY1154" s="4"/>
      <c r="FZ1154" s="4"/>
      <c r="GA1154" s="4"/>
      <c r="GB1154" s="4"/>
      <c r="GC1154" s="4"/>
      <c r="GD1154" s="4"/>
      <c r="GE1154" s="4"/>
      <c r="GF1154" s="4"/>
      <c r="GG1154" s="4"/>
      <c r="GH1154" s="4"/>
    </row>
    <row r="1155">
      <c r="A1155" s="2" t="s">
        <v>6548</v>
      </c>
      <c r="B1155" s="2" t="s">
        <v>230</v>
      </c>
      <c r="C1155" s="2" t="s">
        <v>877</v>
      </c>
      <c r="D1155" s="2" t="s">
        <v>232</v>
      </c>
      <c r="E1155" s="2" t="s">
        <v>233</v>
      </c>
      <c r="F1155" s="2" t="s">
        <v>378</v>
      </c>
      <c r="G1155" s="2" t="s">
        <v>378</v>
      </c>
      <c r="H1155" s="2" t="s">
        <v>378</v>
      </c>
      <c r="I1155" s="2" t="s">
        <v>6549</v>
      </c>
      <c r="J1155" s="2" t="s">
        <v>256</v>
      </c>
      <c r="K1155" s="2" t="s">
        <v>1214</v>
      </c>
      <c r="L1155" s="3">
        <v>12.15</v>
      </c>
      <c r="M1155" s="3">
        <v>12.76</v>
      </c>
      <c r="N1155" s="3">
        <v>26.99</v>
      </c>
      <c r="O1155" s="2" t="s">
        <v>212</v>
      </c>
      <c r="P1155" s="2" t="s">
        <v>258</v>
      </c>
      <c r="Q1155" s="2" t="s">
        <v>206</v>
      </c>
      <c r="R1155" s="2" t="s">
        <v>200</v>
      </c>
      <c r="S1155" s="2" t="s">
        <v>6544</v>
      </c>
      <c r="T1155" s="2" t="s">
        <v>378</v>
      </c>
      <c r="U1155" s="2" t="s">
        <v>240</v>
      </c>
      <c r="V1155" s="2" t="s">
        <v>208</v>
      </c>
      <c r="W1155" s="2" t="s">
        <v>241</v>
      </c>
      <c r="X1155" s="2" t="s">
        <v>379</v>
      </c>
      <c r="Y1155" s="2" t="s">
        <v>6550</v>
      </c>
      <c r="Z1155" s="4">
        <v>208</v>
      </c>
      <c r="AA1155" s="4">
        <f>=ROUNDDOWN(41.6,0)</f>
      </c>
      <c r="AB1155" s="5">
        <v>5</v>
      </c>
      <c r="AC1155" s="2" t="s">
        <v>200</v>
      </c>
      <c r="AD1155" s="4"/>
      <c r="AE1155" s="4"/>
      <c r="AF1155" s="6">
        <v>65</v>
      </c>
      <c r="AG1155" s="6"/>
      <c r="AH1155" s="7">
        <v>1</v>
      </c>
      <c r="AI1155" s="4"/>
      <c r="AJ1155" s="4">
        <f>=ROUNDDOWN({0},0)</f>
      </c>
      <c r="AK1155" s="5"/>
      <c r="AL1155" s="2" t="s">
        <v>200</v>
      </c>
      <c r="AM1155" s="4"/>
      <c r="AN1155" s="4"/>
      <c r="AO1155" s="7"/>
      <c r="AP1155" s="4"/>
      <c r="AQ1155" s="8"/>
      <c r="AR1155" s="4"/>
      <c r="AS1155" s="8"/>
      <c r="AT1155" s="7"/>
      <c r="AU1155" s="7"/>
      <c r="AV1155" s="4" t="s">
        <v>200</v>
      </c>
      <c r="AW1155" s="8" t="s">
        <v>200</v>
      </c>
      <c r="AX1155" s="4" t="s">
        <v>200</v>
      </c>
      <c r="AY1155" s="8" t="s">
        <v>200</v>
      </c>
      <c r="AZ1155" s="7" t="s">
        <v>200</v>
      </c>
      <c r="BA1155" s="7" t="s">
        <v>200</v>
      </c>
      <c r="BB1155" s="7" t="s">
        <v>200</v>
      </c>
      <c r="BC1155" s="4" t="s">
        <v>200</v>
      </c>
      <c r="BD1155" s="8" t="s">
        <v>200</v>
      </c>
      <c r="BE1155" s="4" t="s">
        <v>200</v>
      </c>
      <c r="BF1155" s="8" t="s">
        <v>200</v>
      </c>
      <c r="BG1155" s="7" t="s">
        <v>200</v>
      </c>
      <c r="BH1155" s="7" t="s">
        <v>200</v>
      </c>
      <c r="BI1155" s="7"/>
      <c r="BJ1155" s="4">
        <v>40</v>
      </c>
      <c r="BK1155" s="8">
        <v>533.4</v>
      </c>
      <c r="BL1155" s="2" t="s">
        <v>6551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6552</v>
      </c>
      <c r="BV1155" s="2" t="s">
        <v>200</v>
      </c>
      <c r="BW1155" s="2" t="s">
        <v>200</v>
      </c>
      <c r="BX1155" s="2" t="s">
        <v>264</v>
      </c>
      <c r="BY1155" s="2" t="s">
        <v>247</v>
      </c>
      <c r="BZ1155" s="2" t="s">
        <v>212</v>
      </c>
      <c r="CA1155" s="2" t="s">
        <v>6553</v>
      </c>
      <c r="CB1155" s="2" t="s">
        <v>4709</v>
      </c>
      <c r="CC1155" s="2" t="s">
        <v>213</v>
      </c>
      <c r="CD1155" s="2" t="s">
        <v>200</v>
      </c>
      <c r="CE1155" s="4">
        <v>208</v>
      </c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/>
      <c r="DO1155" s="4"/>
      <c r="DP1155" s="4"/>
      <c r="DQ1155" s="4"/>
      <c r="DR1155" s="4"/>
      <c r="DS1155" s="4"/>
      <c r="DT1155" s="4"/>
      <c r="DU1155" s="4"/>
      <c r="DV1155" s="4"/>
      <c r="DW1155" s="4"/>
      <c r="DX1155" s="4"/>
      <c r="DY1155" s="4"/>
      <c r="DZ1155" s="4"/>
      <c r="EA1155" s="4"/>
      <c r="EB1155" s="4"/>
      <c r="EC1155" s="4"/>
      <c r="ED1155" s="4"/>
      <c r="EE1155" s="4"/>
      <c r="EF1155" s="4"/>
      <c r="EG1155" s="4"/>
      <c r="EH1155" s="4"/>
      <c r="EI1155" s="4"/>
      <c r="EJ1155" s="4"/>
      <c r="EK1155" s="4"/>
      <c r="EL1155" s="4"/>
      <c r="EM1155" s="4"/>
      <c r="EN1155" s="4"/>
      <c r="EO1155" s="4"/>
      <c r="EP1155" s="4"/>
      <c r="EQ1155" s="4"/>
      <c r="ER1155" s="4"/>
      <c r="ES1155" s="4"/>
      <c r="ET1155" s="4"/>
      <c r="EU1155" s="4"/>
      <c r="EV1155" s="4"/>
      <c r="EW1155" s="4"/>
      <c r="EX1155" s="4"/>
      <c r="EY1155" s="4"/>
      <c r="EZ1155" s="4"/>
      <c r="FA1155" s="4"/>
      <c r="FB1155" s="4"/>
      <c r="FC1155" s="4"/>
      <c r="FD1155" s="4"/>
      <c r="FE1155" s="4"/>
      <c r="FF1155" s="4"/>
      <c r="FG1155" s="4"/>
      <c r="FH1155" s="4"/>
      <c r="FI1155" s="4"/>
      <c r="FJ1155" s="4"/>
      <c r="FK1155" s="4"/>
      <c r="FL1155" s="4"/>
      <c r="FM1155" s="4"/>
      <c r="FN1155" s="4"/>
      <c r="FO1155" s="4"/>
      <c r="FP1155" s="4"/>
      <c r="FQ1155" s="4"/>
      <c r="FR1155" s="4"/>
      <c r="FS1155" s="4"/>
      <c r="FT1155" s="4"/>
      <c r="FU1155" s="4"/>
      <c r="FV1155" s="4"/>
      <c r="FW1155" s="4"/>
      <c r="FX1155" s="4"/>
      <c r="FY1155" s="4"/>
      <c r="FZ1155" s="4"/>
      <c r="GA1155" s="4"/>
      <c r="GB1155" s="4"/>
      <c r="GC1155" s="4"/>
      <c r="GD1155" s="4"/>
      <c r="GE1155" s="4"/>
      <c r="GF1155" s="4"/>
      <c r="GG1155" s="4"/>
      <c r="GH1155" s="4"/>
    </row>
    <row r="1156">
      <c r="A1156" s="2" t="s">
        <v>6554</v>
      </c>
      <c r="B1156" s="2" t="s">
        <v>230</v>
      </c>
      <c r="C1156" s="2" t="s">
        <v>877</v>
      </c>
      <c r="D1156" s="2" t="s">
        <v>232</v>
      </c>
      <c r="E1156" s="2" t="s">
        <v>233</v>
      </c>
      <c r="F1156" s="2" t="s">
        <v>378</v>
      </c>
      <c r="G1156" s="2" t="s">
        <v>378</v>
      </c>
      <c r="H1156" s="2" t="s">
        <v>378</v>
      </c>
      <c r="I1156" s="2" t="s">
        <v>6549</v>
      </c>
      <c r="J1156" s="2" t="s">
        <v>277</v>
      </c>
      <c r="K1156" s="2" t="s">
        <v>1214</v>
      </c>
      <c r="L1156" s="3">
        <v>14.85</v>
      </c>
      <c r="M1156" s="3">
        <v>15.59</v>
      </c>
      <c r="N1156" s="3">
        <v>32.99</v>
      </c>
      <c r="O1156" s="2" t="s">
        <v>212</v>
      </c>
      <c r="P1156" s="2" t="s">
        <v>258</v>
      </c>
      <c r="Q1156" s="2" t="s">
        <v>206</v>
      </c>
      <c r="R1156" s="2" t="s">
        <v>200</v>
      </c>
      <c r="S1156" s="2" t="s">
        <v>6544</v>
      </c>
      <c r="T1156" s="2" t="s">
        <v>378</v>
      </c>
      <c r="U1156" s="2" t="s">
        <v>662</v>
      </c>
      <c r="V1156" s="2" t="s">
        <v>208</v>
      </c>
      <c r="W1156" s="2" t="s">
        <v>241</v>
      </c>
      <c r="X1156" s="2" t="s">
        <v>379</v>
      </c>
      <c r="Y1156" s="2" t="s">
        <v>6550</v>
      </c>
      <c r="Z1156" s="4">
        <v>138</v>
      </c>
      <c r="AA1156" s="4">
        <f>=ROUNDDOWN(46,0)</f>
      </c>
      <c r="AB1156" s="5">
        <v>3</v>
      </c>
      <c r="AC1156" s="2" t="s">
        <v>200</v>
      </c>
      <c r="AD1156" s="4"/>
      <c r="AE1156" s="4"/>
      <c r="AF1156" s="6">
        <v>65</v>
      </c>
      <c r="AG1156" s="6"/>
      <c r="AH1156" s="7">
        <v>1</v>
      </c>
      <c r="AI1156" s="4"/>
      <c r="AJ1156" s="4">
        <f>=ROUNDDOWN({0},0)</f>
      </c>
      <c r="AK1156" s="5"/>
      <c r="AL1156" s="2" t="s">
        <v>200</v>
      </c>
      <c r="AM1156" s="4"/>
      <c r="AN1156" s="4"/>
      <c r="AO1156" s="7"/>
      <c r="AP1156" s="4"/>
      <c r="AQ1156" s="8"/>
      <c r="AR1156" s="4"/>
      <c r="AS1156" s="8"/>
      <c r="AT1156" s="7"/>
      <c r="AU1156" s="7"/>
      <c r="AV1156" s="4" t="s">
        <v>200</v>
      </c>
      <c r="AW1156" s="8" t="s">
        <v>200</v>
      </c>
      <c r="AX1156" s="4" t="s">
        <v>200</v>
      </c>
      <c r="AY1156" s="8" t="s">
        <v>200</v>
      </c>
      <c r="AZ1156" s="7" t="s">
        <v>200</v>
      </c>
      <c r="BA1156" s="7" t="s">
        <v>200</v>
      </c>
      <c r="BB1156" s="7"/>
      <c r="BC1156" s="4" t="s">
        <v>200</v>
      </c>
      <c r="BD1156" s="8" t="s">
        <v>200</v>
      </c>
      <c r="BE1156" s="4" t="s">
        <v>200</v>
      </c>
      <c r="BF1156" s="8" t="s">
        <v>200</v>
      </c>
      <c r="BG1156" s="7" t="s">
        <v>200</v>
      </c>
      <c r="BH1156" s="7" t="s">
        <v>200</v>
      </c>
      <c r="BI1156" s="7"/>
      <c r="BJ1156" s="4">
        <v>16</v>
      </c>
      <c r="BK1156" s="8">
        <v>251.66</v>
      </c>
      <c r="BL1156" s="2" t="s">
        <v>6555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6556</v>
      </c>
      <c r="BV1156" s="2" t="s">
        <v>200</v>
      </c>
      <c r="BW1156" s="2" t="s">
        <v>200</v>
      </c>
      <c r="BX1156" s="2" t="s">
        <v>264</v>
      </c>
      <c r="BY1156" s="2" t="s">
        <v>247</v>
      </c>
      <c r="BZ1156" s="2" t="s">
        <v>212</v>
      </c>
      <c r="CA1156" s="2" t="s">
        <v>6553</v>
      </c>
      <c r="CB1156" s="2" t="s">
        <v>5168</v>
      </c>
      <c r="CC1156" s="2" t="s">
        <v>213</v>
      </c>
      <c r="CD1156" s="2" t="s">
        <v>200</v>
      </c>
      <c r="CE1156" s="4">
        <v>138</v>
      </c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E1156" s="4"/>
      <c r="DF1156" s="4"/>
      <c r="DG1156" s="4"/>
      <c r="DH1156" s="4"/>
      <c r="DI1156" s="4"/>
      <c r="DJ1156" s="4"/>
      <c r="DK1156" s="4"/>
      <c r="DL1156" s="4"/>
      <c r="DM1156" s="4"/>
      <c r="DN1156" s="4"/>
      <c r="DO1156" s="4"/>
      <c r="DP1156" s="4"/>
      <c r="DQ1156" s="4"/>
      <c r="DR1156" s="4"/>
      <c r="DS1156" s="4"/>
      <c r="DT1156" s="4"/>
      <c r="DU1156" s="4"/>
      <c r="DV1156" s="4"/>
      <c r="DW1156" s="4"/>
      <c r="DX1156" s="4"/>
      <c r="DY1156" s="4"/>
      <c r="DZ1156" s="4"/>
      <c r="EA1156" s="4"/>
      <c r="EB1156" s="4"/>
      <c r="EC1156" s="4"/>
      <c r="ED1156" s="4"/>
      <c r="EE1156" s="4"/>
      <c r="EF1156" s="4"/>
      <c r="EG1156" s="4"/>
      <c r="EH1156" s="4"/>
      <c r="EI1156" s="4"/>
      <c r="EJ1156" s="4"/>
      <c r="EK1156" s="4"/>
      <c r="EL1156" s="4"/>
      <c r="EM1156" s="4"/>
      <c r="EN1156" s="4"/>
      <c r="EO1156" s="4"/>
      <c r="EP1156" s="4"/>
      <c r="EQ1156" s="4"/>
      <c r="ER1156" s="4"/>
      <c r="ES1156" s="4"/>
      <c r="ET1156" s="4"/>
      <c r="EU1156" s="4"/>
      <c r="EV1156" s="4"/>
      <c r="EW1156" s="4"/>
      <c r="EX1156" s="4"/>
      <c r="EY1156" s="4"/>
      <c r="EZ1156" s="4"/>
      <c r="FA1156" s="4"/>
      <c r="FB1156" s="4"/>
      <c r="FC1156" s="4"/>
      <c r="FD1156" s="4"/>
      <c r="FE1156" s="4"/>
      <c r="FF1156" s="4"/>
      <c r="FG1156" s="4"/>
      <c r="FH1156" s="4"/>
      <c r="FI1156" s="4"/>
      <c r="FJ1156" s="4"/>
      <c r="FK1156" s="4"/>
      <c r="FL1156" s="4"/>
      <c r="FM1156" s="4"/>
      <c r="FN1156" s="4"/>
      <c r="FO1156" s="4"/>
      <c r="FP1156" s="4"/>
      <c r="FQ1156" s="4"/>
      <c r="FR1156" s="4"/>
      <c r="FS1156" s="4"/>
      <c r="FT1156" s="4"/>
      <c r="FU1156" s="4"/>
      <c r="FV1156" s="4"/>
      <c r="FW1156" s="4"/>
      <c r="FX1156" s="4"/>
      <c r="FY1156" s="4"/>
      <c r="FZ1156" s="4"/>
      <c r="GA1156" s="4"/>
      <c r="GB1156" s="4"/>
      <c r="GC1156" s="4"/>
      <c r="GD1156" s="4"/>
      <c r="GE1156" s="4"/>
      <c r="GF1156" s="4"/>
      <c r="GG1156" s="4"/>
      <c r="GH1156" s="4"/>
    </row>
    <row r="1157">
      <c r="A1157" s="2" t="s">
        <v>6557</v>
      </c>
      <c r="B1157" s="2" t="s">
        <v>230</v>
      </c>
      <c r="C1157" s="2" t="s">
        <v>877</v>
      </c>
      <c r="D1157" s="2" t="s">
        <v>232</v>
      </c>
      <c r="E1157" s="2" t="s">
        <v>233</v>
      </c>
      <c r="F1157" s="2" t="s">
        <v>378</v>
      </c>
      <c r="G1157" s="2" t="s">
        <v>378</v>
      </c>
      <c r="H1157" s="2" t="s">
        <v>378</v>
      </c>
      <c r="I1157" s="2" t="s">
        <v>6549</v>
      </c>
      <c r="J1157" s="2" t="s">
        <v>297</v>
      </c>
      <c r="K1157" s="2" t="s">
        <v>1214</v>
      </c>
      <c r="L1157" s="3">
        <v>14.85</v>
      </c>
      <c r="M1157" s="3">
        <v>15.59</v>
      </c>
      <c r="N1157" s="3">
        <v>32.99</v>
      </c>
      <c r="O1157" s="2" t="s">
        <v>212</v>
      </c>
      <c r="P1157" s="2" t="s">
        <v>258</v>
      </c>
      <c r="Q1157" s="2" t="s">
        <v>206</v>
      </c>
      <c r="R1157" s="2" t="s">
        <v>200</v>
      </c>
      <c r="S1157" s="2" t="s">
        <v>6544</v>
      </c>
      <c r="T1157" s="2" t="s">
        <v>378</v>
      </c>
      <c r="U1157" s="2" t="s">
        <v>662</v>
      </c>
      <c r="V1157" s="2" t="s">
        <v>208</v>
      </c>
      <c r="W1157" s="2" t="s">
        <v>241</v>
      </c>
      <c r="X1157" s="2" t="s">
        <v>379</v>
      </c>
      <c r="Y1157" s="2" t="s">
        <v>6550</v>
      </c>
      <c r="Z1157" s="4">
        <v>133</v>
      </c>
      <c r="AA1157" s="4">
        <f>=ROUNDDOWN(7.38888888888889,0)</f>
      </c>
      <c r="AB1157" s="5">
        <v>18</v>
      </c>
      <c r="AC1157" s="2" t="s">
        <v>116</v>
      </c>
      <c r="AD1157" s="4">
        <v>200</v>
      </c>
      <c r="AE1157" s="4">
        <v>440</v>
      </c>
      <c r="AF1157" s="6">
        <v>65</v>
      </c>
      <c r="AG1157" s="6"/>
      <c r="AH1157" s="7">
        <v>1</v>
      </c>
      <c r="AI1157" s="4"/>
      <c r="AJ1157" s="4">
        <f>=ROUNDDOWN({0},0)</f>
      </c>
      <c r="AK1157" s="5"/>
      <c r="AL1157" s="2" t="s">
        <v>200</v>
      </c>
      <c r="AM1157" s="4"/>
      <c r="AN1157" s="4"/>
      <c r="AO1157" s="7"/>
      <c r="AP1157" s="4"/>
      <c r="AQ1157" s="8"/>
      <c r="AR1157" s="4"/>
      <c r="AS1157" s="8"/>
      <c r="AT1157" s="7"/>
      <c r="AU1157" s="7"/>
      <c r="AV1157" s="4" t="s">
        <v>200</v>
      </c>
      <c r="AW1157" s="8" t="s">
        <v>200</v>
      </c>
      <c r="AX1157" s="4" t="s">
        <v>200</v>
      </c>
      <c r="AY1157" s="8" t="s">
        <v>200</v>
      </c>
      <c r="AZ1157" s="7" t="s">
        <v>200</v>
      </c>
      <c r="BA1157" s="7" t="s">
        <v>200</v>
      </c>
      <c r="BB1157" s="7"/>
      <c r="BC1157" s="4" t="s">
        <v>200</v>
      </c>
      <c r="BD1157" s="8" t="s">
        <v>200</v>
      </c>
      <c r="BE1157" s="4" t="s">
        <v>200</v>
      </c>
      <c r="BF1157" s="8" t="s">
        <v>200</v>
      </c>
      <c r="BG1157" s="7" t="s">
        <v>200</v>
      </c>
      <c r="BH1157" s="7" t="s">
        <v>200</v>
      </c>
      <c r="BI1157" s="7"/>
      <c r="BJ1157" s="4">
        <v>74</v>
      </c>
      <c r="BK1157" s="8">
        <v>1153.76</v>
      </c>
      <c r="BL1157" s="2" t="s">
        <v>6558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6559</v>
      </c>
      <c r="BV1157" s="2" t="s">
        <v>200</v>
      </c>
      <c r="BW1157" s="2" t="s">
        <v>200</v>
      </c>
      <c r="BX1157" s="2" t="s">
        <v>264</v>
      </c>
      <c r="BY1157" s="2" t="s">
        <v>247</v>
      </c>
      <c r="BZ1157" s="2" t="s">
        <v>212</v>
      </c>
      <c r="CA1157" s="2" t="s">
        <v>6553</v>
      </c>
      <c r="CB1157" s="2" t="s">
        <v>6560</v>
      </c>
      <c r="CC1157" s="2" t="s">
        <v>213</v>
      </c>
      <c r="CD1157" s="2" t="s">
        <v>200</v>
      </c>
      <c r="CE1157" s="4">
        <v>133</v>
      </c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>
        <v>200</v>
      </c>
      <c r="DD1157" s="4"/>
      <c r="DE1157" s="4"/>
      <c r="DF1157" s="4"/>
      <c r="DG1157" s="4"/>
      <c r="DH1157" s="4"/>
      <c r="DI1157" s="4"/>
      <c r="DJ1157" s="4"/>
      <c r="DK1157" s="4"/>
      <c r="DL1157" s="4"/>
      <c r="DM1157" s="4"/>
      <c r="DN1157" s="4"/>
      <c r="DO1157" s="4"/>
      <c r="DP1157" s="4"/>
      <c r="DQ1157" s="4"/>
      <c r="DR1157" s="4"/>
      <c r="DS1157" s="4"/>
      <c r="DT1157" s="4"/>
      <c r="DU1157" s="4"/>
      <c r="DV1157" s="4"/>
      <c r="DW1157" s="4"/>
      <c r="DX1157" s="4"/>
      <c r="DY1157" s="4"/>
      <c r="DZ1157" s="4"/>
      <c r="EA1157" s="4"/>
      <c r="EB1157" s="4"/>
      <c r="EC1157" s="4"/>
      <c r="ED1157" s="4"/>
      <c r="EE1157" s="4"/>
      <c r="EF1157" s="4"/>
      <c r="EG1157" s="4"/>
      <c r="EH1157" s="4"/>
      <c r="EI1157" s="4"/>
      <c r="EJ1157" s="4"/>
      <c r="EK1157" s="4"/>
      <c r="EL1157" s="4"/>
      <c r="EM1157" s="4"/>
      <c r="EN1157" s="4"/>
      <c r="EO1157" s="4"/>
      <c r="EP1157" s="4">
        <v>240</v>
      </c>
      <c r="EQ1157" s="4"/>
      <c r="ER1157" s="4"/>
      <c r="ES1157" s="4"/>
      <c r="ET1157" s="4"/>
      <c r="EU1157" s="4"/>
      <c r="EV1157" s="4"/>
      <c r="EW1157" s="4"/>
      <c r="EX1157" s="4"/>
      <c r="EY1157" s="4"/>
      <c r="EZ1157" s="4"/>
      <c r="FA1157" s="4"/>
      <c r="FB1157" s="4"/>
      <c r="FC1157" s="4"/>
      <c r="FD1157" s="4"/>
      <c r="FE1157" s="4"/>
      <c r="FF1157" s="4"/>
      <c r="FG1157" s="4"/>
      <c r="FH1157" s="4"/>
      <c r="FI1157" s="4"/>
      <c r="FJ1157" s="4"/>
      <c r="FK1157" s="4"/>
      <c r="FL1157" s="4"/>
      <c r="FM1157" s="4"/>
      <c r="FN1157" s="4"/>
      <c r="FO1157" s="4"/>
      <c r="FP1157" s="4"/>
      <c r="FQ1157" s="4"/>
      <c r="FR1157" s="4"/>
      <c r="FS1157" s="4"/>
      <c r="FT1157" s="4"/>
      <c r="FU1157" s="4"/>
      <c r="FV1157" s="4"/>
      <c r="FW1157" s="4"/>
      <c r="FX1157" s="4"/>
      <c r="FY1157" s="4"/>
      <c r="FZ1157" s="4"/>
      <c r="GA1157" s="4"/>
      <c r="GB1157" s="4"/>
      <c r="GC1157" s="4"/>
      <c r="GD1157" s="4"/>
      <c r="GE1157" s="4"/>
      <c r="GF1157" s="4"/>
      <c r="GG1157" s="4"/>
      <c r="GH1157" s="4"/>
    </row>
    <row r="1158">
      <c r="A1158" s="2" t="s">
        <v>6561</v>
      </c>
      <c r="B1158" s="2" t="s">
        <v>230</v>
      </c>
      <c r="C1158" s="2" t="s">
        <v>877</v>
      </c>
      <c r="D1158" s="2" t="s">
        <v>232</v>
      </c>
      <c r="E1158" s="2" t="s">
        <v>233</v>
      </c>
      <c r="F1158" s="2" t="s">
        <v>378</v>
      </c>
      <c r="G1158" s="2" t="s">
        <v>378</v>
      </c>
      <c r="H1158" s="2" t="s">
        <v>378</v>
      </c>
      <c r="I1158" s="2" t="s">
        <v>6549</v>
      </c>
      <c r="J1158" s="2" t="s">
        <v>256</v>
      </c>
      <c r="K1158" s="2" t="s">
        <v>221</v>
      </c>
      <c r="L1158" s="3">
        <v>12.15</v>
      </c>
      <c r="M1158" s="3">
        <v>12.76</v>
      </c>
      <c r="N1158" s="3">
        <v>26.99</v>
      </c>
      <c r="O1158" s="2" t="s">
        <v>212</v>
      </c>
      <c r="P1158" s="2" t="s">
        <v>258</v>
      </c>
      <c r="Q1158" s="2" t="s">
        <v>206</v>
      </c>
      <c r="R1158" s="2" t="s">
        <v>200</v>
      </c>
      <c r="S1158" s="2" t="s">
        <v>6562</v>
      </c>
      <c r="T1158" s="2" t="s">
        <v>378</v>
      </c>
      <c r="U1158" s="2" t="s">
        <v>240</v>
      </c>
      <c r="V1158" s="2" t="s">
        <v>208</v>
      </c>
      <c r="W1158" s="2" t="s">
        <v>379</v>
      </c>
      <c r="X1158" s="2" t="s">
        <v>200</v>
      </c>
      <c r="Y1158" s="2" t="s">
        <v>6448</v>
      </c>
      <c r="Z1158" s="4">
        <v>121</v>
      </c>
      <c r="AA1158" s="4">
        <f>=ROUNDDOWN(40.3333333333333,0)</f>
      </c>
      <c r="AB1158" s="5">
        <v>3</v>
      </c>
      <c r="AC1158" s="2" t="s">
        <v>116</v>
      </c>
      <c r="AD1158" s="4">
        <v>40</v>
      </c>
      <c r="AE1158" s="4">
        <v>40</v>
      </c>
      <c r="AF1158" s="6">
        <v>65</v>
      </c>
      <c r="AG1158" s="6"/>
      <c r="AH1158" s="7">
        <v>1</v>
      </c>
      <c r="AI1158" s="4"/>
      <c r="AJ1158" s="4">
        <f>=ROUNDDOWN({0},0)</f>
      </c>
      <c r="AK1158" s="5"/>
      <c r="AL1158" s="2" t="s">
        <v>200</v>
      </c>
      <c r="AM1158" s="4"/>
      <c r="AN1158" s="4"/>
      <c r="AO1158" s="7"/>
      <c r="AP1158" s="4"/>
      <c r="AQ1158" s="8"/>
      <c r="AR1158" s="4"/>
      <c r="AS1158" s="8"/>
      <c r="AT1158" s="7"/>
      <c r="AU1158" s="7"/>
      <c r="AV1158" s="4" t="s">
        <v>200</v>
      </c>
      <c r="AW1158" s="8" t="s">
        <v>200</v>
      </c>
      <c r="AX1158" s="4" t="s">
        <v>200</v>
      </c>
      <c r="AY1158" s="8" t="s">
        <v>200</v>
      </c>
      <c r="AZ1158" s="7" t="s">
        <v>200</v>
      </c>
      <c r="BA1158" s="7" t="s">
        <v>200</v>
      </c>
      <c r="BB1158" s="7"/>
      <c r="BC1158" s="4" t="s">
        <v>200</v>
      </c>
      <c r="BD1158" s="8" t="s">
        <v>200</v>
      </c>
      <c r="BE1158" s="4" t="s">
        <v>200</v>
      </c>
      <c r="BF1158" s="8" t="s">
        <v>200</v>
      </c>
      <c r="BG1158" s="7" t="s">
        <v>200</v>
      </c>
      <c r="BH1158" s="7" t="s">
        <v>200</v>
      </c>
      <c r="BI1158" s="7"/>
      <c r="BJ1158" s="4">
        <v>10</v>
      </c>
      <c r="BK1158" s="8">
        <v>135.72</v>
      </c>
      <c r="BL1158" s="2" t="s">
        <v>6563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6564</v>
      </c>
      <c r="BV1158" s="2" t="s">
        <v>200</v>
      </c>
      <c r="BW1158" s="2" t="s">
        <v>200</v>
      </c>
      <c r="BX1158" s="2" t="s">
        <v>264</v>
      </c>
      <c r="BY1158" s="2" t="s">
        <v>247</v>
      </c>
      <c r="BZ1158" s="2" t="s">
        <v>212</v>
      </c>
      <c r="CA1158" s="2" t="s">
        <v>3576</v>
      </c>
      <c r="CB1158" s="2" t="s">
        <v>6565</v>
      </c>
      <c r="CC1158" s="2" t="s">
        <v>213</v>
      </c>
      <c r="CD1158" s="2" t="s">
        <v>200</v>
      </c>
      <c r="CE1158" s="4">
        <v>121</v>
      </c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>
        <v>40</v>
      </c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/>
      <c r="DS1158" s="4"/>
      <c r="DT1158" s="4"/>
      <c r="DU1158" s="4"/>
      <c r="DV1158" s="4"/>
      <c r="DW1158" s="4"/>
      <c r="DX1158" s="4"/>
      <c r="DY1158" s="4"/>
      <c r="DZ1158" s="4"/>
      <c r="EA1158" s="4"/>
      <c r="EB1158" s="4"/>
      <c r="EC1158" s="4"/>
      <c r="ED1158" s="4"/>
      <c r="EE1158" s="4"/>
      <c r="EF1158" s="4"/>
      <c r="EG1158" s="4"/>
      <c r="EH1158" s="4"/>
      <c r="EI1158" s="4"/>
      <c r="EJ1158" s="4"/>
      <c r="EK1158" s="4"/>
      <c r="EL1158" s="4"/>
      <c r="EM1158" s="4"/>
      <c r="EN1158" s="4"/>
      <c r="EO1158" s="4"/>
      <c r="EP1158" s="4"/>
      <c r="EQ1158" s="4"/>
      <c r="ER1158" s="4"/>
      <c r="ES1158" s="4"/>
      <c r="ET1158" s="4"/>
      <c r="EU1158" s="4"/>
      <c r="EV1158" s="4"/>
      <c r="EW1158" s="4"/>
      <c r="EX1158" s="4"/>
      <c r="EY1158" s="4"/>
      <c r="EZ1158" s="4"/>
      <c r="FA1158" s="4"/>
      <c r="FB1158" s="4"/>
      <c r="FC1158" s="4"/>
      <c r="FD1158" s="4"/>
      <c r="FE1158" s="4"/>
      <c r="FF1158" s="4"/>
      <c r="FG1158" s="4"/>
      <c r="FH1158" s="4"/>
      <c r="FI1158" s="4"/>
      <c r="FJ1158" s="4"/>
      <c r="FK1158" s="4"/>
      <c r="FL1158" s="4"/>
      <c r="FM1158" s="4"/>
      <c r="FN1158" s="4"/>
      <c r="FO1158" s="4"/>
      <c r="FP1158" s="4"/>
      <c r="FQ1158" s="4"/>
      <c r="FR1158" s="4"/>
      <c r="FS1158" s="4"/>
      <c r="FT1158" s="4"/>
      <c r="FU1158" s="4"/>
      <c r="FV1158" s="4"/>
      <c r="FW1158" s="4"/>
      <c r="FX1158" s="4"/>
      <c r="FY1158" s="4"/>
      <c r="FZ1158" s="4"/>
      <c r="GA1158" s="4"/>
      <c r="GB1158" s="4"/>
      <c r="GC1158" s="4"/>
      <c r="GD1158" s="4"/>
      <c r="GE1158" s="4"/>
      <c r="GF1158" s="4"/>
      <c r="GG1158" s="4"/>
      <c r="GH1158" s="4"/>
    </row>
    <row r="1159">
      <c r="A1159" s="2" t="s">
        <v>6566</v>
      </c>
      <c r="B1159" s="2" t="s">
        <v>230</v>
      </c>
      <c r="C1159" s="2" t="s">
        <v>877</v>
      </c>
      <c r="D1159" s="2" t="s">
        <v>232</v>
      </c>
      <c r="E1159" s="2" t="s">
        <v>233</v>
      </c>
      <c r="F1159" s="2" t="s">
        <v>378</v>
      </c>
      <c r="G1159" s="2" t="s">
        <v>378</v>
      </c>
      <c r="H1159" s="2" t="s">
        <v>378</v>
      </c>
      <c r="I1159" s="2" t="s">
        <v>6529</v>
      </c>
      <c r="J1159" s="2" t="s">
        <v>269</v>
      </c>
      <c r="K1159" s="2" t="s">
        <v>221</v>
      </c>
      <c r="L1159" s="3">
        <v>11.18</v>
      </c>
      <c r="M1159" s="3">
        <v>11.74</v>
      </c>
      <c r="N1159" s="3">
        <v>27.99</v>
      </c>
      <c r="O1159" s="2" t="s">
        <v>212</v>
      </c>
      <c r="P1159" s="2" t="s">
        <v>258</v>
      </c>
      <c r="Q1159" s="2" t="s">
        <v>206</v>
      </c>
      <c r="R1159" s="2" t="s">
        <v>200</v>
      </c>
      <c r="S1159" s="2" t="s">
        <v>6562</v>
      </c>
      <c r="T1159" s="2" t="s">
        <v>378</v>
      </c>
      <c r="U1159" s="2" t="s">
        <v>200</v>
      </c>
      <c r="V1159" s="2" t="s">
        <v>208</v>
      </c>
      <c r="W1159" s="2" t="s">
        <v>241</v>
      </c>
      <c r="X1159" s="2" t="s">
        <v>200</v>
      </c>
      <c r="Y1159" s="2" t="s">
        <v>261</v>
      </c>
      <c r="Z1159" s="4">
        <v>393</v>
      </c>
      <c r="AA1159" s="4">
        <f>=ROUNDDOWN(98.25,0)</f>
      </c>
      <c r="AB1159" s="5">
        <v>4</v>
      </c>
      <c r="AC1159" s="2" t="s">
        <v>200</v>
      </c>
      <c r="AD1159" s="4"/>
      <c r="AE1159" s="4"/>
      <c r="AF1159" s="6">
        <v>65</v>
      </c>
      <c r="AG1159" s="6"/>
      <c r="AH1159" s="7">
        <v>1</v>
      </c>
      <c r="AI1159" s="4"/>
      <c r="AJ1159" s="4">
        <f>=ROUNDDOWN({0},0)</f>
      </c>
      <c r="AK1159" s="5"/>
      <c r="AL1159" s="2" t="s">
        <v>200</v>
      </c>
      <c r="AM1159" s="4"/>
      <c r="AN1159" s="4"/>
      <c r="AO1159" s="7"/>
      <c r="AP1159" s="4"/>
      <c r="AQ1159" s="8"/>
      <c r="AR1159" s="4"/>
      <c r="AS1159" s="8"/>
      <c r="AT1159" s="7"/>
      <c r="AU1159" s="7"/>
      <c r="AV1159" s="4" t="s">
        <v>200</v>
      </c>
      <c r="AW1159" s="8" t="s">
        <v>200</v>
      </c>
      <c r="AX1159" s="4" t="s">
        <v>200</v>
      </c>
      <c r="AY1159" s="8" t="s">
        <v>200</v>
      </c>
      <c r="AZ1159" s="7" t="s">
        <v>200</v>
      </c>
      <c r="BA1159" s="7" t="s">
        <v>200</v>
      </c>
      <c r="BB1159" s="7"/>
      <c r="BC1159" s="4" t="s">
        <v>200</v>
      </c>
      <c r="BD1159" s="8" t="s">
        <v>200</v>
      </c>
      <c r="BE1159" s="4" t="s">
        <v>200</v>
      </c>
      <c r="BF1159" s="8" t="s">
        <v>200</v>
      </c>
      <c r="BG1159" s="7" t="s">
        <v>200</v>
      </c>
      <c r="BH1159" s="7" t="s">
        <v>200</v>
      </c>
      <c r="BI1159" s="7"/>
      <c r="BJ1159" s="4">
        <v>12</v>
      </c>
      <c r="BK1159" s="8">
        <v>140.2</v>
      </c>
      <c r="BL1159" s="2" t="s">
        <v>6567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6568</v>
      </c>
      <c r="BV1159" s="2" t="s">
        <v>200</v>
      </c>
      <c r="BW1159" s="2" t="s">
        <v>200</v>
      </c>
      <c r="BX1159" s="2" t="s">
        <v>264</v>
      </c>
      <c r="BY1159" s="2" t="s">
        <v>247</v>
      </c>
      <c r="BZ1159" s="2" t="s">
        <v>212</v>
      </c>
      <c r="CA1159" s="2" t="s">
        <v>265</v>
      </c>
      <c r="CB1159" s="2" t="s">
        <v>1235</v>
      </c>
      <c r="CC1159" s="2" t="s">
        <v>213</v>
      </c>
      <c r="CD1159" s="2" t="s">
        <v>200</v>
      </c>
      <c r="CE1159" s="4">
        <v>393</v>
      </c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E1159" s="4"/>
      <c r="DF1159" s="4"/>
      <c r="DG1159" s="4"/>
      <c r="DH1159" s="4"/>
      <c r="DI1159" s="4"/>
      <c r="DJ1159" s="4"/>
      <c r="DK1159" s="4"/>
      <c r="DL1159" s="4"/>
      <c r="DM1159" s="4"/>
      <c r="DN1159" s="4"/>
      <c r="DO1159" s="4"/>
      <c r="DP1159" s="4"/>
      <c r="DQ1159" s="4"/>
      <c r="DR1159" s="4"/>
      <c r="DS1159" s="4"/>
      <c r="DT1159" s="4"/>
      <c r="DU1159" s="4"/>
      <c r="DV1159" s="4"/>
      <c r="DW1159" s="4"/>
      <c r="DX1159" s="4"/>
      <c r="DY1159" s="4"/>
      <c r="DZ1159" s="4"/>
      <c r="EA1159" s="4"/>
      <c r="EB1159" s="4"/>
      <c r="EC1159" s="4"/>
      <c r="ED1159" s="4"/>
      <c r="EE1159" s="4"/>
      <c r="EF1159" s="4"/>
      <c r="EG1159" s="4"/>
      <c r="EH1159" s="4"/>
      <c r="EI1159" s="4"/>
      <c r="EJ1159" s="4"/>
      <c r="EK1159" s="4"/>
      <c r="EL1159" s="4"/>
      <c r="EM1159" s="4"/>
      <c r="EN1159" s="4"/>
      <c r="EO1159" s="4"/>
      <c r="EP1159" s="4"/>
      <c r="EQ1159" s="4"/>
      <c r="ER1159" s="4"/>
      <c r="ES1159" s="4"/>
      <c r="ET1159" s="4"/>
      <c r="EU1159" s="4"/>
      <c r="EV1159" s="4"/>
      <c r="EW1159" s="4"/>
      <c r="EX1159" s="4"/>
      <c r="EY1159" s="4"/>
      <c r="EZ1159" s="4"/>
      <c r="FA1159" s="4"/>
      <c r="FB1159" s="4"/>
      <c r="FC1159" s="4"/>
      <c r="FD1159" s="4"/>
      <c r="FE1159" s="4"/>
      <c r="FF1159" s="4"/>
      <c r="FG1159" s="4"/>
      <c r="FH1159" s="4"/>
      <c r="FI1159" s="4"/>
      <c r="FJ1159" s="4"/>
      <c r="FK1159" s="4"/>
      <c r="FL1159" s="4"/>
      <c r="FM1159" s="4"/>
      <c r="FN1159" s="4"/>
      <c r="FO1159" s="4"/>
      <c r="FP1159" s="4"/>
      <c r="FQ1159" s="4"/>
      <c r="FR1159" s="4"/>
      <c r="FS1159" s="4"/>
      <c r="FT1159" s="4"/>
      <c r="FU1159" s="4"/>
      <c r="FV1159" s="4"/>
      <c r="FW1159" s="4"/>
      <c r="FX1159" s="4"/>
      <c r="FY1159" s="4"/>
      <c r="FZ1159" s="4"/>
      <c r="GA1159" s="4"/>
      <c r="GB1159" s="4"/>
      <c r="GC1159" s="4"/>
      <c r="GD1159" s="4"/>
      <c r="GE1159" s="4"/>
      <c r="GF1159" s="4"/>
      <c r="GG1159" s="4"/>
      <c r="GH1159" s="4"/>
    </row>
    <row r="1160">
      <c r="A1160" s="2" t="s">
        <v>6569</v>
      </c>
      <c r="B1160" s="2" t="s">
        <v>230</v>
      </c>
      <c r="C1160" s="2" t="s">
        <v>877</v>
      </c>
      <c r="D1160" s="2" t="s">
        <v>232</v>
      </c>
      <c r="E1160" s="2" t="s">
        <v>233</v>
      </c>
      <c r="F1160" s="2" t="s">
        <v>378</v>
      </c>
      <c r="G1160" s="2" t="s">
        <v>378</v>
      </c>
      <c r="H1160" s="2" t="s">
        <v>378</v>
      </c>
      <c r="I1160" s="2" t="s">
        <v>6529</v>
      </c>
      <c r="J1160" s="2" t="s">
        <v>277</v>
      </c>
      <c r="K1160" s="2" t="s">
        <v>221</v>
      </c>
      <c r="L1160" s="3">
        <v>12.92</v>
      </c>
      <c r="M1160" s="3">
        <v>13.57</v>
      </c>
      <c r="N1160" s="3">
        <v>30.99</v>
      </c>
      <c r="O1160" s="2" t="s">
        <v>212</v>
      </c>
      <c r="P1160" s="2" t="s">
        <v>258</v>
      </c>
      <c r="Q1160" s="2" t="s">
        <v>206</v>
      </c>
      <c r="R1160" s="2" t="s">
        <v>200</v>
      </c>
      <c r="S1160" s="2" t="s">
        <v>6562</v>
      </c>
      <c r="T1160" s="2" t="s">
        <v>378</v>
      </c>
      <c r="U1160" s="2" t="s">
        <v>200</v>
      </c>
      <c r="V1160" s="2" t="s">
        <v>208</v>
      </c>
      <c r="W1160" s="2" t="s">
        <v>241</v>
      </c>
      <c r="X1160" s="2" t="s">
        <v>200</v>
      </c>
      <c r="Y1160" s="2" t="s">
        <v>261</v>
      </c>
      <c r="Z1160" s="4">
        <v>277</v>
      </c>
      <c r="AA1160" s="4">
        <f>=ROUNDDOWN(55.4,0)</f>
      </c>
      <c r="AB1160" s="5">
        <v>5</v>
      </c>
      <c r="AC1160" s="2" t="s">
        <v>200</v>
      </c>
      <c r="AD1160" s="4"/>
      <c r="AE1160" s="4"/>
      <c r="AF1160" s="6">
        <v>65</v>
      </c>
      <c r="AG1160" s="6"/>
      <c r="AH1160" s="7">
        <v>1</v>
      </c>
      <c r="AI1160" s="4"/>
      <c r="AJ1160" s="4">
        <f>=ROUNDDOWN({0},0)</f>
      </c>
      <c r="AK1160" s="5"/>
      <c r="AL1160" s="2" t="s">
        <v>200</v>
      </c>
      <c r="AM1160" s="4"/>
      <c r="AN1160" s="4"/>
      <c r="AO1160" s="7"/>
      <c r="AP1160" s="4"/>
      <c r="AQ1160" s="8"/>
      <c r="AR1160" s="4"/>
      <c r="AS1160" s="8"/>
      <c r="AT1160" s="7"/>
      <c r="AU1160" s="7"/>
      <c r="AV1160" s="4" t="s">
        <v>200</v>
      </c>
      <c r="AW1160" s="8" t="s">
        <v>200</v>
      </c>
      <c r="AX1160" s="4" t="s">
        <v>200</v>
      </c>
      <c r="AY1160" s="8" t="s">
        <v>200</v>
      </c>
      <c r="AZ1160" s="7" t="s">
        <v>200</v>
      </c>
      <c r="BA1160" s="7" t="s">
        <v>200</v>
      </c>
      <c r="BB1160" s="7" t="s">
        <v>200</v>
      </c>
      <c r="BC1160" s="4" t="s">
        <v>200</v>
      </c>
      <c r="BD1160" s="8" t="s">
        <v>200</v>
      </c>
      <c r="BE1160" s="4" t="s">
        <v>200</v>
      </c>
      <c r="BF1160" s="8" t="s">
        <v>200</v>
      </c>
      <c r="BG1160" s="7" t="s">
        <v>200</v>
      </c>
      <c r="BH1160" s="7" t="s">
        <v>200</v>
      </c>
      <c r="BI1160" s="7"/>
      <c r="BJ1160" s="4">
        <v>18</v>
      </c>
      <c r="BK1160" s="8">
        <v>239.02</v>
      </c>
      <c r="BL1160" s="2" t="s">
        <v>6570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6571</v>
      </c>
      <c r="BV1160" s="2" t="s">
        <v>200</v>
      </c>
      <c r="BW1160" s="2" t="s">
        <v>200</v>
      </c>
      <c r="BX1160" s="2" t="s">
        <v>264</v>
      </c>
      <c r="BY1160" s="2" t="s">
        <v>247</v>
      </c>
      <c r="BZ1160" s="2" t="s">
        <v>212</v>
      </c>
      <c r="CA1160" s="2" t="s">
        <v>265</v>
      </c>
      <c r="CB1160" s="2" t="s">
        <v>6572</v>
      </c>
      <c r="CC1160" s="2" t="s">
        <v>213</v>
      </c>
      <c r="CD1160" s="2" t="s">
        <v>200</v>
      </c>
      <c r="CE1160" s="4">
        <v>277</v>
      </c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/>
      <c r="DQ1160" s="4"/>
      <c r="DR1160" s="4"/>
      <c r="DS1160" s="4"/>
      <c r="DT1160" s="4"/>
      <c r="DU1160" s="4"/>
      <c r="DV1160" s="4"/>
      <c r="DW1160" s="4"/>
      <c r="DX1160" s="4"/>
      <c r="DY1160" s="4"/>
      <c r="DZ1160" s="4"/>
      <c r="EA1160" s="4"/>
      <c r="EB1160" s="4"/>
      <c r="EC1160" s="4"/>
      <c r="ED1160" s="4"/>
      <c r="EE1160" s="4"/>
      <c r="EF1160" s="4"/>
      <c r="EG1160" s="4"/>
      <c r="EH1160" s="4"/>
      <c r="EI1160" s="4"/>
      <c r="EJ1160" s="4"/>
      <c r="EK1160" s="4"/>
      <c r="EL1160" s="4"/>
      <c r="EM1160" s="4"/>
      <c r="EN1160" s="4"/>
      <c r="EO1160" s="4"/>
      <c r="EP1160" s="4"/>
      <c r="EQ1160" s="4"/>
      <c r="ER1160" s="4"/>
      <c r="ES1160" s="4"/>
      <c r="ET1160" s="4"/>
      <c r="EU1160" s="4"/>
      <c r="EV1160" s="4"/>
      <c r="EW1160" s="4"/>
      <c r="EX1160" s="4"/>
      <c r="EY1160" s="4"/>
      <c r="EZ1160" s="4"/>
      <c r="FA1160" s="4"/>
      <c r="FB1160" s="4"/>
      <c r="FC1160" s="4"/>
      <c r="FD1160" s="4"/>
      <c r="FE1160" s="4"/>
      <c r="FF1160" s="4"/>
      <c r="FG1160" s="4"/>
      <c r="FH1160" s="4"/>
      <c r="FI1160" s="4"/>
      <c r="FJ1160" s="4"/>
      <c r="FK1160" s="4"/>
      <c r="FL1160" s="4"/>
      <c r="FM1160" s="4"/>
      <c r="FN1160" s="4"/>
      <c r="FO1160" s="4"/>
      <c r="FP1160" s="4"/>
      <c r="FQ1160" s="4"/>
      <c r="FR1160" s="4"/>
      <c r="FS1160" s="4"/>
      <c r="FT1160" s="4"/>
      <c r="FU1160" s="4"/>
      <c r="FV1160" s="4"/>
      <c r="FW1160" s="4"/>
      <c r="FX1160" s="4"/>
      <c r="FY1160" s="4"/>
      <c r="FZ1160" s="4"/>
      <c r="GA1160" s="4"/>
      <c r="GB1160" s="4"/>
      <c r="GC1160" s="4"/>
      <c r="GD1160" s="4"/>
      <c r="GE1160" s="4"/>
      <c r="GF1160" s="4"/>
      <c r="GG1160" s="4"/>
      <c r="GH1160" s="4"/>
    </row>
    <row r="1161">
      <c r="A1161" s="2" t="s">
        <v>6573</v>
      </c>
      <c r="B1161" s="2" t="s">
        <v>230</v>
      </c>
      <c r="C1161" s="2" t="s">
        <v>877</v>
      </c>
      <c r="D1161" s="2" t="s">
        <v>232</v>
      </c>
      <c r="E1161" s="2" t="s">
        <v>233</v>
      </c>
      <c r="F1161" s="2" t="s">
        <v>378</v>
      </c>
      <c r="G1161" s="2" t="s">
        <v>378</v>
      </c>
      <c r="H1161" s="2" t="s">
        <v>378</v>
      </c>
      <c r="I1161" s="2" t="s">
        <v>6549</v>
      </c>
      <c r="J1161" s="2" t="s">
        <v>277</v>
      </c>
      <c r="K1161" s="2" t="s">
        <v>221</v>
      </c>
      <c r="L1161" s="3">
        <v>14.85</v>
      </c>
      <c r="M1161" s="3">
        <v>15.59</v>
      </c>
      <c r="N1161" s="3">
        <v>32.99</v>
      </c>
      <c r="O1161" s="2" t="s">
        <v>212</v>
      </c>
      <c r="P1161" s="2" t="s">
        <v>258</v>
      </c>
      <c r="Q1161" s="2" t="s">
        <v>206</v>
      </c>
      <c r="R1161" s="2" t="s">
        <v>200</v>
      </c>
      <c r="S1161" s="2" t="s">
        <v>6562</v>
      </c>
      <c r="T1161" s="2" t="s">
        <v>378</v>
      </c>
      <c r="U1161" s="2" t="s">
        <v>662</v>
      </c>
      <c r="V1161" s="2" t="s">
        <v>208</v>
      </c>
      <c r="W1161" s="2" t="s">
        <v>379</v>
      </c>
      <c r="X1161" s="2" t="s">
        <v>200</v>
      </c>
      <c r="Y1161" s="2" t="s">
        <v>6448</v>
      </c>
      <c r="Z1161" s="4">
        <v>129</v>
      </c>
      <c r="AA1161" s="4">
        <f>=ROUNDDOWN(43,0)</f>
      </c>
      <c r="AB1161" s="5">
        <v>3</v>
      </c>
      <c r="AC1161" s="2" t="s">
        <v>116</v>
      </c>
      <c r="AD1161" s="4">
        <v>60</v>
      </c>
      <c r="AE1161" s="4">
        <v>60</v>
      </c>
      <c r="AF1161" s="6">
        <v>65</v>
      </c>
      <c r="AG1161" s="6"/>
      <c r="AH1161" s="7">
        <v>1</v>
      </c>
      <c r="AI1161" s="4"/>
      <c r="AJ1161" s="4">
        <f>=ROUNDDOWN({0},0)</f>
      </c>
      <c r="AK1161" s="5"/>
      <c r="AL1161" s="2" t="s">
        <v>200</v>
      </c>
      <c r="AM1161" s="4"/>
      <c r="AN1161" s="4"/>
      <c r="AO1161" s="7"/>
      <c r="AP1161" s="4"/>
      <c r="AQ1161" s="8"/>
      <c r="AR1161" s="4"/>
      <c r="AS1161" s="8"/>
      <c r="AT1161" s="7"/>
      <c r="AU1161" s="7"/>
      <c r="AV1161" s="4" t="s">
        <v>200</v>
      </c>
      <c r="AW1161" s="8" t="s">
        <v>200</v>
      </c>
      <c r="AX1161" s="4" t="s">
        <v>200</v>
      </c>
      <c r="AY1161" s="8" t="s">
        <v>200</v>
      </c>
      <c r="AZ1161" s="7" t="s">
        <v>200</v>
      </c>
      <c r="BA1161" s="7" t="s">
        <v>200</v>
      </c>
      <c r="BB1161" s="7" t="s">
        <v>200</v>
      </c>
      <c r="BC1161" s="4" t="s">
        <v>200</v>
      </c>
      <c r="BD1161" s="8" t="s">
        <v>200</v>
      </c>
      <c r="BE1161" s="4" t="s">
        <v>200</v>
      </c>
      <c r="BF1161" s="8" t="s">
        <v>200</v>
      </c>
      <c r="BG1161" s="7" t="s">
        <v>200</v>
      </c>
      <c r="BH1161" s="7" t="s">
        <v>200</v>
      </c>
      <c r="BI1161" s="7"/>
      <c r="BJ1161" s="4">
        <v>20</v>
      </c>
      <c r="BK1161" s="8">
        <v>307.67</v>
      </c>
      <c r="BL1161" s="2" t="s">
        <v>6574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6575</v>
      </c>
      <c r="BV1161" s="2" t="s">
        <v>200</v>
      </c>
      <c r="BW1161" s="2" t="s">
        <v>200</v>
      </c>
      <c r="BX1161" s="2" t="s">
        <v>264</v>
      </c>
      <c r="BY1161" s="2" t="s">
        <v>247</v>
      </c>
      <c r="BZ1161" s="2" t="s">
        <v>212</v>
      </c>
      <c r="CA1161" s="2" t="s">
        <v>3576</v>
      </c>
      <c r="CB1161" s="2" t="s">
        <v>6576</v>
      </c>
      <c r="CC1161" s="2" t="s">
        <v>213</v>
      </c>
      <c r="CD1161" s="2" t="s">
        <v>200</v>
      </c>
      <c r="CE1161" s="4">
        <v>129</v>
      </c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>
        <v>60</v>
      </c>
      <c r="DD1161" s="4"/>
      <c r="DE1161" s="4"/>
      <c r="DF1161" s="4"/>
      <c r="DG1161" s="4"/>
      <c r="DH1161" s="4"/>
      <c r="DI1161" s="4"/>
      <c r="DJ1161" s="4"/>
      <c r="DK1161" s="4"/>
      <c r="DL1161" s="4"/>
      <c r="DM1161" s="4"/>
      <c r="DN1161" s="4"/>
      <c r="DO1161" s="4"/>
      <c r="DP1161" s="4"/>
      <c r="DQ1161" s="4"/>
      <c r="DR1161" s="4"/>
      <c r="DS1161" s="4"/>
      <c r="DT1161" s="4"/>
      <c r="DU1161" s="4"/>
      <c r="DV1161" s="4"/>
      <c r="DW1161" s="4"/>
      <c r="DX1161" s="4"/>
      <c r="DY1161" s="4"/>
      <c r="DZ1161" s="4"/>
      <c r="EA1161" s="4"/>
      <c r="EB1161" s="4"/>
      <c r="EC1161" s="4"/>
      <c r="ED1161" s="4"/>
      <c r="EE1161" s="4"/>
      <c r="EF1161" s="4"/>
      <c r="EG1161" s="4"/>
      <c r="EH1161" s="4"/>
      <c r="EI1161" s="4"/>
      <c r="EJ1161" s="4"/>
      <c r="EK1161" s="4"/>
      <c r="EL1161" s="4"/>
      <c r="EM1161" s="4"/>
      <c r="EN1161" s="4"/>
      <c r="EO1161" s="4"/>
      <c r="EP1161" s="4"/>
      <c r="EQ1161" s="4"/>
      <c r="ER1161" s="4"/>
      <c r="ES1161" s="4"/>
      <c r="ET1161" s="4"/>
      <c r="EU1161" s="4"/>
      <c r="EV1161" s="4"/>
      <c r="EW1161" s="4"/>
      <c r="EX1161" s="4"/>
      <c r="EY1161" s="4"/>
      <c r="EZ1161" s="4"/>
      <c r="FA1161" s="4"/>
      <c r="FB1161" s="4"/>
      <c r="FC1161" s="4"/>
      <c r="FD1161" s="4"/>
      <c r="FE1161" s="4"/>
      <c r="FF1161" s="4"/>
      <c r="FG1161" s="4"/>
      <c r="FH1161" s="4"/>
      <c r="FI1161" s="4"/>
      <c r="FJ1161" s="4"/>
      <c r="FK1161" s="4"/>
      <c r="FL1161" s="4"/>
      <c r="FM1161" s="4"/>
      <c r="FN1161" s="4"/>
      <c r="FO1161" s="4"/>
      <c r="FP1161" s="4"/>
      <c r="FQ1161" s="4"/>
      <c r="FR1161" s="4"/>
      <c r="FS1161" s="4"/>
      <c r="FT1161" s="4"/>
      <c r="FU1161" s="4"/>
      <c r="FV1161" s="4"/>
      <c r="FW1161" s="4"/>
      <c r="FX1161" s="4"/>
      <c r="FY1161" s="4"/>
      <c r="FZ1161" s="4"/>
      <c r="GA1161" s="4"/>
      <c r="GB1161" s="4"/>
      <c r="GC1161" s="4"/>
      <c r="GD1161" s="4"/>
      <c r="GE1161" s="4"/>
      <c r="GF1161" s="4"/>
      <c r="GG1161" s="4"/>
      <c r="GH1161" s="4"/>
    </row>
    <row r="1162">
      <c r="A1162" s="2" t="s">
        <v>6577</v>
      </c>
      <c r="B1162" s="2" t="s">
        <v>230</v>
      </c>
      <c r="C1162" s="2" t="s">
        <v>877</v>
      </c>
      <c r="D1162" s="2" t="s">
        <v>232</v>
      </c>
      <c r="E1162" s="2" t="s">
        <v>233</v>
      </c>
      <c r="F1162" s="2" t="s">
        <v>378</v>
      </c>
      <c r="G1162" s="2" t="s">
        <v>378</v>
      </c>
      <c r="H1162" s="2" t="s">
        <v>378</v>
      </c>
      <c r="I1162" s="2" t="s">
        <v>6529</v>
      </c>
      <c r="J1162" s="2" t="s">
        <v>297</v>
      </c>
      <c r="K1162" s="2" t="s">
        <v>221</v>
      </c>
      <c r="L1162" s="3">
        <v>14.21</v>
      </c>
      <c r="M1162" s="3">
        <v>14.92</v>
      </c>
      <c r="N1162" s="3">
        <v>32.99</v>
      </c>
      <c r="O1162" s="2" t="s">
        <v>212</v>
      </c>
      <c r="P1162" s="2" t="s">
        <v>258</v>
      </c>
      <c r="Q1162" s="2" t="s">
        <v>206</v>
      </c>
      <c r="R1162" s="2" t="s">
        <v>200</v>
      </c>
      <c r="S1162" s="2" t="s">
        <v>6562</v>
      </c>
      <c r="T1162" s="2" t="s">
        <v>378</v>
      </c>
      <c r="U1162" s="2" t="s">
        <v>200</v>
      </c>
      <c r="V1162" s="2" t="s">
        <v>208</v>
      </c>
      <c r="W1162" s="2" t="s">
        <v>241</v>
      </c>
      <c r="X1162" s="2" t="s">
        <v>200</v>
      </c>
      <c r="Y1162" s="2" t="s">
        <v>261</v>
      </c>
      <c r="Z1162" s="4">
        <v>297</v>
      </c>
      <c r="AA1162" s="4">
        <f>=ROUNDDOWN(13.5,0)</f>
      </c>
      <c r="AB1162" s="5">
        <v>22</v>
      </c>
      <c r="AC1162" s="2" t="s">
        <v>116</v>
      </c>
      <c r="AD1162" s="4">
        <v>80</v>
      </c>
      <c r="AE1162" s="4">
        <v>450</v>
      </c>
      <c r="AF1162" s="6">
        <v>65</v>
      </c>
      <c r="AG1162" s="6"/>
      <c r="AH1162" s="7">
        <v>1</v>
      </c>
      <c r="AI1162" s="4"/>
      <c r="AJ1162" s="4">
        <f>=ROUNDDOWN({0},0)</f>
      </c>
      <c r="AK1162" s="5"/>
      <c r="AL1162" s="2" t="s">
        <v>200</v>
      </c>
      <c r="AM1162" s="4"/>
      <c r="AN1162" s="4"/>
      <c r="AO1162" s="7"/>
      <c r="AP1162" s="4"/>
      <c r="AQ1162" s="8"/>
      <c r="AR1162" s="4"/>
      <c r="AS1162" s="8"/>
      <c r="AT1162" s="7"/>
      <c r="AU1162" s="7"/>
      <c r="AV1162" s="4" t="s">
        <v>200</v>
      </c>
      <c r="AW1162" s="8" t="s">
        <v>200</v>
      </c>
      <c r="AX1162" s="4" t="s">
        <v>200</v>
      </c>
      <c r="AY1162" s="8" t="s">
        <v>200</v>
      </c>
      <c r="AZ1162" s="7" t="s">
        <v>200</v>
      </c>
      <c r="BA1162" s="7" t="s">
        <v>200</v>
      </c>
      <c r="BB1162" s="7" t="s">
        <v>200</v>
      </c>
      <c r="BC1162" s="4" t="s">
        <v>200</v>
      </c>
      <c r="BD1162" s="8" t="s">
        <v>200</v>
      </c>
      <c r="BE1162" s="4" t="s">
        <v>200</v>
      </c>
      <c r="BF1162" s="8" t="s">
        <v>200</v>
      </c>
      <c r="BG1162" s="7" t="s">
        <v>200</v>
      </c>
      <c r="BH1162" s="7" t="s">
        <v>200</v>
      </c>
      <c r="BI1162" s="7"/>
      <c r="BJ1162" s="4">
        <v>69</v>
      </c>
      <c r="BK1162" s="8">
        <v>992.97</v>
      </c>
      <c r="BL1162" s="2" t="s">
        <v>6578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6579</v>
      </c>
      <c r="BV1162" s="2" t="s">
        <v>200</v>
      </c>
      <c r="BW1162" s="2" t="s">
        <v>200</v>
      </c>
      <c r="BX1162" s="2" t="s">
        <v>264</v>
      </c>
      <c r="BY1162" s="2" t="s">
        <v>247</v>
      </c>
      <c r="BZ1162" s="2" t="s">
        <v>212</v>
      </c>
      <c r="CA1162" s="2" t="s">
        <v>265</v>
      </c>
      <c r="CB1162" s="2" t="s">
        <v>1235</v>
      </c>
      <c r="CC1162" s="2" t="s">
        <v>213</v>
      </c>
      <c r="CD1162" s="2" t="s">
        <v>200</v>
      </c>
      <c r="CE1162" s="4">
        <v>297</v>
      </c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>
        <v>80</v>
      </c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  <c r="DP1162" s="4"/>
      <c r="DQ1162" s="4"/>
      <c r="DR1162" s="4"/>
      <c r="DS1162" s="4"/>
      <c r="DT1162" s="4"/>
      <c r="DU1162" s="4"/>
      <c r="DV1162" s="4"/>
      <c r="DW1162" s="4"/>
      <c r="DX1162" s="4"/>
      <c r="DY1162" s="4"/>
      <c r="DZ1162" s="4"/>
      <c r="EA1162" s="4"/>
      <c r="EB1162" s="4"/>
      <c r="EC1162" s="4"/>
      <c r="ED1162" s="4"/>
      <c r="EE1162" s="4"/>
      <c r="EF1162" s="4"/>
      <c r="EG1162" s="4"/>
      <c r="EH1162" s="4"/>
      <c r="EI1162" s="4"/>
      <c r="EJ1162" s="4"/>
      <c r="EK1162" s="4"/>
      <c r="EL1162" s="4"/>
      <c r="EM1162" s="4"/>
      <c r="EN1162" s="4"/>
      <c r="EO1162" s="4"/>
      <c r="EP1162" s="4">
        <v>250</v>
      </c>
      <c r="EQ1162" s="4"/>
      <c r="ER1162" s="4"/>
      <c r="ES1162" s="4"/>
      <c r="ET1162" s="4"/>
      <c r="EU1162" s="4"/>
      <c r="EV1162" s="4"/>
      <c r="EW1162" s="4"/>
      <c r="EX1162" s="4"/>
      <c r="EY1162" s="4"/>
      <c r="EZ1162" s="4"/>
      <c r="FA1162" s="4"/>
      <c r="FB1162" s="4"/>
      <c r="FC1162" s="4"/>
      <c r="FD1162" s="4"/>
      <c r="FE1162" s="4"/>
      <c r="FF1162" s="4"/>
      <c r="FG1162" s="4"/>
      <c r="FH1162" s="4"/>
      <c r="FI1162" s="4">
        <v>120</v>
      </c>
      <c r="FJ1162" s="4"/>
      <c r="FK1162" s="4"/>
      <c r="FL1162" s="4"/>
      <c r="FM1162" s="4"/>
      <c r="FN1162" s="4"/>
      <c r="FO1162" s="4"/>
      <c r="FP1162" s="4"/>
      <c r="FQ1162" s="4"/>
      <c r="FR1162" s="4"/>
      <c r="FS1162" s="4"/>
      <c r="FT1162" s="4"/>
      <c r="FU1162" s="4"/>
      <c r="FV1162" s="4"/>
      <c r="FW1162" s="4"/>
      <c r="FX1162" s="4"/>
      <c r="FY1162" s="4"/>
      <c r="FZ1162" s="4"/>
      <c r="GA1162" s="4"/>
      <c r="GB1162" s="4"/>
      <c r="GC1162" s="4"/>
      <c r="GD1162" s="4"/>
      <c r="GE1162" s="4"/>
      <c r="GF1162" s="4"/>
      <c r="GG1162" s="4"/>
      <c r="GH1162" s="4"/>
    </row>
    <row r="1163">
      <c r="A1163" s="2" t="s">
        <v>6580</v>
      </c>
      <c r="B1163" s="2" t="s">
        <v>230</v>
      </c>
      <c r="C1163" s="2" t="s">
        <v>877</v>
      </c>
      <c r="D1163" s="2" t="s">
        <v>232</v>
      </c>
      <c r="E1163" s="2" t="s">
        <v>233</v>
      </c>
      <c r="F1163" s="2" t="s">
        <v>378</v>
      </c>
      <c r="G1163" s="2" t="s">
        <v>378</v>
      </c>
      <c r="H1163" s="2" t="s">
        <v>378</v>
      </c>
      <c r="I1163" s="2" t="s">
        <v>6549</v>
      </c>
      <c r="J1163" s="2" t="s">
        <v>297</v>
      </c>
      <c r="K1163" s="2" t="s">
        <v>221</v>
      </c>
      <c r="L1163" s="3">
        <v>14.85</v>
      </c>
      <c r="M1163" s="3">
        <v>15.59</v>
      </c>
      <c r="N1163" s="3">
        <v>32.99</v>
      </c>
      <c r="O1163" s="2" t="s">
        <v>212</v>
      </c>
      <c r="P1163" s="2" t="s">
        <v>258</v>
      </c>
      <c r="Q1163" s="2" t="s">
        <v>206</v>
      </c>
      <c r="R1163" s="2" t="s">
        <v>200</v>
      </c>
      <c r="S1163" s="2" t="s">
        <v>6562</v>
      </c>
      <c r="T1163" s="2" t="s">
        <v>378</v>
      </c>
      <c r="U1163" s="2" t="s">
        <v>662</v>
      </c>
      <c r="V1163" s="2" t="s">
        <v>208</v>
      </c>
      <c r="W1163" s="2" t="s">
        <v>379</v>
      </c>
      <c r="X1163" s="2" t="s">
        <v>200</v>
      </c>
      <c r="Y1163" s="2" t="s">
        <v>6448</v>
      </c>
      <c r="Z1163" s="4">
        <v>352</v>
      </c>
      <c r="AA1163" s="4">
        <f>=ROUNDDOWN(15.304347826087,0)</f>
      </c>
      <c r="AB1163" s="5">
        <v>23</v>
      </c>
      <c r="AC1163" s="2" t="s">
        <v>116</v>
      </c>
      <c r="AD1163" s="4">
        <v>300</v>
      </c>
      <c r="AE1163" s="4">
        <v>470</v>
      </c>
      <c r="AF1163" s="6">
        <v>65</v>
      </c>
      <c r="AG1163" s="6"/>
      <c r="AH1163" s="7">
        <v>1</v>
      </c>
      <c r="AI1163" s="4"/>
      <c r="AJ1163" s="4">
        <f>=ROUNDDOWN({0},0)</f>
      </c>
      <c r="AK1163" s="5"/>
      <c r="AL1163" s="2" t="s">
        <v>200</v>
      </c>
      <c r="AM1163" s="4"/>
      <c r="AN1163" s="4"/>
      <c r="AO1163" s="7"/>
      <c r="AP1163" s="4"/>
      <c r="AQ1163" s="8"/>
      <c r="AR1163" s="4"/>
      <c r="AS1163" s="8"/>
      <c r="AT1163" s="7"/>
      <c r="AU1163" s="7"/>
      <c r="AV1163" s="4" t="s">
        <v>200</v>
      </c>
      <c r="AW1163" s="8" t="s">
        <v>200</v>
      </c>
      <c r="AX1163" s="4" t="s">
        <v>200</v>
      </c>
      <c r="AY1163" s="8" t="s">
        <v>200</v>
      </c>
      <c r="AZ1163" s="7" t="s">
        <v>200</v>
      </c>
      <c r="BA1163" s="7" t="s">
        <v>200</v>
      </c>
      <c r="BB1163" s="7" t="s">
        <v>200</v>
      </c>
      <c r="BC1163" s="4" t="s">
        <v>200</v>
      </c>
      <c r="BD1163" s="8" t="s">
        <v>200</v>
      </c>
      <c r="BE1163" s="4" t="s">
        <v>200</v>
      </c>
      <c r="BF1163" s="8" t="s">
        <v>200</v>
      </c>
      <c r="BG1163" s="7" t="s">
        <v>200</v>
      </c>
      <c r="BH1163" s="7" t="s">
        <v>200</v>
      </c>
      <c r="BI1163" s="7"/>
      <c r="BJ1163" s="4">
        <v>74</v>
      </c>
      <c r="BK1163" s="8">
        <v>1148.92</v>
      </c>
      <c r="BL1163" s="2" t="s">
        <v>6581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6582</v>
      </c>
      <c r="BV1163" s="2" t="s">
        <v>200</v>
      </c>
      <c r="BW1163" s="2" t="s">
        <v>200</v>
      </c>
      <c r="BX1163" s="2" t="s">
        <v>264</v>
      </c>
      <c r="BY1163" s="2" t="s">
        <v>247</v>
      </c>
      <c r="BZ1163" s="2" t="s">
        <v>212</v>
      </c>
      <c r="CA1163" s="2" t="s">
        <v>3576</v>
      </c>
      <c r="CB1163" s="2" t="s">
        <v>6583</v>
      </c>
      <c r="CC1163" s="2" t="s">
        <v>213</v>
      </c>
      <c r="CD1163" s="2" t="s">
        <v>200</v>
      </c>
      <c r="CE1163" s="4">
        <v>352</v>
      </c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>
        <v>300</v>
      </c>
      <c r="DD1163" s="4"/>
      <c r="DE1163" s="4"/>
      <c r="DF1163" s="4"/>
      <c r="DG1163" s="4"/>
      <c r="DH1163" s="4"/>
      <c r="DI1163" s="4"/>
      <c r="DJ1163" s="4"/>
      <c r="DK1163" s="4"/>
      <c r="DL1163" s="4"/>
      <c r="DM1163" s="4"/>
      <c r="DN1163" s="4"/>
      <c r="DO1163" s="4"/>
      <c r="DP1163" s="4"/>
      <c r="DQ1163" s="4"/>
      <c r="DR1163" s="4"/>
      <c r="DS1163" s="4"/>
      <c r="DT1163" s="4"/>
      <c r="DU1163" s="4"/>
      <c r="DV1163" s="4"/>
      <c r="DW1163" s="4"/>
      <c r="DX1163" s="4"/>
      <c r="DY1163" s="4"/>
      <c r="DZ1163" s="4"/>
      <c r="EA1163" s="4"/>
      <c r="EB1163" s="4"/>
      <c r="EC1163" s="4"/>
      <c r="ED1163" s="4"/>
      <c r="EE1163" s="4"/>
      <c r="EF1163" s="4"/>
      <c r="EG1163" s="4"/>
      <c r="EH1163" s="4"/>
      <c r="EI1163" s="4"/>
      <c r="EJ1163" s="4"/>
      <c r="EK1163" s="4"/>
      <c r="EL1163" s="4"/>
      <c r="EM1163" s="4"/>
      <c r="EN1163" s="4"/>
      <c r="EO1163" s="4"/>
      <c r="EP1163" s="4">
        <v>170</v>
      </c>
      <c r="EQ1163" s="4"/>
      <c r="ER1163" s="4"/>
      <c r="ES1163" s="4"/>
      <c r="ET1163" s="4"/>
      <c r="EU1163" s="4"/>
      <c r="EV1163" s="4"/>
      <c r="EW1163" s="4"/>
      <c r="EX1163" s="4"/>
      <c r="EY1163" s="4"/>
      <c r="EZ1163" s="4"/>
      <c r="FA1163" s="4"/>
      <c r="FB1163" s="4"/>
      <c r="FC1163" s="4"/>
      <c r="FD1163" s="4"/>
      <c r="FE1163" s="4"/>
      <c r="FF1163" s="4"/>
      <c r="FG1163" s="4"/>
      <c r="FH1163" s="4"/>
      <c r="FI1163" s="4"/>
      <c r="FJ1163" s="4"/>
      <c r="FK1163" s="4"/>
      <c r="FL1163" s="4"/>
      <c r="FM1163" s="4"/>
      <c r="FN1163" s="4"/>
      <c r="FO1163" s="4"/>
      <c r="FP1163" s="4"/>
      <c r="FQ1163" s="4"/>
      <c r="FR1163" s="4"/>
      <c r="FS1163" s="4"/>
      <c r="FT1163" s="4"/>
      <c r="FU1163" s="4"/>
      <c r="FV1163" s="4"/>
      <c r="FW1163" s="4"/>
      <c r="FX1163" s="4"/>
      <c r="FY1163" s="4"/>
      <c r="FZ1163" s="4"/>
      <c r="GA1163" s="4"/>
      <c r="GB1163" s="4"/>
      <c r="GC1163" s="4"/>
      <c r="GD1163" s="4"/>
      <c r="GE1163" s="4"/>
      <c r="GF1163" s="4"/>
      <c r="GG1163" s="4"/>
      <c r="GH1163" s="4"/>
    </row>
    <row r="1164">
      <c r="A1164" s="2" t="s">
        <v>6584</v>
      </c>
      <c r="B1164" s="2" t="s">
        <v>230</v>
      </c>
      <c r="C1164" s="2" t="s">
        <v>877</v>
      </c>
      <c r="D1164" s="2" t="s">
        <v>232</v>
      </c>
      <c r="E1164" s="2" t="s">
        <v>233</v>
      </c>
      <c r="F1164" s="2" t="s">
        <v>378</v>
      </c>
      <c r="G1164" s="2" t="s">
        <v>378</v>
      </c>
      <c r="H1164" s="2" t="s">
        <v>378</v>
      </c>
      <c r="I1164" s="2" t="s">
        <v>6529</v>
      </c>
      <c r="J1164" s="2" t="s">
        <v>302</v>
      </c>
      <c r="K1164" s="2" t="s">
        <v>221</v>
      </c>
      <c r="L1164" s="3">
        <v>16.75</v>
      </c>
      <c r="M1164" s="3">
        <v>17.59</v>
      </c>
      <c r="N1164" s="3">
        <v>37.99</v>
      </c>
      <c r="O1164" s="2" t="s">
        <v>212</v>
      </c>
      <c r="P1164" s="2" t="s">
        <v>258</v>
      </c>
      <c r="Q1164" s="2" t="s">
        <v>206</v>
      </c>
      <c r="R1164" s="2" t="s">
        <v>200</v>
      </c>
      <c r="S1164" s="2" t="s">
        <v>6562</v>
      </c>
      <c r="T1164" s="2" t="s">
        <v>378</v>
      </c>
      <c r="U1164" s="2" t="s">
        <v>200</v>
      </c>
      <c r="V1164" s="2" t="s">
        <v>208</v>
      </c>
      <c r="W1164" s="2" t="s">
        <v>241</v>
      </c>
      <c r="X1164" s="2" t="s">
        <v>200</v>
      </c>
      <c r="Y1164" s="2" t="s">
        <v>261</v>
      </c>
      <c r="Z1164" s="4">
        <v>364</v>
      </c>
      <c r="AA1164" s="4">
        <f>=ROUNDDOWN(40.4444444444444,0)</f>
      </c>
      <c r="AB1164" s="5">
        <v>9</v>
      </c>
      <c r="AC1164" s="2" t="s">
        <v>200</v>
      </c>
      <c r="AD1164" s="4"/>
      <c r="AE1164" s="4"/>
      <c r="AF1164" s="6">
        <v>65</v>
      </c>
      <c r="AG1164" s="6"/>
      <c r="AH1164" s="7">
        <v>1</v>
      </c>
      <c r="AI1164" s="4"/>
      <c r="AJ1164" s="4">
        <f>=ROUNDDOWN({0},0)</f>
      </c>
      <c r="AK1164" s="5"/>
      <c r="AL1164" s="2" t="s">
        <v>200</v>
      </c>
      <c r="AM1164" s="4"/>
      <c r="AN1164" s="4"/>
      <c r="AO1164" s="7"/>
      <c r="AP1164" s="4"/>
      <c r="AQ1164" s="8"/>
      <c r="AR1164" s="4"/>
      <c r="AS1164" s="8"/>
      <c r="AT1164" s="7"/>
      <c r="AU1164" s="7"/>
      <c r="AV1164" s="4" t="s">
        <v>200</v>
      </c>
      <c r="AW1164" s="8" t="s">
        <v>200</v>
      </c>
      <c r="AX1164" s="4" t="s">
        <v>200</v>
      </c>
      <c r="AY1164" s="8" t="s">
        <v>200</v>
      </c>
      <c r="AZ1164" s="7" t="s">
        <v>200</v>
      </c>
      <c r="BA1164" s="7" t="s">
        <v>200</v>
      </c>
      <c r="BB1164" s="7"/>
      <c r="BC1164" s="4" t="s">
        <v>200</v>
      </c>
      <c r="BD1164" s="8" t="s">
        <v>200</v>
      </c>
      <c r="BE1164" s="4" t="s">
        <v>200</v>
      </c>
      <c r="BF1164" s="8" t="s">
        <v>200</v>
      </c>
      <c r="BG1164" s="7" t="s">
        <v>200</v>
      </c>
      <c r="BH1164" s="7" t="s">
        <v>200</v>
      </c>
      <c r="BI1164" s="7"/>
      <c r="BJ1164" s="4">
        <v>22</v>
      </c>
      <c r="BK1164" s="8">
        <v>393.8</v>
      </c>
      <c r="BL1164" s="2" t="s">
        <v>6585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6586</v>
      </c>
      <c r="BV1164" s="2" t="s">
        <v>200</v>
      </c>
      <c r="BW1164" s="2" t="s">
        <v>200</v>
      </c>
      <c r="BX1164" s="2" t="s">
        <v>264</v>
      </c>
      <c r="BY1164" s="2" t="s">
        <v>247</v>
      </c>
      <c r="BZ1164" s="2" t="s">
        <v>212</v>
      </c>
      <c r="CA1164" s="2" t="s">
        <v>265</v>
      </c>
      <c r="CB1164" s="2" t="s">
        <v>6587</v>
      </c>
      <c r="CC1164" s="2" t="s">
        <v>213</v>
      </c>
      <c r="CD1164" s="2" t="s">
        <v>200</v>
      </c>
      <c r="CE1164" s="4">
        <v>364</v>
      </c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  <c r="DP1164" s="4"/>
      <c r="DQ1164" s="4"/>
      <c r="DR1164" s="4"/>
      <c r="DS1164" s="4"/>
      <c r="DT1164" s="4"/>
      <c r="DU1164" s="4"/>
      <c r="DV1164" s="4"/>
      <c r="DW1164" s="4"/>
      <c r="DX1164" s="4"/>
      <c r="DY1164" s="4"/>
      <c r="DZ1164" s="4"/>
      <c r="EA1164" s="4"/>
      <c r="EB1164" s="4"/>
      <c r="EC1164" s="4"/>
      <c r="ED1164" s="4"/>
      <c r="EE1164" s="4"/>
      <c r="EF1164" s="4"/>
      <c r="EG1164" s="4"/>
      <c r="EH1164" s="4"/>
      <c r="EI1164" s="4"/>
      <c r="EJ1164" s="4"/>
      <c r="EK1164" s="4"/>
      <c r="EL1164" s="4"/>
      <c r="EM1164" s="4"/>
      <c r="EN1164" s="4"/>
      <c r="EO1164" s="4"/>
      <c r="EP1164" s="4"/>
      <c r="EQ1164" s="4"/>
      <c r="ER1164" s="4"/>
      <c r="ES1164" s="4"/>
      <c r="ET1164" s="4"/>
      <c r="EU1164" s="4"/>
      <c r="EV1164" s="4"/>
      <c r="EW1164" s="4"/>
      <c r="EX1164" s="4"/>
      <c r="EY1164" s="4"/>
      <c r="EZ1164" s="4"/>
      <c r="FA1164" s="4"/>
      <c r="FB1164" s="4"/>
      <c r="FC1164" s="4"/>
      <c r="FD1164" s="4"/>
      <c r="FE1164" s="4"/>
      <c r="FF1164" s="4"/>
      <c r="FG1164" s="4"/>
      <c r="FH1164" s="4"/>
      <c r="FI1164" s="4"/>
      <c r="FJ1164" s="4"/>
      <c r="FK1164" s="4"/>
      <c r="FL1164" s="4"/>
      <c r="FM1164" s="4"/>
      <c r="FN1164" s="4"/>
      <c r="FO1164" s="4"/>
      <c r="FP1164" s="4"/>
      <c r="FQ1164" s="4"/>
      <c r="FR1164" s="4"/>
      <c r="FS1164" s="4"/>
      <c r="FT1164" s="4"/>
      <c r="FU1164" s="4"/>
      <c r="FV1164" s="4"/>
      <c r="FW1164" s="4"/>
      <c r="FX1164" s="4"/>
      <c r="FY1164" s="4"/>
      <c r="FZ1164" s="4"/>
      <c r="GA1164" s="4"/>
      <c r="GB1164" s="4"/>
      <c r="GC1164" s="4"/>
      <c r="GD1164" s="4"/>
      <c r="GE1164" s="4"/>
      <c r="GF1164" s="4"/>
      <c r="GG1164" s="4"/>
      <c r="GH1164" s="4"/>
    </row>
    <row r="1165">
      <c r="A1165" s="2" t="s">
        <v>6588</v>
      </c>
      <c r="B1165" s="2" t="s">
        <v>230</v>
      </c>
      <c r="C1165" s="2" t="s">
        <v>877</v>
      </c>
      <c r="D1165" s="2" t="s">
        <v>232</v>
      </c>
      <c r="E1165" s="2" t="s">
        <v>233</v>
      </c>
      <c r="F1165" s="2" t="s">
        <v>378</v>
      </c>
      <c r="G1165" s="2" t="s">
        <v>378</v>
      </c>
      <c r="H1165" s="2" t="s">
        <v>378</v>
      </c>
      <c r="I1165" s="2" t="s">
        <v>6529</v>
      </c>
      <c r="J1165" s="2" t="s">
        <v>256</v>
      </c>
      <c r="K1165" s="2" t="s">
        <v>1257</v>
      </c>
      <c r="L1165" s="3">
        <v>11.18</v>
      </c>
      <c r="M1165" s="3">
        <v>11.74</v>
      </c>
      <c r="N1165" s="3">
        <v>27.99</v>
      </c>
      <c r="O1165" s="2" t="s">
        <v>212</v>
      </c>
      <c r="P1165" s="2" t="s">
        <v>258</v>
      </c>
      <c r="Q1165" s="2" t="s">
        <v>206</v>
      </c>
      <c r="R1165" s="2" t="s">
        <v>200</v>
      </c>
      <c r="S1165" s="2" t="s">
        <v>6589</v>
      </c>
      <c r="T1165" s="2" t="s">
        <v>378</v>
      </c>
      <c r="U1165" s="2" t="s">
        <v>454</v>
      </c>
      <c r="V1165" s="2" t="s">
        <v>208</v>
      </c>
      <c r="W1165" s="2" t="s">
        <v>241</v>
      </c>
      <c r="X1165" s="2" t="s">
        <v>200</v>
      </c>
      <c r="Y1165" s="2" t="s">
        <v>6531</v>
      </c>
      <c r="Z1165" s="4">
        <v>31</v>
      </c>
      <c r="AA1165" s="4">
        <f>=ROUNDDOWN(4.42857142857143,0)</f>
      </c>
      <c r="AB1165" s="5">
        <v>7</v>
      </c>
      <c r="AC1165" s="2" t="s">
        <v>116</v>
      </c>
      <c r="AD1165" s="4">
        <v>40</v>
      </c>
      <c r="AE1165" s="4">
        <v>200</v>
      </c>
      <c r="AF1165" s="6">
        <v>65</v>
      </c>
      <c r="AG1165" s="6"/>
      <c r="AH1165" s="7">
        <v>1</v>
      </c>
      <c r="AI1165" s="4"/>
      <c r="AJ1165" s="4">
        <f>=ROUNDDOWN({0},0)</f>
      </c>
      <c r="AK1165" s="5"/>
      <c r="AL1165" s="2" t="s">
        <v>200</v>
      </c>
      <c r="AM1165" s="4"/>
      <c r="AN1165" s="4"/>
      <c r="AO1165" s="7"/>
      <c r="AP1165" s="4"/>
      <c r="AQ1165" s="8"/>
      <c r="AR1165" s="4"/>
      <c r="AS1165" s="8"/>
      <c r="AT1165" s="7"/>
      <c r="AU1165" s="7"/>
      <c r="AV1165" s="4" t="s">
        <v>200</v>
      </c>
      <c r="AW1165" s="8" t="s">
        <v>200</v>
      </c>
      <c r="AX1165" s="4" t="s">
        <v>200</v>
      </c>
      <c r="AY1165" s="8" t="s">
        <v>200</v>
      </c>
      <c r="AZ1165" s="7" t="s">
        <v>200</v>
      </c>
      <c r="BA1165" s="7" t="s">
        <v>200</v>
      </c>
      <c r="BB1165" s="7"/>
      <c r="BC1165" s="4" t="s">
        <v>200</v>
      </c>
      <c r="BD1165" s="8" t="s">
        <v>200</v>
      </c>
      <c r="BE1165" s="4" t="s">
        <v>200</v>
      </c>
      <c r="BF1165" s="8" t="s">
        <v>200</v>
      </c>
      <c r="BG1165" s="7" t="s">
        <v>200</v>
      </c>
      <c r="BH1165" s="7" t="s">
        <v>200</v>
      </c>
      <c r="BI1165" s="7"/>
      <c r="BJ1165" s="4">
        <v>39</v>
      </c>
      <c r="BK1165" s="8">
        <v>457.62</v>
      </c>
      <c r="BL1165" s="2" t="s">
        <v>363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6590</v>
      </c>
      <c r="BV1165" s="2" t="s">
        <v>200</v>
      </c>
      <c r="BW1165" s="2" t="s">
        <v>200</v>
      </c>
      <c r="BX1165" s="2" t="s">
        <v>264</v>
      </c>
      <c r="BY1165" s="2" t="s">
        <v>247</v>
      </c>
      <c r="BZ1165" s="2" t="s">
        <v>212</v>
      </c>
      <c r="CA1165" s="2" t="s">
        <v>343</v>
      </c>
      <c r="CB1165" s="2" t="s">
        <v>4391</v>
      </c>
      <c r="CC1165" s="2" t="s">
        <v>213</v>
      </c>
      <c r="CD1165" s="2" t="s">
        <v>200</v>
      </c>
      <c r="CE1165" s="4">
        <v>31</v>
      </c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>
        <v>40</v>
      </c>
      <c r="DD1165" s="4"/>
      <c r="DE1165" s="4"/>
      <c r="DF1165" s="4"/>
      <c r="DG1165" s="4"/>
      <c r="DH1165" s="4"/>
      <c r="DI1165" s="4"/>
      <c r="DJ1165" s="4"/>
      <c r="DK1165" s="4"/>
      <c r="DL1165" s="4"/>
      <c r="DM1165" s="4"/>
      <c r="DN1165" s="4"/>
      <c r="DO1165" s="4"/>
      <c r="DP1165" s="4"/>
      <c r="DQ1165" s="4"/>
      <c r="DR1165" s="4"/>
      <c r="DS1165" s="4"/>
      <c r="DT1165" s="4"/>
      <c r="DU1165" s="4"/>
      <c r="DV1165" s="4"/>
      <c r="DW1165" s="4"/>
      <c r="DX1165" s="4"/>
      <c r="DY1165" s="4"/>
      <c r="DZ1165" s="4"/>
      <c r="EA1165" s="4"/>
      <c r="EB1165" s="4"/>
      <c r="EC1165" s="4"/>
      <c r="ED1165" s="4"/>
      <c r="EE1165" s="4"/>
      <c r="EF1165" s="4"/>
      <c r="EG1165" s="4"/>
      <c r="EH1165" s="4"/>
      <c r="EI1165" s="4"/>
      <c r="EJ1165" s="4"/>
      <c r="EK1165" s="4"/>
      <c r="EL1165" s="4"/>
      <c r="EM1165" s="4"/>
      <c r="EN1165" s="4"/>
      <c r="EO1165" s="4"/>
      <c r="EP1165" s="4">
        <v>160</v>
      </c>
      <c r="EQ1165" s="4"/>
      <c r="ER1165" s="4"/>
      <c r="ES1165" s="4"/>
      <c r="ET1165" s="4"/>
      <c r="EU1165" s="4"/>
      <c r="EV1165" s="4"/>
      <c r="EW1165" s="4"/>
      <c r="EX1165" s="4"/>
      <c r="EY1165" s="4"/>
      <c r="EZ1165" s="4"/>
      <c r="FA1165" s="4"/>
      <c r="FB1165" s="4"/>
      <c r="FC1165" s="4"/>
      <c r="FD1165" s="4"/>
      <c r="FE1165" s="4"/>
      <c r="FF1165" s="4"/>
      <c r="FG1165" s="4"/>
      <c r="FH1165" s="4"/>
      <c r="FI1165" s="4"/>
      <c r="FJ1165" s="4"/>
      <c r="FK1165" s="4"/>
      <c r="FL1165" s="4"/>
      <c r="FM1165" s="4"/>
      <c r="FN1165" s="4"/>
      <c r="FO1165" s="4"/>
      <c r="FP1165" s="4"/>
      <c r="FQ1165" s="4"/>
      <c r="FR1165" s="4"/>
      <c r="FS1165" s="4"/>
      <c r="FT1165" s="4"/>
      <c r="FU1165" s="4"/>
      <c r="FV1165" s="4"/>
      <c r="FW1165" s="4"/>
      <c r="FX1165" s="4"/>
      <c r="FY1165" s="4"/>
      <c r="FZ1165" s="4"/>
      <c r="GA1165" s="4"/>
      <c r="GB1165" s="4"/>
      <c r="GC1165" s="4"/>
      <c r="GD1165" s="4"/>
      <c r="GE1165" s="4"/>
      <c r="GF1165" s="4"/>
      <c r="GG1165" s="4"/>
      <c r="GH1165" s="4"/>
    </row>
    <row r="1166">
      <c r="A1166" s="2" t="s">
        <v>6591</v>
      </c>
      <c r="B1166" s="2" t="s">
        <v>230</v>
      </c>
      <c r="C1166" s="2" t="s">
        <v>877</v>
      </c>
      <c r="D1166" s="2" t="s">
        <v>232</v>
      </c>
      <c r="E1166" s="2" t="s">
        <v>233</v>
      </c>
      <c r="F1166" s="2" t="s">
        <v>378</v>
      </c>
      <c r="G1166" s="2" t="s">
        <v>378</v>
      </c>
      <c r="H1166" s="2" t="s">
        <v>378</v>
      </c>
      <c r="I1166" s="2" t="s">
        <v>6529</v>
      </c>
      <c r="J1166" s="2" t="s">
        <v>269</v>
      </c>
      <c r="K1166" s="2" t="s">
        <v>1257</v>
      </c>
      <c r="L1166" s="3">
        <v>11.18</v>
      </c>
      <c r="M1166" s="3">
        <v>11.74</v>
      </c>
      <c r="N1166" s="3">
        <v>27.99</v>
      </c>
      <c r="O1166" s="2" t="s">
        <v>212</v>
      </c>
      <c r="P1166" s="2" t="s">
        <v>258</v>
      </c>
      <c r="Q1166" s="2" t="s">
        <v>206</v>
      </c>
      <c r="R1166" s="2" t="s">
        <v>200</v>
      </c>
      <c r="S1166" s="2" t="s">
        <v>6589</v>
      </c>
      <c r="T1166" s="2" t="s">
        <v>378</v>
      </c>
      <c r="U1166" s="2" t="s">
        <v>454</v>
      </c>
      <c r="V1166" s="2" t="s">
        <v>208</v>
      </c>
      <c r="W1166" s="2" t="s">
        <v>241</v>
      </c>
      <c r="X1166" s="2" t="s">
        <v>200</v>
      </c>
      <c r="Y1166" s="2" t="s">
        <v>6531</v>
      </c>
      <c r="Z1166" s="4">
        <v>426</v>
      </c>
      <c r="AA1166" s="4">
        <f>=ROUNDDOWN(142,0)</f>
      </c>
      <c r="AB1166" s="5">
        <v>3</v>
      </c>
      <c r="AC1166" s="2" t="s">
        <v>200</v>
      </c>
      <c r="AD1166" s="4"/>
      <c r="AE1166" s="4"/>
      <c r="AF1166" s="6">
        <v>65</v>
      </c>
      <c r="AG1166" s="6"/>
      <c r="AH1166" s="7">
        <v>1</v>
      </c>
      <c r="AI1166" s="4"/>
      <c r="AJ1166" s="4">
        <f>=ROUNDDOWN({0},0)</f>
      </c>
      <c r="AK1166" s="5"/>
      <c r="AL1166" s="2" t="s">
        <v>200</v>
      </c>
      <c r="AM1166" s="4"/>
      <c r="AN1166" s="4"/>
      <c r="AO1166" s="7"/>
      <c r="AP1166" s="4"/>
      <c r="AQ1166" s="8"/>
      <c r="AR1166" s="4"/>
      <c r="AS1166" s="8"/>
      <c r="AT1166" s="7"/>
      <c r="AU1166" s="7"/>
      <c r="AV1166" s="4" t="s">
        <v>200</v>
      </c>
      <c r="AW1166" s="8" t="s">
        <v>200</v>
      </c>
      <c r="AX1166" s="4" t="s">
        <v>200</v>
      </c>
      <c r="AY1166" s="8" t="s">
        <v>200</v>
      </c>
      <c r="AZ1166" s="7" t="s">
        <v>200</v>
      </c>
      <c r="BA1166" s="7" t="s">
        <v>200</v>
      </c>
      <c r="BB1166" s="7"/>
      <c r="BC1166" s="4" t="s">
        <v>200</v>
      </c>
      <c r="BD1166" s="8" t="s">
        <v>200</v>
      </c>
      <c r="BE1166" s="4" t="s">
        <v>200</v>
      </c>
      <c r="BF1166" s="8" t="s">
        <v>200</v>
      </c>
      <c r="BG1166" s="7" t="s">
        <v>200</v>
      </c>
      <c r="BH1166" s="7" t="s">
        <v>200</v>
      </c>
      <c r="BI1166" s="7"/>
      <c r="BJ1166" s="4">
        <v>4</v>
      </c>
      <c r="BK1166" s="8">
        <v>46.54</v>
      </c>
      <c r="BL1166" s="2" t="s">
        <v>5618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6592</v>
      </c>
      <c r="BV1166" s="2" t="s">
        <v>200</v>
      </c>
      <c r="BW1166" s="2" t="s">
        <v>200</v>
      </c>
      <c r="BX1166" s="2" t="s">
        <v>264</v>
      </c>
      <c r="BY1166" s="2" t="s">
        <v>247</v>
      </c>
      <c r="BZ1166" s="2" t="s">
        <v>212</v>
      </c>
      <c r="CA1166" s="2" t="s">
        <v>343</v>
      </c>
      <c r="CB1166" s="2" t="s">
        <v>200</v>
      </c>
      <c r="CC1166" s="2" t="s">
        <v>213</v>
      </c>
      <c r="CD1166" s="2" t="s">
        <v>200</v>
      </c>
      <c r="CE1166" s="4">
        <v>426</v>
      </c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/>
      <c r="DI1166" s="4"/>
      <c r="DJ1166" s="4"/>
      <c r="DK1166" s="4"/>
      <c r="DL1166" s="4"/>
      <c r="DM1166" s="4"/>
      <c r="DN1166" s="4"/>
      <c r="DO1166" s="4"/>
      <c r="DP1166" s="4"/>
      <c r="DQ1166" s="4"/>
      <c r="DR1166" s="4"/>
      <c r="DS1166" s="4"/>
      <c r="DT1166" s="4"/>
      <c r="DU1166" s="4"/>
      <c r="DV1166" s="4"/>
      <c r="DW1166" s="4"/>
      <c r="DX1166" s="4"/>
      <c r="DY1166" s="4"/>
      <c r="DZ1166" s="4"/>
      <c r="EA1166" s="4"/>
      <c r="EB1166" s="4"/>
      <c r="EC1166" s="4"/>
      <c r="ED1166" s="4"/>
      <c r="EE1166" s="4"/>
      <c r="EF1166" s="4"/>
      <c r="EG1166" s="4"/>
      <c r="EH1166" s="4"/>
      <c r="EI1166" s="4"/>
      <c r="EJ1166" s="4"/>
      <c r="EK1166" s="4"/>
      <c r="EL1166" s="4"/>
      <c r="EM1166" s="4"/>
      <c r="EN1166" s="4"/>
      <c r="EO1166" s="4"/>
      <c r="EP1166" s="4"/>
      <c r="EQ1166" s="4"/>
      <c r="ER1166" s="4"/>
      <c r="ES1166" s="4"/>
      <c r="ET1166" s="4"/>
      <c r="EU1166" s="4"/>
      <c r="EV1166" s="4"/>
      <c r="EW1166" s="4"/>
      <c r="EX1166" s="4"/>
      <c r="EY1166" s="4"/>
      <c r="EZ1166" s="4"/>
      <c r="FA1166" s="4"/>
      <c r="FB1166" s="4"/>
      <c r="FC1166" s="4"/>
      <c r="FD1166" s="4"/>
      <c r="FE1166" s="4"/>
      <c r="FF1166" s="4"/>
      <c r="FG1166" s="4"/>
      <c r="FH1166" s="4"/>
      <c r="FI1166" s="4"/>
      <c r="FJ1166" s="4"/>
      <c r="FK1166" s="4"/>
      <c r="FL1166" s="4"/>
      <c r="FM1166" s="4"/>
      <c r="FN1166" s="4"/>
      <c r="FO1166" s="4"/>
      <c r="FP1166" s="4"/>
      <c r="FQ1166" s="4"/>
      <c r="FR1166" s="4"/>
      <c r="FS1166" s="4"/>
      <c r="FT1166" s="4"/>
      <c r="FU1166" s="4"/>
      <c r="FV1166" s="4"/>
      <c r="FW1166" s="4"/>
      <c r="FX1166" s="4"/>
      <c r="FY1166" s="4"/>
      <c r="FZ1166" s="4"/>
      <c r="GA1166" s="4"/>
      <c r="GB1166" s="4"/>
      <c r="GC1166" s="4"/>
      <c r="GD1166" s="4"/>
      <c r="GE1166" s="4"/>
      <c r="GF1166" s="4"/>
      <c r="GG1166" s="4"/>
      <c r="GH1166" s="4"/>
    </row>
    <row r="1167">
      <c r="A1167" s="2" t="s">
        <v>6593</v>
      </c>
      <c r="B1167" s="2" t="s">
        <v>230</v>
      </c>
      <c r="C1167" s="2" t="s">
        <v>877</v>
      </c>
      <c r="D1167" s="2" t="s">
        <v>232</v>
      </c>
      <c r="E1167" s="2" t="s">
        <v>233</v>
      </c>
      <c r="F1167" s="2" t="s">
        <v>378</v>
      </c>
      <c r="G1167" s="2" t="s">
        <v>378</v>
      </c>
      <c r="H1167" s="2" t="s">
        <v>378</v>
      </c>
      <c r="I1167" s="2" t="s">
        <v>6529</v>
      </c>
      <c r="J1167" s="2" t="s">
        <v>297</v>
      </c>
      <c r="K1167" s="2" t="s">
        <v>1257</v>
      </c>
      <c r="L1167" s="3">
        <v>14.21</v>
      </c>
      <c r="M1167" s="3">
        <v>14.92</v>
      </c>
      <c r="N1167" s="3">
        <v>32.99</v>
      </c>
      <c r="O1167" s="2" t="s">
        <v>212</v>
      </c>
      <c r="P1167" s="2" t="s">
        <v>258</v>
      </c>
      <c r="Q1167" s="2" t="s">
        <v>206</v>
      </c>
      <c r="R1167" s="2" t="s">
        <v>200</v>
      </c>
      <c r="S1167" s="2" t="s">
        <v>6589</v>
      </c>
      <c r="T1167" s="2" t="s">
        <v>378</v>
      </c>
      <c r="U1167" s="2" t="s">
        <v>240</v>
      </c>
      <c r="V1167" s="2" t="s">
        <v>208</v>
      </c>
      <c r="W1167" s="2" t="s">
        <v>241</v>
      </c>
      <c r="X1167" s="2" t="s">
        <v>200</v>
      </c>
      <c r="Y1167" s="2" t="s">
        <v>6531</v>
      </c>
      <c r="Z1167" s="4">
        <v>158</v>
      </c>
      <c r="AA1167" s="4">
        <f>=ROUNDDOWN(31.6,0)</f>
      </c>
      <c r="AB1167" s="5">
        <v>5</v>
      </c>
      <c r="AC1167" s="2" t="s">
        <v>200</v>
      </c>
      <c r="AD1167" s="4"/>
      <c r="AE1167" s="4"/>
      <c r="AF1167" s="6">
        <v>65</v>
      </c>
      <c r="AG1167" s="6"/>
      <c r="AH1167" s="7">
        <v>1</v>
      </c>
      <c r="AI1167" s="4"/>
      <c r="AJ1167" s="4">
        <f>=ROUNDDOWN({0},0)</f>
      </c>
      <c r="AK1167" s="5"/>
      <c r="AL1167" s="2" t="s">
        <v>200</v>
      </c>
      <c r="AM1167" s="4"/>
      <c r="AN1167" s="4"/>
      <c r="AO1167" s="7"/>
      <c r="AP1167" s="4"/>
      <c r="AQ1167" s="8"/>
      <c r="AR1167" s="4"/>
      <c r="AS1167" s="8"/>
      <c r="AT1167" s="7"/>
      <c r="AU1167" s="7"/>
      <c r="AV1167" s="4" t="s">
        <v>200</v>
      </c>
      <c r="AW1167" s="8" t="s">
        <v>200</v>
      </c>
      <c r="AX1167" s="4" t="s">
        <v>200</v>
      </c>
      <c r="AY1167" s="8" t="s">
        <v>200</v>
      </c>
      <c r="AZ1167" s="7" t="s">
        <v>200</v>
      </c>
      <c r="BA1167" s="7" t="s">
        <v>200</v>
      </c>
      <c r="BB1167" s="7"/>
      <c r="BC1167" s="4" t="s">
        <v>200</v>
      </c>
      <c r="BD1167" s="8" t="s">
        <v>200</v>
      </c>
      <c r="BE1167" s="4" t="s">
        <v>200</v>
      </c>
      <c r="BF1167" s="8" t="s">
        <v>200</v>
      </c>
      <c r="BG1167" s="7" t="s">
        <v>200</v>
      </c>
      <c r="BH1167" s="7" t="s">
        <v>200</v>
      </c>
      <c r="BI1167" s="7"/>
      <c r="BJ1167" s="4">
        <v>56</v>
      </c>
      <c r="BK1167" s="8">
        <v>783.83</v>
      </c>
      <c r="BL1167" s="2" t="s">
        <v>6594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6595</v>
      </c>
      <c r="BV1167" s="2" t="s">
        <v>200</v>
      </c>
      <c r="BW1167" s="2" t="s">
        <v>200</v>
      </c>
      <c r="BX1167" s="2" t="s">
        <v>264</v>
      </c>
      <c r="BY1167" s="2" t="s">
        <v>247</v>
      </c>
      <c r="BZ1167" s="2" t="s">
        <v>212</v>
      </c>
      <c r="CA1167" s="2" t="s">
        <v>343</v>
      </c>
      <c r="CB1167" s="2" t="s">
        <v>6043</v>
      </c>
      <c r="CC1167" s="2" t="s">
        <v>213</v>
      </c>
      <c r="CD1167" s="2" t="s">
        <v>200</v>
      </c>
      <c r="CE1167" s="4">
        <v>158</v>
      </c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E1167" s="4"/>
      <c r="DF1167" s="4"/>
      <c r="DG1167" s="4"/>
      <c r="DH1167" s="4"/>
      <c r="DI1167" s="4"/>
      <c r="DJ1167" s="4"/>
      <c r="DK1167" s="4"/>
      <c r="DL1167" s="4"/>
      <c r="DM1167" s="4"/>
      <c r="DN1167" s="4"/>
      <c r="DO1167" s="4"/>
      <c r="DP1167" s="4"/>
      <c r="DQ1167" s="4"/>
      <c r="DR1167" s="4"/>
      <c r="DS1167" s="4"/>
      <c r="DT1167" s="4"/>
      <c r="DU1167" s="4"/>
      <c r="DV1167" s="4"/>
      <c r="DW1167" s="4"/>
      <c r="DX1167" s="4"/>
      <c r="DY1167" s="4"/>
      <c r="DZ1167" s="4"/>
      <c r="EA1167" s="4"/>
      <c r="EB1167" s="4"/>
      <c r="EC1167" s="4"/>
      <c r="ED1167" s="4"/>
      <c r="EE1167" s="4"/>
      <c r="EF1167" s="4"/>
      <c r="EG1167" s="4"/>
      <c r="EH1167" s="4"/>
      <c r="EI1167" s="4"/>
      <c r="EJ1167" s="4"/>
      <c r="EK1167" s="4"/>
      <c r="EL1167" s="4"/>
      <c r="EM1167" s="4"/>
      <c r="EN1167" s="4"/>
      <c r="EO1167" s="4"/>
      <c r="EP1167" s="4"/>
      <c r="EQ1167" s="4"/>
      <c r="ER1167" s="4"/>
      <c r="ES1167" s="4"/>
      <c r="ET1167" s="4"/>
      <c r="EU1167" s="4"/>
      <c r="EV1167" s="4"/>
      <c r="EW1167" s="4"/>
      <c r="EX1167" s="4"/>
      <c r="EY1167" s="4"/>
      <c r="EZ1167" s="4"/>
      <c r="FA1167" s="4"/>
      <c r="FB1167" s="4"/>
      <c r="FC1167" s="4"/>
      <c r="FD1167" s="4"/>
      <c r="FE1167" s="4"/>
      <c r="FF1167" s="4"/>
      <c r="FG1167" s="4"/>
      <c r="FH1167" s="4"/>
      <c r="FI1167" s="4"/>
      <c r="FJ1167" s="4"/>
      <c r="FK1167" s="4"/>
      <c r="FL1167" s="4"/>
      <c r="FM1167" s="4"/>
      <c r="FN1167" s="4"/>
      <c r="FO1167" s="4"/>
      <c r="FP1167" s="4"/>
      <c r="FQ1167" s="4"/>
      <c r="FR1167" s="4"/>
      <c r="FS1167" s="4"/>
      <c r="FT1167" s="4"/>
      <c r="FU1167" s="4"/>
      <c r="FV1167" s="4"/>
      <c r="FW1167" s="4"/>
      <c r="FX1167" s="4"/>
      <c r="FY1167" s="4"/>
      <c r="FZ1167" s="4"/>
      <c r="GA1167" s="4"/>
      <c r="GB1167" s="4"/>
      <c r="GC1167" s="4"/>
      <c r="GD1167" s="4"/>
      <c r="GE1167" s="4"/>
      <c r="GF1167" s="4"/>
      <c r="GG1167" s="4"/>
      <c r="GH1167" s="4"/>
    </row>
    <row r="1168">
      <c r="A1168" s="2" t="s">
        <v>6596</v>
      </c>
      <c r="B1168" s="2" t="s">
        <v>230</v>
      </c>
      <c r="C1168" s="2" t="s">
        <v>877</v>
      </c>
      <c r="D1168" s="2" t="s">
        <v>232</v>
      </c>
      <c r="E1168" s="2" t="s">
        <v>233</v>
      </c>
      <c r="F1168" s="2" t="s">
        <v>378</v>
      </c>
      <c r="G1168" s="2" t="s">
        <v>378</v>
      </c>
      <c r="H1168" s="2" t="s">
        <v>378</v>
      </c>
      <c r="I1168" s="2" t="s">
        <v>6529</v>
      </c>
      <c r="J1168" s="2" t="s">
        <v>256</v>
      </c>
      <c r="K1168" s="2" t="s">
        <v>2359</v>
      </c>
      <c r="L1168" s="3">
        <v>11.18</v>
      </c>
      <c r="M1168" s="3">
        <v>11.74</v>
      </c>
      <c r="N1168" s="3">
        <v>27.99</v>
      </c>
      <c r="O1168" s="2" t="s">
        <v>212</v>
      </c>
      <c r="P1168" s="2" t="s">
        <v>258</v>
      </c>
      <c r="Q1168" s="2" t="s">
        <v>206</v>
      </c>
      <c r="R1168" s="2" t="s">
        <v>200</v>
      </c>
      <c r="S1168" s="2" t="s">
        <v>6597</v>
      </c>
      <c r="T1168" s="2" t="s">
        <v>378</v>
      </c>
      <c r="U1168" s="2" t="s">
        <v>200</v>
      </c>
      <c r="V1168" s="2" t="s">
        <v>208</v>
      </c>
      <c r="W1168" s="2" t="s">
        <v>241</v>
      </c>
      <c r="X1168" s="2" t="s">
        <v>200</v>
      </c>
      <c r="Y1168" s="2" t="s">
        <v>261</v>
      </c>
      <c r="Z1168" s="4">
        <v>265</v>
      </c>
      <c r="AA1168" s="4">
        <f>=ROUNDDOWN(67.948717948718,0)</f>
      </c>
      <c r="AB1168" s="5">
        <v>3.9</v>
      </c>
      <c r="AC1168" s="2" t="s">
        <v>200</v>
      </c>
      <c r="AD1168" s="4"/>
      <c r="AE1168" s="4"/>
      <c r="AF1168" s="6">
        <v>65</v>
      </c>
      <c r="AG1168" s="6"/>
      <c r="AH1168" s="7">
        <v>1</v>
      </c>
      <c r="AI1168" s="4"/>
      <c r="AJ1168" s="4">
        <f>=ROUNDDOWN({0},0)</f>
      </c>
      <c r="AK1168" s="5"/>
      <c r="AL1168" s="2" t="s">
        <v>200</v>
      </c>
      <c r="AM1168" s="4"/>
      <c r="AN1168" s="4"/>
      <c r="AO1168" s="7"/>
      <c r="AP1168" s="4"/>
      <c r="AQ1168" s="8"/>
      <c r="AR1168" s="4"/>
      <c r="AS1168" s="8"/>
      <c r="AT1168" s="7"/>
      <c r="AU1168" s="7"/>
      <c r="AV1168" s="4" t="s">
        <v>200</v>
      </c>
      <c r="AW1168" s="8" t="s">
        <v>200</v>
      </c>
      <c r="AX1168" s="4" t="s">
        <v>200</v>
      </c>
      <c r="AY1168" s="8" t="s">
        <v>200</v>
      </c>
      <c r="AZ1168" s="7" t="s">
        <v>200</v>
      </c>
      <c r="BA1168" s="7" t="s">
        <v>200</v>
      </c>
      <c r="BB1168" s="7"/>
      <c r="BC1168" s="4" t="s">
        <v>200</v>
      </c>
      <c r="BD1168" s="8" t="s">
        <v>200</v>
      </c>
      <c r="BE1168" s="4" t="s">
        <v>200</v>
      </c>
      <c r="BF1168" s="8" t="s">
        <v>200</v>
      </c>
      <c r="BG1168" s="7" t="s">
        <v>200</v>
      </c>
      <c r="BH1168" s="7" t="s">
        <v>200</v>
      </c>
      <c r="BI1168" s="7"/>
      <c r="BJ1168" s="4">
        <v>27</v>
      </c>
      <c r="BK1168" s="8">
        <v>298.56</v>
      </c>
      <c r="BL1168" s="2" t="s">
        <v>524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6598</v>
      </c>
      <c r="BV1168" s="2" t="s">
        <v>200</v>
      </c>
      <c r="BW1168" s="2" t="s">
        <v>200</v>
      </c>
      <c r="BX1168" s="2" t="s">
        <v>264</v>
      </c>
      <c r="BY1168" s="2" t="s">
        <v>247</v>
      </c>
      <c r="BZ1168" s="2" t="s">
        <v>212</v>
      </c>
      <c r="CA1168" s="2" t="s">
        <v>265</v>
      </c>
      <c r="CB1168" s="2" t="s">
        <v>6009</v>
      </c>
      <c r="CC1168" s="2" t="s">
        <v>213</v>
      </c>
      <c r="CD1168" s="2" t="s">
        <v>200</v>
      </c>
      <c r="CE1168" s="4">
        <v>265</v>
      </c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"/>
      <c r="DN1168" s="4"/>
      <c r="DO1168" s="4"/>
      <c r="DP1168" s="4"/>
      <c r="DQ1168" s="4"/>
      <c r="DR1168" s="4"/>
      <c r="DS1168" s="4"/>
      <c r="DT1168" s="4"/>
      <c r="DU1168" s="4"/>
      <c r="DV1168" s="4"/>
      <c r="DW1168" s="4"/>
      <c r="DX1168" s="4"/>
      <c r="DY1168" s="4"/>
      <c r="DZ1168" s="4"/>
      <c r="EA1168" s="4"/>
      <c r="EB1168" s="4"/>
      <c r="EC1168" s="4"/>
      <c r="ED1168" s="4"/>
      <c r="EE1168" s="4"/>
      <c r="EF1168" s="4"/>
      <c r="EG1168" s="4"/>
      <c r="EH1168" s="4"/>
      <c r="EI1168" s="4"/>
      <c r="EJ1168" s="4"/>
      <c r="EK1168" s="4"/>
      <c r="EL1168" s="4"/>
      <c r="EM1168" s="4"/>
      <c r="EN1168" s="4"/>
      <c r="EO1168" s="4"/>
      <c r="EP1168" s="4"/>
      <c r="EQ1168" s="4"/>
      <c r="ER1168" s="4"/>
      <c r="ES1168" s="4"/>
      <c r="ET1168" s="4"/>
      <c r="EU1168" s="4"/>
      <c r="EV1168" s="4"/>
      <c r="EW1168" s="4"/>
      <c r="EX1168" s="4"/>
      <c r="EY1168" s="4"/>
      <c r="EZ1168" s="4"/>
      <c r="FA1168" s="4"/>
      <c r="FB1168" s="4"/>
      <c r="FC1168" s="4"/>
      <c r="FD1168" s="4"/>
      <c r="FE1168" s="4"/>
      <c r="FF1168" s="4"/>
      <c r="FG1168" s="4"/>
      <c r="FH1168" s="4"/>
      <c r="FI1168" s="4"/>
      <c r="FJ1168" s="4"/>
      <c r="FK1168" s="4"/>
      <c r="FL1168" s="4"/>
      <c r="FM1168" s="4"/>
      <c r="FN1168" s="4"/>
      <c r="FO1168" s="4"/>
      <c r="FP1168" s="4"/>
      <c r="FQ1168" s="4"/>
      <c r="FR1168" s="4"/>
      <c r="FS1168" s="4"/>
      <c r="FT1168" s="4"/>
      <c r="FU1168" s="4"/>
      <c r="FV1168" s="4"/>
      <c r="FW1168" s="4"/>
      <c r="FX1168" s="4"/>
      <c r="FY1168" s="4"/>
      <c r="FZ1168" s="4"/>
      <c r="GA1168" s="4"/>
      <c r="GB1168" s="4"/>
      <c r="GC1168" s="4"/>
      <c r="GD1168" s="4"/>
      <c r="GE1168" s="4"/>
      <c r="GF1168" s="4"/>
      <c r="GG1168" s="4"/>
      <c r="GH1168" s="4"/>
    </row>
    <row r="1169">
      <c r="A1169" s="2" t="s">
        <v>6599</v>
      </c>
      <c r="B1169" s="2" t="s">
        <v>230</v>
      </c>
      <c r="C1169" s="2" t="s">
        <v>877</v>
      </c>
      <c r="D1169" s="2" t="s">
        <v>232</v>
      </c>
      <c r="E1169" s="2" t="s">
        <v>233</v>
      </c>
      <c r="F1169" s="2" t="s">
        <v>378</v>
      </c>
      <c r="G1169" s="2" t="s">
        <v>378</v>
      </c>
      <c r="H1169" s="2" t="s">
        <v>378</v>
      </c>
      <c r="I1169" s="2" t="s">
        <v>6529</v>
      </c>
      <c r="J1169" s="2" t="s">
        <v>269</v>
      </c>
      <c r="K1169" s="2" t="s">
        <v>2359</v>
      </c>
      <c r="L1169" s="3">
        <v>11.18</v>
      </c>
      <c r="M1169" s="3">
        <v>11.74</v>
      </c>
      <c r="N1169" s="3">
        <v>27.99</v>
      </c>
      <c r="O1169" s="2" t="s">
        <v>212</v>
      </c>
      <c r="P1169" s="2" t="s">
        <v>258</v>
      </c>
      <c r="Q1169" s="2" t="s">
        <v>206</v>
      </c>
      <c r="R1169" s="2" t="s">
        <v>200</v>
      </c>
      <c r="S1169" s="2" t="s">
        <v>6597</v>
      </c>
      <c r="T1169" s="2" t="s">
        <v>378</v>
      </c>
      <c r="U1169" s="2" t="s">
        <v>200</v>
      </c>
      <c r="V1169" s="2" t="s">
        <v>208</v>
      </c>
      <c r="W1169" s="2" t="s">
        <v>241</v>
      </c>
      <c r="X1169" s="2" t="s">
        <v>200</v>
      </c>
      <c r="Y1169" s="2" t="s">
        <v>261</v>
      </c>
      <c r="Z1169" s="4">
        <v>304</v>
      </c>
      <c r="AA1169" s="4">
        <f>=ROUNDDOWN(152,0)</f>
      </c>
      <c r="AB1169" s="5">
        <v>2</v>
      </c>
      <c r="AC1169" s="2" t="s">
        <v>200</v>
      </c>
      <c r="AD1169" s="4"/>
      <c r="AE1169" s="4"/>
      <c r="AF1169" s="6">
        <v>65</v>
      </c>
      <c r="AG1169" s="6"/>
      <c r="AH1169" s="7">
        <v>1</v>
      </c>
      <c r="AI1169" s="4"/>
      <c r="AJ1169" s="4">
        <f>=ROUNDDOWN({0},0)</f>
      </c>
      <c r="AK1169" s="5"/>
      <c r="AL1169" s="2" t="s">
        <v>200</v>
      </c>
      <c r="AM1169" s="4"/>
      <c r="AN1169" s="4"/>
      <c r="AO1169" s="7"/>
      <c r="AP1169" s="4"/>
      <c r="AQ1169" s="8"/>
      <c r="AR1169" s="4"/>
      <c r="AS1169" s="8"/>
      <c r="AT1169" s="7"/>
      <c r="AU1169" s="7"/>
      <c r="AV1169" s="4" t="s">
        <v>200</v>
      </c>
      <c r="AW1169" s="8" t="s">
        <v>200</v>
      </c>
      <c r="AX1169" s="4" t="s">
        <v>200</v>
      </c>
      <c r="AY1169" s="8" t="s">
        <v>200</v>
      </c>
      <c r="AZ1169" s="7" t="s">
        <v>200</v>
      </c>
      <c r="BA1169" s="7" t="s">
        <v>200</v>
      </c>
      <c r="BB1169" s="7" t="s">
        <v>200</v>
      </c>
      <c r="BC1169" s="4" t="s">
        <v>200</v>
      </c>
      <c r="BD1169" s="8" t="s">
        <v>200</v>
      </c>
      <c r="BE1169" s="4" t="s">
        <v>200</v>
      </c>
      <c r="BF1169" s="8" t="s">
        <v>200</v>
      </c>
      <c r="BG1169" s="7" t="s">
        <v>200</v>
      </c>
      <c r="BH1169" s="7" t="s">
        <v>200</v>
      </c>
      <c r="BI1169" s="7"/>
      <c r="BJ1169" s="4">
        <v>18</v>
      </c>
      <c r="BK1169" s="8">
        <v>219.92</v>
      </c>
      <c r="BL1169" s="2" t="s">
        <v>6600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6601</v>
      </c>
      <c r="BV1169" s="2" t="s">
        <v>200</v>
      </c>
      <c r="BW1169" s="2" t="s">
        <v>200</v>
      </c>
      <c r="BX1169" s="2" t="s">
        <v>264</v>
      </c>
      <c r="BY1169" s="2" t="s">
        <v>247</v>
      </c>
      <c r="BZ1169" s="2" t="s">
        <v>212</v>
      </c>
      <c r="CA1169" s="2" t="s">
        <v>265</v>
      </c>
      <c r="CB1169" s="2" t="s">
        <v>6602</v>
      </c>
      <c r="CC1169" s="2" t="s">
        <v>213</v>
      </c>
      <c r="CD1169" s="2" t="s">
        <v>200</v>
      </c>
      <c r="CE1169" s="4">
        <v>304</v>
      </c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E1169" s="4"/>
      <c r="DF1169" s="4"/>
      <c r="DG1169" s="4"/>
      <c r="DH1169" s="4"/>
      <c r="DI1169" s="4"/>
      <c r="DJ1169" s="4"/>
      <c r="DK1169" s="4"/>
      <c r="DL1169" s="4"/>
      <c r="DM1169" s="4"/>
      <c r="DN1169" s="4"/>
      <c r="DO1169" s="4"/>
      <c r="DP1169" s="4"/>
      <c r="DQ1169" s="4"/>
      <c r="DR1169" s="4"/>
      <c r="DS1169" s="4"/>
      <c r="DT1169" s="4"/>
      <c r="DU1169" s="4"/>
      <c r="DV1169" s="4"/>
      <c r="DW1169" s="4"/>
      <c r="DX1169" s="4"/>
      <c r="DY1169" s="4"/>
      <c r="DZ1169" s="4"/>
      <c r="EA1169" s="4"/>
      <c r="EB1169" s="4"/>
      <c r="EC1169" s="4"/>
      <c r="ED1169" s="4"/>
      <c r="EE1169" s="4"/>
      <c r="EF1169" s="4"/>
      <c r="EG1169" s="4"/>
      <c r="EH1169" s="4"/>
      <c r="EI1169" s="4"/>
      <c r="EJ1169" s="4"/>
      <c r="EK1169" s="4"/>
      <c r="EL1169" s="4"/>
      <c r="EM1169" s="4"/>
      <c r="EN1169" s="4"/>
      <c r="EO1169" s="4"/>
      <c r="EP1169" s="4"/>
      <c r="EQ1169" s="4"/>
      <c r="ER1169" s="4"/>
      <c r="ES1169" s="4"/>
      <c r="ET1169" s="4"/>
      <c r="EU1169" s="4"/>
      <c r="EV1169" s="4"/>
      <c r="EW1169" s="4"/>
      <c r="EX1169" s="4"/>
      <c r="EY1169" s="4"/>
      <c r="EZ1169" s="4"/>
      <c r="FA1169" s="4"/>
      <c r="FB1169" s="4"/>
      <c r="FC1169" s="4"/>
      <c r="FD1169" s="4"/>
      <c r="FE1169" s="4"/>
      <c r="FF1169" s="4"/>
      <c r="FG1169" s="4"/>
      <c r="FH1169" s="4"/>
      <c r="FI1169" s="4"/>
      <c r="FJ1169" s="4"/>
      <c r="FK1169" s="4"/>
      <c r="FL1169" s="4"/>
      <c r="FM1169" s="4"/>
      <c r="FN1169" s="4"/>
      <c r="FO1169" s="4"/>
      <c r="FP1169" s="4"/>
      <c r="FQ1169" s="4"/>
      <c r="FR1169" s="4"/>
      <c r="FS1169" s="4"/>
      <c r="FT1169" s="4"/>
      <c r="FU1169" s="4"/>
      <c r="FV1169" s="4"/>
      <c r="FW1169" s="4"/>
      <c r="FX1169" s="4"/>
      <c r="FY1169" s="4"/>
      <c r="FZ1169" s="4"/>
      <c r="GA1169" s="4"/>
      <c r="GB1169" s="4"/>
      <c r="GC1169" s="4"/>
      <c r="GD1169" s="4"/>
      <c r="GE1169" s="4"/>
      <c r="GF1169" s="4"/>
      <c r="GG1169" s="4"/>
      <c r="GH1169" s="4"/>
    </row>
    <row r="1170">
      <c r="A1170" s="2" t="s">
        <v>6603</v>
      </c>
      <c r="B1170" s="2" t="s">
        <v>230</v>
      </c>
      <c r="C1170" s="2" t="s">
        <v>877</v>
      </c>
      <c r="D1170" s="2" t="s">
        <v>232</v>
      </c>
      <c r="E1170" s="2" t="s">
        <v>233</v>
      </c>
      <c r="F1170" s="2" t="s">
        <v>378</v>
      </c>
      <c r="G1170" s="2" t="s">
        <v>378</v>
      </c>
      <c r="H1170" s="2" t="s">
        <v>378</v>
      </c>
      <c r="I1170" s="2" t="s">
        <v>6549</v>
      </c>
      <c r="J1170" s="2" t="s">
        <v>269</v>
      </c>
      <c r="K1170" s="2" t="s">
        <v>2359</v>
      </c>
      <c r="L1170" s="3">
        <v>12.15</v>
      </c>
      <c r="M1170" s="3">
        <v>12.76</v>
      </c>
      <c r="N1170" s="3">
        <v>26.99</v>
      </c>
      <c r="O1170" s="2" t="s">
        <v>212</v>
      </c>
      <c r="P1170" s="2" t="s">
        <v>258</v>
      </c>
      <c r="Q1170" s="2" t="s">
        <v>206</v>
      </c>
      <c r="R1170" s="2" t="s">
        <v>200</v>
      </c>
      <c r="S1170" s="2" t="s">
        <v>6597</v>
      </c>
      <c r="T1170" s="2" t="s">
        <v>378</v>
      </c>
      <c r="U1170" s="2" t="s">
        <v>240</v>
      </c>
      <c r="V1170" s="2" t="s">
        <v>208</v>
      </c>
      <c r="W1170" s="2" t="s">
        <v>379</v>
      </c>
      <c r="X1170" s="2" t="s">
        <v>200</v>
      </c>
      <c r="Y1170" s="2" t="s">
        <v>6448</v>
      </c>
      <c r="Z1170" s="4">
        <v>250</v>
      </c>
      <c r="AA1170" s="4">
        <f>=ROUNDDOWN(62.5,0)</f>
      </c>
      <c r="AB1170" s="5">
        <v>4</v>
      </c>
      <c r="AC1170" s="2" t="s">
        <v>200</v>
      </c>
      <c r="AD1170" s="4"/>
      <c r="AE1170" s="4"/>
      <c r="AF1170" s="6">
        <v>65</v>
      </c>
      <c r="AG1170" s="6"/>
      <c r="AH1170" s="7">
        <v>1</v>
      </c>
      <c r="AI1170" s="4"/>
      <c r="AJ1170" s="4">
        <f>=ROUNDDOWN({0},0)</f>
      </c>
      <c r="AK1170" s="5"/>
      <c r="AL1170" s="2" t="s">
        <v>200</v>
      </c>
      <c r="AM1170" s="4"/>
      <c r="AN1170" s="4"/>
      <c r="AO1170" s="7"/>
      <c r="AP1170" s="4"/>
      <c r="AQ1170" s="8"/>
      <c r="AR1170" s="4"/>
      <c r="AS1170" s="8"/>
      <c r="AT1170" s="7"/>
      <c r="AU1170" s="7"/>
      <c r="AV1170" s="4" t="s">
        <v>200</v>
      </c>
      <c r="AW1170" s="8" t="s">
        <v>200</v>
      </c>
      <c r="AX1170" s="4" t="s">
        <v>200</v>
      </c>
      <c r="AY1170" s="8" t="s">
        <v>200</v>
      </c>
      <c r="AZ1170" s="7" t="s">
        <v>200</v>
      </c>
      <c r="BA1170" s="7" t="s">
        <v>200</v>
      </c>
      <c r="BB1170" s="7" t="s">
        <v>200</v>
      </c>
      <c r="BC1170" s="4" t="s">
        <v>200</v>
      </c>
      <c r="BD1170" s="8" t="s">
        <v>200</v>
      </c>
      <c r="BE1170" s="4" t="s">
        <v>200</v>
      </c>
      <c r="BF1170" s="8" t="s">
        <v>200</v>
      </c>
      <c r="BG1170" s="7" t="s">
        <v>200</v>
      </c>
      <c r="BH1170" s="7" t="s">
        <v>200</v>
      </c>
      <c r="BI1170" s="7"/>
      <c r="BJ1170" s="4">
        <v>16</v>
      </c>
      <c r="BK1170" s="8">
        <v>202.74</v>
      </c>
      <c r="BL1170" s="2" t="s">
        <v>245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6604</v>
      </c>
      <c r="BV1170" s="2" t="s">
        <v>200</v>
      </c>
      <c r="BW1170" s="2" t="s">
        <v>200</v>
      </c>
      <c r="BX1170" s="2" t="s">
        <v>264</v>
      </c>
      <c r="BY1170" s="2" t="s">
        <v>247</v>
      </c>
      <c r="BZ1170" s="2" t="s">
        <v>212</v>
      </c>
      <c r="CA1170" s="2" t="s">
        <v>3576</v>
      </c>
      <c r="CB1170" s="2" t="s">
        <v>2038</v>
      </c>
      <c r="CC1170" s="2" t="s">
        <v>213</v>
      </c>
      <c r="CD1170" s="2" t="s">
        <v>200</v>
      </c>
      <c r="CE1170" s="4">
        <v>250</v>
      </c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"/>
      <c r="DN1170" s="4"/>
      <c r="DO1170" s="4"/>
      <c r="DP1170" s="4"/>
      <c r="DQ1170" s="4"/>
      <c r="DR1170" s="4"/>
      <c r="DS1170" s="4"/>
      <c r="DT1170" s="4"/>
      <c r="DU1170" s="4"/>
      <c r="DV1170" s="4"/>
      <c r="DW1170" s="4"/>
      <c r="DX1170" s="4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"/>
      <c r="EJ1170" s="4"/>
      <c r="EK1170" s="4"/>
      <c r="EL1170" s="4"/>
      <c r="EM1170" s="4"/>
      <c r="EN1170" s="4"/>
      <c r="EO1170" s="4"/>
      <c r="EP1170" s="4"/>
      <c r="EQ1170" s="4"/>
      <c r="ER1170" s="4"/>
      <c r="ES1170" s="4"/>
      <c r="ET1170" s="4"/>
      <c r="EU1170" s="4"/>
      <c r="EV1170" s="4"/>
      <c r="EW1170" s="4"/>
      <c r="EX1170" s="4"/>
      <c r="EY1170" s="4"/>
      <c r="EZ1170" s="4"/>
      <c r="FA1170" s="4"/>
      <c r="FB1170" s="4"/>
      <c r="FC1170" s="4"/>
      <c r="FD1170" s="4"/>
      <c r="FE1170" s="4"/>
      <c r="FF1170" s="4"/>
      <c r="FG1170" s="4"/>
      <c r="FH1170" s="4"/>
      <c r="FI1170" s="4"/>
      <c r="FJ1170" s="4"/>
      <c r="FK1170" s="4"/>
      <c r="FL1170" s="4"/>
      <c r="FM1170" s="4"/>
      <c r="FN1170" s="4"/>
      <c r="FO1170" s="4"/>
      <c r="FP1170" s="4"/>
      <c r="FQ1170" s="4"/>
      <c r="FR1170" s="4"/>
      <c r="FS1170" s="4"/>
      <c r="FT1170" s="4"/>
      <c r="FU1170" s="4"/>
      <c r="FV1170" s="4"/>
      <c r="FW1170" s="4"/>
      <c r="FX1170" s="4"/>
      <c r="FY1170" s="4"/>
      <c r="FZ1170" s="4"/>
      <c r="GA1170" s="4"/>
      <c r="GB1170" s="4"/>
      <c r="GC1170" s="4"/>
      <c r="GD1170" s="4"/>
      <c r="GE1170" s="4"/>
      <c r="GF1170" s="4"/>
      <c r="GG1170" s="4"/>
      <c r="GH1170" s="4"/>
    </row>
    <row r="1171">
      <c r="A1171" s="2" t="s">
        <v>6605</v>
      </c>
      <c r="B1171" s="2" t="s">
        <v>230</v>
      </c>
      <c r="C1171" s="2" t="s">
        <v>877</v>
      </c>
      <c r="D1171" s="2" t="s">
        <v>232</v>
      </c>
      <c r="E1171" s="2" t="s">
        <v>233</v>
      </c>
      <c r="F1171" s="2" t="s">
        <v>378</v>
      </c>
      <c r="G1171" s="2" t="s">
        <v>378</v>
      </c>
      <c r="H1171" s="2" t="s">
        <v>378</v>
      </c>
      <c r="I1171" s="2" t="s">
        <v>6529</v>
      </c>
      <c r="J1171" s="2" t="s">
        <v>297</v>
      </c>
      <c r="K1171" s="2" t="s">
        <v>2359</v>
      </c>
      <c r="L1171" s="3">
        <v>14.21</v>
      </c>
      <c r="M1171" s="3">
        <v>14.92</v>
      </c>
      <c r="N1171" s="3">
        <v>32.99</v>
      </c>
      <c r="O1171" s="2" t="s">
        <v>212</v>
      </c>
      <c r="P1171" s="2" t="s">
        <v>258</v>
      </c>
      <c r="Q1171" s="2" t="s">
        <v>206</v>
      </c>
      <c r="R1171" s="2" t="s">
        <v>200</v>
      </c>
      <c r="S1171" s="2" t="s">
        <v>6597</v>
      </c>
      <c r="T1171" s="2" t="s">
        <v>378</v>
      </c>
      <c r="U1171" s="2" t="s">
        <v>200</v>
      </c>
      <c r="V1171" s="2" t="s">
        <v>208</v>
      </c>
      <c r="W1171" s="2" t="s">
        <v>241</v>
      </c>
      <c r="X1171" s="2" t="s">
        <v>200</v>
      </c>
      <c r="Y1171" s="2" t="s">
        <v>261</v>
      </c>
      <c r="Z1171" s="4">
        <v>502</v>
      </c>
      <c r="AA1171" s="4">
        <f>=ROUNDDOWN(14.3428571428571,0)</f>
      </c>
      <c r="AB1171" s="5">
        <v>35</v>
      </c>
      <c r="AC1171" s="2" t="s">
        <v>116</v>
      </c>
      <c r="AD1171" s="4">
        <v>320</v>
      </c>
      <c r="AE1171" s="4">
        <v>650</v>
      </c>
      <c r="AF1171" s="6">
        <v>65</v>
      </c>
      <c r="AG1171" s="6"/>
      <c r="AH1171" s="7">
        <v>0.7</v>
      </c>
      <c r="AI1171" s="4"/>
      <c r="AJ1171" s="4">
        <f>=ROUNDDOWN({0},0)</f>
      </c>
      <c r="AK1171" s="5"/>
      <c r="AL1171" s="2" t="s">
        <v>200</v>
      </c>
      <c r="AM1171" s="4"/>
      <c r="AN1171" s="4"/>
      <c r="AO1171" s="7"/>
      <c r="AP1171" s="4"/>
      <c r="AQ1171" s="8"/>
      <c r="AR1171" s="4"/>
      <c r="AS1171" s="8"/>
      <c r="AT1171" s="7"/>
      <c r="AU1171" s="7"/>
      <c r="AV1171" s="4" t="s">
        <v>200</v>
      </c>
      <c r="AW1171" s="8" t="s">
        <v>200</v>
      </c>
      <c r="AX1171" s="4" t="s">
        <v>200</v>
      </c>
      <c r="AY1171" s="8" t="s">
        <v>200</v>
      </c>
      <c r="AZ1171" s="7" t="s">
        <v>200</v>
      </c>
      <c r="BA1171" s="7" t="s">
        <v>200</v>
      </c>
      <c r="BB1171" s="7"/>
      <c r="BC1171" s="4" t="s">
        <v>200</v>
      </c>
      <c r="BD1171" s="8" t="s">
        <v>200</v>
      </c>
      <c r="BE1171" s="4" t="s">
        <v>200</v>
      </c>
      <c r="BF1171" s="8" t="s">
        <v>200</v>
      </c>
      <c r="BG1171" s="7" t="s">
        <v>200</v>
      </c>
      <c r="BH1171" s="7" t="s">
        <v>200</v>
      </c>
      <c r="BI1171" s="7"/>
      <c r="BJ1171" s="4">
        <v>83</v>
      </c>
      <c r="BK1171" s="8">
        <v>1183.7</v>
      </c>
      <c r="BL1171" s="2" t="s">
        <v>6606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6607</v>
      </c>
      <c r="BV1171" s="2" t="s">
        <v>200</v>
      </c>
      <c r="BW1171" s="2" t="s">
        <v>200</v>
      </c>
      <c r="BX1171" s="2" t="s">
        <v>264</v>
      </c>
      <c r="BY1171" s="2" t="s">
        <v>247</v>
      </c>
      <c r="BZ1171" s="2" t="s">
        <v>212</v>
      </c>
      <c r="CA1171" s="2" t="s">
        <v>265</v>
      </c>
      <c r="CB1171" s="2" t="s">
        <v>1235</v>
      </c>
      <c r="CC1171" s="2" t="s">
        <v>213</v>
      </c>
      <c r="CD1171" s="2" t="s">
        <v>200</v>
      </c>
      <c r="CE1171" s="4">
        <v>502</v>
      </c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>
        <v>320</v>
      </c>
      <c r="DD1171" s="4"/>
      <c r="DE1171" s="4"/>
      <c r="DF1171" s="4"/>
      <c r="DG1171" s="4"/>
      <c r="DH1171" s="4"/>
      <c r="DI1171" s="4"/>
      <c r="DJ1171" s="4"/>
      <c r="DK1171" s="4"/>
      <c r="DL1171" s="4"/>
      <c r="DM1171" s="4"/>
      <c r="DN1171" s="4"/>
      <c r="DO1171" s="4"/>
      <c r="DP1171" s="4"/>
      <c r="DQ1171" s="4"/>
      <c r="DR1171" s="4"/>
      <c r="DS1171" s="4"/>
      <c r="DT1171" s="4"/>
      <c r="DU1171" s="4"/>
      <c r="DV1171" s="4"/>
      <c r="DW1171" s="4"/>
      <c r="DX1171" s="4"/>
      <c r="DY1171" s="4"/>
      <c r="DZ1171" s="4"/>
      <c r="EA1171" s="4"/>
      <c r="EB1171" s="4"/>
      <c r="EC1171" s="4"/>
      <c r="ED1171" s="4"/>
      <c r="EE1171" s="4"/>
      <c r="EF1171" s="4"/>
      <c r="EG1171" s="4"/>
      <c r="EH1171" s="4"/>
      <c r="EI1171" s="4"/>
      <c r="EJ1171" s="4"/>
      <c r="EK1171" s="4"/>
      <c r="EL1171" s="4"/>
      <c r="EM1171" s="4"/>
      <c r="EN1171" s="4"/>
      <c r="EO1171" s="4"/>
      <c r="EP1171" s="4">
        <v>150</v>
      </c>
      <c r="EQ1171" s="4"/>
      <c r="ER1171" s="4"/>
      <c r="ES1171" s="4"/>
      <c r="ET1171" s="4"/>
      <c r="EU1171" s="4"/>
      <c r="EV1171" s="4"/>
      <c r="EW1171" s="4"/>
      <c r="EX1171" s="4"/>
      <c r="EY1171" s="4"/>
      <c r="EZ1171" s="4"/>
      <c r="FA1171" s="4"/>
      <c r="FB1171" s="4"/>
      <c r="FC1171" s="4"/>
      <c r="FD1171" s="4"/>
      <c r="FE1171" s="4"/>
      <c r="FF1171" s="4"/>
      <c r="FG1171" s="4"/>
      <c r="FH1171" s="4"/>
      <c r="FI1171" s="4">
        <v>180</v>
      </c>
      <c r="FJ1171" s="4"/>
      <c r="FK1171" s="4"/>
      <c r="FL1171" s="4"/>
      <c r="FM1171" s="4"/>
      <c r="FN1171" s="4"/>
      <c r="FO1171" s="4"/>
      <c r="FP1171" s="4"/>
      <c r="FQ1171" s="4"/>
      <c r="FR1171" s="4"/>
      <c r="FS1171" s="4"/>
      <c r="FT1171" s="4"/>
      <c r="FU1171" s="4"/>
      <c r="FV1171" s="4"/>
      <c r="FW1171" s="4"/>
      <c r="FX1171" s="4"/>
      <c r="FY1171" s="4"/>
      <c r="FZ1171" s="4"/>
      <c r="GA1171" s="4"/>
      <c r="GB1171" s="4"/>
      <c r="GC1171" s="4"/>
      <c r="GD1171" s="4"/>
      <c r="GE1171" s="4"/>
      <c r="GF1171" s="4"/>
      <c r="GG1171" s="4"/>
      <c r="GH1171" s="4"/>
    </row>
    <row r="1172">
      <c r="A1172" s="2" t="s">
        <v>6608</v>
      </c>
      <c r="B1172" s="2" t="s">
        <v>230</v>
      </c>
      <c r="C1172" s="2" t="s">
        <v>877</v>
      </c>
      <c r="D1172" s="2" t="s">
        <v>232</v>
      </c>
      <c r="E1172" s="2" t="s">
        <v>233</v>
      </c>
      <c r="F1172" s="2" t="s">
        <v>378</v>
      </c>
      <c r="G1172" s="2" t="s">
        <v>378</v>
      </c>
      <c r="H1172" s="2" t="s">
        <v>378</v>
      </c>
      <c r="I1172" s="2" t="s">
        <v>6529</v>
      </c>
      <c r="J1172" s="2" t="s">
        <v>256</v>
      </c>
      <c r="K1172" s="2" t="s">
        <v>565</v>
      </c>
      <c r="L1172" s="3">
        <v>11.18</v>
      </c>
      <c r="M1172" s="3">
        <v>11.74</v>
      </c>
      <c r="N1172" s="3">
        <v>27.99</v>
      </c>
      <c r="O1172" s="2" t="s">
        <v>212</v>
      </c>
      <c r="P1172" s="2" t="s">
        <v>258</v>
      </c>
      <c r="Q1172" s="2" t="s">
        <v>206</v>
      </c>
      <c r="R1172" s="2" t="s">
        <v>200</v>
      </c>
      <c r="S1172" s="2" t="s">
        <v>6609</v>
      </c>
      <c r="T1172" s="2" t="s">
        <v>378</v>
      </c>
      <c r="U1172" s="2" t="s">
        <v>200</v>
      </c>
      <c r="V1172" s="2" t="s">
        <v>208</v>
      </c>
      <c r="W1172" s="2" t="s">
        <v>241</v>
      </c>
      <c r="X1172" s="2" t="s">
        <v>200</v>
      </c>
      <c r="Y1172" s="2" t="s">
        <v>261</v>
      </c>
      <c r="Z1172" s="4">
        <v>185</v>
      </c>
      <c r="AA1172" s="4">
        <f>=ROUNDDOWN(29.3650793650794,0)</f>
      </c>
      <c r="AB1172" s="5">
        <v>6.3</v>
      </c>
      <c r="AC1172" s="2" t="s">
        <v>116</v>
      </c>
      <c r="AD1172" s="4">
        <v>60</v>
      </c>
      <c r="AE1172" s="4">
        <v>60</v>
      </c>
      <c r="AF1172" s="6">
        <v>65</v>
      </c>
      <c r="AG1172" s="6"/>
      <c r="AH1172" s="7">
        <v>1</v>
      </c>
      <c r="AI1172" s="4"/>
      <c r="AJ1172" s="4">
        <f>=ROUNDDOWN({0},0)</f>
      </c>
      <c r="AK1172" s="5"/>
      <c r="AL1172" s="2" t="s">
        <v>200</v>
      </c>
      <c r="AM1172" s="4"/>
      <c r="AN1172" s="4"/>
      <c r="AO1172" s="7"/>
      <c r="AP1172" s="4"/>
      <c r="AQ1172" s="8"/>
      <c r="AR1172" s="4"/>
      <c r="AS1172" s="8"/>
      <c r="AT1172" s="7"/>
      <c r="AU1172" s="7"/>
      <c r="AV1172" s="4" t="s">
        <v>200</v>
      </c>
      <c r="AW1172" s="8" t="s">
        <v>200</v>
      </c>
      <c r="AX1172" s="4" t="s">
        <v>200</v>
      </c>
      <c r="AY1172" s="8" t="s">
        <v>200</v>
      </c>
      <c r="AZ1172" s="7" t="s">
        <v>200</v>
      </c>
      <c r="BA1172" s="7" t="s">
        <v>200</v>
      </c>
      <c r="BB1172" s="7"/>
      <c r="BC1172" s="4" t="s">
        <v>200</v>
      </c>
      <c r="BD1172" s="8" t="s">
        <v>200</v>
      </c>
      <c r="BE1172" s="4" t="s">
        <v>200</v>
      </c>
      <c r="BF1172" s="8" t="s">
        <v>200</v>
      </c>
      <c r="BG1172" s="7" t="s">
        <v>200</v>
      </c>
      <c r="BH1172" s="7" t="s">
        <v>200</v>
      </c>
      <c r="BI1172" s="7"/>
      <c r="BJ1172" s="4">
        <v>21</v>
      </c>
      <c r="BK1172" s="8">
        <v>246.49</v>
      </c>
      <c r="BL1172" s="2" t="s">
        <v>6610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6611</v>
      </c>
      <c r="BV1172" s="2" t="s">
        <v>200</v>
      </c>
      <c r="BW1172" s="2" t="s">
        <v>200</v>
      </c>
      <c r="BX1172" s="2" t="s">
        <v>264</v>
      </c>
      <c r="BY1172" s="2" t="s">
        <v>247</v>
      </c>
      <c r="BZ1172" s="2" t="s">
        <v>212</v>
      </c>
      <c r="CA1172" s="2" t="s">
        <v>6329</v>
      </c>
      <c r="CB1172" s="2" t="s">
        <v>6612</v>
      </c>
      <c r="CC1172" s="2" t="s">
        <v>213</v>
      </c>
      <c r="CD1172" s="2" t="s">
        <v>200</v>
      </c>
      <c r="CE1172" s="4">
        <v>185</v>
      </c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>
        <v>60</v>
      </c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  <c r="DT1172" s="4"/>
      <c r="DU1172" s="4"/>
      <c r="DV1172" s="4"/>
      <c r="DW1172" s="4"/>
      <c r="DX1172" s="4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"/>
      <c r="EJ1172" s="4"/>
      <c r="EK1172" s="4"/>
      <c r="EL1172" s="4"/>
      <c r="EM1172" s="4"/>
      <c r="EN1172" s="4"/>
      <c r="EO1172" s="4"/>
      <c r="EP1172" s="4"/>
      <c r="EQ1172" s="4"/>
      <c r="ER1172" s="4"/>
      <c r="ES1172" s="4"/>
      <c r="ET1172" s="4"/>
      <c r="EU1172" s="4"/>
      <c r="EV1172" s="4"/>
      <c r="EW1172" s="4"/>
      <c r="EX1172" s="4"/>
      <c r="EY1172" s="4"/>
      <c r="EZ1172" s="4"/>
      <c r="FA1172" s="4"/>
      <c r="FB1172" s="4"/>
      <c r="FC1172" s="4"/>
      <c r="FD1172" s="4"/>
      <c r="FE1172" s="4"/>
      <c r="FF1172" s="4"/>
      <c r="FG1172" s="4"/>
      <c r="FH1172" s="4"/>
      <c r="FI1172" s="4"/>
      <c r="FJ1172" s="4"/>
      <c r="FK1172" s="4"/>
      <c r="FL1172" s="4"/>
      <c r="FM1172" s="4"/>
      <c r="FN1172" s="4"/>
      <c r="FO1172" s="4"/>
      <c r="FP1172" s="4"/>
      <c r="FQ1172" s="4"/>
      <c r="FR1172" s="4"/>
      <c r="FS1172" s="4"/>
      <c r="FT1172" s="4"/>
      <c r="FU1172" s="4"/>
      <c r="FV1172" s="4"/>
      <c r="FW1172" s="4"/>
      <c r="FX1172" s="4"/>
      <c r="FY1172" s="4"/>
      <c r="FZ1172" s="4"/>
      <c r="GA1172" s="4"/>
      <c r="GB1172" s="4"/>
      <c r="GC1172" s="4"/>
      <c r="GD1172" s="4"/>
      <c r="GE1172" s="4"/>
      <c r="GF1172" s="4"/>
      <c r="GG1172" s="4"/>
      <c r="GH1172" s="4"/>
    </row>
    <row r="1173">
      <c r="A1173" s="2" t="s">
        <v>6613</v>
      </c>
      <c r="B1173" s="2" t="s">
        <v>230</v>
      </c>
      <c r="C1173" s="2" t="s">
        <v>877</v>
      </c>
      <c r="D1173" s="2" t="s">
        <v>232</v>
      </c>
      <c r="E1173" s="2" t="s">
        <v>233</v>
      </c>
      <c r="F1173" s="2" t="s">
        <v>378</v>
      </c>
      <c r="G1173" s="2" t="s">
        <v>378</v>
      </c>
      <c r="H1173" s="2" t="s">
        <v>378</v>
      </c>
      <c r="I1173" s="2" t="s">
        <v>6529</v>
      </c>
      <c r="J1173" s="2" t="s">
        <v>269</v>
      </c>
      <c r="K1173" s="2" t="s">
        <v>565</v>
      </c>
      <c r="L1173" s="3">
        <v>11.18</v>
      </c>
      <c r="M1173" s="3">
        <v>11.74</v>
      </c>
      <c r="N1173" s="3">
        <v>27.99</v>
      </c>
      <c r="O1173" s="2" t="s">
        <v>212</v>
      </c>
      <c r="P1173" s="2" t="s">
        <v>258</v>
      </c>
      <c r="Q1173" s="2" t="s">
        <v>206</v>
      </c>
      <c r="R1173" s="2" t="s">
        <v>200</v>
      </c>
      <c r="S1173" s="2" t="s">
        <v>6609</v>
      </c>
      <c r="T1173" s="2" t="s">
        <v>378</v>
      </c>
      <c r="U1173" s="2" t="s">
        <v>200</v>
      </c>
      <c r="V1173" s="2" t="s">
        <v>208</v>
      </c>
      <c r="W1173" s="2" t="s">
        <v>241</v>
      </c>
      <c r="X1173" s="2" t="s">
        <v>200</v>
      </c>
      <c r="Y1173" s="2" t="s">
        <v>261</v>
      </c>
      <c r="Z1173" s="4">
        <v>369</v>
      </c>
      <c r="AA1173" s="4">
        <f>=ROUNDDOWN(73.8,0)</f>
      </c>
      <c r="AB1173" s="5">
        <v>5</v>
      </c>
      <c r="AC1173" s="2" t="s">
        <v>200</v>
      </c>
      <c r="AD1173" s="4"/>
      <c r="AE1173" s="4"/>
      <c r="AF1173" s="6">
        <v>65</v>
      </c>
      <c r="AG1173" s="6"/>
      <c r="AH1173" s="7">
        <v>1</v>
      </c>
      <c r="AI1173" s="4"/>
      <c r="AJ1173" s="4">
        <f>=ROUNDDOWN({0},0)</f>
      </c>
      <c r="AK1173" s="5"/>
      <c r="AL1173" s="2" t="s">
        <v>200</v>
      </c>
      <c r="AM1173" s="4"/>
      <c r="AN1173" s="4"/>
      <c r="AO1173" s="7"/>
      <c r="AP1173" s="4"/>
      <c r="AQ1173" s="8"/>
      <c r="AR1173" s="4"/>
      <c r="AS1173" s="8"/>
      <c r="AT1173" s="7"/>
      <c r="AU1173" s="7"/>
      <c r="AV1173" s="4" t="s">
        <v>200</v>
      </c>
      <c r="AW1173" s="8" t="s">
        <v>200</v>
      </c>
      <c r="AX1173" s="4" t="s">
        <v>200</v>
      </c>
      <c r="AY1173" s="8" t="s">
        <v>200</v>
      </c>
      <c r="AZ1173" s="7" t="s">
        <v>200</v>
      </c>
      <c r="BA1173" s="7" t="s">
        <v>200</v>
      </c>
      <c r="BB1173" s="7"/>
      <c r="BC1173" s="4" t="s">
        <v>200</v>
      </c>
      <c r="BD1173" s="8" t="s">
        <v>200</v>
      </c>
      <c r="BE1173" s="4" t="s">
        <v>200</v>
      </c>
      <c r="BF1173" s="8" t="s">
        <v>200</v>
      </c>
      <c r="BG1173" s="7" t="s">
        <v>200</v>
      </c>
      <c r="BH1173" s="7" t="s">
        <v>200</v>
      </c>
      <c r="BI1173" s="7"/>
      <c r="BJ1173" s="4">
        <v>13</v>
      </c>
      <c r="BK1173" s="8">
        <v>146.89</v>
      </c>
      <c r="BL1173" s="2" t="s">
        <v>6614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6615</v>
      </c>
      <c r="BV1173" s="2" t="s">
        <v>200</v>
      </c>
      <c r="BW1173" s="2" t="s">
        <v>200</v>
      </c>
      <c r="BX1173" s="2" t="s">
        <v>264</v>
      </c>
      <c r="BY1173" s="2" t="s">
        <v>247</v>
      </c>
      <c r="BZ1173" s="2" t="s">
        <v>212</v>
      </c>
      <c r="CA1173" s="2" t="s">
        <v>6329</v>
      </c>
      <c r="CB1173" s="2" t="s">
        <v>6616</v>
      </c>
      <c r="CC1173" s="2" t="s">
        <v>213</v>
      </c>
      <c r="CD1173" s="2" t="s">
        <v>200</v>
      </c>
      <c r="CE1173" s="4">
        <v>369</v>
      </c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/>
      <c r="EC1173" s="4"/>
      <c r="ED1173" s="4"/>
      <c r="EE1173" s="4"/>
      <c r="EF1173" s="4"/>
      <c r="EG1173" s="4"/>
      <c r="EH1173" s="4"/>
      <c r="EI1173" s="4"/>
      <c r="EJ1173" s="4"/>
      <c r="EK1173" s="4"/>
      <c r="EL1173" s="4"/>
      <c r="EM1173" s="4"/>
      <c r="EN1173" s="4"/>
      <c r="EO1173" s="4"/>
      <c r="EP1173" s="4"/>
      <c r="EQ1173" s="4"/>
      <c r="ER1173" s="4"/>
      <c r="ES1173" s="4"/>
      <c r="ET1173" s="4"/>
      <c r="EU1173" s="4"/>
      <c r="EV1173" s="4"/>
      <c r="EW1173" s="4"/>
      <c r="EX1173" s="4"/>
      <c r="EY1173" s="4"/>
      <c r="EZ1173" s="4"/>
      <c r="FA1173" s="4"/>
      <c r="FB1173" s="4"/>
      <c r="FC1173" s="4"/>
      <c r="FD1173" s="4"/>
      <c r="FE1173" s="4"/>
      <c r="FF1173" s="4"/>
      <c r="FG1173" s="4"/>
      <c r="FH1173" s="4"/>
      <c r="FI1173" s="4"/>
      <c r="FJ1173" s="4"/>
      <c r="FK1173" s="4"/>
      <c r="FL1173" s="4"/>
      <c r="FM1173" s="4"/>
      <c r="FN1173" s="4"/>
      <c r="FO1173" s="4"/>
      <c r="FP1173" s="4"/>
      <c r="FQ1173" s="4"/>
      <c r="FR1173" s="4"/>
      <c r="FS1173" s="4"/>
      <c r="FT1173" s="4"/>
      <c r="FU1173" s="4"/>
      <c r="FV1173" s="4"/>
      <c r="FW1173" s="4"/>
      <c r="FX1173" s="4"/>
      <c r="FY1173" s="4"/>
      <c r="FZ1173" s="4"/>
      <c r="GA1173" s="4"/>
      <c r="GB1173" s="4"/>
      <c r="GC1173" s="4"/>
      <c r="GD1173" s="4"/>
      <c r="GE1173" s="4"/>
      <c r="GF1173" s="4"/>
      <c r="GG1173" s="4"/>
      <c r="GH1173" s="4"/>
    </row>
    <row r="1174">
      <c r="A1174" s="2" t="s">
        <v>6617</v>
      </c>
      <c r="B1174" s="2" t="s">
        <v>230</v>
      </c>
      <c r="C1174" s="2" t="s">
        <v>877</v>
      </c>
      <c r="D1174" s="2" t="s">
        <v>232</v>
      </c>
      <c r="E1174" s="2" t="s">
        <v>233</v>
      </c>
      <c r="F1174" s="2" t="s">
        <v>378</v>
      </c>
      <c r="G1174" s="2" t="s">
        <v>378</v>
      </c>
      <c r="H1174" s="2" t="s">
        <v>378</v>
      </c>
      <c r="I1174" s="2" t="s">
        <v>6529</v>
      </c>
      <c r="J1174" s="2" t="s">
        <v>269</v>
      </c>
      <c r="K1174" s="2" t="s">
        <v>257</v>
      </c>
      <c r="L1174" s="3">
        <v>11.18</v>
      </c>
      <c r="M1174" s="3">
        <v>11.74</v>
      </c>
      <c r="N1174" s="3">
        <v>27.99</v>
      </c>
      <c r="O1174" s="2" t="s">
        <v>212</v>
      </c>
      <c r="P1174" s="2" t="s">
        <v>258</v>
      </c>
      <c r="Q1174" s="2" t="s">
        <v>206</v>
      </c>
      <c r="R1174" s="2" t="s">
        <v>200</v>
      </c>
      <c r="S1174" s="2" t="s">
        <v>6618</v>
      </c>
      <c r="T1174" s="2" t="s">
        <v>378</v>
      </c>
      <c r="U1174" s="2" t="s">
        <v>200</v>
      </c>
      <c r="V1174" s="2" t="s">
        <v>208</v>
      </c>
      <c r="W1174" s="2" t="s">
        <v>241</v>
      </c>
      <c r="X1174" s="2" t="s">
        <v>200</v>
      </c>
      <c r="Y1174" s="2" t="s">
        <v>261</v>
      </c>
      <c r="Z1174" s="4">
        <v>420</v>
      </c>
      <c r="AA1174" s="4">
        <f>=ROUNDDOWN(84,0)</f>
      </c>
      <c r="AB1174" s="5">
        <v>5</v>
      </c>
      <c r="AC1174" s="2" t="s">
        <v>200</v>
      </c>
      <c r="AD1174" s="4"/>
      <c r="AE1174" s="4"/>
      <c r="AF1174" s="6">
        <v>65</v>
      </c>
      <c r="AG1174" s="6"/>
      <c r="AH1174" s="7">
        <v>1</v>
      </c>
      <c r="AI1174" s="4"/>
      <c r="AJ1174" s="4">
        <f>=ROUNDDOWN({0},0)</f>
      </c>
      <c r="AK1174" s="5"/>
      <c r="AL1174" s="2" t="s">
        <v>200</v>
      </c>
      <c r="AM1174" s="4"/>
      <c r="AN1174" s="4"/>
      <c r="AO1174" s="7"/>
      <c r="AP1174" s="4"/>
      <c r="AQ1174" s="8"/>
      <c r="AR1174" s="4"/>
      <c r="AS1174" s="8"/>
      <c r="AT1174" s="7"/>
      <c r="AU1174" s="7"/>
      <c r="AV1174" s="4" t="s">
        <v>200</v>
      </c>
      <c r="AW1174" s="8" t="s">
        <v>200</v>
      </c>
      <c r="AX1174" s="4" t="s">
        <v>200</v>
      </c>
      <c r="AY1174" s="8" t="s">
        <v>200</v>
      </c>
      <c r="AZ1174" s="7" t="s">
        <v>200</v>
      </c>
      <c r="BA1174" s="7" t="s">
        <v>200</v>
      </c>
      <c r="BB1174" s="7"/>
      <c r="BC1174" s="4" t="s">
        <v>200</v>
      </c>
      <c r="BD1174" s="8" t="s">
        <v>200</v>
      </c>
      <c r="BE1174" s="4" t="s">
        <v>200</v>
      </c>
      <c r="BF1174" s="8" t="s">
        <v>200</v>
      </c>
      <c r="BG1174" s="7" t="s">
        <v>200</v>
      </c>
      <c r="BH1174" s="7" t="s">
        <v>200</v>
      </c>
      <c r="BI1174" s="7"/>
      <c r="BJ1174" s="4">
        <v>16</v>
      </c>
      <c r="BK1174" s="8">
        <v>189.9</v>
      </c>
      <c r="BL1174" s="2" t="s">
        <v>6619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6620</v>
      </c>
      <c r="BV1174" s="2" t="s">
        <v>200</v>
      </c>
      <c r="BW1174" s="2" t="s">
        <v>200</v>
      </c>
      <c r="BX1174" s="2" t="s">
        <v>264</v>
      </c>
      <c r="BY1174" s="2" t="s">
        <v>247</v>
      </c>
      <c r="BZ1174" s="2" t="s">
        <v>212</v>
      </c>
      <c r="CA1174" s="2" t="s">
        <v>265</v>
      </c>
      <c r="CB1174" s="2" t="s">
        <v>6497</v>
      </c>
      <c r="CC1174" s="2" t="s">
        <v>213</v>
      </c>
      <c r="CD1174" s="2" t="s">
        <v>200</v>
      </c>
      <c r="CE1174" s="4">
        <v>420</v>
      </c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  <c r="DE1174" s="4"/>
      <c r="DF1174" s="4"/>
      <c r="DG1174" s="4"/>
      <c r="DH1174" s="4"/>
      <c r="DI1174" s="4"/>
      <c r="DJ1174" s="4"/>
      <c r="DK1174" s="4"/>
      <c r="DL1174" s="4"/>
      <c r="DM1174" s="4"/>
      <c r="DN1174" s="4"/>
      <c r="DO1174" s="4"/>
      <c r="DP1174" s="4"/>
      <c r="DQ1174" s="4"/>
      <c r="DR1174" s="4"/>
      <c r="DS1174" s="4"/>
      <c r="DT1174" s="4"/>
      <c r="DU1174" s="4"/>
      <c r="DV1174" s="4"/>
      <c r="DW1174" s="4"/>
      <c r="DX1174" s="4"/>
      <c r="DY1174" s="4"/>
      <c r="DZ1174" s="4"/>
      <c r="EA1174" s="4"/>
      <c r="EB1174" s="4"/>
      <c r="EC1174" s="4"/>
      <c r="ED1174" s="4"/>
      <c r="EE1174" s="4"/>
      <c r="EF1174" s="4"/>
      <c r="EG1174" s="4"/>
      <c r="EH1174" s="4"/>
      <c r="EI1174" s="4"/>
      <c r="EJ1174" s="4"/>
      <c r="EK1174" s="4"/>
      <c r="EL1174" s="4"/>
      <c r="EM1174" s="4"/>
      <c r="EN1174" s="4"/>
      <c r="EO1174" s="4"/>
      <c r="EP1174" s="4"/>
      <c r="EQ1174" s="4"/>
      <c r="ER1174" s="4"/>
      <c r="ES1174" s="4"/>
      <c r="ET1174" s="4"/>
      <c r="EU1174" s="4"/>
      <c r="EV1174" s="4"/>
      <c r="EW1174" s="4"/>
      <c r="EX1174" s="4"/>
      <c r="EY1174" s="4"/>
      <c r="EZ1174" s="4"/>
      <c r="FA1174" s="4"/>
      <c r="FB1174" s="4"/>
      <c r="FC1174" s="4"/>
      <c r="FD1174" s="4"/>
      <c r="FE1174" s="4"/>
      <c r="FF1174" s="4"/>
      <c r="FG1174" s="4"/>
      <c r="FH1174" s="4"/>
      <c r="FI1174" s="4"/>
      <c r="FJ1174" s="4"/>
      <c r="FK1174" s="4"/>
      <c r="FL1174" s="4"/>
      <c r="FM1174" s="4"/>
      <c r="FN1174" s="4"/>
      <c r="FO1174" s="4"/>
      <c r="FP1174" s="4"/>
      <c r="FQ1174" s="4"/>
      <c r="FR1174" s="4"/>
      <c r="FS1174" s="4"/>
      <c r="FT1174" s="4"/>
      <c r="FU1174" s="4"/>
      <c r="FV1174" s="4"/>
      <c r="FW1174" s="4"/>
      <c r="FX1174" s="4"/>
      <c r="FY1174" s="4"/>
      <c r="FZ1174" s="4"/>
      <c r="GA1174" s="4"/>
      <c r="GB1174" s="4"/>
      <c r="GC1174" s="4"/>
      <c r="GD1174" s="4"/>
      <c r="GE1174" s="4"/>
      <c r="GF1174" s="4"/>
      <c r="GG1174" s="4"/>
      <c r="GH1174" s="4"/>
    </row>
    <row r="1175">
      <c r="A1175" s="2" t="s">
        <v>6621</v>
      </c>
      <c r="B1175" s="2" t="s">
        <v>230</v>
      </c>
      <c r="C1175" s="2" t="s">
        <v>877</v>
      </c>
      <c r="D1175" s="2" t="s">
        <v>232</v>
      </c>
      <c r="E1175" s="2" t="s">
        <v>233</v>
      </c>
      <c r="F1175" s="2" t="s">
        <v>378</v>
      </c>
      <c r="G1175" s="2" t="s">
        <v>378</v>
      </c>
      <c r="H1175" s="2" t="s">
        <v>378</v>
      </c>
      <c r="I1175" s="2" t="s">
        <v>6549</v>
      </c>
      <c r="J1175" s="2" t="s">
        <v>277</v>
      </c>
      <c r="K1175" s="2" t="s">
        <v>257</v>
      </c>
      <c r="L1175" s="3">
        <v>14.85</v>
      </c>
      <c r="M1175" s="3">
        <v>15.59</v>
      </c>
      <c r="N1175" s="3">
        <v>32.99</v>
      </c>
      <c r="O1175" s="2" t="s">
        <v>212</v>
      </c>
      <c r="P1175" s="2" t="s">
        <v>258</v>
      </c>
      <c r="Q1175" s="2" t="s">
        <v>206</v>
      </c>
      <c r="R1175" s="2" t="s">
        <v>200</v>
      </c>
      <c r="S1175" s="2" t="s">
        <v>6618</v>
      </c>
      <c r="T1175" s="2" t="s">
        <v>378</v>
      </c>
      <c r="U1175" s="2" t="s">
        <v>662</v>
      </c>
      <c r="V1175" s="2" t="s">
        <v>208</v>
      </c>
      <c r="W1175" s="2" t="s">
        <v>241</v>
      </c>
      <c r="X1175" s="2" t="s">
        <v>379</v>
      </c>
      <c r="Y1175" s="2" t="s">
        <v>6550</v>
      </c>
      <c r="Z1175" s="4">
        <v>117</v>
      </c>
      <c r="AA1175" s="4">
        <f>=ROUNDDOWN(41.7857142857143,0)</f>
      </c>
      <c r="AB1175" s="5">
        <v>2.8</v>
      </c>
      <c r="AC1175" s="2" t="s">
        <v>116</v>
      </c>
      <c r="AD1175" s="4">
        <v>30</v>
      </c>
      <c r="AE1175" s="4">
        <v>110</v>
      </c>
      <c r="AF1175" s="6">
        <v>65</v>
      </c>
      <c r="AG1175" s="6"/>
      <c r="AH1175" s="7">
        <v>1</v>
      </c>
      <c r="AI1175" s="4"/>
      <c r="AJ1175" s="4">
        <f>=ROUNDDOWN({0},0)</f>
      </c>
      <c r="AK1175" s="5"/>
      <c r="AL1175" s="2" t="s">
        <v>200</v>
      </c>
      <c r="AM1175" s="4"/>
      <c r="AN1175" s="4"/>
      <c r="AO1175" s="7"/>
      <c r="AP1175" s="4"/>
      <c r="AQ1175" s="8"/>
      <c r="AR1175" s="4"/>
      <c r="AS1175" s="8"/>
      <c r="AT1175" s="7"/>
      <c r="AU1175" s="7"/>
      <c r="AV1175" s="4" t="s">
        <v>200</v>
      </c>
      <c r="AW1175" s="8" t="s">
        <v>200</v>
      </c>
      <c r="AX1175" s="4" t="s">
        <v>200</v>
      </c>
      <c r="AY1175" s="8" t="s">
        <v>200</v>
      </c>
      <c r="AZ1175" s="7" t="s">
        <v>200</v>
      </c>
      <c r="BA1175" s="7" t="s">
        <v>200</v>
      </c>
      <c r="BB1175" s="7"/>
      <c r="BC1175" s="4" t="s">
        <v>200</v>
      </c>
      <c r="BD1175" s="8" t="s">
        <v>200</v>
      </c>
      <c r="BE1175" s="4" t="s">
        <v>200</v>
      </c>
      <c r="BF1175" s="8" t="s">
        <v>200</v>
      </c>
      <c r="BG1175" s="7" t="s">
        <v>200</v>
      </c>
      <c r="BH1175" s="7" t="s">
        <v>200</v>
      </c>
      <c r="BI1175" s="7"/>
      <c r="BJ1175" s="4">
        <v>15</v>
      </c>
      <c r="BK1175" s="8">
        <v>232.97</v>
      </c>
      <c r="BL1175" s="2" t="s">
        <v>298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6622</v>
      </c>
      <c r="BV1175" s="2" t="s">
        <v>200</v>
      </c>
      <c r="BW1175" s="2" t="s">
        <v>200</v>
      </c>
      <c r="BX1175" s="2" t="s">
        <v>264</v>
      </c>
      <c r="BY1175" s="2" t="s">
        <v>247</v>
      </c>
      <c r="BZ1175" s="2" t="s">
        <v>212</v>
      </c>
      <c r="CA1175" s="2" t="s">
        <v>6553</v>
      </c>
      <c r="CB1175" s="2" t="s">
        <v>3989</v>
      </c>
      <c r="CC1175" s="2" t="s">
        <v>213</v>
      </c>
      <c r="CD1175" s="2" t="s">
        <v>200</v>
      </c>
      <c r="CE1175" s="4">
        <v>117</v>
      </c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>
        <v>30</v>
      </c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"/>
      <c r="EJ1175" s="4"/>
      <c r="EK1175" s="4"/>
      <c r="EL1175" s="4"/>
      <c r="EM1175" s="4"/>
      <c r="EN1175" s="4"/>
      <c r="EO1175" s="4"/>
      <c r="EP1175" s="4">
        <v>80</v>
      </c>
      <c r="EQ1175" s="4"/>
      <c r="ER1175" s="4"/>
      <c r="ES1175" s="4"/>
      <c r="ET1175" s="4"/>
      <c r="EU1175" s="4"/>
      <c r="EV1175" s="4"/>
      <c r="EW1175" s="4"/>
      <c r="EX1175" s="4"/>
      <c r="EY1175" s="4"/>
      <c r="EZ1175" s="4"/>
      <c r="FA1175" s="4"/>
      <c r="FB1175" s="4"/>
      <c r="FC1175" s="4"/>
      <c r="FD1175" s="4"/>
      <c r="FE1175" s="4"/>
      <c r="FF1175" s="4"/>
      <c r="FG1175" s="4"/>
      <c r="FH1175" s="4"/>
      <c r="FI1175" s="4"/>
      <c r="FJ1175" s="4"/>
      <c r="FK1175" s="4"/>
      <c r="FL1175" s="4"/>
      <c r="FM1175" s="4"/>
      <c r="FN1175" s="4"/>
      <c r="FO1175" s="4"/>
      <c r="FP1175" s="4"/>
      <c r="FQ1175" s="4"/>
      <c r="FR1175" s="4"/>
      <c r="FS1175" s="4"/>
      <c r="FT1175" s="4"/>
      <c r="FU1175" s="4"/>
      <c r="FV1175" s="4"/>
      <c r="FW1175" s="4"/>
      <c r="FX1175" s="4"/>
      <c r="FY1175" s="4"/>
      <c r="FZ1175" s="4"/>
      <c r="GA1175" s="4"/>
      <c r="GB1175" s="4"/>
      <c r="GC1175" s="4"/>
      <c r="GD1175" s="4"/>
      <c r="GE1175" s="4"/>
      <c r="GF1175" s="4"/>
      <c r="GG1175" s="4"/>
      <c r="GH1175" s="4"/>
    </row>
    <row r="1176">
      <c r="A1176" s="2" t="s">
        <v>6623</v>
      </c>
      <c r="B1176" s="2" t="s">
        <v>230</v>
      </c>
      <c r="C1176" s="2" t="s">
        <v>1252</v>
      </c>
      <c r="D1176" s="2" t="s">
        <v>232</v>
      </c>
      <c r="E1176" s="2" t="s">
        <v>233</v>
      </c>
      <c r="F1176" s="2" t="s">
        <v>6624</v>
      </c>
      <c r="G1176" s="2" t="s">
        <v>6624</v>
      </c>
      <c r="H1176" s="2" t="s">
        <v>6624</v>
      </c>
      <c r="I1176" s="2" t="s">
        <v>6625</v>
      </c>
      <c r="J1176" s="2" t="s">
        <v>269</v>
      </c>
      <c r="K1176" s="2" t="s">
        <v>257</v>
      </c>
      <c r="L1176" s="3">
        <v>12.14</v>
      </c>
      <c r="M1176" s="3">
        <v>12.75</v>
      </c>
      <c r="N1176" s="3">
        <v>19.99</v>
      </c>
      <c r="O1176" s="2" t="s">
        <v>417</v>
      </c>
      <c r="P1176" s="2" t="s">
        <v>1258</v>
      </c>
      <c r="Q1176" s="2" t="s">
        <v>206</v>
      </c>
      <c r="R1176" s="2" t="s">
        <v>1259</v>
      </c>
      <c r="S1176" s="2" t="s">
        <v>200</v>
      </c>
      <c r="T1176" s="2" t="s">
        <v>378</v>
      </c>
      <c r="U1176" s="2" t="s">
        <v>200</v>
      </c>
      <c r="V1176" s="2" t="s">
        <v>208</v>
      </c>
      <c r="W1176" s="2" t="s">
        <v>200</v>
      </c>
      <c r="X1176" s="2" t="s">
        <v>200</v>
      </c>
      <c r="Y1176" s="2" t="s">
        <v>4503</v>
      </c>
      <c r="Z1176" s="4">
        <v>6</v>
      </c>
      <c r="AA1176" s="4">
        <f>=ROUNDDOWN(2.5,0)</f>
      </c>
      <c r="AB1176" s="5">
        <v>2.4</v>
      </c>
      <c r="AC1176" s="2" t="s">
        <v>200</v>
      </c>
      <c r="AD1176" s="4"/>
      <c r="AE1176" s="4"/>
      <c r="AF1176" s="6">
        <v>64</v>
      </c>
      <c r="AG1176" s="6"/>
      <c r="AH1176" s="7">
        <v>0.9</v>
      </c>
      <c r="AI1176" s="4"/>
      <c r="AJ1176" s="4">
        <f>=ROUNDDOWN({0},0)</f>
      </c>
      <c r="AK1176" s="5"/>
      <c r="AL1176" s="2" t="s">
        <v>200</v>
      </c>
      <c r="AM1176" s="4"/>
      <c r="AN1176" s="4"/>
      <c r="AO1176" s="7"/>
      <c r="AP1176" s="4"/>
      <c r="AQ1176" s="8"/>
      <c r="AR1176" s="4"/>
      <c r="AS1176" s="8"/>
      <c r="AT1176" s="7"/>
      <c r="AU1176" s="7"/>
      <c r="AV1176" s="4"/>
      <c r="AW1176" s="8"/>
      <c r="AX1176" s="4"/>
      <c r="AY1176" s="8"/>
      <c r="AZ1176" s="7"/>
      <c r="BA1176" s="7"/>
      <c r="BB1176" s="7"/>
      <c r="BC1176" s="4"/>
      <c r="BD1176" s="8"/>
      <c r="BE1176" s="4"/>
      <c r="BF1176" s="8"/>
      <c r="BG1176" s="7"/>
      <c r="BH1176" s="7"/>
      <c r="BI1176" s="7"/>
      <c r="BJ1176" s="4"/>
      <c r="BK1176" s="8"/>
      <c r="BL1176" s="2" t="s">
        <v>1029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6626</v>
      </c>
      <c r="BV1176" s="2" t="s">
        <v>200</v>
      </c>
      <c r="BW1176" s="2" t="s">
        <v>200</v>
      </c>
      <c r="BX1176" s="2" t="s">
        <v>264</v>
      </c>
      <c r="BY1176" s="2" t="s">
        <v>247</v>
      </c>
      <c r="BZ1176" s="2" t="s">
        <v>212</v>
      </c>
      <c r="CA1176" s="2" t="s">
        <v>3273</v>
      </c>
      <c r="CB1176" s="2" t="s">
        <v>200</v>
      </c>
      <c r="CC1176" s="2" t="s">
        <v>213</v>
      </c>
      <c r="CD1176" s="2" t="s">
        <v>200</v>
      </c>
      <c r="CE1176" s="4">
        <v>6</v>
      </c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E1176" s="4"/>
      <c r="DF1176" s="4"/>
      <c r="DG1176" s="4"/>
      <c r="DH1176" s="4"/>
      <c r="DI1176" s="4"/>
      <c r="DJ1176" s="4"/>
      <c r="DK1176" s="4"/>
      <c r="DL1176" s="4"/>
      <c r="DM1176" s="4"/>
      <c r="DN1176" s="4"/>
      <c r="DO1176" s="4"/>
      <c r="DP1176" s="4"/>
      <c r="DQ1176" s="4"/>
      <c r="DR1176" s="4"/>
      <c r="DS1176" s="4"/>
      <c r="DT1176" s="4"/>
      <c r="DU1176" s="4"/>
      <c r="DV1176" s="4"/>
      <c r="DW1176" s="4"/>
      <c r="DX1176" s="4"/>
      <c r="DY1176" s="4"/>
      <c r="DZ1176" s="4"/>
      <c r="EA1176" s="4"/>
      <c r="EB1176" s="4"/>
      <c r="EC1176" s="4"/>
      <c r="ED1176" s="4"/>
      <c r="EE1176" s="4"/>
      <c r="EF1176" s="4"/>
      <c r="EG1176" s="4"/>
      <c r="EH1176" s="4"/>
      <c r="EI1176" s="4"/>
      <c r="EJ1176" s="4"/>
      <c r="EK1176" s="4"/>
      <c r="EL1176" s="4"/>
      <c r="EM1176" s="4"/>
      <c r="EN1176" s="4"/>
      <c r="EO1176" s="4"/>
      <c r="EP1176" s="4"/>
      <c r="EQ1176" s="4"/>
      <c r="ER1176" s="4"/>
      <c r="ES1176" s="4"/>
      <c r="ET1176" s="4"/>
      <c r="EU1176" s="4"/>
      <c r="EV1176" s="4"/>
      <c r="EW1176" s="4"/>
      <c r="EX1176" s="4"/>
      <c r="EY1176" s="4"/>
      <c r="EZ1176" s="4"/>
      <c r="FA1176" s="4"/>
      <c r="FB1176" s="4"/>
      <c r="FC1176" s="4"/>
      <c r="FD1176" s="4"/>
      <c r="FE1176" s="4"/>
      <c r="FF1176" s="4"/>
      <c r="FG1176" s="4"/>
      <c r="FH1176" s="4"/>
      <c r="FI1176" s="4"/>
      <c r="FJ1176" s="4"/>
      <c r="FK1176" s="4"/>
      <c r="FL1176" s="4"/>
      <c r="FM1176" s="4"/>
      <c r="FN1176" s="4"/>
      <c r="FO1176" s="4"/>
      <c r="FP1176" s="4"/>
      <c r="FQ1176" s="4"/>
      <c r="FR1176" s="4"/>
      <c r="FS1176" s="4"/>
      <c r="FT1176" s="4"/>
      <c r="FU1176" s="4"/>
      <c r="FV1176" s="4"/>
      <c r="FW1176" s="4"/>
      <c r="FX1176" s="4"/>
      <c r="FY1176" s="4"/>
      <c r="FZ1176" s="4"/>
      <c r="GA1176" s="4"/>
      <c r="GB1176" s="4"/>
      <c r="GC1176" s="4"/>
      <c r="GD1176" s="4"/>
      <c r="GE1176" s="4"/>
      <c r="GF1176" s="4"/>
      <c r="GG1176" s="4"/>
      <c r="GH1176" s="4"/>
    </row>
    <row r="1177">
      <c r="A1177" s="2" t="s">
        <v>6627</v>
      </c>
      <c r="B1177" s="2" t="s">
        <v>195</v>
      </c>
      <c r="C1177" s="2" t="s">
        <v>3397</v>
      </c>
      <c r="D1177" s="2" t="s">
        <v>197</v>
      </c>
      <c r="E1177" s="2" t="s">
        <v>198</v>
      </c>
      <c r="F1177" s="2" t="s">
        <v>6628</v>
      </c>
      <c r="G1177" s="2" t="s">
        <v>6628</v>
      </c>
      <c r="H1177" s="2" t="s">
        <v>6628</v>
      </c>
      <c r="I1177" s="2" t="s">
        <v>198</v>
      </c>
      <c r="J1177" s="2" t="s">
        <v>612</v>
      </c>
      <c r="K1177" s="2" t="s">
        <v>387</v>
      </c>
      <c r="L1177" s="3">
        <v>12.7</v>
      </c>
      <c r="M1177" s="3">
        <v>13.34</v>
      </c>
      <c r="N1177" s="3">
        <v>28.99</v>
      </c>
      <c r="O1177" s="2" t="s">
        <v>212</v>
      </c>
      <c r="P1177" s="2" t="s">
        <v>205</v>
      </c>
      <c r="Q1177" s="2" t="s">
        <v>206</v>
      </c>
      <c r="R1177" s="2" t="s">
        <v>200</v>
      </c>
      <c r="S1177" s="2" t="s">
        <v>6629</v>
      </c>
      <c r="T1177" s="2" t="s">
        <v>592</v>
      </c>
      <c r="U1177" s="2" t="s">
        <v>270</v>
      </c>
      <c r="V1177" s="2" t="s">
        <v>885</v>
      </c>
      <c r="W1177" s="2" t="s">
        <v>241</v>
      </c>
      <c r="X1177" s="2" t="s">
        <v>200</v>
      </c>
      <c r="Y1177" s="2" t="s">
        <v>2638</v>
      </c>
      <c r="Z1177" s="4">
        <v>2</v>
      </c>
      <c r="AA1177" s="4">
        <f>=ROUNDDOWN(0.112994350282486,0)</f>
      </c>
      <c r="AB1177" s="5">
        <v>17.7</v>
      </c>
      <c r="AC1177" s="2" t="s">
        <v>3916</v>
      </c>
      <c r="AD1177" s="4">
        <v>300</v>
      </c>
      <c r="AE1177" s="4">
        <v>620</v>
      </c>
      <c r="AF1177" s="6">
        <v>65</v>
      </c>
      <c r="AG1177" s="6"/>
      <c r="AH1177" s="7">
        <v>0.8</v>
      </c>
      <c r="AI1177" s="4"/>
      <c r="AJ1177" s="4">
        <f>=ROUNDDOWN({0},0)</f>
      </c>
      <c r="AK1177" s="5"/>
      <c r="AL1177" s="2" t="s">
        <v>200</v>
      </c>
      <c r="AM1177" s="4"/>
      <c r="AN1177" s="4"/>
      <c r="AO1177" s="7"/>
      <c r="AP1177" s="4"/>
      <c r="AQ1177" s="8"/>
      <c r="AR1177" s="4"/>
      <c r="AS1177" s="8"/>
      <c r="AT1177" s="7"/>
      <c r="AU1177" s="7"/>
      <c r="AV1177" s="4" t="s">
        <v>200</v>
      </c>
      <c r="AW1177" s="8" t="s">
        <v>200</v>
      </c>
      <c r="AX1177" s="4" t="s">
        <v>200</v>
      </c>
      <c r="AY1177" s="8" t="s">
        <v>200</v>
      </c>
      <c r="AZ1177" s="7" t="s">
        <v>200</v>
      </c>
      <c r="BA1177" s="7" t="s">
        <v>200</v>
      </c>
      <c r="BB1177" s="7"/>
      <c r="BC1177" s="4" t="s">
        <v>200</v>
      </c>
      <c r="BD1177" s="8" t="s">
        <v>200</v>
      </c>
      <c r="BE1177" s="4" t="s">
        <v>200</v>
      </c>
      <c r="BF1177" s="8" t="s">
        <v>200</v>
      </c>
      <c r="BG1177" s="7" t="s">
        <v>200</v>
      </c>
      <c r="BH1177" s="7" t="s">
        <v>200</v>
      </c>
      <c r="BI1177" s="7"/>
      <c r="BJ1177" s="4">
        <v>432</v>
      </c>
      <c r="BK1177" s="8">
        <v>6222.6</v>
      </c>
      <c r="BL1177" s="2" t="s">
        <v>359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6630</v>
      </c>
      <c r="BV1177" s="2" t="s">
        <v>200</v>
      </c>
      <c r="BW1177" s="2" t="s">
        <v>200</v>
      </c>
      <c r="BX1177" s="2" t="s">
        <v>264</v>
      </c>
      <c r="BY1177" s="2" t="s">
        <v>247</v>
      </c>
      <c r="BZ1177" s="2" t="s">
        <v>212</v>
      </c>
      <c r="CA1177" s="2" t="s">
        <v>6631</v>
      </c>
      <c r="CB1177" s="2" t="s">
        <v>3864</v>
      </c>
      <c r="CC1177" s="2" t="s">
        <v>213</v>
      </c>
      <c r="CD1177" s="2" t="s">
        <v>200</v>
      </c>
      <c r="CE1177" s="4">
        <v>2</v>
      </c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>
        <v>300</v>
      </c>
      <c r="DS1177" s="4"/>
      <c r="DT1177" s="4"/>
      <c r="DU1177" s="4"/>
      <c r="DV1177" s="4"/>
      <c r="DW1177" s="4"/>
      <c r="DX1177" s="4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"/>
      <c r="EJ1177" s="4"/>
      <c r="EK1177" s="4"/>
      <c r="EL1177" s="4"/>
      <c r="EM1177" s="4"/>
      <c r="EN1177" s="4"/>
      <c r="EO1177" s="4"/>
      <c r="EP1177" s="4"/>
      <c r="EQ1177" s="4"/>
      <c r="ER1177" s="4"/>
      <c r="ES1177" s="4"/>
      <c r="ET1177" s="4"/>
      <c r="EU1177" s="4"/>
      <c r="EV1177" s="4"/>
      <c r="EW1177" s="4"/>
      <c r="EX1177" s="4"/>
      <c r="EY1177" s="4"/>
      <c r="EZ1177" s="4"/>
      <c r="FA1177" s="4"/>
      <c r="FB1177" s="4"/>
      <c r="FC1177" s="4"/>
      <c r="FD1177" s="4"/>
      <c r="FE1177" s="4"/>
      <c r="FF1177" s="4"/>
      <c r="FG1177" s="4"/>
      <c r="FH1177" s="4"/>
      <c r="FI1177" s="4"/>
      <c r="FJ1177" s="4"/>
      <c r="FK1177" s="4"/>
      <c r="FL1177" s="4"/>
      <c r="FM1177" s="4">
        <v>320</v>
      </c>
      <c r="FN1177" s="4"/>
      <c r="FO1177" s="4"/>
      <c r="FP1177" s="4"/>
      <c r="FQ1177" s="4"/>
      <c r="FR1177" s="4"/>
      <c r="FS1177" s="4"/>
      <c r="FT1177" s="4"/>
      <c r="FU1177" s="4"/>
      <c r="FV1177" s="4"/>
      <c r="FW1177" s="4"/>
      <c r="FX1177" s="4"/>
      <c r="FY1177" s="4"/>
      <c r="FZ1177" s="4"/>
      <c r="GA1177" s="4"/>
      <c r="GB1177" s="4"/>
      <c r="GC1177" s="4"/>
      <c r="GD1177" s="4"/>
      <c r="GE1177" s="4"/>
      <c r="GF1177" s="4"/>
      <c r="GG1177" s="4"/>
      <c r="GH1177" s="4"/>
    </row>
    <row r="1178">
      <c r="A1178" s="2" t="s">
        <v>6632</v>
      </c>
      <c r="B1178" s="2" t="s">
        <v>195</v>
      </c>
      <c r="C1178" s="2" t="s">
        <v>3397</v>
      </c>
      <c r="D1178" s="2" t="s">
        <v>197</v>
      </c>
      <c r="E1178" s="2" t="s">
        <v>198</v>
      </c>
      <c r="F1178" s="2" t="s">
        <v>6628</v>
      </c>
      <c r="G1178" s="2" t="s">
        <v>6628</v>
      </c>
      <c r="H1178" s="2" t="s">
        <v>6628</v>
      </c>
      <c r="I1178" s="2" t="s">
        <v>198</v>
      </c>
      <c r="J1178" s="2" t="s">
        <v>302</v>
      </c>
      <c r="K1178" s="2" t="s">
        <v>387</v>
      </c>
      <c r="L1178" s="3">
        <v>14.45</v>
      </c>
      <c r="M1178" s="3">
        <v>15.17</v>
      </c>
      <c r="N1178" s="3">
        <v>32.99</v>
      </c>
      <c r="O1178" s="2" t="s">
        <v>212</v>
      </c>
      <c r="P1178" s="2" t="s">
        <v>205</v>
      </c>
      <c r="Q1178" s="2" t="s">
        <v>206</v>
      </c>
      <c r="R1178" s="2" t="s">
        <v>200</v>
      </c>
      <c r="S1178" s="2" t="s">
        <v>6629</v>
      </c>
      <c r="T1178" s="2" t="s">
        <v>592</v>
      </c>
      <c r="U1178" s="2" t="s">
        <v>270</v>
      </c>
      <c r="V1178" s="2" t="s">
        <v>885</v>
      </c>
      <c r="W1178" s="2" t="s">
        <v>241</v>
      </c>
      <c r="X1178" s="2" t="s">
        <v>200</v>
      </c>
      <c r="Y1178" s="2" t="s">
        <v>861</v>
      </c>
      <c r="Z1178" s="4"/>
      <c r="AA1178" s="4">
        <f>=ROUNDDOWN({0},0)</f>
      </c>
      <c r="AB1178" s="5">
        <v>13.7</v>
      </c>
      <c r="AC1178" s="2" t="s">
        <v>3916</v>
      </c>
      <c r="AD1178" s="4">
        <v>290</v>
      </c>
      <c r="AE1178" s="4">
        <v>470</v>
      </c>
      <c r="AF1178" s="6">
        <v>65</v>
      </c>
      <c r="AG1178" s="6"/>
      <c r="AH1178" s="7">
        <v>0.7</v>
      </c>
      <c r="AI1178" s="4"/>
      <c r="AJ1178" s="4">
        <f>=ROUNDDOWN({0},0)</f>
      </c>
      <c r="AK1178" s="5"/>
      <c r="AL1178" s="2" t="s">
        <v>200</v>
      </c>
      <c r="AM1178" s="4"/>
      <c r="AN1178" s="4"/>
      <c r="AO1178" s="7"/>
      <c r="AP1178" s="4"/>
      <c r="AQ1178" s="8"/>
      <c r="AR1178" s="4"/>
      <c r="AS1178" s="8"/>
      <c r="AT1178" s="7"/>
      <c r="AU1178" s="7"/>
      <c r="AV1178" s="4" t="s">
        <v>200</v>
      </c>
      <c r="AW1178" s="8" t="s">
        <v>200</v>
      </c>
      <c r="AX1178" s="4" t="s">
        <v>200</v>
      </c>
      <c r="AY1178" s="8" t="s">
        <v>200</v>
      </c>
      <c r="AZ1178" s="7" t="s">
        <v>200</v>
      </c>
      <c r="BA1178" s="7" t="s">
        <v>200</v>
      </c>
      <c r="BB1178" s="7"/>
      <c r="BC1178" s="4" t="s">
        <v>200</v>
      </c>
      <c r="BD1178" s="8" t="s">
        <v>200</v>
      </c>
      <c r="BE1178" s="4" t="s">
        <v>200</v>
      </c>
      <c r="BF1178" s="8" t="s">
        <v>200</v>
      </c>
      <c r="BG1178" s="7" t="s">
        <v>200</v>
      </c>
      <c r="BH1178" s="7" t="s">
        <v>200</v>
      </c>
      <c r="BI1178" s="7"/>
      <c r="BJ1178" s="4">
        <v>193</v>
      </c>
      <c r="BK1178" s="8">
        <v>3163.56</v>
      </c>
      <c r="BL1178" s="2" t="s">
        <v>6633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6634</v>
      </c>
      <c r="BV1178" s="2" t="s">
        <v>200</v>
      </c>
      <c r="BW1178" s="2" t="s">
        <v>200</v>
      </c>
      <c r="BX1178" s="2" t="s">
        <v>264</v>
      </c>
      <c r="BY1178" s="2" t="s">
        <v>247</v>
      </c>
      <c r="BZ1178" s="2" t="s">
        <v>212</v>
      </c>
      <c r="CA1178" s="2" t="s">
        <v>6631</v>
      </c>
      <c r="CB1178" s="2" t="s">
        <v>200</v>
      </c>
      <c r="CC1178" s="2" t="s">
        <v>213</v>
      </c>
      <c r="CD1178" s="2" t="s">
        <v>200</v>
      </c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>
        <v>290</v>
      </c>
      <c r="DS1178" s="4"/>
      <c r="DT1178" s="4"/>
      <c r="DU1178" s="4"/>
      <c r="DV1178" s="4"/>
      <c r="DW1178" s="4"/>
      <c r="DX1178" s="4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"/>
      <c r="EJ1178" s="4"/>
      <c r="EK1178" s="4"/>
      <c r="EL1178" s="4"/>
      <c r="EM1178" s="4"/>
      <c r="EN1178" s="4"/>
      <c r="EO1178" s="4"/>
      <c r="EP1178" s="4"/>
      <c r="EQ1178" s="4"/>
      <c r="ER1178" s="4"/>
      <c r="ES1178" s="4"/>
      <c r="ET1178" s="4"/>
      <c r="EU1178" s="4"/>
      <c r="EV1178" s="4"/>
      <c r="EW1178" s="4"/>
      <c r="EX1178" s="4"/>
      <c r="EY1178" s="4"/>
      <c r="EZ1178" s="4"/>
      <c r="FA1178" s="4"/>
      <c r="FB1178" s="4"/>
      <c r="FC1178" s="4"/>
      <c r="FD1178" s="4"/>
      <c r="FE1178" s="4"/>
      <c r="FF1178" s="4"/>
      <c r="FG1178" s="4"/>
      <c r="FH1178" s="4"/>
      <c r="FI1178" s="4"/>
      <c r="FJ1178" s="4"/>
      <c r="FK1178" s="4"/>
      <c r="FL1178" s="4"/>
      <c r="FM1178" s="4">
        <v>180</v>
      </c>
      <c r="FN1178" s="4"/>
      <c r="FO1178" s="4"/>
      <c r="FP1178" s="4"/>
      <c r="FQ1178" s="4"/>
      <c r="FR1178" s="4"/>
      <c r="FS1178" s="4"/>
      <c r="FT1178" s="4"/>
      <c r="FU1178" s="4"/>
      <c r="FV1178" s="4"/>
      <c r="FW1178" s="4"/>
      <c r="FX1178" s="4"/>
      <c r="FY1178" s="4"/>
      <c r="FZ1178" s="4"/>
      <c r="GA1178" s="4"/>
      <c r="GB1178" s="4"/>
      <c r="GC1178" s="4"/>
      <c r="GD1178" s="4"/>
      <c r="GE1178" s="4"/>
      <c r="GF1178" s="4"/>
      <c r="GG1178" s="4"/>
      <c r="GH1178" s="4"/>
    </row>
    <row r="1179">
      <c r="A1179" s="2" t="s">
        <v>6635</v>
      </c>
      <c r="B1179" s="2" t="s">
        <v>195</v>
      </c>
      <c r="C1179" s="2" t="s">
        <v>3397</v>
      </c>
      <c r="D1179" s="2" t="s">
        <v>197</v>
      </c>
      <c r="E1179" s="2" t="s">
        <v>198</v>
      </c>
      <c r="F1179" s="2" t="s">
        <v>6628</v>
      </c>
      <c r="G1179" s="2" t="s">
        <v>6628</v>
      </c>
      <c r="H1179" s="2" t="s">
        <v>6628</v>
      </c>
      <c r="I1179" s="2" t="s">
        <v>198</v>
      </c>
      <c r="J1179" s="2" t="s">
        <v>256</v>
      </c>
      <c r="K1179" s="2" t="s">
        <v>221</v>
      </c>
      <c r="L1179" s="3">
        <v>10.71</v>
      </c>
      <c r="M1179" s="3">
        <v>11.25</v>
      </c>
      <c r="N1179" s="3">
        <v>24.99</v>
      </c>
      <c r="O1179" s="2" t="s">
        <v>212</v>
      </c>
      <c r="P1179" s="2" t="s">
        <v>205</v>
      </c>
      <c r="Q1179" s="2" t="s">
        <v>206</v>
      </c>
      <c r="R1179" s="2" t="s">
        <v>200</v>
      </c>
      <c r="S1179" s="2" t="s">
        <v>6636</v>
      </c>
      <c r="T1179" s="2" t="s">
        <v>592</v>
      </c>
      <c r="U1179" s="2" t="s">
        <v>270</v>
      </c>
      <c r="V1179" s="2" t="s">
        <v>885</v>
      </c>
      <c r="W1179" s="2" t="s">
        <v>241</v>
      </c>
      <c r="X1179" s="2" t="s">
        <v>200</v>
      </c>
      <c r="Y1179" s="2" t="s">
        <v>2638</v>
      </c>
      <c r="Z1179" s="4">
        <v>3</v>
      </c>
      <c r="AA1179" s="4">
        <f>=ROUNDDOWN(0.3,0)</f>
      </c>
      <c r="AB1179" s="5">
        <v>10</v>
      </c>
      <c r="AC1179" s="2" t="s">
        <v>3916</v>
      </c>
      <c r="AD1179" s="4">
        <v>200</v>
      </c>
      <c r="AE1179" s="4">
        <v>370</v>
      </c>
      <c r="AF1179" s="6">
        <v>65</v>
      </c>
      <c r="AG1179" s="6"/>
      <c r="AH1179" s="7">
        <v>0.9667</v>
      </c>
      <c r="AI1179" s="4"/>
      <c r="AJ1179" s="4">
        <f>=ROUNDDOWN({0},0)</f>
      </c>
      <c r="AK1179" s="5"/>
      <c r="AL1179" s="2" t="s">
        <v>200</v>
      </c>
      <c r="AM1179" s="4"/>
      <c r="AN1179" s="4"/>
      <c r="AO1179" s="7"/>
      <c r="AP1179" s="4"/>
      <c r="AQ1179" s="8"/>
      <c r="AR1179" s="4"/>
      <c r="AS1179" s="8"/>
      <c r="AT1179" s="7"/>
      <c r="AU1179" s="7"/>
      <c r="AV1179" s="4" t="s">
        <v>200</v>
      </c>
      <c r="AW1179" s="8" t="s">
        <v>200</v>
      </c>
      <c r="AX1179" s="4" t="s">
        <v>200</v>
      </c>
      <c r="AY1179" s="8" t="s">
        <v>200</v>
      </c>
      <c r="AZ1179" s="7" t="s">
        <v>200</v>
      </c>
      <c r="BA1179" s="7" t="s">
        <v>200</v>
      </c>
      <c r="BB1179" s="7"/>
      <c r="BC1179" s="4" t="s">
        <v>200</v>
      </c>
      <c r="BD1179" s="8" t="s">
        <v>200</v>
      </c>
      <c r="BE1179" s="4" t="s">
        <v>200</v>
      </c>
      <c r="BF1179" s="8" t="s">
        <v>200</v>
      </c>
      <c r="BG1179" s="7" t="s">
        <v>200</v>
      </c>
      <c r="BH1179" s="7" t="s">
        <v>200</v>
      </c>
      <c r="BI1179" s="7"/>
      <c r="BJ1179" s="4">
        <v>136</v>
      </c>
      <c r="BK1179" s="8">
        <v>1652.57</v>
      </c>
      <c r="BL1179" s="2" t="s">
        <v>359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6637</v>
      </c>
      <c r="BV1179" s="2" t="s">
        <v>200</v>
      </c>
      <c r="BW1179" s="2" t="s">
        <v>200</v>
      </c>
      <c r="BX1179" s="2" t="s">
        <v>264</v>
      </c>
      <c r="BY1179" s="2" t="s">
        <v>247</v>
      </c>
      <c r="BZ1179" s="2" t="s">
        <v>212</v>
      </c>
      <c r="CA1179" s="2" t="s">
        <v>6631</v>
      </c>
      <c r="CB1179" s="2" t="s">
        <v>200</v>
      </c>
      <c r="CC1179" s="2" t="s">
        <v>213</v>
      </c>
      <c r="CD1179" s="2" t="s">
        <v>200</v>
      </c>
      <c r="CE1179" s="4">
        <v>3</v>
      </c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E1179" s="4"/>
      <c r="DF1179" s="4"/>
      <c r="DG1179" s="4"/>
      <c r="DH1179" s="4"/>
      <c r="DI1179" s="4"/>
      <c r="DJ1179" s="4"/>
      <c r="DK1179" s="4"/>
      <c r="DL1179" s="4"/>
      <c r="DM1179" s="4"/>
      <c r="DN1179" s="4"/>
      <c r="DO1179" s="4"/>
      <c r="DP1179" s="4"/>
      <c r="DQ1179" s="4"/>
      <c r="DR1179" s="4">
        <v>200</v>
      </c>
      <c r="DS1179" s="4"/>
      <c r="DT1179" s="4"/>
      <c r="DU1179" s="4"/>
      <c r="DV1179" s="4"/>
      <c r="DW1179" s="4"/>
      <c r="DX1179" s="4"/>
      <c r="DY1179" s="4"/>
      <c r="DZ1179" s="4"/>
      <c r="EA1179" s="4"/>
      <c r="EB1179" s="4"/>
      <c r="EC1179" s="4"/>
      <c r="ED1179" s="4"/>
      <c r="EE1179" s="4"/>
      <c r="EF1179" s="4"/>
      <c r="EG1179" s="4"/>
      <c r="EH1179" s="4"/>
      <c r="EI1179" s="4"/>
      <c r="EJ1179" s="4"/>
      <c r="EK1179" s="4"/>
      <c r="EL1179" s="4"/>
      <c r="EM1179" s="4"/>
      <c r="EN1179" s="4"/>
      <c r="EO1179" s="4"/>
      <c r="EP1179" s="4"/>
      <c r="EQ1179" s="4"/>
      <c r="ER1179" s="4"/>
      <c r="ES1179" s="4"/>
      <c r="ET1179" s="4"/>
      <c r="EU1179" s="4"/>
      <c r="EV1179" s="4"/>
      <c r="EW1179" s="4"/>
      <c r="EX1179" s="4"/>
      <c r="EY1179" s="4"/>
      <c r="EZ1179" s="4"/>
      <c r="FA1179" s="4"/>
      <c r="FB1179" s="4"/>
      <c r="FC1179" s="4"/>
      <c r="FD1179" s="4"/>
      <c r="FE1179" s="4"/>
      <c r="FF1179" s="4"/>
      <c r="FG1179" s="4"/>
      <c r="FH1179" s="4"/>
      <c r="FI1179" s="4"/>
      <c r="FJ1179" s="4"/>
      <c r="FK1179" s="4"/>
      <c r="FL1179" s="4"/>
      <c r="FM1179" s="4">
        <v>170</v>
      </c>
      <c r="FN1179" s="4"/>
      <c r="FO1179" s="4"/>
      <c r="FP1179" s="4"/>
      <c r="FQ1179" s="4"/>
      <c r="FR1179" s="4"/>
      <c r="FS1179" s="4"/>
      <c r="FT1179" s="4"/>
      <c r="FU1179" s="4"/>
      <c r="FV1179" s="4"/>
      <c r="FW1179" s="4"/>
      <c r="FX1179" s="4"/>
      <c r="FY1179" s="4"/>
      <c r="FZ1179" s="4"/>
      <c r="GA1179" s="4"/>
      <c r="GB1179" s="4"/>
      <c r="GC1179" s="4"/>
      <c r="GD1179" s="4"/>
      <c r="GE1179" s="4"/>
      <c r="GF1179" s="4"/>
      <c r="GG1179" s="4"/>
      <c r="GH1179" s="4"/>
    </row>
    <row r="1180">
      <c r="A1180" s="2" t="s">
        <v>6638</v>
      </c>
      <c r="B1180" s="2" t="s">
        <v>195</v>
      </c>
      <c r="C1180" s="2" t="s">
        <v>3397</v>
      </c>
      <c r="D1180" s="2" t="s">
        <v>197</v>
      </c>
      <c r="E1180" s="2" t="s">
        <v>198</v>
      </c>
      <c r="F1180" s="2" t="s">
        <v>6628</v>
      </c>
      <c r="G1180" s="2" t="s">
        <v>6628</v>
      </c>
      <c r="H1180" s="2" t="s">
        <v>6628</v>
      </c>
      <c r="I1180" s="2" t="s">
        <v>198</v>
      </c>
      <c r="J1180" s="2" t="s">
        <v>612</v>
      </c>
      <c r="K1180" s="2" t="s">
        <v>221</v>
      </c>
      <c r="L1180" s="3">
        <v>12.7</v>
      </c>
      <c r="M1180" s="3">
        <v>13.34</v>
      </c>
      <c r="N1180" s="3">
        <v>28.99</v>
      </c>
      <c r="O1180" s="2" t="s">
        <v>212</v>
      </c>
      <c r="P1180" s="2" t="s">
        <v>205</v>
      </c>
      <c r="Q1180" s="2" t="s">
        <v>206</v>
      </c>
      <c r="R1180" s="2" t="s">
        <v>200</v>
      </c>
      <c r="S1180" s="2" t="s">
        <v>6636</v>
      </c>
      <c r="T1180" s="2" t="s">
        <v>592</v>
      </c>
      <c r="U1180" s="2" t="s">
        <v>270</v>
      </c>
      <c r="V1180" s="2" t="s">
        <v>885</v>
      </c>
      <c r="W1180" s="2" t="s">
        <v>241</v>
      </c>
      <c r="X1180" s="2" t="s">
        <v>200</v>
      </c>
      <c r="Y1180" s="2" t="s">
        <v>2638</v>
      </c>
      <c r="Z1180" s="4">
        <v>4</v>
      </c>
      <c r="AA1180" s="4">
        <f>=ROUNDDOWN(0.25,0)</f>
      </c>
      <c r="AB1180" s="5">
        <v>16</v>
      </c>
      <c r="AC1180" s="2" t="s">
        <v>3916</v>
      </c>
      <c r="AD1180" s="4">
        <v>300</v>
      </c>
      <c r="AE1180" s="4">
        <v>600</v>
      </c>
      <c r="AF1180" s="6">
        <v>65</v>
      </c>
      <c r="AG1180" s="6"/>
      <c r="AH1180" s="7">
        <v>0.7</v>
      </c>
      <c r="AI1180" s="4"/>
      <c r="AJ1180" s="4">
        <f>=ROUNDDOWN({0},0)</f>
      </c>
      <c r="AK1180" s="5"/>
      <c r="AL1180" s="2" t="s">
        <v>200</v>
      </c>
      <c r="AM1180" s="4"/>
      <c r="AN1180" s="4"/>
      <c r="AO1180" s="7"/>
      <c r="AP1180" s="4"/>
      <c r="AQ1180" s="8"/>
      <c r="AR1180" s="4"/>
      <c r="AS1180" s="8"/>
      <c r="AT1180" s="7"/>
      <c r="AU1180" s="7"/>
      <c r="AV1180" s="4" t="s">
        <v>200</v>
      </c>
      <c r="AW1180" s="8" t="s">
        <v>200</v>
      </c>
      <c r="AX1180" s="4" t="s">
        <v>200</v>
      </c>
      <c r="AY1180" s="8" t="s">
        <v>200</v>
      </c>
      <c r="AZ1180" s="7" t="s">
        <v>200</v>
      </c>
      <c r="BA1180" s="7" t="s">
        <v>200</v>
      </c>
      <c r="BB1180" s="7"/>
      <c r="BC1180" s="4" t="s">
        <v>200</v>
      </c>
      <c r="BD1180" s="8" t="s">
        <v>200</v>
      </c>
      <c r="BE1180" s="4" t="s">
        <v>200</v>
      </c>
      <c r="BF1180" s="8" t="s">
        <v>200</v>
      </c>
      <c r="BG1180" s="7" t="s">
        <v>200</v>
      </c>
      <c r="BH1180" s="7" t="s">
        <v>200</v>
      </c>
      <c r="BI1180" s="7"/>
      <c r="BJ1180" s="4">
        <v>303</v>
      </c>
      <c r="BK1180" s="8">
        <v>4362.8</v>
      </c>
      <c r="BL1180" s="2" t="s">
        <v>319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6639</v>
      </c>
      <c r="BV1180" s="2" t="s">
        <v>200</v>
      </c>
      <c r="BW1180" s="2" t="s">
        <v>200</v>
      </c>
      <c r="BX1180" s="2" t="s">
        <v>264</v>
      </c>
      <c r="BY1180" s="2" t="s">
        <v>247</v>
      </c>
      <c r="BZ1180" s="2" t="s">
        <v>212</v>
      </c>
      <c r="CA1180" s="2" t="s">
        <v>6631</v>
      </c>
      <c r="CB1180" s="2" t="s">
        <v>916</v>
      </c>
      <c r="CC1180" s="2" t="s">
        <v>213</v>
      </c>
      <c r="CD1180" s="2" t="s">
        <v>200</v>
      </c>
      <c r="CE1180" s="4">
        <v>4</v>
      </c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>
        <v>300</v>
      </c>
      <c r="DS1180" s="4"/>
      <c r="DT1180" s="4"/>
      <c r="DU1180" s="4"/>
      <c r="DV1180" s="4"/>
      <c r="DW1180" s="4"/>
      <c r="DX1180" s="4"/>
      <c r="DY1180" s="4"/>
      <c r="DZ1180" s="4"/>
      <c r="EA1180" s="4"/>
      <c r="EB1180" s="4"/>
      <c r="EC1180" s="4"/>
      <c r="ED1180" s="4"/>
      <c r="EE1180" s="4"/>
      <c r="EF1180" s="4"/>
      <c r="EG1180" s="4"/>
      <c r="EH1180" s="4"/>
      <c r="EI1180" s="4"/>
      <c r="EJ1180" s="4"/>
      <c r="EK1180" s="4"/>
      <c r="EL1180" s="4"/>
      <c r="EM1180" s="4"/>
      <c r="EN1180" s="4"/>
      <c r="EO1180" s="4"/>
      <c r="EP1180" s="4"/>
      <c r="EQ1180" s="4"/>
      <c r="ER1180" s="4"/>
      <c r="ES1180" s="4"/>
      <c r="ET1180" s="4"/>
      <c r="EU1180" s="4"/>
      <c r="EV1180" s="4"/>
      <c r="EW1180" s="4"/>
      <c r="EX1180" s="4"/>
      <c r="EY1180" s="4"/>
      <c r="EZ1180" s="4"/>
      <c r="FA1180" s="4"/>
      <c r="FB1180" s="4"/>
      <c r="FC1180" s="4"/>
      <c r="FD1180" s="4"/>
      <c r="FE1180" s="4"/>
      <c r="FF1180" s="4"/>
      <c r="FG1180" s="4"/>
      <c r="FH1180" s="4"/>
      <c r="FI1180" s="4"/>
      <c r="FJ1180" s="4"/>
      <c r="FK1180" s="4"/>
      <c r="FL1180" s="4"/>
      <c r="FM1180" s="4">
        <v>300</v>
      </c>
      <c r="FN1180" s="4"/>
      <c r="FO1180" s="4"/>
      <c r="FP1180" s="4"/>
      <c r="FQ1180" s="4"/>
      <c r="FR1180" s="4"/>
      <c r="FS1180" s="4"/>
      <c r="FT1180" s="4"/>
      <c r="FU1180" s="4"/>
      <c r="FV1180" s="4"/>
      <c r="FW1180" s="4"/>
      <c r="FX1180" s="4"/>
      <c r="FY1180" s="4"/>
      <c r="FZ1180" s="4"/>
      <c r="GA1180" s="4"/>
      <c r="GB1180" s="4"/>
      <c r="GC1180" s="4"/>
      <c r="GD1180" s="4"/>
      <c r="GE1180" s="4"/>
      <c r="GF1180" s="4"/>
      <c r="GG1180" s="4"/>
      <c r="GH1180" s="4"/>
    </row>
    <row r="1181">
      <c r="A1181" s="2" t="s">
        <v>6640</v>
      </c>
      <c r="B1181" s="2" t="s">
        <v>195</v>
      </c>
      <c r="C1181" s="2" t="s">
        <v>3397</v>
      </c>
      <c r="D1181" s="2" t="s">
        <v>197</v>
      </c>
      <c r="E1181" s="2" t="s">
        <v>198</v>
      </c>
      <c r="F1181" s="2" t="s">
        <v>6628</v>
      </c>
      <c r="G1181" s="2" t="s">
        <v>6628</v>
      </c>
      <c r="H1181" s="2" t="s">
        <v>6628</v>
      </c>
      <c r="I1181" s="2" t="s">
        <v>198</v>
      </c>
      <c r="J1181" s="2" t="s">
        <v>302</v>
      </c>
      <c r="K1181" s="2" t="s">
        <v>221</v>
      </c>
      <c r="L1181" s="3">
        <v>14.45</v>
      </c>
      <c r="M1181" s="3">
        <v>15.17</v>
      </c>
      <c r="N1181" s="3">
        <v>32.99</v>
      </c>
      <c r="O1181" s="2" t="s">
        <v>212</v>
      </c>
      <c r="P1181" s="2" t="s">
        <v>205</v>
      </c>
      <c r="Q1181" s="2" t="s">
        <v>206</v>
      </c>
      <c r="R1181" s="2" t="s">
        <v>200</v>
      </c>
      <c r="S1181" s="2" t="s">
        <v>6636</v>
      </c>
      <c r="T1181" s="2" t="s">
        <v>592</v>
      </c>
      <c r="U1181" s="2" t="s">
        <v>270</v>
      </c>
      <c r="V1181" s="2" t="s">
        <v>885</v>
      </c>
      <c r="W1181" s="2" t="s">
        <v>241</v>
      </c>
      <c r="X1181" s="2" t="s">
        <v>200</v>
      </c>
      <c r="Y1181" s="2" t="s">
        <v>2638</v>
      </c>
      <c r="Z1181" s="4">
        <v>5</v>
      </c>
      <c r="AA1181" s="4">
        <f>=ROUNDDOWN(0.416666666666667,0)</f>
      </c>
      <c r="AB1181" s="5">
        <v>12</v>
      </c>
      <c r="AC1181" s="2" t="s">
        <v>3916</v>
      </c>
      <c r="AD1181" s="4">
        <v>300</v>
      </c>
      <c r="AE1181" s="4">
        <v>430</v>
      </c>
      <c r="AF1181" s="6">
        <v>65</v>
      </c>
      <c r="AG1181" s="6"/>
      <c r="AH1181" s="7">
        <v>0.4333</v>
      </c>
      <c r="AI1181" s="4"/>
      <c r="AJ1181" s="4">
        <f>=ROUNDDOWN({0},0)</f>
      </c>
      <c r="AK1181" s="5"/>
      <c r="AL1181" s="2" t="s">
        <v>200</v>
      </c>
      <c r="AM1181" s="4"/>
      <c r="AN1181" s="4"/>
      <c r="AO1181" s="7"/>
      <c r="AP1181" s="4"/>
      <c r="AQ1181" s="8"/>
      <c r="AR1181" s="4"/>
      <c r="AS1181" s="8"/>
      <c r="AT1181" s="7"/>
      <c r="AU1181" s="7"/>
      <c r="AV1181" s="4" t="s">
        <v>200</v>
      </c>
      <c r="AW1181" s="8" t="s">
        <v>200</v>
      </c>
      <c r="AX1181" s="4" t="s">
        <v>200</v>
      </c>
      <c r="AY1181" s="8" t="s">
        <v>200</v>
      </c>
      <c r="AZ1181" s="7" t="s">
        <v>200</v>
      </c>
      <c r="BA1181" s="7" t="s">
        <v>200</v>
      </c>
      <c r="BB1181" s="7"/>
      <c r="BC1181" s="4" t="s">
        <v>200</v>
      </c>
      <c r="BD1181" s="8" t="s">
        <v>200</v>
      </c>
      <c r="BE1181" s="4" t="s">
        <v>200</v>
      </c>
      <c r="BF1181" s="8" t="s">
        <v>200</v>
      </c>
      <c r="BG1181" s="7" t="s">
        <v>200</v>
      </c>
      <c r="BH1181" s="7" t="s">
        <v>200</v>
      </c>
      <c r="BI1181" s="7"/>
      <c r="BJ1181" s="4">
        <v>82</v>
      </c>
      <c r="BK1181" s="8">
        <v>1341.84</v>
      </c>
      <c r="BL1181" s="2" t="s">
        <v>6641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6642</v>
      </c>
      <c r="BV1181" s="2" t="s">
        <v>200</v>
      </c>
      <c r="BW1181" s="2" t="s">
        <v>200</v>
      </c>
      <c r="BX1181" s="2" t="s">
        <v>264</v>
      </c>
      <c r="BY1181" s="2" t="s">
        <v>247</v>
      </c>
      <c r="BZ1181" s="2" t="s">
        <v>212</v>
      </c>
      <c r="CA1181" s="2" t="s">
        <v>6631</v>
      </c>
      <c r="CB1181" s="2" t="s">
        <v>200</v>
      </c>
      <c r="CC1181" s="2" t="s">
        <v>213</v>
      </c>
      <c r="CD1181" s="2" t="s">
        <v>200</v>
      </c>
      <c r="CE1181" s="4">
        <v>5</v>
      </c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>
        <v>300</v>
      </c>
      <c r="DS1181" s="4"/>
      <c r="DT1181" s="4"/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"/>
      <c r="EJ1181" s="4"/>
      <c r="EK1181" s="4"/>
      <c r="EL1181" s="4"/>
      <c r="EM1181" s="4"/>
      <c r="EN1181" s="4"/>
      <c r="EO1181" s="4"/>
      <c r="EP1181" s="4"/>
      <c r="EQ1181" s="4"/>
      <c r="ER1181" s="4"/>
      <c r="ES1181" s="4"/>
      <c r="ET1181" s="4"/>
      <c r="EU1181" s="4"/>
      <c r="EV1181" s="4"/>
      <c r="EW1181" s="4"/>
      <c r="EX1181" s="4"/>
      <c r="EY1181" s="4"/>
      <c r="EZ1181" s="4"/>
      <c r="FA1181" s="4"/>
      <c r="FB1181" s="4"/>
      <c r="FC1181" s="4"/>
      <c r="FD1181" s="4"/>
      <c r="FE1181" s="4"/>
      <c r="FF1181" s="4"/>
      <c r="FG1181" s="4"/>
      <c r="FH1181" s="4"/>
      <c r="FI1181" s="4"/>
      <c r="FJ1181" s="4"/>
      <c r="FK1181" s="4"/>
      <c r="FL1181" s="4"/>
      <c r="FM1181" s="4">
        <v>130</v>
      </c>
      <c r="FN1181" s="4"/>
      <c r="FO1181" s="4"/>
      <c r="FP1181" s="4"/>
      <c r="FQ1181" s="4"/>
      <c r="FR1181" s="4"/>
      <c r="FS1181" s="4"/>
      <c r="FT1181" s="4"/>
      <c r="FU1181" s="4"/>
      <c r="FV1181" s="4"/>
      <c r="FW1181" s="4"/>
      <c r="FX1181" s="4"/>
      <c r="FY1181" s="4"/>
      <c r="FZ1181" s="4"/>
      <c r="GA1181" s="4"/>
      <c r="GB1181" s="4"/>
      <c r="GC1181" s="4"/>
      <c r="GD1181" s="4"/>
      <c r="GE1181" s="4"/>
      <c r="GF1181" s="4"/>
      <c r="GG1181" s="4"/>
      <c r="GH1181" s="4"/>
    </row>
    <row r="1182">
      <c r="A1182" s="2" t="s">
        <v>6643</v>
      </c>
      <c r="B1182" s="2" t="s">
        <v>195</v>
      </c>
      <c r="C1182" s="2" t="s">
        <v>3397</v>
      </c>
      <c r="D1182" s="2" t="s">
        <v>197</v>
      </c>
      <c r="E1182" s="2" t="s">
        <v>198</v>
      </c>
      <c r="F1182" s="2" t="s">
        <v>6628</v>
      </c>
      <c r="G1182" s="2" t="s">
        <v>6628</v>
      </c>
      <c r="H1182" s="2" t="s">
        <v>6628</v>
      </c>
      <c r="I1182" s="2" t="s">
        <v>198</v>
      </c>
      <c r="J1182" s="2" t="s">
        <v>256</v>
      </c>
      <c r="K1182" s="2" t="s">
        <v>436</v>
      </c>
      <c r="L1182" s="3">
        <v>10.71</v>
      </c>
      <c r="M1182" s="3">
        <v>11.25</v>
      </c>
      <c r="N1182" s="3">
        <v>24.99</v>
      </c>
      <c r="O1182" s="2" t="s">
        <v>212</v>
      </c>
      <c r="P1182" s="2" t="s">
        <v>205</v>
      </c>
      <c r="Q1182" s="2" t="s">
        <v>206</v>
      </c>
      <c r="R1182" s="2" t="s">
        <v>200</v>
      </c>
      <c r="S1182" s="2" t="s">
        <v>6644</v>
      </c>
      <c r="T1182" s="2" t="s">
        <v>592</v>
      </c>
      <c r="U1182" s="2" t="s">
        <v>270</v>
      </c>
      <c r="V1182" s="2" t="s">
        <v>885</v>
      </c>
      <c r="W1182" s="2" t="s">
        <v>241</v>
      </c>
      <c r="X1182" s="2" t="s">
        <v>200</v>
      </c>
      <c r="Y1182" s="2" t="s">
        <v>861</v>
      </c>
      <c r="Z1182" s="4">
        <v>118</v>
      </c>
      <c r="AA1182" s="4">
        <f>=ROUNDDOWN(13.7209302325581,0)</f>
      </c>
      <c r="AB1182" s="5">
        <v>8.6</v>
      </c>
      <c r="AC1182" s="2" t="s">
        <v>3916</v>
      </c>
      <c r="AD1182" s="4">
        <v>180</v>
      </c>
      <c r="AE1182" s="4">
        <v>280</v>
      </c>
      <c r="AF1182" s="6">
        <v>65</v>
      </c>
      <c r="AG1182" s="6"/>
      <c r="AH1182" s="7">
        <v>1</v>
      </c>
      <c r="AI1182" s="4"/>
      <c r="AJ1182" s="4">
        <f>=ROUNDDOWN({0},0)</f>
      </c>
      <c r="AK1182" s="5"/>
      <c r="AL1182" s="2" t="s">
        <v>200</v>
      </c>
      <c r="AM1182" s="4"/>
      <c r="AN1182" s="4"/>
      <c r="AO1182" s="7"/>
      <c r="AP1182" s="4"/>
      <c r="AQ1182" s="8"/>
      <c r="AR1182" s="4"/>
      <c r="AS1182" s="8"/>
      <c r="AT1182" s="7"/>
      <c r="AU1182" s="7"/>
      <c r="AV1182" s="4" t="s">
        <v>200</v>
      </c>
      <c r="AW1182" s="8" t="s">
        <v>200</v>
      </c>
      <c r="AX1182" s="4" t="s">
        <v>200</v>
      </c>
      <c r="AY1182" s="8" t="s">
        <v>200</v>
      </c>
      <c r="AZ1182" s="7" t="s">
        <v>200</v>
      </c>
      <c r="BA1182" s="7" t="s">
        <v>200</v>
      </c>
      <c r="BB1182" s="7"/>
      <c r="BC1182" s="4" t="s">
        <v>200</v>
      </c>
      <c r="BD1182" s="8" t="s">
        <v>200</v>
      </c>
      <c r="BE1182" s="4" t="s">
        <v>200</v>
      </c>
      <c r="BF1182" s="8" t="s">
        <v>200</v>
      </c>
      <c r="BG1182" s="7" t="s">
        <v>200</v>
      </c>
      <c r="BH1182" s="7" t="s">
        <v>200</v>
      </c>
      <c r="BI1182" s="7"/>
      <c r="BJ1182" s="4">
        <v>108</v>
      </c>
      <c r="BK1182" s="8">
        <v>1312.37</v>
      </c>
      <c r="BL1182" s="2" t="s">
        <v>1184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6645</v>
      </c>
      <c r="BV1182" s="2" t="s">
        <v>200</v>
      </c>
      <c r="BW1182" s="2" t="s">
        <v>200</v>
      </c>
      <c r="BX1182" s="2" t="s">
        <v>264</v>
      </c>
      <c r="BY1182" s="2" t="s">
        <v>247</v>
      </c>
      <c r="BZ1182" s="2" t="s">
        <v>212</v>
      </c>
      <c r="CA1182" s="2" t="s">
        <v>6631</v>
      </c>
      <c r="CB1182" s="2" t="s">
        <v>2406</v>
      </c>
      <c r="CC1182" s="2" t="s">
        <v>213</v>
      </c>
      <c r="CD1182" s="2" t="s">
        <v>200</v>
      </c>
      <c r="CE1182" s="4">
        <v>118</v>
      </c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>
        <v>180</v>
      </c>
      <c r="DS1182" s="4"/>
      <c r="DT1182" s="4"/>
      <c r="DU1182" s="4"/>
      <c r="DV1182" s="4"/>
      <c r="DW1182" s="4"/>
      <c r="DX1182" s="4"/>
      <c r="DY1182" s="4"/>
      <c r="DZ1182" s="4"/>
      <c r="EA1182" s="4"/>
      <c r="EB1182" s="4"/>
      <c r="EC1182" s="4"/>
      <c r="ED1182" s="4"/>
      <c r="EE1182" s="4"/>
      <c r="EF1182" s="4"/>
      <c r="EG1182" s="4"/>
      <c r="EH1182" s="4"/>
      <c r="EI1182" s="4"/>
      <c r="EJ1182" s="4"/>
      <c r="EK1182" s="4"/>
      <c r="EL1182" s="4"/>
      <c r="EM1182" s="4"/>
      <c r="EN1182" s="4"/>
      <c r="EO1182" s="4"/>
      <c r="EP1182" s="4"/>
      <c r="EQ1182" s="4"/>
      <c r="ER1182" s="4"/>
      <c r="ES1182" s="4"/>
      <c r="ET1182" s="4"/>
      <c r="EU1182" s="4"/>
      <c r="EV1182" s="4"/>
      <c r="EW1182" s="4"/>
      <c r="EX1182" s="4"/>
      <c r="EY1182" s="4"/>
      <c r="EZ1182" s="4"/>
      <c r="FA1182" s="4"/>
      <c r="FB1182" s="4"/>
      <c r="FC1182" s="4"/>
      <c r="FD1182" s="4"/>
      <c r="FE1182" s="4"/>
      <c r="FF1182" s="4"/>
      <c r="FG1182" s="4"/>
      <c r="FH1182" s="4"/>
      <c r="FI1182" s="4"/>
      <c r="FJ1182" s="4"/>
      <c r="FK1182" s="4"/>
      <c r="FL1182" s="4"/>
      <c r="FM1182" s="4">
        <v>100</v>
      </c>
      <c r="FN1182" s="4"/>
      <c r="FO1182" s="4"/>
      <c r="FP1182" s="4"/>
      <c r="FQ1182" s="4"/>
      <c r="FR1182" s="4"/>
      <c r="FS1182" s="4"/>
      <c r="FT1182" s="4"/>
      <c r="FU1182" s="4"/>
      <c r="FV1182" s="4"/>
      <c r="FW1182" s="4"/>
      <c r="FX1182" s="4"/>
      <c r="FY1182" s="4"/>
      <c r="FZ1182" s="4"/>
      <c r="GA1182" s="4"/>
      <c r="GB1182" s="4"/>
      <c r="GC1182" s="4"/>
      <c r="GD1182" s="4"/>
      <c r="GE1182" s="4"/>
      <c r="GF1182" s="4"/>
      <c r="GG1182" s="4"/>
      <c r="GH1182" s="4"/>
    </row>
    <row r="1183">
      <c r="A1183" s="2" t="s">
        <v>6646</v>
      </c>
      <c r="B1183" s="2" t="s">
        <v>195</v>
      </c>
      <c r="C1183" s="2" t="s">
        <v>3397</v>
      </c>
      <c r="D1183" s="2" t="s">
        <v>197</v>
      </c>
      <c r="E1183" s="2" t="s">
        <v>198</v>
      </c>
      <c r="F1183" s="2" t="s">
        <v>6628</v>
      </c>
      <c r="G1183" s="2" t="s">
        <v>6628</v>
      </c>
      <c r="H1183" s="2" t="s">
        <v>6628</v>
      </c>
      <c r="I1183" s="2" t="s">
        <v>198</v>
      </c>
      <c r="J1183" s="2" t="s">
        <v>612</v>
      </c>
      <c r="K1183" s="2" t="s">
        <v>436</v>
      </c>
      <c r="L1183" s="3">
        <v>12.7</v>
      </c>
      <c r="M1183" s="3">
        <v>13.34</v>
      </c>
      <c r="N1183" s="3">
        <v>28.99</v>
      </c>
      <c r="O1183" s="2" t="s">
        <v>212</v>
      </c>
      <c r="P1183" s="2" t="s">
        <v>205</v>
      </c>
      <c r="Q1183" s="2" t="s">
        <v>206</v>
      </c>
      <c r="R1183" s="2" t="s">
        <v>200</v>
      </c>
      <c r="S1183" s="2" t="s">
        <v>6644</v>
      </c>
      <c r="T1183" s="2" t="s">
        <v>592</v>
      </c>
      <c r="U1183" s="2" t="s">
        <v>270</v>
      </c>
      <c r="V1183" s="2" t="s">
        <v>885</v>
      </c>
      <c r="W1183" s="2" t="s">
        <v>241</v>
      </c>
      <c r="X1183" s="2" t="s">
        <v>200</v>
      </c>
      <c r="Y1183" s="2" t="s">
        <v>2638</v>
      </c>
      <c r="Z1183" s="4">
        <v>8</v>
      </c>
      <c r="AA1183" s="4">
        <f>=ROUNDDOWN(0.470588235294118,0)</f>
      </c>
      <c r="AB1183" s="5">
        <v>17</v>
      </c>
      <c r="AC1183" s="2" t="s">
        <v>3916</v>
      </c>
      <c r="AD1183" s="4">
        <v>350</v>
      </c>
      <c r="AE1183" s="4">
        <v>670</v>
      </c>
      <c r="AF1183" s="6">
        <v>65</v>
      </c>
      <c r="AG1183" s="6"/>
      <c r="AH1183" s="7">
        <v>1</v>
      </c>
      <c r="AI1183" s="4"/>
      <c r="AJ1183" s="4">
        <f>=ROUNDDOWN({0},0)</f>
      </c>
      <c r="AK1183" s="5"/>
      <c r="AL1183" s="2" t="s">
        <v>200</v>
      </c>
      <c r="AM1183" s="4"/>
      <c r="AN1183" s="4"/>
      <c r="AO1183" s="7"/>
      <c r="AP1183" s="4"/>
      <c r="AQ1183" s="8"/>
      <c r="AR1183" s="4"/>
      <c r="AS1183" s="8"/>
      <c r="AT1183" s="7"/>
      <c r="AU1183" s="7"/>
      <c r="AV1183" s="4" t="s">
        <v>200</v>
      </c>
      <c r="AW1183" s="8" t="s">
        <v>200</v>
      </c>
      <c r="AX1183" s="4" t="s">
        <v>200</v>
      </c>
      <c r="AY1183" s="8" t="s">
        <v>200</v>
      </c>
      <c r="AZ1183" s="7" t="s">
        <v>200</v>
      </c>
      <c r="BA1183" s="7" t="s">
        <v>200</v>
      </c>
      <c r="BB1183" s="7"/>
      <c r="BC1183" s="4" t="s">
        <v>200</v>
      </c>
      <c r="BD1183" s="8" t="s">
        <v>200</v>
      </c>
      <c r="BE1183" s="4" t="s">
        <v>200</v>
      </c>
      <c r="BF1183" s="8" t="s">
        <v>200</v>
      </c>
      <c r="BG1183" s="7" t="s">
        <v>200</v>
      </c>
      <c r="BH1183" s="7" t="s">
        <v>200</v>
      </c>
      <c r="BI1183" s="7"/>
      <c r="BJ1183" s="4">
        <v>429</v>
      </c>
      <c r="BK1183" s="8">
        <v>6175.2</v>
      </c>
      <c r="BL1183" s="2" t="s">
        <v>3147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6647</v>
      </c>
      <c r="BV1183" s="2" t="s">
        <v>200</v>
      </c>
      <c r="BW1183" s="2" t="s">
        <v>200</v>
      </c>
      <c r="BX1183" s="2" t="s">
        <v>264</v>
      </c>
      <c r="BY1183" s="2" t="s">
        <v>247</v>
      </c>
      <c r="BZ1183" s="2" t="s">
        <v>212</v>
      </c>
      <c r="CA1183" s="2" t="s">
        <v>6631</v>
      </c>
      <c r="CB1183" s="2" t="s">
        <v>4015</v>
      </c>
      <c r="CC1183" s="2" t="s">
        <v>213</v>
      </c>
      <c r="CD1183" s="2" t="s">
        <v>200</v>
      </c>
      <c r="CE1183" s="4">
        <v>8</v>
      </c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>
        <v>350</v>
      </c>
      <c r="DS1183" s="4"/>
      <c r="DT1183" s="4"/>
      <c r="DU1183" s="4"/>
      <c r="DV1183" s="4"/>
      <c r="DW1183" s="4"/>
      <c r="DX1183" s="4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"/>
      <c r="EJ1183" s="4"/>
      <c r="EK1183" s="4"/>
      <c r="EL1183" s="4"/>
      <c r="EM1183" s="4"/>
      <c r="EN1183" s="4"/>
      <c r="EO1183" s="4"/>
      <c r="EP1183" s="4"/>
      <c r="EQ1183" s="4"/>
      <c r="ER1183" s="4"/>
      <c r="ES1183" s="4"/>
      <c r="ET1183" s="4"/>
      <c r="EU1183" s="4"/>
      <c r="EV1183" s="4"/>
      <c r="EW1183" s="4"/>
      <c r="EX1183" s="4"/>
      <c r="EY1183" s="4"/>
      <c r="EZ1183" s="4"/>
      <c r="FA1183" s="4"/>
      <c r="FB1183" s="4"/>
      <c r="FC1183" s="4"/>
      <c r="FD1183" s="4"/>
      <c r="FE1183" s="4"/>
      <c r="FF1183" s="4"/>
      <c r="FG1183" s="4"/>
      <c r="FH1183" s="4"/>
      <c r="FI1183" s="4"/>
      <c r="FJ1183" s="4"/>
      <c r="FK1183" s="4"/>
      <c r="FL1183" s="4"/>
      <c r="FM1183" s="4">
        <v>320</v>
      </c>
      <c r="FN1183" s="4"/>
      <c r="FO1183" s="4"/>
      <c r="FP1183" s="4"/>
      <c r="FQ1183" s="4"/>
      <c r="FR1183" s="4"/>
      <c r="FS1183" s="4"/>
      <c r="FT1183" s="4"/>
      <c r="FU1183" s="4"/>
      <c r="FV1183" s="4"/>
      <c r="FW1183" s="4"/>
      <c r="FX1183" s="4"/>
      <c r="FY1183" s="4"/>
      <c r="FZ1183" s="4"/>
      <c r="GA1183" s="4"/>
      <c r="GB1183" s="4"/>
      <c r="GC1183" s="4"/>
      <c r="GD1183" s="4"/>
      <c r="GE1183" s="4"/>
      <c r="GF1183" s="4"/>
      <c r="GG1183" s="4"/>
      <c r="GH1183" s="4"/>
    </row>
    <row r="1184">
      <c r="A1184" s="2" t="s">
        <v>6648</v>
      </c>
      <c r="B1184" s="2" t="s">
        <v>195</v>
      </c>
      <c r="C1184" s="2" t="s">
        <v>3397</v>
      </c>
      <c r="D1184" s="2" t="s">
        <v>197</v>
      </c>
      <c r="E1184" s="2" t="s">
        <v>198</v>
      </c>
      <c r="F1184" s="2" t="s">
        <v>6628</v>
      </c>
      <c r="G1184" s="2" t="s">
        <v>6628</v>
      </c>
      <c r="H1184" s="2" t="s">
        <v>6628</v>
      </c>
      <c r="I1184" s="2" t="s">
        <v>198</v>
      </c>
      <c r="J1184" s="2" t="s">
        <v>612</v>
      </c>
      <c r="K1184" s="2" t="s">
        <v>1700</v>
      </c>
      <c r="L1184" s="3">
        <v>12.7</v>
      </c>
      <c r="M1184" s="3">
        <v>13.34</v>
      </c>
      <c r="N1184" s="3">
        <v>28.99</v>
      </c>
      <c r="O1184" s="2" t="s">
        <v>212</v>
      </c>
      <c r="P1184" s="2" t="s">
        <v>205</v>
      </c>
      <c r="Q1184" s="2" t="s">
        <v>206</v>
      </c>
      <c r="R1184" s="2" t="s">
        <v>200</v>
      </c>
      <c r="S1184" s="2" t="s">
        <v>6649</v>
      </c>
      <c r="T1184" s="2" t="s">
        <v>592</v>
      </c>
      <c r="U1184" s="2" t="s">
        <v>270</v>
      </c>
      <c r="V1184" s="2" t="s">
        <v>885</v>
      </c>
      <c r="W1184" s="2" t="s">
        <v>241</v>
      </c>
      <c r="X1184" s="2" t="s">
        <v>200</v>
      </c>
      <c r="Y1184" s="2" t="s">
        <v>2638</v>
      </c>
      <c r="Z1184" s="4">
        <v>102</v>
      </c>
      <c r="AA1184" s="4">
        <f>=ROUNDDOWN(6.71052631578947,0)</f>
      </c>
      <c r="AB1184" s="5">
        <v>15.2</v>
      </c>
      <c r="AC1184" s="2" t="s">
        <v>3916</v>
      </c>
      <c r="AD1184" s="4">
        <v>390</v>
      </c>
      <c r="AE1184" s="4">
        <v>680</v>
      </c>
      <c r="AF1184" s="6">
        <v>65</v>
      </c>
      <c r="AG1184" s="6"/>
      <c r="AH1184" s="7">
        <v>1</v>
      </c>
      <c r="AI1184" s="4"/>
      <c r="AJ1184" s="4">
        <f>=ROUNDDOWN({0},0)</f>
      </c>
      <c r="AK1184" s="5"/>
      <c r="AL1184" s="2" t="s">
        <v>200</v>
      </c>
      <c r="AM1184" s="4"/>
      <c r="AN1184" s="4"/>
      <c r="AO1184" s="7"/>
      <c r="AP1184" s="4"/>
      <c r="AQ1184" s="8"/>
      <c r="AR1184" s="4"/>
      <c r="AS1184" s="8"/>
      <c r="AT1184" s="7"/>
      <c r="AU1184" s="7"/>
      <c r="AV1184" s="4"/>
      <c r="AW1184" s="8"/>
      <c r="AX1184" s="4"/>
      <c r="AY1184" s="8"/>
      <c r="AZ1184" s="7"/>
      <c r="BA1184" s="7"/>
      <c r="BB1184" s="7"/>
      <c r="BC1184" s="4" t="s">
        <v>200</v>
      </c>
      <c r="BD1184" s="8" t="s">
        <v>200</v>
      </c>
      <c r="BE1184" s="4" t="s">
        <v>200</v>
      </c>
      <c r="BF1184" s="8" t="s">
        <v>200</v>
      </c>
      <c r="BG1184" s="7" t="s">
        <v>200</v>
      </c>
      <c r="BH1184" s="7" t="s">
        <v>200</v>
      </c>
      <c r="BI1184" s="7"/>
      <c r="BJ1184" s="4">
        <v>389</v>
      </c>
      <c r="BK1184" s="8">
        <v>5601.8</v>
      </c>
      <c r="BL1184" s="2" t="s">
        <v>6650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6651</v>
      </c>
      <c r="BV1184" s="2" t="s">
        <v>200</v>
      </c>
      <c r="BW1184" s="2" t="s">
        <v>200</v>
      </c>
      <c r="BX1184" s="2" t="s">
        <v>264</v>
      </c>
      <c r="BY1184" s="2" t="s">
        <v>247</v>
      </c>
      <c r="BZ1184" s="2" t="s">
        <v>212</v>
      </c>
      <c r="CA1184" s="2" t="s">
        <v>6631</v>
      </c>
      <c r="CB1184" s="2" t="s">
        <v>3864</v>
      </c>
      <c r="CC1184" s="2" t="s">
        <v>213</v>
      </c>
      <c r="CD1184" s="2" t="s">
        <v>200</v>
      </c>
      <c r="CE1184" s="4">
        <v>102</v>
      </c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>
        <v>390</v>
      </c>
      <c r="DS1184" s="4"/>
      <c r="DT1184" s="4"/>
      <c r="DU1184" s="4"/>
      <c r="DV1184" s="4"/>
      <c r="DW1184" s="4"/>
      <c r="DX1184" s="4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/>
      <c r="EI1184" s="4"/>
      <c r="EJ1184" s="4"/>
      <c r="EK1184" s="4"/>
      <c r="EL1184" s="4"/>
      <c r="EM1184" s="4"/>
      <c r="EN1184" s="4"/>
      <c r="EO1184" s="4"/>
      <c r="EP1184" s="4"/>
      <c r="EQ1184" s="4"/>
      <c r="ER1184" s="4"/>
      <c r="ES1184" s="4"/>
      <c r="ET1184" s="4"/>
      <c r="EU1184" s="4"/>
      <c r="EV1184" s="4"/>
      <c r="EW1184" s="4"/>
      <c r="EX1184" s="4"/>
      <c r="EY1184" s="4"/>
      <c r="EZ1184" s="4"/>
      <c r="FA1184" s="4"/>
      <c r="FB1184" s="4"/>
      <c r="FC1184" s="4"/>
      <c r="FD1184" s="4"/>
      <c r="FE1184" s="4"/>
      <c r="FF1184" s="4"/>
      <c r="FG1184" s="4"/>
      <c r="FH1184" s="4"/>
      <c r="FI1184" s="4"/>
      <c r="FJ1184" s="4"/>
      <c r="FK1184" s="4"/>
      <c r="FL1184" s="4"/>
      <c r="FM1184" s="4">
        <v>290</v>
      </c>
      <c r="FN1184" s="4"/>
      <c r="FO1184" s="4"/>
      <c r="FP1184" s="4"/>
      <c r="FQ1184" s="4"/>
      <c r="FR1184" s="4"/>
      <c r="FS1184" s="4"/>
      <c r="FT1184" s="4"/>
      <c r="FU1184" s="4"/>
      <c r="FV1184" s="4"/>
      <c r="FW1184" s="4"/>
      <c r="FX1184" s="4"/>
      <c r="FY1184" s="4"/>
      <c r="FZ1184" s="4"/>
      <c r="GA1184" s="4"/>
      <c r="GB1184" s="4"/>
      <c r="GC1184" s="4"/>
      <c r="GD1184" s="4"/>
      <c r="GE1184" s="4"/>
      <c r="GF1184" s="4"/>
      <c r="GG1184" s="4"/>
      <c r="GH1184" s="4"/>
    </row>
    <row r="1185">
      <c r="A1185" s="2" t="s">
        <v>6652</v>
      </c>
      <c r="B1185" s="2" t="s">
        <v>195</v>
      </c>
      <c r="C1185" s="2" t="s">
        <v>877</v>
      </c>
      <c r="D1185" s="2" t="s">
        <v>197</v>
      </c>
      <c r="E1185" s="2" t="s">
        <v>198</v>
      </c>
      <c r="F1185" s="2" t="s">
        <v>6653</v>
      </c>
      <c r="G1185" s="2" t="s">
        <v>6653</v>
      </c>
      <c r="H1185" s="2" t="s">
        <v>6653</v>
      </c>
      <c r="I1185" s="2" t="s">
        <v>6654</v>
      </c>
      <c r="J1185" s="2" t="s">
        <v>1390</v>
      </c>
      <c r="K1185" s="2" t="s">
        <v>237</v>
      </c>
      <c r="L1185" s="3">
        <v>12.32</v>
      </c>
      <c r="M1185" s="3">
        <v>12.94</v>
      </c>
      <c r="N1185" s="3">
        <v>28.99</v>
      </c>
      <c r="O1185" s="2" t="s">
        <v>212</v>
      </c>
      <c r="P1185" s="2" t="s">
        <v>258</v>
      </c>
      <c r="Q1185" s="2" t="s">
        <v>206</v>
      </c>
      <c r="R1185" s="2" t="s">
        <v>200</v>
      </c>
      <c r="S1185" s="2" t="s">
        <v>6655</v>
      </c>
      <c r="T1185" s="2" t="s">
        <v>2604</v>
      </c>
      <c r="U1185" s="2" t="s">
        <v>200</v>
      </c>
      <c r="V1185" s="2" t="s">
        <v>208</v>
      </c>
      <c r="W1185" s="2" t="s">
        <v>241</v>
      </c>
      <c r="X1185" s="2" t="s">
        <v>200</v>
      </c>
      <c r="Y1185" s="2" t="s">
        <v>261</v>
      </c>
      <c r="Z1185" s="4">
        <v>440</v>
      </c>
      <c r="AA1185" s="4">
        <f>=ROUNDDOWN(40,0)</f>
      </c>
      <c r="AB1185" s="5">
        <v>11</v>
      </c>
      <c r="AC1185" s="2" t="s">
        <v>1435</v>
      </c>
      <c r="AD1185" s="4">
        <v>70</v>
      </c>
      <c r="AE1185" s="4">
        <v>70</v>
      </c>
      <c r="AF1185" s="6">
        <v>64</v>
      </c>
      <c r="AG1185" s="6"/>
      <c r="AH1185" s="7">
        <v>1</v>
      </c>
      <c r="AI1185" s="4"/>
      <c r="AJ1185" s="4">
        <f>=ROUNDDOWN({0},0)</f>
      </c>
      <c r="AK1185" s="5"/>
      <c r="AL1185" s="2" t="s">
        <v>200</v>
      </c>
      <c r="AM1185" s="4"/>
      <c r="AN1185" s="4"/>
      <c r="AO1185" s="7"/>
      <c r="AP1185" s="4"/>
      <c r="AQ1185" s="8"/>
      <c r="AR1185" s="4"/>
      <c r="AS1185" s="8"/>
      <c r="AT1185" s="7"/>
      <c r="AU1185" s="7"/>
      <c r="AV1185" s="4"/>
      <c r="AW1185" s="8"/>
      <c r="AX1185" s="4"/>
      <c r="AY1185" s="8"/>
      <c r="AZ1185" s="7"/>
      <c r="BA1185" s="7"/>
      <c r="BB1185" s="7"/>
      <c r="BC1185" s="4" t="s">
        <v>200</v>
      </c>
      <c r="BD1185" s="8" t="s">
        <v>200</v>
      </c>
      <c r="BE1185" s="4" t="s">
        <v>200</v>
      </c>
      <c r="BF1185" s="8" t="s">
        <v>200</v>
      </c>
      <c r="BG1185" s="7" t="s">
        <v>200</v>
      </c>
      <c r="BH1185" s="7" t="s">
        <v>200</v>
      </c>
      <c r="BI1185" s="7"/>
      <c r="BJ1185" s="4">
        <v>36</v>
      </c>
      <c r="BK1185" s="8">
        <v>465.04</v>
      </c>
      <c r="BL1185" s="2" t="s">
        <v>6656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6657</v>
      </c>
      <c r="BV1185" s="2" t="s">
        <v>200</v>
      </c>
      <c r="BW1185" s="2" t="s">
        <v>200</v>
      </c>
      <c r="BX1185" s="2" t="s">
        <v>264</v>
      </c>
      <c r="BY1185" s="2" t="s">
        <v>247</v>
      </c>
      <c r="BZ1185" s="2" t="s">
        <v>212</v>
      </c>
      <c r="CA1185" s="2" t="s">
        <v>6658</v>
      </c>
      <c r="CB1185" s="2" t="s">
        <v>6659</v>
      </c>
      <c r="CC1185" s="2" t="s">
        <v>213</v>
      </c>
      <c r="CD1185" s="2" t="s">
        <v>200</v>
      </c>
      <c r="CE1185" s="4">
        <v>440</v>
      </c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  <c r="DE1185" s="4"/>
      <c r="DF1185" s="4"/>
      <c r="DG1185" s="4"/>
      <c r="DH1185" s="4"/>
      <c r="DI1185" s="4"/>
      <c r="DJ1185" s="4"/>
      <c r="DK1185" s="4"/>
      <c r="DL1185" s="4"/>
      <c r="DM1185" s="4"/>
      <c r="DN1185" s="4"/>
      <c r="DO1185" s="4"/>
      <c r="DP1185" s="4"/>
      <c r="DQ1185" s="4"/>
      <c r="DR1185" s="4"/>
      <c r="DS1185" s="4"/>
      <c r="DT1185" s="4"/>
      <c r="DU1185" s="4"/>
      <c r="DV1185" s="4"/>
      <c r="DW1185" s="4"/>
      <c r="DX1185" s="4"/>
      <c r="DY1185" s="4"/>
      <c r="DZ1185" s="4"/>
      <c r="EA1185" s="4"/>
      <c r="EB1185" s="4"/>
      <c r="EC1185" s="4"/>
      <c r="ED1185" s="4"/>
      <c r="EE1185" s="4"/>
      <c r="EF1185" s="4"/>
      <c r="EG1185" s="4"/>
      <c r="EH1185" s="4"/>
      <c r="EI1185" s="4"/>
      <c r="EJ1185" s="4"/>
      <c r="EK1185" s="4"/>
      <c r="EL1185" s="4"/>
      <c r="EM1185" s="4"/>
      <c r="EN1185" s="4"/>
      <c r="EO1185" s="4"/>
      <c r="EP1185" s="4"/>
      <c r="EQ1185" s="4"/>
      <c r="ER1185" s="4"/>
      <c r="ES1185" s="4"/>
      <c r="ET1185" s="4"/>
      <c r="EU1185" s="4"/>
      <c r="EV1185" s="4"/>
      <c r="EW1185" s="4"/>
      <c r="EX1185" s="4"/>
      <c r="EY1185" s="4"/>
      <c r="EZ1185" s="4"/>
      <c r="FA1185" s="4"/>
      <c r="FB1185" s="4"/>
      <c r="FC1185" s="4"/>
      <c r="FD1185" s="4"/>
      <c r="FE1185" s="4"/>
      <c r="FF1185" s="4"/>
      <c r="FG1185" s="4"/>
      <c r="FH1185" s="4"/>
      <c r="FI1185" s="4"/>
      <c r="FJ1185" s="4"/>
      <c r="FK1185" s="4"/>
      <c r="FL1185" s="4"/>
      <c r="FM1185" s="4">
        <v>70</v>
      </c>
      <c r="FN1185" s="4"/>
      <c r="FO1185" s="4"/>
      <c r="FP1185" s="4"/>
      <c r="FQ1185" s="4"/>
      <c r="FR1185" s="4"/>
      <c r="FS1185" s="4"/>
      <c r="FT1185" s="4"/>
      <c r="FU1185" s="4"/>
      <c r="FV1185" s="4"/>
      <c r="FW1185" s="4"/>
      <c r="FX1185" s="4"/>
      <c r="FY1185" s="4"/>
      <c r="FZ1185" s="4"/>
      <c r="GA1185" s="4"/>
      <c r="GB1185" s="4"/>
      <c r="GC1185" s="4"/>
      <c r="GD1185" s="4"/>
      <c r="GE1185" s="4"/>
      <c r="GF1185" s="4"/>
      <c r="GG1185" s="4"/>
      <c r="GH1185" s="4"/>
    </row>
    <row r="1186">
      <c r="A1186" s="2" t="s">
        <v>6660</v>
      </c>
      <c r="B1186" s="2" t="s">
        <v>195</v>
      </c>
      <c r="C1186" s="2" t="s">
        <v>877</v>
      </c>
      <c r="D1186" s="2" t="s">
        <v>2254</v>
      </c>
      <c r="E1186" s="2" t="s">
        <v>2255</v>
      </c>
      <c r="F1186" s="2" t="s">
        <v>6653</v>
      </c>
      <c r="G1186" s="2" t="s">
        <v>6653</v>
      </c>
      <c r="H1186" s="2" t="s">
        <v>6653</v>
      </c>
      <c r="I1186" s="2" t="s">
        <v>6661</v>
      </c>
      <c r="J1186" s="2" t="s">
        <v>5442</v>
      </c>
      <c r="K1186" s="2" t="s">
        <v>221</v>
      </c>
      <c r="L1186" s="3">
        <v>10.79</v>
      </c>
      <c r="M1186" s="3">
        <v>11.33</v>
      </c>
      <c r="N1186" s="3">
        <v>19.99</v>
      </c>
      <c r="O1186" s="2" t="s">
        <v>460</v>
      </c>
      <c r="P1186" s="2" t="s">
        <v>285</v>
      </c>
      <c r="Q1186" s="2" t="s">
        <v>206</v>
      </c>
      <c r="R1186" s="2" t="s">
        <v>200</v>
      </c>
      <c r="S1186" s="2" t="s">
        <v>6662</v>
      </c>
      <c r="T1186" s="2" t="s">
        <v>2604</v>
      </c>
      <c r="U1186" s="2" t="s">
        <v>200</v>
      </c>
      <c r="V1186" s="2" t="s">
        <v>208</v>
      </c>
      <c r="W1186" s="2" t="s">
        <v>241</v>
      </c>
      <c r="X1186" s="2" t="s">
        <v>200</v>
      </c>
      <c r="Y1186" s="2" t="s">
        <v>261</v>
      </c>
      <c r="Z1186" s="4">
        <v>222</v>
      </c>
      <c r="AA1186" s="4">
        <f>=ROUNDDOWN(14.8,0)</f>
      </c>
      <c r="AB1186" s="5">
        <v>15</v>
      </c>
      <c r="AC1186" s="2" t="s">
        <v>200</v>
      </c>
      <c r="AD1186" s="4"/>
      <c r="AE1186" s="4"/>
      <c r="AF1186" s="6">
        <v>64</v>
      </c>
      <c r="AG1186" s="6"/>
      <c r="AH1186" s="7">
        <v>1</v>
      </c>
      <c r="AI1186" s="4"/>
      <c r="AJ1186" s="4">
        <f>=ROUNDDOWN({0},0)</f>
      </c>
      <c r="AK1186" s="5"/>
      <c r="AL1186" s="2" t="s">
        <v>200</v>
      </c>
      <c r="AM1186" s="4"/>
      <c r="AN1186" s="4"/>
      <c r="AO1186" s="7"/>
      <c r="AP1186" s="4"/>
      <c r="AQ1186" s="8"/>
      <c r="AR1186" s="4"/>
      <c r="AS1186" s="8"/>
      <c r="AT1186" s="7"/>
      <c r="AU1186" s="7"/>
      <c r="AV1186" s="4"/>
      <c r="AW1186" s="8"/>
      <c r="AX1186" s="4"/>
      <c r="AY1186" s="8"/>
      <c r="AZ1186" s="7"/>
      <c r="BA1186" s="7"/>
      <c r="BB1186" s="7"/>
      <c r="BC1186" s="4" t="s">
        <v>200</v>
      </c>
      <c r="BD1186" s="8" t="s">
        <v>200</v>
      </c>
      <c r="BE1186" s="4" t="s">
        <v>200</v>
      </c>
      <c r="BF1186" s="8" t="s">
        <v>200</v>
      </c>
      <c r="BG1186" s="7" t="s">
        <v>200</v>
      </c>
      <c r="BH1186" s="7" t="s">
        <v>200</v>
      </c>
      <c r="BI1186" s="7"/>
      <c r="BJ1186" s="4">
        <v>82</v>
      </c>
      <c r="BK1186" s="8">
        <v>726.46</v>
      </c>
      <c r="BL1186" s="2" t="s">
        <v>6663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6664</v>
      </c>
      <c r="BV1186" s="2" t="s">
        <v>200</v>
      </c>
      <c r="BW1186" s="2" t="s">
        <v>200</v>
      </c>
      <c r="BX1186" s="2" t="s">
        <v>289</v>
      </c>
      <c r="BY1186" s="2" t="s">
        <v>247</v>
      </c>
      <c r="BZ1186" s="2" t="s">
        <v>212</v>
      </c>
      <c r="CA1186" s="2" t="s">
        <v>265</v>
      </c>
      <c r="CB1186" s="2" t="s">
        <v>6665</v>
      </c>
      <c r="CC1186" s="2" t="s">
        <v>213</v>
      </c>
      <c r="CD1186" s="2" t="s">
        <v>200</v>
      </c>
      <c r="CE1186" s="4">
        <v>222</v>
      </c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"/>
      <c r="DY1186" s="4"/>
      <c r="DZ1186" s="4"/>
      <c r="EA1186" s="4"/>
      <c r="EB1186" s="4"/>
      <c r="EC1186" s="4"/>
      <c r="ED1186" s="4"/>
      <c r="EE1186" s="4"/>
      <c r="EF1186" s="4"/>
      <c r="EG1186" s="4"/>
      <c r="EH1186" s="4"/>
      <c r="EI1186" s="4"/>
      <c r="EJ1186" s="4"/>
      <c r="EK1186" s="4"/>
      <c r="EL1186" s="4"/>
      <c r="EM1186" s="4"/>
      <c r="EN1186" s="4"/>
      <c r="EO1186" s="4"/>
      <c r="EP1186" s="4"/>
      <c r="EQ1186" s="4"/>
      <c r="ER1186" s="4"/>
      <c r="ES1186" s="4"/>
      <c r="ET1186" s="4"/>
      <c r="EU1186" s="4"/>
      <c r="EV1186" s="4"/>
      <c r="EW1186" s="4"/>
      <c r="EX1186" s="4"/>
      <c r="EY1186" s="4"/>
      <c r="EZ1186" s="4"/>
      <c r="FA1186" s="4"/>
      <c r="FB1186" s="4"/>
      <c r="FC1186" s="4"/>
      <c r="FD1186" s="4"/>
      <c r="FE1186" s="4"/>
      <c r="FF1186" s="4"/>
      <c r="FG1186" s="4"/>
      <c r="FH1186" s="4"/>
      <c r="FI1186" s="4"/>
      <c r="FJ1186" s="4"/>
      <c r="FK1186" s="4"/>
      <c r="FL1186" s="4"/>
      <c r="FM1186" s="4"/>
      <c r="FN1186" s="4"/>
      <c r="FO1186" s="4"/>
      <c r="FP1186" s="4"/>
      <c r="FQ1186" s="4"/>
      <c r="FR1186" s="4"/>
      <c r="FS1186" s="4"/>
      <c r="FT1186" s="4"/>
      <c r="FU1186" s="4"/>
      <c r="FV1186" s="4"/>
      <c r="FW1186" s="4"/>
      <c r="FX1186" s="4"/>
      <c r="FY1186" s="4"/>
      <c r="FZ1186" s="4"/>
      <c r="GA1186" s="4"/>
      <c r="GB1186" s="4"/>
      <c r="GC1186" s="4"/>
      <c r="GD1186" s="4"/>
      <c r="GE1186" s="4"/>
      <c r="GF1186" s="4"/>
      <c r="GG1186" s="4"/>
      <c r="GH1186" s="4"/>
    </row>
    <row r="1187">
      <c r="A1187" s="2" t="s">
        <v>6666</v>
      </c>
      <c r="B1187" s="2" t="s">
        <v>195</v>
      </c>
      <c r="C1187" s="2" t="s">
        <v>877</v>
      </c>
      <c r="D1187" s="2" t="s">
        <v>197</v>
      </c>
      <c r="E1187" s="2" t="s">
        <v>198</v>
      </c>
      <c r="F1187" s="2" t="s">
        <v>6653</v>
      </c>
      <c r="G1187" s="2" t="s">
        <v>6653</v>
      </c>
      <c r="H1187" s="2" t="s">
        <v>6653</v>
      </c>
      <c r="I1187" s="2" t="s">
        <v>6654</v>
      </c>
      <c r="J1187" s="2" t="s">
        <v>1390</v>
      </c>
      <c r="K1187" s="2" t="s">
        <v>544</v>
      </c>
      <c r="L1187" s="3">
        <v>12.32</v>
      </c>
      <c r="M1187" s="3">
        <v>12.94</v>
      </c>
      <c r="N1187" s="3">
        <v>28.99</v>
      </c>
      <c r="O1187" s="2" t="s">
        <v>212</v>
      </c>
      <c r="P1187" s="2" t="s">
        <v>285</v>
      </c>
      <c r="Q1187" s="2" t="s">
        <v>206</v>
      </c>
      <c r="R1187" s="2" t="s">
        <v>200</v>
      </c>
      <c r="S1187" s="2" t="s">
        <v>6667</v>
      </c>
      <c r="T1187" s="2" t="s">
        <v>2604</v>
      </c>
      <c r="U1187" s="2" t="s">
        <v>200</v>
      </c>
      <c r="V1187" s="2" t="s">
        <v>208</v>
      </c>
      <c r="W1187" s="2" t="s">
        <v>241</v>
      </c>
      <c r="X1187" s="2" t="s">
        <v>200</v>
      </c>
      <c r="Y1187" s="2" t="s">
        <v>261</v>
      </c>
      <c r="Z1187" s="4">
        <v>288</v>
      </c>
      <c r="AA1187" s="4">
        <f>=ROUNDDOWN(28.8,0)</f>
      </c>
      <c r="AB1187" s="5">
        <v>10</v>
      </c>
      <c r="AC1187" s="2" t="s">
        <v>200</v>
      </c>
      <c r="AD1187" s="4"/>
      <c r="AE1187" s="4"/>
      <c r="AF1187" s="6">
        <v>64</v>
      </c>
      <c r="AG1187" s="6"/>
      <c r="AH1187" s="7">
        <v>1</v>
      </c>
      <c r="AI1187" s="4"/>
      <c r="AJ1187" s="4">
        <f>=ROUNDDOWN({0},0)</f>
      </c>
      <c r="AK1187" s="5"/>
      <c r="AL1187" s="2" t="s">
        <v>200</v>
      </c>
      <c r="AM1187" s="4"/>
      <c r="AN1187" s="4"/>
      <c r="AO1187" s="7"/>
      <c r="AP1187" s="4"/>
      <c r="AQ1187" s="8"/>
      <c r="AR1187" s="4"/>
      <c r="AS1187" s="8"/>
      <c r="AT1187" s="7"/>
      <c r="AU1187" s="7"/>
      <c r="AV1187" s="4"/>
      <c r="AW1187" s="8"/>
      <c r="AX1187" s="4"/>
      <c r="AY1187" s="8"/>
      <c r="AZ1187" s="7"/>
      <c r="BA1187" s="7"/>
      <c r="BB1187" s="7"/>
      <c r="BC1187" s="4" t="s">
        <v>200</v>
      </c>
      <c r="BD1187" s="8" t="s">
        <v>200</v>
      </c>
      <c r="BE1187" s="4" t="s">
        <v>200</v>
      </c>
      <c r="BF1187" s="8" t="s">
        <v>200</v>
      </c>
      <c r="BG1187" s="7" t="s">
        <v>200</v>
      </c>
      <c r="BH1187" s="7" t="s">
        <v>200</v>
      </c>
      <c r="BI1187" s="7"/>
      <c r="BJ1187" s="4">
        <v>72</v>
      </c>
      <c r="BK1187" s="8">
        <v>864.25</v>
      </c>
      <c r="BL1187" s="2" t="s">
        <v>6668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6669</v>
      </c>
      <c r="BV1187" s="2" t="s">
        <v>200</v>
      </c>
      <c r="BW1187" s="2" t="s">
        <v>200</v>
      </c>
      <c r="BX1187" s="2" t="s">
        <v>289</v>
      </c>
      <c r="BY1187" s="2" t="s">
        <v>247</v>
      </c>
      <c r="BZ1187" s="2" t="s">
        <v>212</v>
      </c>
      <c r="CA1187" s="2" t="s">
        <v>6658</v>
      </c>
      <c r="CB1187" s="2" t="s">
        <v>3999</v>
      </c>
      <c r="CC1187" s="2" t="s">
        <v>213</v>
      </c>
      <c r="CD1187" s="2" t="s">
        <v>200</v>
      </c>
      <c r="CE1187" s="4">
        <v>288</v>
      </c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  <c r="DE1187" s="4"/>
      <c r="DF1187" s="4"/>
      <c r="DG1187" s="4"/>
      <c r="DH1187" s="4"/>
      <c r="DI1187" s="4"/>
      <c r="DJ1187" s="4"/>
      <c r="DK1187" s="4"/>
      <c r="DL1187" s="4"/>
      <c r="DM1187" s="4"/>
      <c r="DN1187" s="4"/>
      <c r="DO1187" s="4"/>
      <c r="DP1187" s="4"/>
      <c r="DQ1187" s="4"/>
      <c r="DR1187" s="4"/>
      <c r="DS1187" s="4"/>
      <c r="DT1187" s="4"/>
      <c r="DU1187" s="4"/>
      <c r="DV1187" s="4"/>
      <c r="DW1187" s="4"/>
      <c r="DX1187" s="4"/>
      <c r="DY1187" s="4"/>
      <c r="DZ1187" s="4"/>
      <c r="EA1187" s="4"/>
      <c r="EB1187" s="4"/>
      <c r="EC1187" s="4"/>
      <c r="ED1187" s="4"/>
      <c r="EE1187" s="4"/>
      <c r="EF1187" s="4"/>
      <c r="EG1187" s="4"/>
      <c r="EH1187" s="4"/>
      <c r="EI1187" s="4"/>
      <c r="EJ1187" s="4"/>
      <c r="EK1187" s="4"/>
      <c r="EL1187" s="4"/>
      <c r="EM1187" s="4"/>
      <c r="EN1187" s="4"/>
      <c r="EO1187" s="4"/>
      <c r="EP1187" s="4"/>
      <c r="EQ1187" s="4"/>
      <c r="ER1187" s="4"/>
      <c r="ES1187" s="4"/>
      <c r="ET1187" s="4"/>
      <c r="EU1187" s="4"/>
      <c r="EV1187" s="4"/>
      <c r="EW1187" s="4"/>
      <c r="EX1187" s="4"/>
      <c r="EY1187" s="4"/>
      <c r="EZ1187" s="4"/>
      <c r="FA1187" s="4"/>
      <c r="FB1187" s="4"/>
      <c r="FC1187" s="4"/>
      <c r="FD1187" s="4"/>
      <c r="FE1187" s="4"/>
      <c r="FF1187" s="4"/>
      <c r="FG1187" s="4"/>
      <c r="FH1187" s="4"/>
      <c r="FI1187" s="4"/>
      <c r="FJ1187" s="4"/>
      <c r="FK1187" s="4"/>
      <c r="FL1187" s="4"/>
      <c r="FM1187" s="4"/>
      <c r="FN1187" s="4"/>
      <c r="FO1187" s="4"/>
      <c r="FP1187" s="4"/>
      <c r="FQ1187" s="4"/>
      <c r="FR1187" s="4"/>
      <c r="FS1187" s="4"/>
      <c r="FT1187" s="4"/>
      <c r="FU1187" s="4"/>
      <c r="FV1187" s="4"/>
      <c r="FW1187" s="4"/>
      <c r="FX1187" s="4"/>
      <c r="FY1187" s="4"/>
      <c r="FZ1187" s="4"/>
      <c r="GA1187" s="4"/>
      <c r="GB1187" s="4"/>
      <c r="GC1187" s="4"/>
      <c r="GD1187" s="4"/>
      <c r="GE1187" s="4"/>
      <c r="GF1187" s="4"/>
      <c r="GG1187" s="4"/>
      <c r="GH1187" s="4"/>
    </row>
    <row r="1188">
      <c r="A1188" s="2" t="s">
        <v>6670</v>
      </c>
      <c r="B1188" s="2" t="s">
        <v>719</v>
      </c>
      <c r="C1188" s="2" t="s">
        <v>231</v>
      </c>
      <c r="D1188" s="2" t="s">
        <v>1554</v>
      </c>
      <c r="E1188" s="2" t="s">
        <v>1555</v>
      </c>
      <c r="F1188" s="2" t="s">
        <v>6671</v>
      </c>
      <c r="G1188" s="2" t="s">
        <v>6671</v>
      </c>
      <c r="H1188" s="2" t="s">
        <v>6671</v>
      </c>
      <c r="I1188" s="2" t="s">
        <v>6672</v>
      </c>
      <c r="J1188" s="2" t="s">
        <v>711</v>
      </c>
      <c r="K1188" s="2" t="s">
        <v>257</v>
      </c>
      <c r="L1188" s="3">
        <v>31.35</v>
      </c>
      <c r="M1188" s="3">
        <v>32.92</v>
      </c>
      <c r="N1188" s="3">
        <v>69.99</v>
      </c>
      <c r="O1188" s="2" t="s">
        <v>417</v>
      </c>
      <c r="P1188" s="2" t="s">
        <v>285</v>
      </c>
      <c r="Q1188" s="2" t="s">
        <v>206</v>
      </c>
      <c r="R1188" s="2" t="s">
        <v>200</v>
      </c>
      <c r="S1188" s="2" t="s">
        <v>6673</v>
      </c>
      <c r="T1188" s="2" t="s">
        <v>200</v>
      </c>
      <c r="U1188" s="2" t="s">
        <v>270</v>
      </c>
      <c r="V1188" s="2" t="s">
        <v>940</v>
      </c>
      <c r="W1188" s="2" t="s">
        <v>419</v>
      </c>
      <c r="X1188" s="2" t="s">
        <v>200</v>
      </c>
      <c r="Y1188" s="2" t="s">
        <v>6674</v>
      </c>
      <c r="Z1188" s="4"/>
      <c r="AA1188" s="4">
        <f>=ROUNDDOWN({0},0)</f>
      </c>
      <c r="AB1188" s="5">
        <v>0.9</v>
      </c>
      <c r="AC1188" s="2" t="s">
        <v>200</v>
      </c>
      <c r="AD1188" s="4"/>
      <c r="AE1188" s="4"/>
      <c r="AF1188" s="6">
        <v>63</v>
      </c>
      <c r="AG1188" s="6"/>
      <c r="AH1188" s="7">
        <v>0.8667</v>
      </c>
      <c r="AI1188" s="4"/>
      <c r="AJ1188" s="4">
        <f>=ROUNDDOWN({0},0)</f>
      </c>
      <c r="AK1188" s="5"/>
      <c r="AL1188" s="2" t="s">
        <v>200</v>
      </c>
      <c r="AM1188" s="4"/>
      <c r="AN1188" s="4"/>
      <c r="AO1188" s="7"/>
      <c r="AP1188" s="4"/>
      <c r="AQ1188" s="8"/>
      <c r="AR1188" s="4"/>
      <c r="AS1188" s="8"/>
      <c r="AT1188" s="7"/>
      <c r="AU1188" s="7"/>
      <c r="AV1188" s="4"/>
      <c r="AW1188" s="8"/>
      <c r="AX1188" s="4"/>
      <c r="AY1188" s="8"/>
      <c r="AZ1188" s="7"/>
      <c r="BA1188" s="7"/>
      <c r="BB1188" s="7"/>
      <c r="BC1188" s="4"/>
      <c r="BD1188" s="8"/>
      <c r="BE1188" s="4"/>
      <c r="BF1188" s="8"/>
      <c r="BG1188" s="7"/>
      <c r="BH1188" s="7"/>
      <c r="BI1188" s="7"/>
      <c r="BJ1188" s="4"/>
      <c r="BK1188" s="8"/>
      <c r="BL1188" s="2" t="s">
        <v>6675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6676</v>
      </c>
      <c r="BV1188" s="2" t="s">
        <v>200</v>
      </c>
      <c r="BW1188" s="2" t="s">
        <v>200</v>
      </c>
      <c r="BX1188" s="2" t="s">
        <v>289</v>
      </c>
      <c r="BY1188" s="2" t="s">
        <v>247</v>
      </c>
      <c r="BZ1188" s="2" t="s">
        <v>212</v>
      </c>
      <c r="CA1188" s="2" t="s">
        <v>6674</v>
      </c>
      <c r="CB1188" s="2" t="s">
        <v>266</v>
      </c>
      <c r="CC1188" s="2" t="s">
        <v>213</v>
      </c>
      <c r="CD1188" s="2" t="s">
        <v>200</v>
      </c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/>
      <c r="DO1188" s="4"/>
      <c r="DP1188" s="4"/>
      <c r="DQ1188" s="4"/>
      <c r="DR1188" s="4"/>
      <c r="DS1188" s="4"/>
      <c r="DT1188" s="4"/>
      <c r="DU1188" s="4"/>
      <c r="DV1188" s="4"/>
      <c r="DW1188" s="4"/>
      <c r="DX1188" s="4"/>
      <c r="DY1188" s="4"/>
      <c r="DZ1188" s="4"/>
      <c r="EA1188" s="4"/>
      <c r="EB1188" s="4"/>
      <c r="EC1188" s="4"/>
      <c r="ED1188" s="4"/>
      <c r="EE1188" s="4"/>
      <c r="EF1188" s="4"/>
      <c r="EG1188" s="4"/>
      <c r="EH1188" s="4"/>
      <c r="EI1188" s="4"/>
      <c r="EJ1188" s="4"/>
      <c r="EK1188" s="4"/>
      <c r="EL1188" s="4"/>
      <c r="EM1188" s="4"/>
      <c r="EN1188" s="4"/>
      <c r="EO1188" s="4"/>
      <c r="EP1188" s="4"/>
      <c r="EQ1188" s="4"/>
      <c r="ER1188" s="4"/>
      <c r="ES1188" s="4"/>
      <c r="ET1188" s="4"/>
      <c r="EU1188" s="4"/>
      <c r="EV1188" s="4"/>
      <c r="EW1188" s="4"/>
      <c r="EX1188" s="4"/>
      <c r="EY1188" s="4"/>
      <c r="EZ1188" s="4"/>
      <c r="FA1188" s="4"/>
      <c r="FB1188" s="4"/>
      <c r="FC1188" s="4"/>
      <c r="FD1188" s="4"/>
      <c r="FE1188" s="4"/>
      <c r="FF1188" s="4"/>
      <c r="FG1188" s="4"/>
      <c r="FH1188" s="4"/>
      <c r="FI1188" s="4"/>
      <c r="FJ1188" s="4"/>
      <c r="FK1188" s="4"/>
      <c r="FL1188" s="4"/>
      <c r="FM1188" s="4"/>
      <c r="FN1188" s="4"/>
      <c r="FO1188" s="4"/>
      <c r="FP1188" s="4"/>
      <c r="FQ1188" s="4"/>
      <c r="FR1188" s="4"/>
      <c r="FS1188" s="4"/>
      <c r="FT1188" s="4"/>
      <c r="FU1188" s="4"/>
      <c r="FV1188" s="4"/>
      <c r="FW1188" s="4"/>
      <c r="FX1188" s="4"/>
      <c r="FY1188" s="4"/>
      <c r="FZ1188" s="4"/>
      <c r="GA1188" s="4"/>
      <c r="GB1188" s="4"/>
      <c r="GC1188" s="4"/>
      <c r="GD1188" s="4"/>
      <c r="GE1188" s="4"/>
      <c r="GF1188" s="4"/>
      <c r="GG1188" s="4"/>
      <c r="GH1188" s="4"/>
    </row>
    <row r="1189">
      <c r="A1189" s="2" t="s">
        <v>6677</v>
      </c>
      <c r="B1189" s="2" t="s">
        <v>903</v>
      </c>
      <c r="C1189" s="2" t="s">
        <v>745</v>
      </c>
      <c r="D1189" s="2" t="s">
        <v>608</v>
      </c>
      <c r="E1189" s="2" t="s">
        <v>1324</v>
      </c>
      <c r="F1189" s="2" t="s">
        <v>2771</v>
      </c>
      <c r="G1189" s="2" t="s">
        <v>2771</v>
      </c>
      <c r="H1189" s="2" t="s">
        <v>2771</v>
      </c>
      <c r="I1189" s="2" t="s">
        <v>6678</v>
      </c>
      <c r="J1189" s="2" t="s">
        <v>612</v>
      </c>
      <c r="K1189" s="2" t="s">
        <v>1481</v>
      </c>
      <c r="L1189" s="3">
        <v>59.85</v>
      </c>
      <c r="M1189" s="3">
        <v>62.84</v>
      </c>
      <c r="N1189" s="3">
        <v>129.99</v>
      </c>
      <c r="O1189" s="2" t="s">
        <v>212</v>
      </c>
      <c r="P1189" s="2" t="s">
        <v>285</v>
      </c>
      <c r="Q1189" s="2" t="s">
        <v>206</v>
      </c>
      <c r="R1189" s="2" t="s">
        <v>200</v>
      </c>
      <c r="S1189" s="2" t="s">
        <v>6679</v>
      </c>
      <c r="T1189" s="2" t="s">
        <v>312</v>
      </c>
      <c r="U1189" s="2" t="s">
        <v>454</v>
      </c>
      <c r="V1189" s="2" t="s">
        <v>3675</v>
      </c>
      <c r="W1189" s="2" t="s">
        <v>2826</v>
      </c>
      <c r="X1189" s="2" t="s">
        <v>200</v>
      </c>
      <c r="Y1189" s="2" t="s">
        <v>6680</v>
      </c>
      <c r="Z1189" s="4">
        <v>170</v>
      </c>
      <c r="AA1189" s="4">
        <f>=ROUNDDOWN(170,0)</f>
      </c>
      <c r="AB1189" s="5">
        <v>1</v>
      </c>
      <c r="AC1189" s="2" t="s">
        <v>200</v>
      </c>
      <c r="AD1189" s="4"/>
      <c r="AE1189" s="4"/>
      <c r="AF1189" s="6">
        <v>66</v>
      </c>
      <c r="AG1189" s="6"/>
      <c r="AH1189" s="7">
        <v>1</v>
      </c>
      <c r="AI1189" s="4"/>
      <c r="AJ1189" s="4">
        <f>=ROUNDDOWN({0},0)</f>
      </c>
      <c r="AK1189" s="5"/>
      <c r="AL1189" s="2" t="s">
        <v>200</v>
      </c>
      <c r="AM1189" s="4"/>
      <c r="AN1189" s="4"/>
      <c r="AO1189" s="7"/>
      <c r="AP1189" s="4"/>
      <c r="AQ1189" s="8"/>
      <c r="AR1189" s="4"/>
      <c r="AS1189" s="8"/>
      <c r="AT1189" s="7"/>
      <c r="AU1189" s="7"/>
      <c r="AV1189" s="4" t="s">
        <v>200</v>
      </c>
      <c r="AW1189" s="8" t="s">
        <v>200</v>
      </c>
      <c r="AX1189" s="4" t="s">
        <v>200</v>
      </c>
      <c r="AY1189" s="8" t="s">
        <v>200</v>
      </c>
      <c r="AZ1189" s="7" t="s">
        <v>200</v>
      </c>
      <c r="BA1189" s="7" t="s">
        <v>200</v>
      </c>
      <c r="BB1189" s="7"/>
      <c r="BC1189" s="4" t="s">
        <v>200</v>
      </c>
      <c r="BD1189" s="8" t="s">
        <v>200</v>
      </c>
      <c r="BE1189" s="4" t="s">
        <v>200</v>
      </c>
      <c r="BF1189" s="8" t="s">
        <v>200</v>
      </c>
      <c r="BG1189" s="7" t="s">
        <v>200</v>
      </c>
      <c r="BH1189" s="7" t="s">
        <v>200</v>
      </c>
      <c r="BI1189" s="7"/>
      <c r="BJ1189" s="4">
        <v>11</v>
      </c>
      <c r="BK1189" s="8">
        <v>677.42</v>
      </c>
      <c r="BL1189" s="2" t="s">
        <v>327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6681</v>
      </c>
      <c r="BV1189" s="2" t="s">
        <v>200</v>
      </c>
      <c r="BW1189" s="2" t="s">
        <v>200</v>
      </c>
      <c r="BX1189" s="2" t="s">
        <v>289</v>
      </c>
      <c r="BY1189" s="2" t="s">
        <v>247</v>
      </c>
      <c r="BZ1189" s="2" t="s">
        <v>212</v>
      </c>
      <c r="CA1189" s="2" t="s">
        <v>5774</v>
      </c>
      <c r="CB1189" s="2" t="s">
        <v>2132</v>
      </c>
      <c r="CC1189" s="2" t="s">
        <v>213</v>
      </c>
      <c r="CD1189" s="2" t="s">
        <v>200</v>
      </c>
      <c r="CE1189" s="4">
        <v>170</v>
      </c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E1189" s="4"/>
      <c r="DF1189" s="4"/>
      <c r="DG1189" s="4"/>
      <c r="DH1189" s="4"/>
      <c r="DI1189" s="4"/>
      <c r="DJ1189" s="4"/>
      <c r="DK1189" s="4"/>
      <c r="DL1189" s="4"/>
      <c r="DM1189" s="4"/>
      <c r="DN1189" s="4"/>
      <c r="DO1189" s="4"/>
      <c r="DP1189" s="4"/>
      <c r="DQ1189" s="4"/>
      <c r="DR1189" s="4"/>
      <c r="DS1189" s="4"/>
      <c r="DT1189" s="4"/>
      <c r="DU1189" s="4"/>
      <c r="DV1189" s="4"/>
      <c r="DW1189" s="4"/>
      <c r="DX1189" s="4"/>
      <c r="DY1189" s="4"/>
      <c r="DZ1189" s="4"/>
      <c r="EA1189" s="4"/>
      <c r="EB1189" s="4"/>
      <c r="EC1189" s="4"/>
      <c r="ED1189" s="4"/>
      <c r="EE1189" s="4"/>
      <c r="EF1189" s="4"/>
      <c r="EG1189" s="4"/>
      <c r="EH1189" s="4"/>
      <c r="EI1189" s="4"/>
      <c r="EJ1189" s="4"/>
      <c r="EK1189" s="4"/>
      <c r="EL1189" s="4"/>
      <c r="EM1189" s="4"/>
      <c r="EN1189" s="4"/>
      <c r="EO1189" s="4"/>
      <c r="EP1189" s="4"/>
      <c r="EQ1189" s="4"/>
      <c r="ER1189" s="4"/>
      <c r="ES1189" s="4"/>
      <c r="ET1189" s="4"/>
      <c r="EU1189" s="4"/>
      <c r="EV1189" s="4"/>
      <c r="EW1189" s="4"/>
      <c r="EX1189" s="4"/>
      <c r="EY1189" s="4"/>
      <c r="EZ1189" s="4"/>
      <c r="FA1189" s="4"/>
      <c r="FB1189" s="4"/>
      <c r="FC1189" s="4"/>
      <c r="FD1189" s="4"/>
      <c r="FE1189" s="4"/>
      <c r="FF1189" s="4"/>
      <c r="FG1189" s="4"/>
      <c r="FH1189" s="4"/>
      <c r="FI1189" s="4"/>
      <c r="FJ1189" s="4"/>
      <c r="FK1189" s="4"/>
      <c r="FL1189" s="4"/>
      <c r="FM1189" s="4"/>
      <c r="FN1189" s="4"/>
      <c r="FO1189" s="4"/>
      <c r="FP1189" s="4"/>
      <c r="FQ1189" s="4"/>
      <c r="FR1189" s="4"/>
      <c r="FS1189" s="4"/>
      <c r="FT1189" s="4"/>
      <c r="FU1189" s="4"/>
      <c r="FV1189" s="4"/>
      <c r="FW1189" s="4"/>
      <c r="FX1189" s="4"/>
      <c r="FY1189" s="4"/>
      <c r="FZ1189" s="4"/>
      <c r="GA1189" s="4"/>
      <c r="GB1189" s="4"/>
      <c r="GC1189" s="4"/>
      <c r="GD1189" s="4"/>
      <c r="GE1189" s="4"/>
      <c r="GF1189" s="4"/>
      <c r="GG1189" s="4"/>
      <c r="GH1189" s="4"/>
    </row>
    <row r="1190">
      <c r="A1190" s="2" t="s">
        <v>6682</v>
      </c>
      <c r="B1190" s="2" t="s">
        <v>903</v>
      </c>
      <c r="C1190" s="2" t="s">
        <v>745</v>
      </c>
      <c r="D1190" s="2" t="s">
        <v>608</v>
      </c>
      <c r="E1190" s="2" t="s">
        <v>1324</v>
      </c>
      <c r="F1190" s="2" t="s">
        <v>2771</v>
      </c>
      <c r="G1190" s="2" t="s">
        <v>2771</v>
      </c>
      <c r="H1190" s="2" t="s">
        <v>2771</v>
      </c>
      <c r="I1190" s="2" t="s">
        <v>6678</v>
      </c>
      <c r="J1190" s="2" t="s">
        <v>924</v>
      </c>
      <c r="K1190" s="2" t="s">
        <v>1481</v>
      </c>
      <c r="L1190" s="3">
        <v>74.29</v>
      </c>
      <c r="M1190" s="3">
        <v>78</v>
      </c>
      <c r="N1190" s="3">
        <v>159.99</v>
      </c>
      <c r="O1190" s="2" t="s">
        <v>212</v>
      </c>
      <c r="P1190" s="2" t="s">
        <v>285</v>
      </c>
      <c r="Q1190" s="2" t="s">
        <v>206</v>
      </c>
      <c r="R1190" s="2" t="s">
        <v>200</v>
      </c>
      <c r="S1190" s="2" t="s">
        <v>6679</v>
      </c>
      <c r="T1190" s="2" t="s">
        <v>312</v>
      </c>
      <c r="U1190" s="2" t="s">
        <v>454</v>
      </c>
      <c r="V1190" s="2" t="s">
        <v>3675</v>
      </c>
      <c r="W1190" s="2" t="s">
        <v>2826</v>
      </c>
      <c r="X1190" s="2" t="s">
        <v>200</v>
      </c>
      <c r="Y1190" s="2" t="s">
        <v>6680</v>
      </c>
      <c r="Z1190" s="4">
        <v>208</v>
      </c>
      <c r="AA1190" s="4">
        <f>=ROUNDDOWN(104,0)</f>
      </c>
      <c r="AB1190" s="5">
        <v>2</v>
      </c>
      <c r="AC1190" s="2" t="s">
        <v>200</v>
      </c>
      <c r="AD1190" s="4"/>
      <c r="AE1190" s="4"/>
      <c r="AF1190" s="6">
        <v>66</v>
      </c>
      <c r="AG1190" s="6"/>
      <c r="AH1190" s="7">
        <v>1</v>
      </c>
      <c r="AI1190" s="4"/>
      <c r="AJ1190" s="4">
        <f>=ROUNDDOWN({0},0)</f>
      </c>
      <c r="AK1190" s="5"/>
      <c r="AL1190" s="2" t="s">
        <v>200</v>
      </c>
      <c r="AM1190" s="4"/>
      <c r="AN1190" s="4"/>
      <c r="AO1190" s="7"/>
      <c r="AP1190" s="4"/>
      <c r="AQ1190" s="8"/>
      <c r="AR1190" s="4"/>
      <c r="AS1190" s="8"/>
      <c r="AT1190" s="7"/>
      <c r="AU1190" s="7"/>
      <c r="AV1190" s="4" t="s">
        <v>200</v>
      </c>
      <c r="AW1190" s="8" t="s">
        <v>200</v>
      </c>
      <c r="AX1190" s="4" t="s">
        <v>200</v>
      </c>
      <c r="AY1190" s="8" t="s">
        <v>200</v>
      </c>
      <c r="AZ1190" s="7" t="s">
        <v>200</v>
      </c>
      <c r="BA1190" s="7" t="s">
        <v>200</v>
      </c>
      <c r="BB1190" s="7" t="s">
        <v>200</v>
      </c>
      <c r="BC1190" s="4" t="s">
        <v>200</v>
      </c>
      <c r="BD1190" s="8" t="s">
        <v>200</v>
      </c>
      <c r="BE1190" s="4" t="s">
        <v>200</v>
      </c>
      <c r="BF1190" s="8" t="s">
        <v>200</v>
      </c>
      <c r="BG1190" s="7" t="s">
        <v>200</v>
      </c>
      <c r="BH1190" s="7" t="s">
        <v>200</v>
      </c>
      <c r="BI1190" s="7"/>
      <c r="BJ1190" s="4">
        <v>10</v>
      </c>
      <c r="BK1190" s="8">
        <v>880.77</v>
      </c>
      <c r="BL1190" s="2" t="s">
        <v>6683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6684</v>
      </c>
      <c r="BV1190" s="2" t="s">
        <v>200</v>
      </c>
      <c r="BW1190" s="2" t="s">
        <v>200</v>
      </c>
      <c r="BX1190" s="2" t="s">
        <v>289</v>
      </c>
      <c r="BY1190" s="2" t="s">
        <v>247</v>
      </c>
      <c r="BZ1190" s="2" t="s">
        <v>212</v>
      </c>
      <c r="CA1190" s="2" t="s">
        <v>5774</v>
      </c>
      <c r="CB1190" s="2" t="s">
        <v>2132</v>
      </c>
      <c r="CC1190" s="2" t="s">
        <v>213</v>
      </c>
      <c r="CD1190" s="2" t="s">
        <v>200</v>
      </c>
      <c r="CE1190" s="4">
        <v>208</v>
      </c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"/>
      <c r="DN1190" s="4"/>
      <c r="DO1190" s="4"/>
      <c r="DP1190" s="4"/>
      <c r="DQ1190" s="4"/>
      <c r="DR1190" s="4"/>
      <c r="DS1190" s="4"/>
      <c r="DT1190" s="4"/>
      <c r="DU1190" s="4"/>
      <c r="DV1190" s="4"/>
      <c r="DW1190" s="4"/>
      <c r="DX1190" s="4"/>
      <c r="DY1190" s="4"/>
      <c r="DZ1190" s="4"/>
      <c r="EA1190" s="4"/>
      <c r="EB1190" s="4"/>
      <c r="EC1190" s="4"/>
      <c r="ED1190" s="4"/>
      <c r="EE1190" s="4"/>
      <c r="EF1190" s="4"/>
      <c r="EG1190" s="4"/>
      <c r="EH1190" s="4"/>
      <c r="EI1190" s="4"/>
      <c r="EJ1190" s="4"/>
      <c r="EK1190" s="4"/>
      <c r="EL1190" s="4"/>
      <c r="EM1190" s="4"/>
      <c r="EN1190" s="4"/>
      <c r="EO1190" s="4"/>
      <c r="EP1190" s="4"/>
      <c r="EQ1190" s="4"/>
      <c r="ER1190" s="4"/>
      <c r="ES1190" s="4"/>
      <c r="ET1190" s="4"/>
      <c r="EU1190" s="4"/>
      <c r="EV1190" s="4"/>
      <c r="EW1190" s="4"/>
      <c r="EX1190" s="4"/>
      <c r="EY1190" s="4"/>
      <c r="EZ1190" s="4"/>
      <c r="FA1190" s="4"/>
      <c r="FB1190" s="4"/>
      <c r="FC1190" s="4"/>
      <c r="FD1190" s="4"/>
      <c r="FE1190" s="4"/>
      <c r="FF1190" s="4"/>
      <c r="FG1190" s="4"/>
      <c r="FH1190" s="4"/>
      <c r="FI1190" s="4"/>
      <c r="FJ1190" s="4"/>
      <c r="FK1190" s="4"/>
      <c r="FL1190" s="4"/>
      <c r="FM1190" s="4"/>
      <c r="FN1190" s="4"/>
      <c r="FO1190" s="4"/>
      <c r="FP1190" s="4"/>
      <c r="FQ1190" s="4"/>
      <c r="FR1190" s="4"/>
      <c r="FS1190" s="4"/>
      <c r="FT1190" s="4"/>
      <c r="FU1190" s="4"/>
      <c r="FV1190" s="4"/>
      <c r="FW1190" s="4"/>
      <c r="FX1190" s="4"/>
      <c r="FY1190" s="4"/>
      <c r="FZ1190" s="4"/>
      <c r="GA1190" s="4"/>
      <c r="GB1190" s="4"/>
      <c r="GC1190" s="4"/>
      <c r="GD1190" s="4"/>
      <c r="GE1190" s="4"/>
      <c r="GF1190" s="4"/>
      <c r="GG1190" s="4"/>
      <c r="GH1190" s="4"/>
    </row>
    <row r="1191">
      <c r="A1191" s="2" t="s">
        <v>6685</v>
      </c>
      <c r="B1191" s="2" t="s">
        <v>903</v>
      </c>
      <c r="C1191" s="2" t="s">
        <v>745</v>
      </c>
      <c r="D1191" s="2" t="s">
        <v>918</v>
      </c>
      <c r="E1191" s="2" t="s">
        <v>919</v>
      </c>
      <c r="F1191" s="2" t="s">
        <v>2771</v>
      </c>
      <c r="G1191" s="2" t="s">
        <v>2771</v>
      </c>
      <c r="H1191" s="2" t="s">
        <v>2771</v>
      </c>
      <c r="I1191" s="2" t="s">
        <v>6686</v>
      </c>
      <c r="J1191" s="2" t="s">
        <v>924</v>
      </c>
      <c r="K1191" s="2" t="s">
        <v>1481</v>
      </c>
      <c r="L1191" s="3">
        <v>65.55</v>
      </c>
      <c r="M1191" s="3">
        <v>68.83</v>
      </c>
      <c r="N1191" s="3">
        <v>139.99</v>
      </c>
      <c r="O1191" s="2" t="s">
        <v>460</v>
      </c>
      <c r="P1191" s="2" t="s">
        <v>285</v>
      </c>
      <c r="Q1191" s="2" t="s">
        <v>206</v>
      </c>
      <c r="R1191" s="2" t="s">
        <v>200</v>
      </c>
      <c r="S1191" s="2" t="s">
        <v>6679</v>
      </c>
      <c r="T1191" s="2" t="s">
        <v>312</v>
      </c>
      <c r="U1191" s="2" t="s">
        <v>454</v>
      </c>
      <c r="V1191" s="2" t="s">
        <v>3675</v>
      </c>
      <c r="W1191" s="2" t="s">
        <v>1975</v>
      </c>
      <c r="X1191" s="2" t="s">
        <v>1399</v>
      </c>
      <c r="Y1191" s="2" t="s">
        <v>6680</v>
      </c>
      <c r="Z1191" s="4">
        <v>142</v>
      </c>
      <c r="AA1191" s="4">
        <f>=ROUNDDOWN(142,0)</f>
      </c>
      <c r="AB1191" s="5">
        <v>1</v>
      </c>
      <c r="AC1191" s="2" t="s">
        <v>200</v>
      </c>
      <c r="AD1191" s="4"/>
      <c r="AE1191" s="4"/>
      <c r="AF1191" s="6">
        <v>66</v>
      </c>
      <c r="AG1191" s="6"/>
      <c r="AH1191" s="7">
        <v>1</v>
      </c>
      <c r="AI1191" s="4"/>
      <c r="AJ1191" s="4">
        <f>=ROUNDDOWN({0},0)</f>
      </c>
      <c r="AK1191" s="5"/>
      <c r="AL1191" s="2" t="s">
        <v>200</v>
      </c>
      <c r="AM1191" s="4"/>
      <c r="AN1191" s="4"/>
      <c r="AO1191" s="7"/>
      <c r="AP1191" s="4"/>
      <c r="AQ1191" s="8"/>
      <c r="AR1191" s="4"/>
      <c r="AS1191" s="8"/>
      <c r="AT1191" s="7"/>
      <c r="AU1191" s="7"/>
      <c r="AV1191" s="4" t="s">
        <v>200</v>
      </c>
      <c r="AW1191" s="8" t="s">
        <v>200</v>
      </c>
      <c r="AX1191" s="4" t="s">
        <v>200</v>
      </c>
      <c r="AY1191" s="8" t="s">
        <v>200</v>
      </c>
      <c r="AZ1191" s="7" t="s">
        <v>200</v>
      </c>
      <c r="BA1191" s="7" t="s">
        <v>200</v>
      </c>
      <c r="BB1191" s="7" t="s">
        <v>200</v>
      </c>
      <c r="BC1191" s="4" t="s">
        <v>200</v>
      </c>
      <c r="BD1191" s="8" t="s">
        <v>200</v>
      </c>
      <c r="BE1191" s="4" t="s">
        <v>200</v>
      </c>
      <c r="BF1191" s="8" t="s">
        <v>200</v>
      </c>
      <c r="BG1191" s="7" t="s">
        <v>200</v>
      </c>
      <c r="BH1191" s="7" t="s">
        <v>200</v>
      </c>
      <c r="BI1191" s="7"/>
      <c r="BJ1191" s="4">
        <v>6</v>
      </c>
      <c r="BK1191" s="8">
        <v>266.23</v>
      </c>
      <c r="BL1191" s="2" t="s">
        <v>941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6687</v>
      </c>
      <c r="BV1191" s="2" t="s">
        <v>200</v>
      </c>
      <c r="BW1191" s="2" t="s">
        <v>200</v>
      </c>
      <c r="BX1191" s="2" t="s">
        <v>289</v>
      </c>
      <c r="BY1191" s="2" t="s">
        <v>247</v>
      </c>
      <c r="BZ1191" s="2" t="s">
        <v>212</v>
      </c>
      <c r="CA1191" s="2" t="s">
        <v>5225</v>
      </c>
      <c r="CB1191" s="2" t="s">
        <v>372</v>
      </c>
      <c r="CC1191" s="2" t="s">
        <v>213</v>
      </c>
      <c r="CD1191" s="2" t="s">
        <v>200</v>
      </c>
      <c r="CE1191" s="4">
        <v>142</v>
      </c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  <c r="DE1191" s="4"/>
      <c r="DF1191" s="4"/>
      <c r="DG1191" s="4"/>
      <c r="DH1191" s="4"/>
      <c r="DI1191" s="4"/>
      <c r="DJ1191" s="4"/>
      <c r="DK1191" s="4"/>
      <c r="DL1191" s="4"/>
      <c r="DM1191" s="4"/>
      <c r="DN1191" s="4"/>
      <c r="DO1191" s="4"/>
      <c r="DP1191" s="4"/>
      <c r="DQ1191" s="4"/>
      <c r="DR1191" s="4"/>
      <c r="DS1191" s="4"/>
      <c r="DT1191" s="4"/>
      <c r="DU1191" s="4"/>
      <c r="DV1191" s="4"/>
      <c r="DW1191" s="4"/>
      <c r="DX1191" s="4"/>
      <c r="DY1191" s="4"/>
      <c r="DZ1191" s="4"/>
      <c r="EA1191" s="4"/>
      <c r="EB1191" s="4"/>
      <c r="EC1191" s="4"/>
      <c r="ED1191" s="4"/>
      <c r="EE1191" s="4"/>
      <c r="EF1191" s="4"/>
      <c r="EG1191" s="4"/>
      <c r="EH1191" s="4"/>
      <c r="EI1191" s="4"/>
      <c r="EJ1191" s="4"/>
      <c r="EK1191" s="4"/>
      <c r="EL1191" s="4"/>
      <c r="EM1191" s="4"/>
      <c r="EN1191" s="4"/>
      <c r="EO1191" s="4"/>
      <c r="EP1191" s="4"/>
      <c r="EQ1191" s="4"/>
      <c r="ER1191" s="4"/>
      <c r="ES1191" s="4"/>
      <c r="ET1191" s="4"/>
      <c r="EU1191" s="4"/>
      <c r="EV1191" s="4"/>
      <c r="EW1191" s="4"/>
      <c r="EX1191" s="4"/>
      <c r="EY1191" s="4"/>
      <c r="EZ1191" s="4"/>
      <c r="FA1191" s="4"/>
      <c r="FB1191" s="4"/>
      <c r="FC1191" s="4"/>
      <c r="FD1191" s="4"/>
      <c r="FE1191" s="4"/>
      <c r="FF1191" s="4"/>
      <c r="FG1191" s="4"/>
      <c r="FH1191" s="4"/>
      <c r="FI1191" s="4"/>
      <c r="FJ1191" s="4"/>
      <c r="FK1191" s="4"/>
      <c r="FL1191" s="4"/>
      <c r="FM1191" s="4"/>
      <c r="FN1191" s="4"/>
      <c r="FO1191" s="4"/>
      <c r="FP1191" s="4"/>
      <c r="FQ1191" s="4"/>
      <c r="FR1191" s="4"/>
      <c r="FS1191" s="4"/>
      <c r="FT1191" s="4"/>
      <c r="FU1191" s="4"/>
      <c r="FV1191" s="4"/>
      <c r="FW1191" s="4"/>
      <c r="FX1191" s="4"/>
      <c r="FY1191" s="4"/>
      <c r="FZ1191" s="4"/>
      <c r="GA1191" s="4"/>
      <c r="GB1191" s="4"/>
      <c r="GC1191" s="4"/>
      <c r="GD1191" s="4"/>
      <c r="GE1191" s="4"/>
      <c r="GF1191" s="4"/>
      <c r="GG1191" s="4"/>
      <c r="GH1191" s="4"/>
    </row>
    <row r="1192">
      <c r="A1192" s="2" t="s">
        <v>6688</v>
      </c>
      <c r="B1192" s="2" t="s">
        <v>932</v>
      </c>
      <c r="C1192" s="2" t="s">
        <v>877</v>
      </c>
      <c r="D1192" s="2" t="s">
        <v>608</v>
      </c>
      <c r="E1192" s="2" t="s">
        <v>609</v>
      </c>
      <c r="F1192" s="2" t="s">
        <v>2079</v>
      </c>
      <c r="G1192" s="2" t="s">
        <v>6689</v>
      </c>
      <c r="H1192" s="2" t="s">
        <v>4975</v>
      </c>
      <c r="I1192" s="2" t="s">
        <v>6690</v>
      </c>
      <c r="J1192" s="2" t="s">
        <v>1390</v>
      </c>
      <c r="K1192" s="2" t="s">
        <v>3793</v>
      </c>
      <c r="L1192" s="3">
        <v>23.8</v>
      </c>
      <c r="M1192" s="3">
        <v>24.99</v>
      </c>
      <c r="N1192" s="3">
        <v>49.99</v>
      </c>
      <c r="O1192" s="2" t="s">
        <v>212</v>
      </c>
      <c r="P1192" s="2" t="s">
        <v>258</v>
      </c>
      <c r="Q1192" s="2" t="s">
        <v>206</v>
      </c>
      <c r="R1192" s="2" t="s">
        <v>200</v>
      </c>
      <c r="S1192" s="2" t="s">
        <v>6691</v>
      </c>
      <c r="T1192" s="2" t="s">
        <v>378</v>
      </c>
      <c r="U1192" s="2" t="s">
        <v>240</v>
      </c>
      <c r="V1192" s="2" t="s">
        <v>885</v>
      </c>
      <c r="W1192" s="2" t="s">
        <v>379</v>
      </c>
      <c r="X1192" s="2" t="s">
        <v>200</v>
      </c>
      <c r="Y1192" s="2" t="s">
        <v>1368</v>
      </c>
      <c r="Z1192" s="4">
        <v>276</v>
      </c>
      <c r="AA1192" s="4">
        <f>=ROUNDDOWN(46,0)</f>
      </c>
      <c r="AB1192" s="5">
        <v>6</v>
      </c>
      <c r="AC1192" s="2" t="s">
        <v>200</v>
      </c>
      <c r="AD1192" s="4"/>
      <c r="AE1192" s="4"/>
      <c r="AF1192" s="6">
        <v>64</v>
      </c>
      <c r="AG1192" s="6"/>
      <c r="AH1192" s="7">
        <v>0.3333</v>
      </c>
      <c r="AI1192" s="4"/>
      <c r="AJ1192" s="4">
        <f>=ROUNDDOWN({0},0)</f>
      </c>
      <c r="AK1192" s="5"/>
      <c r="AL1192" s="2" t="s">
        <v>200</v>
      </c>
      <c r="AM1192" s="4"/>
      <c r="AN1192" s="4"/>
      <c r="AO1192" s="7"/>
      <c r="AP1192" s="4"/>
      <c r="AQ1192" s="8"/>
      <c r="AR1192" s="4"/>
      <c r="AS1192" s="8"/>
      <c r="AT1192" s="7"/>
      <c r="AU1192" s="7"/>
      <c r="AV1192" s="4"/>
      <c r="AW1192" s="8"/>
      <c r="AX1192" s="4"/>
      <c r="AY1192" s="8"/>
      <c r="AZ1192" s="7"/>
      <c r="BA1192" s="7"/>
      <c r="BB1192" s="7"/>
      <c r="BC1192" s="4"/>
      <c r="BD1192" s="8"/>
      <c r="BE1192" s="4"/>
      <c r="BF1192" s="8"/>
      <c r="BG1192" s="7"/>
      <c r="BH1192" s="7"/>
      <c r="BI1192" s="7"/>
      <c r="BJ1192" s="4">
        <v>16</v>
      </c>
      <c r="BK1192" s="8">
        <v>422.97</v>
      </c>
      <c r="BL1192" s="2" t="s">
        <v>370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6692</v>
      </c>
      <c r="BV1192" s="2" t="s">
        <v>200</v>
      </c>
      <c r="BW1192" s="2" t="s">
        <v>200</v>
      </c>
      <c r="BX1192" s="2" t="s">
        <v>264</v>
      </c>
      <c r="BY1192" s="2" t="s">
        <v>247</v>
      </c>
      <c r="BZ1192" s="2" t="s">
        <v>212</v>
      </c>
      <c r="CA1192" s="2" t="s">
        <v>1995</v>
      </c>
      <c r="CB1192" s="2" t="s">
        <v>2522</v>
      </c>
      <c r="CC1192" s="2" t="s">
        <v>213</v>
      </c>
      <c r="CD1192" s="2" t="s">
        <v>200</v>
      </c>
      <c r="CE1192" s="4">
        <v>276</v>
      </c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  <c r="DP1192" s="4"/>
      <c r="DQ1192" s="4"/>
      <c r="DR1192" s="4"/>
      <c r="DS1192" s="4"/>
      <c r="DT1192" s="4"/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/>
      <c r="EG1192" s="4"/>
      <c r="EH1192" s="4"/>
      <c r="EI1192" s="4"/>
      <c r="EJ1192" s="4"/>
      <c r="EK1192" s="4"/>
      <c r="EL1192" s="4"/>
      <c r="EM1192" s="4"/>
      <c r="EN1192" s="4"/>
      <c r="EO1192" s="4"/>
      <c r="EP1192" s="4"/>
      <c r="EQ1192" s="4"/>
      <c r="ER1192" s="4"/>
      <c r="ES1192" s="4"/>
      <c r="ET1192" s="4"/>
      <c r="EU1192" s="4"/>
      <c r="EV1192" s="4"/>
      <c r="EW1192" s="4"/>
      <c r="EX1192" s="4"/>
      <c r="EY1192" s="4"/>
      <c r="EZ1192" s="4"/>
      <c r="FA1192" s="4"/>
      <c r="FB1192" s="4"/>
      <c r="FC1192" s="4"/>
      <c r="FD1192" s="4"/>
      <c r="FE1192" s="4"/>
      <c r="FF1192" s="4"/>
      <c r="FG1192" s="4"/>
      <c r="FH1192" s="4"/>
      <c r="FI1192" s="4"/>
      <c r="FJ1192" s="4"/>
      <c r="FK1192" s="4"/>
      <c r="FL1192" s="4"/>
      <c r="FM1192" s="4"/>
      <c r="FN1192" s="4"/>
      <c r="FO1192" s="4"/>
      <c r="FP1192" s="4"/>
      <c r="FQ1192" s="4"/>
      <c r="FR1192" s="4"/>
      <c r="FS1192" s="4"/>
      <c r="FT1192" s="4"/>
      <c r="FU1192" s="4"/>
      <c r="FV1192" s="4"/>
      <c r="FW1192" s="4"/>
      <c r="FX1192" s="4"/>
      <c r="FY1192" s="4"/>
      <c r="FZ1192" s="4"/>
      <c r="GA1192" s="4"/>
      <c r="GB1192" s="4"/>
      <c r="GC1192" s="4"/>
      <c r="GD1192" s="4"/>
      <c r="GE1192" s="4"/>
      <c r="GF1192" s="4"/>
      <c r="GG1192" s="4"/>
      <c r="GH1192" s="4"/>
    </row>
    <row r="1193">
      <c r="A1193" s="2" t="s">
        <v>6693</v>
      </c>
      <c r="B1193" s="2" t="s">
        <v>705</v>
      </c>
      <c r="C1193" s="2" t="s">
        <v>745</v>
      </c>
      <c r="D1193" s="2" t="s">
        <v>6694</v>
      </c>
      <c r="E1193" s="2" t="s">
        <v>6695</v>
      </c>
      <c r="F1193" s="2" t="s">
        <v>6696</v>
      </c>
      <c r="G1193" s="2" t="s">
        <v>6696</v>
      </c>
      <c r="H1193" s="2" t="s">
        <v>6696</v>
      </c>
      <c r="I1193" s="2" t="s">
        <v>6697</v>
      </c>
      <c r="J1193" s="2" t="s">
        <v>711</v>
      </c>
      <c r="K1193" s="2" t="s">
        <v>1135</v>
      </c>
      <c r="L1193" s="3">
        <v>68.4</v>
      </c>
      <c r="M1193" s="3">
        <v>71.82</v>
      </c>
      <c r="N1193" s="3">
        <v>149.99</v>
      </c>
      <c r="O1193" s="2" t="s">
        <v>212</v>
      </c>
      <c r="P1193" s="2" t="s">
        <v>258</v>
      </c>
      <c r="Q1193" s="2" t="s">
        <v>206</v>
      </c>
      <c r="R1193" s="2" t="s">
        <v>200</v>
      </c>
      <c r="S1193" s="2" t="s">
        <v>200</v>
      </c>
      <c r="T1193" s="2" t="s">
        <v>200</v>
      </c>
      <c r="U1193" s="2" t="s">
        <v>270</v>
      </c>
      <c r="V1193" s="2" t="s">
        <v>616</v>
      </c>
      <c r="W1193" s="2" t="s">
        <v>313</v>
      </c>
      <c r="X1193" s="2" t="s">
        <v>241</v>
      </c>
      <c r="Y1193" s="2" t="s">
        <v>1028</v>
      </c>
      <c r="Z1193" s="4">
        <v>147</v>
      </c>
      <c r="AA1193" s="4">
        <f>=ROUNDDOWN(26.25,0)</f>
      </c>
      <c r="AB1193" s="5">
        <v>5.6</v>
      </c>
      <c r="AC1193" s="2" t="s">
        <v>6698</v>
      </c>
      <c r="AD1193" s="4">
        <v>100</v>
      </c>
      <c r="AE1193" s="4">
        <v>100</v>
      </c>
      <c r="AF1193" s="6">
        <v>63</v>
      </c>
      <c r="AG1193" s="6"/>
      <c r="AH1193" s="7">
        <v>1</v>
      </c>
      <c r="AI1193" s="4"/>
      <c r="AJ1193" s="4">
        <f>=ROUNDDOWN({0},0)</f>
      </c>
      <c r="AK1193" s="5"/>
      <c r="AL1193" s="2" t="s">
        <v>200</v>
      </c>
      <c r="AM1193" s="4"/>
      <c r="AN1193" s="4"/>
      <c r="AO1193" s="7"/>
      <c r="AP1193" s="4"/>
      <c r="AQ1193" s="8"/>
      <c r="AR1193" s="4"/>
      <c r="AS1193" s="8"/>
      <c r="AT1193" s="7"/>
      <c r="AU1193" s="7"/>
      <c r="AV1193" s="4"/>
      <c r="AW1193" s="8"/>
      <c r="AX1193" s="4"/>
      <c r="AY1193" s="8"/>
      <c r="AZ1193" s="7"/>
      <c r="BA1193" s="7"/>
      <c r="BB1193" s="7"/>
      <c r="BC1193" s="4"/>
      <c r="BD1193" s="8"/>
      <c r="BE1193" s="4"/>
      <c r="BF1193" s="8"/>
      <c r="BG1193" s="7"/>
      <c r="BH1193" s="7"/>
      <c r="BI1193" s="7"/>
      <c r="BJ1193" s="4">
        <v>18</v>
      </c>
      <c r="BK1193" s="8">
        <v>1190.16</v>
      </c>
      <c r="BL1193" s="2" t="s">
        <v>303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6699</v>
      </c>
      <c r="BV1193" s="2" t="s">
        <v>200</v>
      </c>
      <c r="BW1193" s="2" t="s">
        <v>200</v>
      </c>
      <c r="BX1193" s="2" t="s">
        <v>264</v>
      </c>
      <c r="BY1193" s="2" t="s">
        <v>247</v>
      </c>
      <c r="BZ1193" s="2" t="s">
        <v>212</v>
      </c>
      <c r="CA1193" s="2" t="s">
        <v>1031</v>
      </c>
      <c r="CB1193" s="2" t="s">
        <v>6700</v>
      </c>
      <c r="CC1193" s="2" t="s">
        <v>213</v>
      </c>
      <c r="CD1193" s="2" t="s">
        <v>200</v>
      </c>
      <c r="CE1193" s="4"/>
      <c r="CF1193" s="4">
        <v>147</v>
      </c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  <c r="DE1193" s="4"/>
      <c r="DF1193" s="4"/>
      <c r="DG1193" s="4"/>
      <c r="DH1193" s="4"/>
      <c r="DI1193" s="4"/>
      <c r="DJ1193" s="4"/>
      <c r="DK1193" s="4"/>
      <c r="DL1193" s="4"/>
      <c r="DM1193" s="4"/>
      <c r="DN1193" s="4"/>
      <c r="DO1193" s="4"/>
      <c r="DP1193" s="4"/>
      <c r="DQ1193" s="4"/>
      <c r="DR1193" s="4"/>
      <c r="DS1193" s="4"/>
      <c r="DT1193" s="4"/>
      <c r="DU1193" s="4"/>
      <c r="DV1193" s="4"/>
      <c r="DW1193" s="4"/>
      <c r="DX1193" s="4"/>
      <c r="DY1193" s="4"/>
      <c r="DZ1193" s="4"/>
      <c r="EA1193" s="4"/>
      <c r="EB1193" s="4"/>
      <c r="EC1193" s="4"/>
      <c r="ED1193" s="4">
        <v>100</v>
      </c>
      <c r="EE1193" s="4"/>
      <c r="EF1193" s="4"/>
      <c r="EG1193" s="4"/>
      <c r="EH1193" s="4"/>
      <c r="EI1193" s="4"/>
      <c r="EJ1193" s="4"/>
      <c r="EK1193" s="4"/>
      <c r="EL1193" s="4"/>
      <c r="EM1193" s="4"/>
      <c r="EN1193" s="4"/>
      <c r="EO1193" s="4"/>
      <c r="EP1193" s="4"/>
      <c r="EQ1193" s="4"/>
      <c r="ER1193" s="4"/>
      <c r="ES1193" s="4"/>
      <c r="ET1193" s="4"/>
      <c r="EU1193" s="4"/>
      <c r="EV1193" s="4"/>
      <c r="EW1193" s="4"/>
      <c r="EX1193" s="4"/>
      <c r="EY1193" s="4"/>
      <c r="EZ1193" s="4"/>
      <c r="FA1193" s="4"/>
      <c r="FB1193" s="4"/>
      <c r="FC1193" s="4"/>
      <c r="FD1193" s="4"/>
      <c r="FE1193" s="4"/>
      <c r="FF1193" s="4"/>
      <c r="FG1193" s="4"/>
      <c r="FH1193" s="4"/>
      <c r="FI1193" s="4"/>
      <c r="FJ1193" s="4"/>
      <c r="FK1193" s="4"/>
      <c r="FL1193" s="4"/>
      <c r="FM1193" s="4"/>
      <c r="FN1193" s="4"/>
      <c r="FO1193" s="4"/>
      <c r="FP1193" s="4"/>
      <c r="FQ1193" s="4"/>
      <c r="FR1193" s="4"/>
      <c r="FS1193" s="4"/>
      <c r="FT1193" s="4"/>
      <c r="FU1193" s="4"/>
      <c r="FV1193" s="4"/>
      <c r="FW1193" s="4"/>
      <c r="FX1193" s="4"/>
      <c r="FY1193" s="4"/>
      <c r="FZ1193" s="4"/>
      <c r="GA1193" s="4"/>
      <c r="GB1193" s="4"/>
      <c r="GC1193" s="4"/>
      <c r="GD1193" s="4"/>
      <c r="GE1193" s="4"/>
      <c r="GF1193" s="4"/>
      <c r="GG1193" s="4"/>
      <c r="GH1193" s="4"/>
    </row>
    <row r="1194">
      <c r="A1194" s="2" t="s">
        <v>6701</v>
      </c>
      <c r="B1194" s="2" t="s">
        <v>744</v>
      </c>
      <c r="C1194" s="2" t="s">
        <v>231</v>
      </c>
      <c r="D1194" s="2" t="s">
        <v>2677</v>
      </c>
      <c r="E1194" s="2" t="s">
        <v>2678</v>
      </c>
      <c r="F1194" s="2" t="s">
        <v>6702</v>
      </c>
      <c r="G1194" s="2" t="s">
        <v>6703</v>
      </c>
      <c r="H1194" s="2" t="s">
        <v>6704</v>
      </c>
      <c r="I1194" s="2" t="s">
        <v>6705</v>
      </c>
      <c r="J1194" s="2" t="s">
        <v>711</v>
      </c>
      <c r="K1194" s="2" t="s">
        <v>6706</v>
      </c>
      <c r="L1194" s="3">
        <v>183.83</v>
      </c>
      <c r="M1194" s="3">
        <v>193.02</v>
      </c>
      <c r="N1194" s="3">
        <v>389</v>
      </c>
      <c r="O1194" s="2" t="s">
        <v>212</v>
      </c>
      <c r="P1194" s="2" t="s">
        <v>750</v>
      </c>
      <c r="Q1194" s="2" t="s">
        <v>206</v>
      </c>
      <c r="R1194" s="2" t="s">
        <v>200</v>
      </c>
      <c r="S1194" s="2" t="s">
        <v>6707</v>
      </c>
      <c r="T1194" s="2" t="s">
        <v>200</v>
      </c>
      <c r="U1194" s="2" t="s">
        <v>200</v>
      </c>
      <c r="V1194" s="2" t="s">
        <v>208</v>
      </c>
      <c r="W1194" s="2" t="s">
        <v>736</v>
      </c>
      <c r="X1194" s="2" t="s">
        <v>200</v>
      </c>
      <c r="Y1194" s="2" t="s">
        <v>6708</v>
      </c>
      <c r="Z1194" s="4">
        <v>62</v>
      </c>
      <c r="AA1194" s="4">
        <f>=ROUNDDOWN(31,0)</f>
      </c>
      <c r="AB1194" s="5">
        <v>2</v>
      </c>
      <c r="AC1194" s="2" t="s">
        <v>200</v>
      </c>
      <c r="AD1194" s="4"/>
      <c r="AE1194" s="4"/>
      <c r="AF1194" s="6">
        <v>69</v>
      </c>
      <c r="AG1194" s="6">
        <v>52</v>
      </c>
      <c r="AH1194" s="7">
        <v>1</v>
      </c>
      <c r="AI1194" s="4"/>
      <c r="AJ1194" s="4">
        <f>=ROUNDDOWN({0},0)</f>
      </c>
      <c r="AK1194" s="5"/>
      <c r="AL1194" s="2" t="s">
        <v>200</v>
      </c>
      <c r="AM1194" s="4"/>
      <c r="AN1194" s="4"/>
      <c r="AO1194" s="7">
        <v>1</v>
      </c>
      <c r="AP1194" s="4"/>
      <c r="AQ1194" s="8"/>
      <c r="AR1194" s="4"/>
      <c r="AS1194" s="8"/>
      <c r="AT1194" s="7"/>
      <c r="AU1194" s="7"/>
      <c r="AV1194" s="4"/>
      <c r="AW1194" s="8"/>
      <c r="AX1194" s="4"/>
      <c r="AY1194" s="8"/>
      <c r="AZ1194" s="7"/>
      <c r="BA1194" s="7"/>
      <c r="BB1194" s="7"/>
      <c r="BC1194" s="4"/>
      <c r="BD1194" s="8"/>
      <c r="BE1194" s="4"/>
      <c r="BF1194" s="8"/>
      <c r="BG1194" s="7"/>
      <c r="BH1194" s="7"/>
      <c r="BI1194" s="7"/>
      <c r="BJ1194" s="4">
        <v>12</v>
      </c>
      <c r="BK1194" s="8">
        <v>2169.72</v>
      </c>
      <c r="BL1194" s="2" t="s">
        <v>6709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6710</v>
      </c>
      <c r="BV1194" s="2" t="s">
        <v>200</v>
      </c>
      <c r="BW1194" s="2" t="s">
        <v>200</v>
      </c>
      <c r="BX1194" s="2" t="s">
        <v>264</v>
      </c>
      <c r="BY1194" s="2" t="s">
        <v>247</v>
      </c>
      <c r="BZ1194" s="2" t="s">
        <v>212</v>
      </c>
      <c r="CA1194" s="2" t="s">
        <v>6711</v>
      </c>
      <c r="CB1194" s="2" t="s">
        <v>6712</v>
      </c>
      <c r="CC1194" s="2" t="s">
        <v>213</v>
      </c>
      <c r="CD1194" s="2" t="s">
        <v>200</v>
      </c>
      <c r="CE1194" s="4"/>
      <c r="CF1194" s="4">
        <v>62</v>
      </c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/>
      <c r="DZ1194" s="4"/>
      <c r="EA1194" s="4"/>
      <c r="EB1194" s="4"/>
      <c r="EC1194" s="4"/>
      <c r="ED1194" s="4"/>
      <c r="EE1194" s="4"/>
      <c r="EF1194" s="4"/>
      <c r="EG1194" s="4"/>
      <c r="EH1194" s="4"/>
      <c r="EI1194" s="4"/>
      <c r="EJ1194" s="4"/>
      <c r="EK1194" s="4"/>
      <c r="EL1194" s="4"/>
      <c r="EM1194" s="4"/>
      <c r="EN1194" s="4"/>
      <c r="EO1194" s="4"/>
      <c r="EP1194" s="4"/>
      <c r="EQ1194" s="4"/>
      <c r="ER1194" s="4"/>
      <c r="ES1194" s="4"/>
      <c r="ET1194" s="4"/>
      <c r="EU1194" s="4"/>
      <c r="EV1194" s="4"/>
      <c r="EW1194" s="4"/>
      <c r="EX1194" s="4"/>
      <c r="EY1194" s="4"/>
      <c r="EZ1194" s="4"/>
      <c r="FA1194" s="4"/>
      <c r="FB1194" s="4"/>
      <c r="FC1194" s="4"/>
      <c r="FD1194" s="4"/>
      <c r="FE1194" s="4"/>
      <c r="FF1194" s="4"/>
      <c r="FG1194" s="4"/>
      <c r="FH1194" s="4"/>
      <c r="FI1194" s="4"/>
      <c r="FJ1194" s="4"/>
      <c r="FK1194" s="4"/>
      <c r="FL1194" s="4"/>
      <c r="FM1194" s="4"/>
      <c r="FN1194" s="4"/>
      <c r="FO1194" s="4"/>
      <c r="FP1194" s="4"/>
      <c r="FQ1194" s="4"/>
      <c r="FR1194" s="4"/>
      <c r="FS1194" s="4"/>
      <c r="FT1194" s="4"/>
      <c r="FU1194" s="4"/>
      <c r="FV1194" s="4"/>
      <c r="FW1194" s="4"/>
      <c r="FX1194" s="4"/>
      <c r="FY1194" s="4"/>
      <c r="FZ1194" s="4"/>
      <c r="GA1194" s="4"/>
      <c r="GB1194" s="4"/>
      <c r="GC1194" s="4"/>
      <c r="GD1194" s="4"/>
      <c r="GE1194" s="4"/>
      <c r="GF1194" s="4"/>
      <c r="GG1194" s="4"/>
      <c r="GH1194" s="4"/>
    </row>
    <row r="1195">
      <c r="A1195" s="2" t="s">
        <v>6713</v>
      </c>
      <c r="B1195" s="2" t="s">
        <v>705</v>
      </c>
      <c r="C1195" s="2" t="s">
        <v>745</v>
      </c>
      <c r="D1195" s="2" t="s">
        <v>707</v>
      </c>
      <c r="E1195" s="2" t="s">
        <v>708</v>
      </c>
      <c r="F1195" s="2" t="s">
        <v>6714</v>
      </c>
      <c r="G1195" s="2" t="s">
        <v>6714</v>
      </c>
      <c r="H1195" s="2" t="s">
        <v>6714</v>
      </c>
      <c r="I1195" s="2" t="s">
        <v>897</v>
      </c>
      <c r="J1195" s="2" t="s">
        <v>711</v>
      </c>
      <c r="K1195" s="2" t="s">
        <v>2500</v>
      </c>
      <c r="L1195" s="3">
        <v>30.66</v>
      </c>
      <c r="M1195" s="3">
        <v>32.19</v>
      </c>
      <c r="N1195" s="3">
        <v>69.99</v>
      </c>
      <c r="O1195" s="2" t="s">
        <v>460</v>
      </c>
      <c r="P1195" s="2" t="s">
        <v>285</v>
      </c>
      <c r="Q1195" s="2" t="s">
        <v>206</v>
      </c>
      <c r="R1195" s="2" t="s">
        <v>200</v>
      </c>
      <c r="S1195" s="2" t="s">
        <v>200</v>
      </c>
      <c r="T1195" s="2" t="s">
        <v>200</v>
      </c>
      <c r="U1195" s="2" t="s">
        <v>270</v>
      </c>
      <c r="V1195" s="2" t="s">
        <v>616</v>
      </c>
      <c r="W1195" s="2" t="s">
        <v>379</v>
      </c>
      <c r="X1195" s="2" t="s">
        <v>200</v>
      </c>
      <c r="Y1195" s="2" t="s">
        <v>1774</v>
      </c>
      <c r="Z1195" s="4">
        <v>54</v>
      </c>
      <c r="AA1195" s="4">
        <f>=ROUNDDOWN(90,0)</f>
      </c>
      <c r="AB1195" s="5">
        <v>0.6</v>
      </c>
      <c r="AC1195" s="2" t="s">
        <v>200</v>
      </c>
      <c r="AD1195" s="4"/>
      <c r="AE1195" s="4"/>
      <c r="AF1195" s="6">
        <v>65</v>
      </c>
      <c r="AG1195" s="6"/>
      <c r="AH1195" s="7">
        <v>0.9</v>
      </c>
      <c r="AI1195" s="4"/>
      <c r="AJ1195" s="4">
        <f>=ROUNDDOWN({0},0)</f>
      </c>
      <c r="AK1195" s="5"/>
      <c r="AL1195" s="2" t="s">
        <v>200</v>
      </c>
      <c r="AM1195" s="4"/>
      <c r="AN1195" s="4"/>
      <c r="AO1195" s="7"/>
      <c r="AP1195" s="4"/>
      <c r="AQ1195" s="8"/>
      <c r="AR1195" s="4"/>
      <c r="AS1195" s="8"/>
      <c r="AT1195" s="7"/>
      <c r="AU1195" s="7"/>
      <c r="AV1195" s="4"/>
      <c r="AW1195" s="8"/>
      <c r="AX1195" s="4"/>
      <c r="AY1195" s="8"/>
      <c r="AZ1195" s="7"/>
      <c r="BA1195" s="7"/>
      <c r="BB1195" s="7"/>
      <c r="BC1195" s="4" t="s">
        <v>200</v>
      </c>
      <c r="BD1195" s="8" t="s">
        <v>200</v>
      </c>
      <c r="BE1195" s="4" t="s">
        <v>200</v>
      </c>
      <c r="BF1195" s="8" t="s">
        <v>200</v>
      </c>
      <c r="BG1195" s="7" t="s">
        <v>200</v>
      </c>
      <c r="BH1195" s="7" t="s">
        <v>200</v>
      </c>
      <c r="BI1195" s="7"/>
      <c r="BJ1195" s="4"/>
      <c r="BK1195" s="8"/>
      <c r="BL1195" s="2" t="s">
        <v>466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6715</v>
      </c>
      <c r="BV1195" s="2" t="s">
        <v>200</v>
      </c>
      <c r="BW1195" s="2" t="s">
        <v>200</v>
      </c>
      <c r="BX1195" s="2" t="s">
        <v>289</v>
      </c>
      <c r="BY1195" s="2" t="s">
        <v>247</v>
      </c>
      <c r="BZ1195" s="2" t="s">
        <v>212</v>
      </c>
      <c r="CA1195" s="2" t="s">
        <v>1958</v>
      </c>
      <c r="CB1195" s="2" t="s">
        <v>1349</v>
      </c>
      <c r="CC1195" s="2" t="s">
        <v>213</v>
      </c>
      <c r="CD1195" s="2" t="s">
        <v>200</v>
      </c>
      <c r="CE1195" s="4"/>
      <c r="CF1195" s="4">
        <v>54</v>
      </c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  <c r="DE1195" s="4"/>
      <c r="DF1195" s="4"/>
      <c r="DG1195" s="4"/>
      <c r="DH1195" s="4"/>
      <c r="DI1195" s="4"/>
      <c r="DJ1195" s="4"/>
      <c r="DK1195" s="4"/>
      <c r="DL1195" s="4"/>
      <c r="DM1195" s="4"/>
      <c r="DN1195" s="4"/>
      <c r="DO1195" s="4"/>
      <c r="DP1195" s="4"/>
      <c r="DQ1195" s="4"/>
      <c r="DR1195" s="4"/>
      <c r="DS1195" s="4"/>
      <c r="DT1195" s="4"/>
      <c r="DU1195" s="4"/>
      <c r="DV1195" s="4"/>
      <c r="DW1195" s="4"/>
      <c r="DX1195" s="4"/>
      <c r="DY1195" s="4"/>
      <c r="DZ1195" s="4"/>
      <c r="EA1195" s="4"/>
      <c r="EB1195" s="4"/>
      <c r="EC1195" s="4"/>
      <c r="ED1195" s="4"/>
      <c r="EE1195" s="4"/>
      <c r="EF1195" s="4"/>
      <c r="EG1195" s="4"/>
      <c r="EH1195" s="4"/>
      <c r="EI1195" s="4"/>
      <c r="EJ1195" s="4"/>
      <c r="EK1195" s="4"/>
      <c r="EL1195" s="4"/>
      <c r="EM1195" s="4"/>
      <c r="EN1195" s="4"/>
      <c r="EO1195" s="4"/>
      <c r="EP1195" s="4"/>
      <c r="EQ1195" s="4"/>
      <c r="ER1195" s="4"/>
      <c r="ES1195" s="4"/>
      <c r="ET1195" s="4"/>
      <c r="EU1195" s="4"/>
      <c r="EV1195" s="4"/>
      <c r="EW1195" s="4"/>
      <c r="EX1195" s="4"/>
      <c r="EY1195" s="4"/>
      <c r="EZ1195" s="4"/>
      <c r="FA1195" s="4"/>
      <c r="FB1195" s="4"/>
      <c r="FC1195" s="4"/>
      <c r="FD1195" s="4"/>
      <c r="FE1195" s="4"/>
      <c r="FF1195" s="4"/>
      <c r="FG1195" s="4"/>
      <c r="FH1195" s="4"/>
      <c r="FI1195" s="4"/>
      <c r="FJ1195" s="4"/>
      <c r="FK1195" s="4"/>
      <c r="FL1195" s="4"/>
      <c r="FM1195" s="4"/>
      <c r="FN1195" s="4"/>
      <c r="FO1195" s="4"/>
      <c r="FP1195" s="4"/>
      <c r="FQ1195" s="4"/>
      <c r="FR1195" s="4"/>
      <c r="FS1195" s="4"/>
      <c r="FT1195" s="4"/>
      <c r="FU1195" s="4"/>
      <c r="FV1195" s="4"/>
      <c r="FW1195" s="4"/>
      <c r="FX1195" s="4"/>
      <c r="FY1195" s="4"/>
      <c r="FZ1195" s="4"/>
      <c r="GA1195" s="4"/>
      <c r="GB1195" s="4"/>
      <c r="GC1195" s="4"/>
      <c r="GD1195" s="4"/>
      <c r="GE1195" s="4"/>
      <c r="GF1195" s="4"/>
      <c r="GG1195" s="4"/>
      <c r="GH1195" s="4"/>
    </row>
    <row r="1196">
      <c r="A1196" s="2" t="s">
        <v>6716</v>
      </c>
      <c r="B1196" s="2" t="s">
        <v>744</v>
      </c>
      <c r="C1196" s="2" t="s">
        <v>745</v>
      </c>
      <c r="D1196" s="2" t="s">
        <v>1806</v>
      </c>
      <c r="E1196" s="2" t="s">
        <v>1333</v>
      </c>
      <c r="F1196" s="2" t="s">
        <v>6714</v>
      </c>
      <c r="G1196" s="2" t="s">
        <v>200</v>
      </c>
      <c r="H1196" s="2" t="s">
        <v>200</v>
      </c>
      <c r="I1196" s="2" t="s">
        <v>6184</v>
      </c>
      <c r="J1196" s="2" t="s">
        <v>711</v>
      </c>
      <c r="K1196" s="2" t="s">
        <v>257</v>
      </c>
      <c r="L1196" s="3">
        <v>99.75</v>
      </c>
      <c r="M1196" s="3">
        <v>104.74</v>
      </c>
      <c r="N1196" s="3">
        <v>199.99</v>
      </c>
      <c r="O1196" s="2" t="s">
        <v>460</v>
      </c>
      <c r="P1196" s="2" t="s">
        <v>285</v>
      </c>
      <c r="Q1196" s="2" t="s">
        <v>206</v>
      </c>
      <c r="R1196" s="2" t="s">
        <v>200</v>
      </c>
      <c r="S1196" s="2" t="s">
        <v>6717</v>
      </c>
      <c r="T1196" s="2" t="s">
        <v>200</v>
      </c>
      <c r="U1196" s="2" t="s">
        <v>200</v>
      </c>
      <c r="V1196" s="2" t="s">
        <v>208</v>
      </c>
      <c r="W1196" s="2" t="s">
        <v>379</v>
      </c>
      <c r="X1196" s="2" t="s">
        <v>200</v>
      </c>
      <c r="Y1196" s="2" t="s">
        <v>261</v>
      </c>
      <c r="Z1196" s="4">
        <v>65</v>
      </c>
      <c r="AA1196" s="4">
        <f>=ROUNDDOWN(216.666666666667,0)</f>
      </c>
      <c r="AB1196" s="5">
        <v>0.3</v>
      </c>
      <c r="AC1196" s="2" t="s">
        <v>200</v>
      </c>
      <c r="AD1196" s="4"/>
      <c r="AE1196" s="4"/>
      <c r="AF1196" s="6">
        <v>65</v>
      </c>
      <c r="AG1196" s="6"/>
      <c r="AH1196" s="7">
        <v>1</v>
      </c>
      <c r="AI1196" s="4"/>
      <c r="AJ1196" s="4">
        <f>=ROUNDDOWN({0},0)</f>
      </c>
      <c r="AK1196" s="5"/>
      <c r="AL1196" s="2" t="s">
        <v>200</v>
      </c>
      <c r="AM1196" s="4"/>
      <c r="AN1196" s="4"/>
      <c r="AO1196" s="7"/>
      <c r="AP1196" s="4"/>
      <c r="AQ1196" s="8"/>
      <c r="AR1196" s="4"/>
      <c r="AS1196" s="8"/>
      <c r="AT1196" s="7"/>
      <c r="AU1196" s="7"/>
      <c r="AV1196" s="4"/>
      <c r="AW1196" s="8"/>
      <c r="AX1196" s="4"/>
      <c r="AY1196" s="8"/>
      <c r="AZ1196" s="7"/>
      <c r="BA1196" s="7"/>
      <c r="BB1196" s="7"/>
      <c r="BC1196" s="4" t="s">
        <v>200</v>
      </c>
      <c r="BD1196" s="8" t="s">
        <v>200</v>
      </c>
      <c r="BE1196" s="4" t="s">
        <v>200</v>
      </c>
      <c r="BF1196" s="8" t="s">
        <v>200</v>
      </c>
      <c r="BG1196" s="7" t="s">
        <v>200</v>
      </c>
      <c r="BH1196" s="7" t="s">
        <v>200</v>
      </c>
      <c r="BI1196" s="7"/>
      <c r="BJ1196" s="4">
        <v>2</v>
      </c>
      <c r="BK1196" s="8">
        <v>114.21</v>
      </c>
      <c r="BL1196" s="2" t="s">
        <v>791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6718</v>
      </c>
      <c r="BV1196" s="2" t="s">
        <v>200</v>
      </c>
      <c r="BW1196" s="2" t="s">
        <v>200</v>
      </c>
      <c r="BX1196" s="2" t="s">
        <v>289</v>
      </c>
      <c r="BY1196" s="2" t="s">
        <v>247</v>
      </c>
      <c r="BZ1196" s="2" t="s">
        <v>212</v>
      </c>
      <c r="CA1196" s="2" t="s">
        <v>2106</v>
      </c>
      <c r="CB1196" s="2" t="s">
        <v>280</v>
      </c>
      <c r="CC1196" s="2" t="s">
        <v>213</v>
      </c>
      <c r="CD1196" s="2" t="s">
        <v>200</v>
      </c>
      <c r="CE1196" s="4"/>
      <c r="CF1196" s="4">
        <v>65</v>
      </c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/>
      <c r="DO1196" s="4"/>
      <c r="DP1196" s="4"/>
      <c r="DQ1196" s="4"/>
      <c r="DR1196" s="4"/>
      <c r="DS1196" s="4"/>
      <c r="DT1196" s="4"/>
      <c r="DU1196" s="4"/>
      <c r="DV1196" s="4"/>
      <c r="DW1196" s="4"/>
      <c r="DX1196" s="4"/>
      <c r="DY1196" s="4"/>
      <c r="DZ1196" s="4"/>
      <c r="EA1196" s="4"/>
      <c r="EB1196" s="4"/>
      <c r="EC1196" s="4"/>
      <c r="ED1196" s="4"/>
      <c r="EE1196" s="4"/>
      <c r="EF1196" s="4"/>
      <c r="EG1196" s="4"/>
      <c r="EH1196" s="4"/>
      <c r="EI1196" s="4"/>
      <c r="EJ1196" s="4"/>
      <c r="EK1196" s="4"/>
      <c r="EL1196" s="4"/>
      <c r="EM1196" s="4"/>
      <c r="EN1196" s="4"/>
      <c r="EO1196" s="4"/>
      <c r="EP1196" s="4"/>
      <c r="EQ1196" s="4"/>
      <c r="ER1196" s="4"/>
      <c r="ES1196" s="4"/>
      <c r="ET1196" s="4"/>
      <c r="EU1196" s="4"/>
      <c r="EV1196" s="4"/>
      <c r="EW1196" s="4"/>
      <c r="EX1196" s="4"/>
      <c r="EY1196" s="4"/>
      <c r="EZ1196" s="4"/>
      <c r="FA1196" s="4"/>
      <c r="FB1196" s="4"/>
      <c r="FC1196" s="4"/>
      <c r="FD1196" s="4"/>
      <c r="FE1196" s="4"/>
      <c r="FF1196" s="4"/>
      <c r="FG1196" s="4"/>
      <c r="FH1196" s="4"/>
      <c r="FI1196" s="4"/>
      <c r="FJ1196" s="4"/>
      <c r="FK1196" s="4"/>
      <c r="FL1196" s="4"/>
      <c r="FM1196" s="4"/>
      <c r="FN1196" s="4"/>
      <c r="FO1196" s="4"/>
      <c r="FP1196" s="4"/>
      <c r="FQ1196" s="4"/>
      <c r="FR1196" s="4"/>
      <c r="FS1196" s="4"/>
      <c r="FT1196" s="4"/>
      <c r="FU1196" s="4"/>
      <c r="FV1196" s="4"/>
      <c r="FW1196" s="4"/>
      <c r="FX1196" s="4"/>
      <c r="FY1196" s="4"/>
      <c r="FZ1196" s="4"/>
      <c r="GA1196" s="4"/>
      <c r="GB1196" s="4"/>
      <c r="GC1196" s="4"/>
      <c r="GD1196" s="4"/>
      <c r="GE1196" s="4"/>
      <c r="GF1196" s="4"/>
      <c r="GG1196" s="4"/>
      <c r="GH1196" s="4"/>
    </row>
    <row r="1197">
      <c r="A1197" s="2" t="s">
        <v>6719</v>
      </c>
      <c r="B1197" s="2" t="s">
        <v>932</v>
      </c>
      <c r="C1197" s="2" t="s">
        <v>877</v>
      </c>
      <c r="D1197" s="2" t="s">
        <v>608</v>
      </c>
      <c r="E1197" s="2" t="s">
        <v>1324</v>
      </c>
      <c r="F1197" s="2" t="s">
        <v>6720</v>
      </c>
      <c r="G1197" s="2" t="s">
        <v>4760</v>
      </c>
      <c r="H1197" s="2" t="s">
        <v>6721</v>
      </c>
      <c r="I1197" s="2" t="s">
        <v>6722</v>
      </c>
      <c r="J1197" s="2" t="s">
        <v>1390</v>
      </c>
      <c r="K1197" s="2" t="s">
        <v>1214</v>
      </c>
      <c r="L1197" s="3">
        <v>33.33</v>
      </c>
      <c r="M1197" s="3">
        <v>35</v>
      </c>
      <c r="N1197" s="3">
        <v>69.99</v>
      </c>
      <c r="O1197" s="2" t="s">
        <v>212</v>
      </c>
      <c r="P1197" s="2" t="s">
        <v>205</v>
      </c>
      <c r="Q1197" s="2" t="s">
        <v>206</v>
      </c>
      <c r="R1197" s="2" t="s">
        <v>200</v>
      </c>
      <c r="S1197" s="2" t="s">
        <v>6723</v>
      </c>
      <c r="T1197" s="2" t="s">
        <v>2935</v>
      </c>
      <c r="U1197" s="2" t="s">
        <v>677</v>
      </c>
      <c r="V1197" s="2" t="s">
        <v>208</v>
      </c>
      <c r="W1197" s="2" t="s">
        <v>242</v>
      </c>
      <c r="X1197" s="2" t="s">
        <v>241</v>
      </c>
      <c r="Y1197" s="2" t="s">
        <v>4253</v>
      </c>
      <c r="Z1197" s="4">
        <v>74</v>
      </c>
      <c r="AA1197" s="4">
        <f>=ROUNDDOWN(18.5,0)</f>
      </c>
      <c r="AB1197" s="5">
        <v>4</v>
      </c>
      <c r="AC1197" s="2" t="s">
        <v>200</v>
      </c>
      <c r="AD1197" s="4"/>
      <c r="AE1197" s="4"/>
      <c r="AF1197" s="6">
        <v>66</v>
      </c>
      <c r="AG1197" s="6"/>
      <c r="AH1197" s="7">
        <v>1</v>
      </c>
      <c r="AI1197" s="4"/>
      <c r="AJ1197" s="4">
        <f>=ROUNDDOWN({0},0)</f>
      </c>
      <c r="AK1197" s="5"/>
      <c r="AL1197" s="2" t="s">
        <v>200</v>
      </c>
      <c r="AM1197" s="4"/>
      <c r="AN1197" s="4"/>
      <c r="AO1197" s="7"/>
      <c r="AP1197" s="4"/>
      <c r="AQ1197" s="8"/>
      <c r="AR1197" s="4"/>
      <c r="AS1197" s="8"/>
      <c r="AT1197" s="7"/>
      <c r="AU1197" s="7"/>
      <c r="AV1197" s="4" t="s">
        <v>200</v>
      </c>
      <c r="AW1197" s="8" t="s">
        <v>200</v>
      </c>
      <c r="AX1197" s="4" t="s">
        <v>200</v>
      </c>
      <c r="AY1197" s="8" t="s">
        <v>200</v>
      </c>
      <c r="AZ1197" s="7" t="s">
        <v>200</v>
      </c>
      <c r="BA1197" s="7" t="s">
        <v>200</v>
      </c>
      <c r="BB1197" s="7"/>
      <c r="BC1197" s="4" t="s">
        <v>200</v>
      </c>
      <c r="BD1197" s="8" t="s">
        <v>200</v>
      </c>
      <c r="BE1197" s="4" t="s">
        <v>200</v>
      </c>
      <c r="BF1197" s="8" t="s">
        <v>200</v>
      </c>
      <c r="BG1197" s="7" t="s">
        <v>200</v>
      </c>
      <c r="BH1197" s="7" t="s">
        <v>200</v>
      </c>
      <c r="BI1197" s="7"/>
      <c r="BJ1197" s="4">
        <v>16</v>
      </c>
      <c r="BK1197" s="8">
        <v>604.8</v>
      </c>
      <c r="BL1197" s="2" t="s">
        <v>319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6724</v>
      </c>
      <c r="BV1197" s="2" t="s">
        <v>200</v>
      </c>
      <c r="BW1197" s="2" t="s">
        <v>200</v>
      </c>
      <c r="BX1197" s="2" t="s">
        <v>264</v>
      </c>
      <c r="BY1197" s="2" t="s">
        <v>247</v>
      </c>
      <c r="BZ1197" s="2" t="s">
        <v>212</v>
      </c>
      <c r="CA1197" s="2" t="s">
        <v>2641</v>
      </c>
      <c r="CB1197" s="2" t="s">
        <v>1663</v>
      </c>
      <c r="CC1197" s="2" t="s">
        <v>213</v>
      </c>
      <c r="CD1197" s="2" t="s">
        <v>200</v>
      </c>
      <c r="CE1197" s="4">
        <v>74</v>
      </c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  <c r="DT1197" s="4"/>
      <c r="DU1197" s="4"/>
      <c r="DV1197" s="4"/>
      <c r="DW1197" s="4"/>
      <c r="DX1197" s="4"/>
      <c r="DY1197" s="4"/>
      <c r="DZ1197" s="4"/>
      <c r="EA1197" s="4"/>
      <c r="EB1197" s="4"/>
      <c r="EC1197" s="4"/>
      <c r="ED1197" s="4"/>
      <c r="EE1197" s="4"/>
      <c r="EF1197" s="4"/>
      <c r="EG1197" s="4"/>
      <c r="EH1197" s="4"/>
      <c r="EI1197" s="4"/>
      <c r="EJ1197" s="4"/>
      <c r="EK1197" s="4"/>
      <c r="EL1197" s="4"/>
      <c r="EM1197" s="4"/>
      <c r="EN1197" s="4"/>
      <c r="EO1197" s="4"/>
      <c r="EP1197" s="4"/>
      <c r="EQ1197" s="4"/>
      <c r="ER1197" s="4"/>
      <c r="ES1197" s="4"/>
      <c r="ET1197" s="4"/>
      <c r="EU1197" s="4"/>
      <c r="EV1197" s="4"/>
      <c r="EW1197" s="4"/>
      <c r="EX1197" s="4"/>
      <c r="EY1197" s="4"/>
      <c r="EZ1197" s="4"/>
      <c r="FA1197" s="4"/>
      <c r="FB1197" s="4"/>
      <c r="FC1197" s="4"/>
      <c r="FD1197" s="4"/>
      <c r="FE1197" s="4"/>
      <c r="FF1197" s="4"/>
      <c r="FG1197" s="4"/>
      <c r="FH1197" s="4"/>
      <c r="FI1197" s="4"/>
      <c r="FJ1197" s="4"/>
      <c r="FK1197" s="4"/>
      <c r="FL1197" s="4"/>
      <c r="FM1197" s="4"/>
      <c r="FN1197" s="4"/>
      <c r="FO1197" s="4"/>
      <c r="FP1197" s="4"/>
      <c r="FQ1197" s="4"/>
      <c r="FR1197" s="4"/>
      <c r="FS1197" s="4"/>
      <c r="FT1197" s="4"/>
      <c r="FU1197" s="4"/>
      <c r="FV1197" s="4"/>
      <c r="FW1197" s="4"/>
      <c r="FX1197" s="4"/>
      <c r="FY1197" s="4"/>
      <c r="FZ1197" s="4"/>
      <c r="GA1197" s="4"/>
      <c r="GB1197" s="4"/>
      <c r="GC1197" s="4"/>
      <c r="GD1197" s="4"/>
      <c r="GE1197" s="4"/>
      <c r="GF1197" s="4"/>
      <c r="GG1197" s="4"/>
      <c r="GH1197" s="4"/>
    </row>
    <row r="1198">
      <c r="A1198" s="2" t="s">
        <v>6725</v>
      </c>
      <c r="B1198" s="2" t="s">
        <v>932</v>
      </c>
      <c r="C1198" s="2" t="s">
        <v>877</v>
      </c>
      <c r="D1198" s="2" t="s">
        <v>608</v>
      </c>
      <c r="E1198" s="2" t="s">
        <v>1324</v>
      </c>
      <c r="F1198" s="2" t="s">
        <v>6720</v>
      </c>
      <c r="G1198" s="2" t="s">
        <v>4760</v>
      </c>
      <c r="H1198" s="2" t="s">
        <v>6721</v>
      </c>
      <c r="I1198" s="2" t="s">
        <v>6722</v>
      </c>
      <c r="J1198" s="2" t="s">
        <v>924</v>
      </c>
      <c r="K1198" s="2" t="s">
        <v>1214</v>
      </c>
      <c r="L1198" s="3">
        <v>47.61</v>
      </c>
      <c r="M1198" s="3">
        <v>49.99</v>
      </c>
      <c r="N1198" s="3">
        <v>99.99</v>
      </c>
      <c r="O1198" s="2" t="s">
        <v>212</v>
      </c>
      <c r="P1198" s="2" t="s">
        <v>205</v>
      </c>
      <c r="Q1198" s="2" t="s">
        <v>206</v>
      </c>
      <c r="R1198" s="2" t="s">
        <v>200</v>
      </c>
      <c r="S1198" s="2" t="s">
        <v>6723</v>
      </c>
      <c r="T1198" s="2" t="s">
        <v>2935</v>
      </c>
      <c r="U1198" s="2" t="s">
        <v>454</v>
      </c>
      <c r="V1198" s="2" t="s">
        <v>208</v>
      </c>
      <c r="W1198" s="2" t="s">
        <v>242</v>
      </c>
      <c r="X1198" s="2" t="s">
        <v>241</v>
      </c>
      <c r="Y1198" s="2" t="s">
        <v>4253</v>
      </c>
      <c r="Z1198" s="4">
        <v>188</v>
      </c>
      <c r="AA1198" s="4">
        <f>=ROUNDDOWN(37.6,0)</f>
      </c>
      <c r="AB1198" s="5">
        <v>5</v>
      </c>
      <c r="AC1198" s="2" t="s">
        <v>200</v>
      </c>
      <c r="AD1198" s="4"/>
      <c r="AE1198" s="4"/>
      <c r="AF1198" s="6">
        <v>66</v>
      </c>
      <c r="AG1198" s="6"/>
      <c r="AH1198" s="7">
        <v>1</v>
      </c>
      <c r="AI1198" s="4"/>
      <c r="AJ1198" s="4">
        <f>=ROUNDDOWN({0},0)</f>
      </c>
      <c r="AK1198" s="5"/>
      <c r="AL1198" s="2" t="s">
        <v>200</v>
      </c>
      <c r="AM1198" s="4"/>
      <c r="AN1198" s="4"/>
      <c r="AO1198" s="7"/>
      <c r="AP1198" s="4"/>
      <c r="AQ1198" s="8"/>
      <c r="AR1198" s="4"/>
      <c r="AS1198" s="8"/>
      <c r="AT1198" s="7"/>
      <c r="AU1198" s="7"/>
      <c r="AV1198" s="4" t="s">
        <v>200</v>
      </c>
      <c r="AW1198" s="8" t="s">
        <v>200</v>
      </c>
      <c r="AX1198" s="4" t="s">
        <v>200</v>
      </c>
      <c r="AY1198" s="8" t="s">
        <v>200</v>
      </c>
      <c r="AZ1198" s="7" t="s">
        <v>200</v>
      </c>
      <c r="BA1198" s="7" t="s">
        <v>200</v>
      </c>
      <c r="BB1198" s="7"/>
      <c r="BC1198" s="4" t="s">
        <v>200</v>
      </c>
      <c r="BD1198" s="8" t="s">
        <v>200</v>
      </c>
      <c r="BE1198" s="4" t="s">
        <v>200</v>
      </c>
      <c r="BF1198" s="8" t="s">
        <v>200</v>
      </c>
      <c r="BG1198" s="7" t="s">
        <v>200</v>
      </c>
      <c r="BH1198" s="7" t="s">
        <v>200</v>
      </c>
      <c r="BI1198" s="7"/>
      <c r="BJ1198" s="4">
        <v>32</v>
      </c>
      <c r="BK1198" s="8">
        <v>1730.72</v>
      </c>
      <c r="BL1198" s="2" t="s">
        <v>3355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6726</v>
      </c>
      <c r="BV1198" s="2" t="s">
        <v>200</v>
      </c>
      <c r="BW1198" s="2" t="s">
        <v>200</v>
      </c>
      <c r="BX1198" s="2" t="s">
        <v>264</v>
      </c>
      <c r="BY1198" s="2" t="s">
        <v>247</v>
      </c>
      <c r="BZ1198" s="2" t="s">
        <v>212</v>
      </c>
      <c r="CA1198" s="2" t="s">
        <v>2641</v>
      </c>
      <c r="CB1198" s="2" t="s">
        <v>1177</v>
      </c>
      <c r="CC1198" s="2" t="s">
        <v>213</v>
      </c>
      <c r="CD1198" s="2" t="s">
        <v>200</v>
      </c>
      <c r="CE1198" s="4">
        <v>188</v>
      </c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/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/>
      <c r="EG1198" s="4"/>
      <c r="EH1198" s="4"/>
      <c r="EI1198" s="4"/>
      <c r="EJ1198" s="4"/>
      <c r="EK1198" s="4"/>
      <c r="EL1198" s="4"/>
      <c r="EM1198" s="4"/>
      <c r="EN1198" s="4"/>
      <c r="EO1198" s="4"/>
      <c r="EP1198" s="4"/>
      <c r="EQ1198" s="4"/>
      <c r="ER1198" s="4"/>
      <c r="ES1198" s="4"/>
      <c r="ET1198" s="4"/>
      <c r="EU1198" s="4"/>
      <c r="EV1198" s="4"/>
      <c r="EW1198" s="4"/>
      <c r="EX1198" s="4"/>
      <c r="EY1198" s="4"/>
      <c r="EZ1198" s="4"/>
      <c r="FA1198" s="4"/>
      <c r="FB1198" s="4"/>
      <c r="FC1198" s="4"/>
      <c r="FD1198" s="4"/>
      <c r="FE1198" s="4"/>
      <c r="FF1198" s="4"/>
      <c r="FG1198" s="4"/>
      <c r="FH1198" s="4"/>
      <c r="FI1198" s="4"/>
      <c r="FJ1198" s="4"/>
      <c r="FK1198" s="4"/>
      <c r="FL1198" s="4"/>
      <c r="FM1198" s="4"/>
      <c r="FN1198" s="4"/>
      <c r="FO1198" s="4"/>
      <c r="FP1198" s="4"/>
      <c r="FQ1198" s="4"/>
      <c r="FR1198" s="4"/>
      <c r="FS1198" s="4"/>
      <c r="FT1198" s="4"/>
      <c r="FU1198" s="4"/>
      <c r="FV1198" s="4"/>
      <c r="FW1198" s="4"/>
      <c r="FX1198" s="4"/>
      <c r="FY1198" s="4"/>
      <c r="FZ1198" s="4"/>
      <c r="GA1198" s="4"/>
      <c r="GB1198" s="4"/>
      <c r="GC1198" s="4"/>
      <c r="GD1198" s="4"/>
      <c r="GE1198" s="4"/>
      <c r="GF1198" s="4"/>
      <c r="GG1198" s="4"/>
      <c r="GH1198" s="4"/>
    </row>
    <row r="1199">
      <c r="A1199" s="2" t="s">
        <v>6727</v>
      </c>
      <c r="B1199" s="2" t="s">
        <v>932</v>
      </c>
      <c r="C1199" s="2" t="s">
        <v>877</v>
      </c>
      <c r="D1199" s="2" t="s">
        <v>608</v>
      </c>
      <c r="E1199" s="2" t="s">
        <v>1324</v>
      </c>
      <c r="F1199" s="2" t="s">
        <v>6720</v>
      </c>
      <c r="G1199" s="2" t="s">
        <v>4760</v>
      </c>
      <c r="H1199" s="2" t="s">
        <v>6721</v>
      </c>
      <c r="I1199" s="2" t="s">
        <v>6722</v>
      </c>
      <c r="J1199" s="2" t="s">
        <v>924</v>
      </c>
      <c r="K1199" s="2" t="s">
        <v>1257</v>
      </c>
      <c r="L1199" s="3">
        <v>47.61</v>
      </c>
      <c r="M1199" s="3">
        <v>49.99</v>
      </c>
      <c r="N1199" s="3">
        <v>99.99</v>
      </c>
      <c r="O1199" s="2" t="s">
        <v>212</v>
      </c>
      <c r="P1199" s="2" t="s">
        <v>258</v>
      </c>
      <c r="Q1199" s="2" t="s">
        <v>206</v>
      </c>
      <c r="R1199" s="2" t="s">
        <v>200</v>
      </c>
      <c r="S1199" s="2" t="s">
        <v>6728</v>
      </c>
      <c r="T1199" s="2" t="s">
        <v>2935</v>
      </c>
      <c r="U1199" s="2" t="s">
        <v>454</v>
      </c>
      <c r="V1199" s="2" t="s">
        <v>208</v>
      </c>
      <c r="W1199" s="2" t="s">
        <v>242</v>
      </c>
      <c r="X1199" s="2" t="s">
        <v>241</v>
      </c>
      <c r="Y1199" s="2" t="s">
        <v>6729</v>
      </c>
      <c r="Z1199" s="4">
        <v>258</v>
      </c>
      <c r="AA1199" s="4">
        <f>=ROUNDDOWN(161.25,0)</f>
      </c>
      <c r="AB1199" s="5">
        <v>1.6</v>
      </c>
      <c r="AC1199" s="2" t="s">
        <v>200</v>
      </c>
      <c r="AD1199" s="4"/>
      <c r="AE1199" s="4"/>
      <c r="AF1199" s="6">
        <v>64</v>
      </c>
      <c r="AG1199" s="6"/>
      <c r="AH1199" s="7">
        <v>1</v>
      </c>
      <c r="AI1199" s="4"/>
      <c r="AJ1199" s="4">
        <f>=ROUNDDOWN({0},0)</f>
      </c>
      <c r="AK1199" s="5"/>
      <c r="AL1199" s="2" t="s">
        <v>200</v>
      </c>
      <c r="AM1199" s="4"/>
      <c r="AN1199" s="4"/>
      <c r="AO1199" s="7"/>
      <c r="AP1199" s="4"/>
      <c r="AQ1199" s="8"/>
      <c r="AR1199" s="4"/>
      <c r="AS1199" s="8"/>
      <c r="AT1199" s="7"/>
      <c r="AU1199" s="7"/>
      <c r="AV1199" s="4"/>
      <c r="AW1199" s="8"/>
      <c r="AX1199" s="4"/>
      <c r="AY1199" s="8"/>
      <c r="AZ1199" s="7"/>
      <c r="BA1199" s="7"/>
      <c r="BB1199" s="7"/>
      <c r="BC1199" s="4" t="s">
        <v>200</v>
      </c>
      <c r="BD1199" s="8" t="s">
        <v>200</v>
      </c>
      <c r="BE1199" s="4" t="s">
        <v>200</v>
      </c>
      <c r="BF1199" s="8" t="s">
        <v>200</v>
      </c>
      <c r="BG1199" s="7" t="s">
        <v>200</v>
      </c>
      <c r="BH1199" s="7" t="s">
        <v>200</v>
      </c>
      <c r="BI1199" s="7"/>
      <c r="BJ1199" s="4">
        <v>19</v>
      </c>
      <c r="BK1199" s="8">
        <v>1011.43</v>
      </c>
      <c r="BL1199" s="2" t="s">
        <v>6730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6731</v>
      </c>
      <c r="BV1199" s="2" t="s">
        <v>200</v>
      </c>
      <c r="BW1199" s="2" t="s">
        <v>200</v>
      </c>
      <c r="BX1199" s="2" t="s">
        <v>264</v>
      </c>
      <c r="BY1199" s="2" t="s">
        <v>247</v>
      </c>
      <c r="BZ1199" s="2" t="s">
        <v>212</v>
      </c>
      <c r="CA1199" s="2" t="s">
        <v>2632</v>
      </c>
      <c r="CB1199" s="2" t="s">
        <v>2185</v>
      </c>
      <c r="CC1199" s="2" t="s">
        <v>213</v>
      </c>
      <c r="CD1199" s="2" t="s">
        <v>200</v>
      </c>
      <c r="CE1199" s="4">
        <v>258</v>
      </c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E1199" s="4"/>
      <c r="DF1199" s="4"/>
      <c r="DG1199" s="4"/>
      <c r="DH1199" s="4"/>
      <c r="DI1199" s="4"/>
      <c r="DJ1199" s="4"/>
      <c r="DK1199" s="4"/>
      <c r="DL1199" s="4"/>
      <c r="DM1199" s="4"/>
      <c r="DN1199" s="4"/>
      <c r="DO1199" s="4"/>
      <c r="DP1199" s="4"/>
      <c r="DQ1199" s="4"/>
      <c r="DR1199" s="4"/>
      <c r="DS1199" s="4"/>
      <c r="DT1199" s="4"/>
      <c r="DU1199" s="4"/>
      <c r="DV1199" s="4"/>
      <c r="DW1199" s="4"/>
      <c r="DX1199" s="4"/>
      <c r="DY1199" s="4"/>
      <c r="DZ1199" s="4"/>
      <c r="EA1199" s="4"/>
      <c r="EB1199" s="4"/>
      <c r="EC1199" s="4"/>
      <c r="ED1199" s="4"/>
      <c r="EE1199" s="4"/>
      <c r="EF1199" s="4"/>
      <c r="EG1199" s="4"/>
      <c r="EH1199" s="4"/>
      <c r="EI1199" s="4"/>
      <c r="EJ1199" s="4"/>
      <c r="EK1199" s="4"/>
      <c r="EL1199" s="4"/>
      <c r="EM1199" s="4"/>
      <c r="EN1199" s="4"/>
      <c r="EO1199" s="4"/>
      <c r="EP1199" s="4"/>
      <c r="EQ1199" s="4"/>
      <c r="ER1199" s="4"/>
      <c r="ES1199" s="4"/>
      <c r="ET1199" s="4"/>
      <c r="EU1199" s="4"/>
      <c r="EV1199" s="4"/>
      <c r="EW1199" s="4"/>
      <c r="EX1199" s="4"/>
      <c r="EY1199" s="4"/>
      <c r="EZ1199" s="4"/>
      <c r="FA1199" s="4"/>
      <c r="FB1199" s="4"/>
      <c r="FC1199" s="4"/>
      <c r="FD1199" s="4"/>
      <c r="FE1199" s="4"/>
      <c r="FF1199" s="4"/>
      <c r="FG1199" s="4"/>
      <c r="FH1199" s="4"/>
      <c r="FI1199" s="4"/>
      <c r="FJ1199" s="4"/>
      <c r="FK1199" s="4"/>
      <c r="FL1199" s="4"/>
      <c r="FM1199" s="4"/>
      <c r="FN1199" s="4"/>
      <c r="FO1199" s="4"/>
      <c r="FP1199" s="4"/>
      <c r="FQ1199" s="4"/>
      <c r="FR1199" s="4"/>
      <c r="FS1199" s="4"/>
      <c r="FT1199" s="4"/>
      <c r="FU1199" s="4"/>
      <c r="FV1199" s="4"/>
      <c r="FW1199" s="4"/>
      <c r="FX1199" s="4"/>
      <c r="FY1199" s="4"/>
      <c r="FZ1199" s="4"/>
      <c r="GA1199" s="4"/>
      <c r="GB1199" s="4"/>
      <c r="GC1199" s="4"/>
      <c r="GD1199" s="4"/>
      <c r="GE1199" s="4"/>
      <c r="GF1199" s="4"/>
      <c r="GG1199" s="4"/>
      <c r="GH1199" s="4"/>
    </row>
    <row r="1200">
      <c r="A1200" s="2" t="s">
        <v>6732</v>
      </c>
      <c r="B1200" s="2" t="s">
        <v>932</v>
      </c>
      <c r="C1200" s="2" t="s">
        <v>877</v>
      </c>
      <c r="D1200" s="2" t="s">
        <v>608</v>
      </c>
      <c r="E1200" s="2" t="s">
        <v>1324</v>
      </c>
      <c r="F1200" s="2" t="s">
        <v>6720</v>
      </c>
      <c r="G1200" s="2" t="s">
        <v>4760</v>
      </c>
      <c r="H1200" s="2" t="s">
        <v>6721</v>
      </c>
      <c r="I1200" s="2" t="s">
        <v>6722</v>
      </c>
      <c r="J1200" s="2" t="s">
        <v>1390</v>
      </c>
      <c r="K1200" s="2" t="s">
        <v>1380</v>
      </c>
      <c r="L1200" s="3">
        <v>33.33</v>
      </c>
      <c r="M1200" s="3">
        <v>35</v>
      </c>
      <c r="N1200" s="3">
        <v>69.99</v>
      </c>
      <c r="O1200" s="2" t="s">
        <v>212</v>
      </c>
      <c r="P1200" s="2" t="s">
        <v>258</v>
      </c>
      <c r="Q1200" s="2" t="s">
        <v>206</v>
      </c>
      <c r="R1200" s="2" t="s">
        <v>200</v>
      </c>
      <c r="S1200" s="2" t="s">
        <v>6733</v>
      </c>
      <c r="T1200" s="2" t="s">
        <v>2935</v>
      </c>
      <c r="U1200" s="2" t="s">
        <v>677</v>
      </c>
      <c r="V1200" s="2" t="s">
        <v>208</v>
      </c>
      <c r="W1200" s="2" t="s">
        <v>242</v>
      </c>
      <c r="X1200" s="2" t="s">
        <v>241</v>
      </c>
      <c r="Y1200" s="2" t="s">
        <v>6729</v>
      </c>
      <c r="Z1200" s="4">
        <v>227</v>
      </c>
      <c r="AA1200" s="4">
        <f>=ROUNDDOWN(162.142857142857,0)</f>
      </c>
      <c r="AB1200" s="5">
        <v>1.4</v>
      </c>
      <c r="AC1200" s="2" t="s">
        <v>200</v>
      </c>
      <c r="AD1200" s="4"/>
      <c r="AE1200" s="4"/>
      <c r="AF1200" s="6">
        <v>64</v>
      </c>
      <c r="AG1200" s="6"/>
      <c r="AH1200" s="7">
        <v>1</v>
      </c>
      <c r="AI1200" s="4"/>
      <c r="AJ1200" s="4">
        <f>=ROUNDDOWN({0},0)</f>
      </c>
      <c r="AK1200" s="5"/>
      <c r="AL1200" s="2" t="s">
        <v>200</v>
      </c>
      <c r="AM1200" s="4"/>
      <c r="AN1200" s="4"/>
      <c r="AO1200" s="7"/>
      <c r="AP1200" s="4"/>
      <c r="AQ1200" s="8"/>
      <c r="AR1200" s="4"/>
      <c r="AS1200" s="8"/>
      <c r="AT1200" s="7"/>
      <c r="AU1200" s="7"/>
      <c r="AV1200" s="4"/>
      <c r="AW1200" s="8"/>
      <c r="AX1200" s="4"/>
      <c r="AY1200" s="8"/>
      <c r="AZ1200" s="7"/>
      <c r="BA1200" s="7"/>
      <c r="BB1200" s="7"/>
      <c r="BC1200" s="4" t="s">
        <v>200</v>
      </c>
      <c r="BD1200" s="8" t="s">
        <v>200</v>
      </c>
      <c r="BE1200" s="4" t="s">
        <v>200</v>
      </c>
      <c r="BF1200" s="8" t="s">
        <v>200</v>
      </c>
      <c r="BG1200" s="7" t="s">
        <v>200</v>
      </c>
      <c r="BH1200" s="7" t="s">
        <v>200</v>
      </c>
      <c r="BI1200" s="7"/>
      <c r="BJ1200" s="4">
        <v>18</v>
      </c>
      <c r="BK1200" s="8">
        <v>681.99</v>
      </c>
      <c r="BL1200" s="2" t="s">
        <v>341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6734</v>
      </c>
      <c r="BV1200" s="2" t="s">
        <v>200</v>
      </c>
      <c r="BW1200" s="2" t="s">
        <v>200</v>
      </c>
      <c r="BX1200" s="2" t="s">
        <v>264</v>
      </c>
      <c r="BY1200" s="2" t="s">
        <v>247</v>
      </c>
      <c r="BZ1200" s="2" t="s">
        <v>212</v>
      </c>
      <c r="CA1200" s="2" t="s">
        <v>2632</v>
      </c>
      <c r="CB1200" s="2" t="s">
        <v>3245</v>
      </c>
      <c r="CC1200" s="2" t="s">
        <v>213</v>
      </c>
      <c r="CD1200" s="2" t="s">
        <v>200</v>
      </c>
      <c r="CE1200" s="4">
        <v>227</v>
      </c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  <c r="DL1200" s="4"/>
      <c r="DM1200" s="4"/>
      <c r="DN1200" s="4"/>
      <c r="DO1200" s="4"/>
      <c r="DP1200" s="4"/>
      <c r="DQ1200" s="4"/>
      <c r="DR1200" s="4"/>
      <c r="DS1200" s="4"/>
      <c r="DT1200" s="4"/>
      <c r="DU1200" s="4"/>
      <c r="DV1200" s="4"/>
      <c r="DW1200" s="4"/>
      <c r="DX1200" s="4"/>
      <c r="DY1200" s="4"/>
      <c r="DZ1200" s="4"/>
      <c r="EA1200" s="4"/>
      <c r="EB1200" s="4"/>
      <c r="EC1200" s="4"/>
      <c r="ED1200" s="4"/>
      <c r="EE1200" s="4"/>
      <c r="EF1200" s="4"/>
      <c r="EG1200" s="4"/>
      <c r="EH1200" s="4"/>
      <c r="EI1200" s="4"/>
      <c r="EJ1200" s="4"/>
      <c r="EK1200" s="4"/>
      <c r="EL1200" s="4"/>
      <c r="EM1200" s="4"/>
      <c r="EN1200" s="4"/>
      <c r="EO1200" s="4"/>
      <c r="EP1200" s="4"/>
      <c r="EQ1200" s="4"/>
      <c r="ER1200" s="4"/>
      <c r="ES1200" s="4"/>
      <c r="ET1200" s="4"/>
      <c r="EU1200" s="4"/>
      <c r="EV1200" s="4"/>
      <c r="EW1200" s="4"/>
      <c r="EX1200" s="4"/>
      <c r="EY1200" s="4"/>
      <c r="EZ1200" s="4"/>
      <c r="FA1200" s="4"/>
      <c r="FB1200" s="4"/>
      <c r="FC1200" s="4"/>
      <c r="FD1200" s="4"/>
      <c r="FE1200" s="4"/>
      <c r="FF1200" s="4"/>
      <c r="FG1200" s="4"/>
      <c r="FH1200" s="4"/>
      <c r="FI1200" s="4"/>
      <c r="FJ1200" s="4"/>
      <c r="FK1200" s="4"/>
      <c r="FL1200" s="4"/>
      <c r="FM1200" s="4"/>
      <c r="FN1200" s="4"/>
      <c r="FO1200" s="4"/>
      <c r="FP1200" s="4"/>
      <c r="FQ1200" s="4"/>
      <c r="FR1200" s="4"/>
      <c r="FS1200" s="4"/>
      <c r="FT1200" s="4"/>
      <c r="FU1200" s="4"/>
      <c r="FV1200" s="4"/>
      <c r="FW1200" s="4"/>
      <c r="FX1200" s="4"/>
      <c r="FY1200" s="4"/>
      <c r="FZ1200" s="4"/>
      <c r="GA1200" s="4"/>
      <c r="GB1200" s="4"/>
      <c r="GC1200" s="4"/>
      <c r="GD1200" s="4"/>
      <c r="GE1200" s="4"/>
      <c r="GF1200" s="4"/>
      <c r="GG1200" s="4"/>
      <c r="GH1200" s="4"/>
    </row>
    <row r="1201">
      <c r="A1201" s="2" t="s">
        <v>6735</v>
      </c>
      <c r="B1201" s="2" t="s">
        <v>827</v>
      </c>
      <c r="C1201" s="2" t="s">
        <v>1010</v>
      </c>
      <c r="D1201" s="2" t="s">
        <v>828</v>
      </c>
      <c r="E1201" s="2" t="s">
        <v>1011</v>
      </c>
      <c r="F1201" s="2" t="s">
        <v>6736</v>
      </c>
      <c r="G1201" s="2" t="s">
        <v>6737</v>
      </c>
      <c r="H1201" s="2" t="s">
        <v>6738</v>
      </c>
      <c r="I1201" s="2" t="s">
        <v>6739</v>
      </c>
      <c r="J1201" s="2" t="s">
        <v>1016</v>
      </c>
      <c r="K1201" s="2" t="s">
        <v>1214</v>
      </c>
      <c r="L1201" s="3">
        <v>16.8</v>
      </c>
      <c r="M1201" s="3">
        <v>17.64</v>
      </c>
      <c r="N1201" s="3">
        <v>39.99</v>
      </c>
      <c r="O1201" s="2" t="s">
        <v>212</v>
      </c>
      <c r="P1201" s="2" t="s">
        <v>258</v>
      </c>
      <c r="Q1201" s="2" t="s">
        <v>206</v>
      </c>
      <c r="R1201" s="2" t="s">
        <v>200</v>
      </c>
      <c r="S1201" s="2" t="s">
        <v>200</v>
      </c>
      <c r="T1201" s="2" t="s">
        <v>200</v>
      </c>
      <c r="U1201" s="2" t="s">
        <v>200</v>
      </c>
      <c r="V1201" s="2" t="s">
        <v>1019</v>
      </c>
      <c r="W1201" s="2" t="s">
        <v>6740</v>
      </c>
      <c r="X1201" s="2" t="s">
        <v>1020</v>
      </c>
      <c r="Y1201" s="2" t="s">
        <v>4349</v>
      </c>
      <c r="Z1201" s="4">
        <v>184</v>
      </c>
      <c r="AA1201" s="4">
        <f>=ROUNDDOWN(12.2666666666667,0)</f>
      </c>
      <c r="AB1201" s="5">
        <v>15</v>
      </c>
      <c r="AC1201" s="2" t="s">
        <v>115</v>
      </c>
      <c r="AD1201" s="4">
        <v>52</v>
      </c>
      <c r="AE1201" s="4">
        <v>284</v>
      </c>
      <c r="AF1201" s="6">
        <v>68</v>
      </c>
      <c r="AG1201" s="6"/>
      <c r="AH1201" s="7">
        <v>1</v>
      </c>
      <c r="AI1201" s="4"/>
      <c r="AJ1201" s="4">
        <f>=ROUNDDOWN({0},0)</f>
      </c>
      <c r="AK1201" s="5"/>
      <c r="AL1201" s="2" t="s">
        <v>200</v>
      </c>
      <c r="AM1201" s="4"/>
      <c r="AN1201" s="4"/>
      <c r="AO1201" s="7"/>
      <c r="AP1201" s="4"/>
      <c r="AQ1201" s="8"/>
      <c r="AR1201" s="4"/>
      <c r="AS1201" s="8"/>
      <c r="AT1201" s="7"/>
      <c r="AU1201" s="7"/>
      <c r="AV1201" s="4" t="s">
        <v>200</v>
      </c>
      <c r="AW1201" s="8" t="s">
        <v>200</v>
      </c>
      <c r="AX1201" s="4" t="s">
        <v>200</v>
      </c>
      <c r="AY1201" s="8" t="s">
        <v>200</v>
      </c>
      <c r="AZ1201" s="7" t="s">
        <v>200</v>
      </c>
      <c r="BA1201" s="7" t="s">
        <v>200</v>
      </c>
      <c r="BB1201" s="7"/>
      <c r="BC1201" s="4" t="s">
        <v>200</v>
      </c>
      <c r="BD1201" s="8" t="s">
        <v>200</v>
      </c>
      <c r="BE1201" s="4" t="s">
        <v>200</v>
      </c>
      <c r="BF1201" s="8" t="s">
        <v>200</v>
      </c>
      <c r="BG1201" s="7" t="s">
        <v>200</v>
      </c>
      <c r="BH1201" s="7" t="s">
        <v>200</v>
      </c>
      <c r="BI1201" s="7"/>
      <c r="BJ1201" s="4">
        <v>71</v>
      </c>
      <c r="BK1201" s="8">
        <v>1138.32</v>
      </c>
      <c r="BL1201" s="2" t="s">
        <v>6741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6742</v>
      </c>
      <c r="BV1201" s="2" t="s">
        <v>200</v>
      </c>
      <c r="BW1201" s="2" t="s">
        <v>200</v>
      </c>
      <c r="BX1201" s="2" t="s">
        <v>264</v>
      </c>
      <c r="BY1201" s="2" t="s">
        <v>247</v>
      </c>
      <c r="BZ1201" s="2" t="s">
        <v>212</v>
      </c>
      <c r="CA1201" s="2" t="s">
        <v>6743</v>
      </c>
      <c r="CB1201" s="2" t="s">
        <v>6744</v>
      </c>
      <c r="CC1201" s="2" t="s">
        <v>213</v>
      </c>
      <c r="CD1201" s="2" t="s">
        <v>200</v>
      </c>
      <c r="CE1201" s="4">
        <v>184</v>
      </c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>
        <v>52</v>
      </c>
      <c r="DC1201" s="4"/>
      <c r="DD1201" s="4"/>
      <c r="DE1201" s="4"/>
      <c r="DF1201" s="4"/>
      <c r="DG1201" s="4"/>
      <c r="DH1201" s="4"/>
      <c r="DI1201" s="4"/>
      <c r="DJ1201" s="4"/>
      <c r="DK1201" s="4"/>
      <c r="DL1201" s="4"/>
      <c r="DM1201" s="4"/>
      <c r="DN1201" s="4"/>
      <c r="DO1201" s="4"/>
      <c r="DP1201" s="4"/>
      <c r="DQ1201" s="4"/>
      <c r="DR1201" s="4"/>
      <c r="DS1201" s="4"/>
      <c r="DT1201" s="4"/>
      <c r="DU1201" s="4"/>
      <c r="DV1201" s="4"/>
      <c r="DW1201" s="4"/>
      <c r="DX1201" s="4"/>
      <c r="DY1201" s="4"/>
      <c r="DZ1201" s="4"/>
      <c r="EA1201" s="4"/>
      <c r="EB1201" s="4"/>
      <c r="EC1201" s="4"/>
      <c r="ED1201" s="4"/>
      <c r="EE1201" s="4"/>
      <c r="EF1201" s="4"/>
      <c r="EG1201" s="4"/>
      <c r="EH1201" s="4"/>
      <c r="EI1201" s="4"/>
      <c r="EJ1201" s="4"/>
      <c r="EK1201" s="4"/>
      <c r="EL1201" s="4"/>
      <c r="EM1201" s="4"/>
      <c r="EN1201" s="4"/>
      <c r="EO1201" s="4"/>
      <c r="EP1201" s="4"/>
      <c r="EQ1201" s="4"/>
      <c r="ER1201" s="4"/>
      <c r="ES1201" s="4"/>
      <c r="ET1201" s="4"/>
      <c r="EU1201" s="4"/>
      <c r="EV1201" s="4"/>
      <c r="EW1201" s="4"/>
      <c r="EX1201" s="4"/>
      <c r="EY1201" s="4"/>
      <c r="EZ1201" s="4"/>
      <c r="FA1201" s="4"/>
      <c r="FB1201" s="4"/>
      <c r="FC1201" s="4"/>
      <c r="FD1201" s="4"/>
      <c r="FE1201" s="4"/>
      <c r="FF1201" s="4"/>
      <c r="FG1201" s="4"/>
      <c r="FH1201" s="4"/>
      <c r="FI1201" s="4"/>
      <c r="FJ1201" s="4"/>
      <c r="FK1201" s="4"/>
      <c r="FL1201" s="4"/>
      <c r="FM1201" s="4">
        <v>232</v>
      </c>
      <c r="FN1201" s="4"/>
      <c r="FO1201" s="4"/>
      <c r="FP1201" s="4"/>
      <c r="FQ1201" s="4"/>
      <c r="FR1201" s="4"/>
      <c r="FS1201" s="4"/>
      <c r="FT1201" s="4"/>
      <c r="FU1201" s="4"/>
      <c r="FV1201" s="4"/>
      <c r="FW1201" s="4"/>
      <c r="FX1201" s="4"/>
      <c r="FY1201" s="4"/>
      <c r="FZ1201" s="4"/>
      <c r="GA1201" s="4"/>
      <c r="GB1201" s="4"/>
      <c r="GC1201" s="4"/>
      <c r="GD1201" s="4"/>
      <c r="GE1201" s="4"/>
      <c r="GF1201" s="4"/>
      <c r="GG1201" s="4"/>
      <c r="GH1201" s="4"/>
    </row>
    <row r="1202">
      <c r="A1202" s="2" t="s">
        <v>6745</v>
      </c>
      <c r="B1202" s="2" t="s">
        <v>827</v>
      </c>
      <c r="C1202" s="2" t="s">
        <v>1010</v>
      </c>
      <c r="D1202" s="2" t="s">
        <v>828</v>
      </c>
      <c r="E1202" s="2" t="s">
        <v>1011</v>
      </c>
      <c r="F1202" s="2" t="s">
        <v>6736</v>
      </c>
      <c r="G1202" s="2" t="s">
        <v>6737</v>
      </c>
      <c r="H1202" s="2" t="s">
        <v>6738</v>
      </c>
      <c r="I1202" s="2" t="s">
        <v>6739</v>
      </c>
      <c r="J1202" s="2" t="s">
        <v>1242</v>
      </c>
      <c r="K1202" s="2" t="s">
        <v>1214</v>
      </c>
      <c r="L1202" s="3">
        <v>18</v>
      </c>
      <c r="M1202" s="3">
        <v>18.9</v>
      </c>
      <c r="N1202" s="3">
        <v>44.99</v>
      </c>
      <c r="O1202" s="2" t="s">
        <v>212</v>
      </c>
      <c r="P1202" s="2" t="s">
        <v>258</v>
      </c>
      <c r="Q1202" s="2" t="s">
        <v>206</v>
      </c>
      <c r="R1202" s="2" t="s">
        <v>200</v>
      </c>
      <c r="S1202" s="2" t="s">
        <v>200</v>
      </c>
      <c r="T1202" s="2" t="s">
        <v>200</v>
      </c>
      <c r="U1202" s="2" t="s">
        <v>200</v>
      </c>
      <c r="V1202" s="2" t="s">
        <v>1019</v>
      </c>
      <c r="W1202" s="2" t="s">
        <v>242</v>
      </c>
      <c r="X1202" s="2" t="s">
        <v>1020</v>
      </c>
      <c r="Y1202" s="2" t="s">
        <v>4349</v>
      </c>
      <c r="Z1202" s="4">
        <v>349</v>
      </c>
      <c r="AA1202" s="4">
        <f>=ROUNDDOWN(43.625,0)</f>
      </c>
      <c r="AB1202" s="5">
        <v>8</v>
      </c>
      <c r="AC1202" s="2" t="s">
        <v>200</v>
      </c>
      <c r="AD1202" s="4"/>
      <c r="AE1202" s="4"/>
      <c r="AF1202" s="6">
        <v>68</v>
      </c>
      <c r="AG1202" s="6"/>
      <c r="AH1202" s="7">
        <v>1</v>
      </c>
      <c r="AI1202" s="4"/>
      <c r="AJ1202" s="4">
        <f>=ROUNDDOWN({0},0)</f>
      </c>
      <c r="AK1202" s="5"/>
      <c r="AL1202" s="2" t="s">
        <v>200</v>
      </c>
      <c r="AM1202" s="4"/>
      <c r="AN1202" s="4"/>
      <c r="AO1202" s="7"/>
      <c r="AP1202" s="4"/>
      <c r="AQ1202" s="8"/>
      <c r="AR1202" s="4"/>
      <c r="AS1202" s="8"/>
      <c r="AT1202" s="7"/>
      <c r="AU1202" s="7"/>
      <c r="AV1202" s="4" t="s">
        <v>200</v>
      </c>
      <c r="AW1202" s="8" t="s">
        <v>200</v>
      </c>
      <c r="AX1202" s="4" t="s">
        <v>200</v>
      </c>
      <c r="AY1202" s="8" t="s">
        <v>200</v>
      </c>
      <c r="AZ1202" s="7" t="s">
        <v>200</v>
      </c>
      <c r="BA1202" s="7" t="s">
        <v>200</v>
      </c>
      <c r="BB1202" s="7"/>
      <c r="BC1202" s="4" t="s">
        <v>200</v>
      </c>
      <c r="BD1202" s="8" t="s">
        <v>200</v>
      </c>
      <c r="BE1202" s="4" t="s">
        <v>200</v>
      </c>
      <c r="BF1202" s="8" t="s">
        <v>200</v>
      </c>
      <c r="BG1202" s="7" t="s">
        <v>200</v>
      </c>
      <c r="BH1202" s="7" t="s">
        <v>200</v>
      </c>
      <c r="BI1202" s="7"/>
      <c r="BJ1202" s="4">
        <v>48</v>
      </c>
      <c r="BK1202" s="8">
        <v>1666.36</v>
      </c>
      <c r="BL1202" s="2" t="s">
        <v>6369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6746</v>
      </c>
      <c r="BV1202" s="2" t="s">
        <v>200</v>
      </c>
      <c r="BW1202" s="2" t="s">
        <v>200</v>
      </c>
      <c r="BX1202" s="2" t="s">
        <v>264</v>
      </c>
      <c r="BY1202" s="2" t="s">
        <v>247</v>
      </c>
      <c r="BZ1202" s="2" t="s">
        <v>212</v>
      </c>
      <c r="CA1202" s="2" t="s">
        <v>6743</v>
      </c>
      <c r="CB1202" s="2" t="s">
        <v>6747</v>
      </c>
      <c r="CC1202" s="2" t="s">
        <v>213</v>
      </c>
      <c r="CD1202" s="2" t="s">
        <v>200</v>
      </c>
      <c r="CE1202" s="4">
        <v>349</v>
      </c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  <c r="DL1202" s="4"/>
      <c r="DM1202" s="4"/>
      <c r="DN1202" s="4"/>
      <c r="DO1202" s="4"/>
      <c r="DP1202" s="4"/>
      <c r="DQ1202" s="4"/>
      <c r="DR1202" s="4"/>
      <c r="DS1202" s="4"/>
      <c r="DT1202" s="4"/>
      <c r="DU1202" s="4"/>
      <c r="DV1202" s="4"/>
      <c r="DW1202" s="4"/>
      <c r="DX1202" s="4"/>
      <c r="DY1202" s="4"/>
      <c r="DZ1202" s="4"/>
      <c r="EA1202" s="4"/>
      <c r="EB1202" s="4"/>
      <c r="EC1202" s="4"/>
      <c r="ED1202" s="4"/>
      <c r="EE1202" s="4"/>
      <c r="EF1202" s="4"/>
      <c r="EG1202" s="4"/>
      <c r="EH1202" s="4"/>
      <c r="EI1202" s="4"/>
      <c r="EJ1202" s="4"/>
      <c r="EK1202" s="4"/>
      <c r="EL1202" s="4"/>
      <c r="EM1202" s="4"/>
      <c r="EN1202" s="4"/>
      <c r="EO1202" s="4"/>
      <c r="EP1202" s="4"/>
      <c r="EQ1202" s="4"/>
      <c r="ER1202" s="4"/>
      <c r="ES1202" s="4"/>
      <c r="ET1202" s="4"/>
      <c r="EU1202" s="4"/>
      <c r="EV1202" s="4"/>
      <c r="EW1202" s="4"/>
      <c r="EX1202" s="4"/>
      <c r="EY1202" s="4"/>
      <c r="EZ1202" s="4"/>
      <c r="FA1202" s="4"/>
      <c r="FB1202" s="4"/>
      <c r="FC1202" s="4"/>
      <c r="FD1202" s="4"/>
      <c r="FE1202" s="4"/>
      <c r="FF1202" s="4"/>
      <c r="FG1202" s="4"/>
      <c r="FH1202" s="4"/>
      <c r="FI1202" s="4"/>
      <c r="FJ1202" s="4"/>
      <c r="FK1202" s="4"/>
      <c r="FL1202" s="4"/>
      <c r="FM1202" s="4"/>
      <c r="FN1202" s="4"/>
      <c r="FO1202" s="4"/>
      <c r="FP1202" s="4"/>
      <c r="FQ1202" s="4"/>
      <c r="FR1202" s="4"/>
      <c r="FS1202" s="4"/>
      <c r="FT1202" s="4"/>
      <c r="FU1202" s="4"/>
      <c r="FV1202" s="4"/>
      <c r="FW1202" s="4"/>
      <c r="FX1202" s="4"/>
      <c r="FY1202" s="4"/>
      <c r="FZ1202" s="4"/>
      <c r="GA1202" s="4"/>
      <c r="GB1202" s="4"/>
      <c r="GC1202" s="4"/>
      <c r="GD1202" s="4"/>
      <c r="GE1202" s="4"/>
      <c r="GF1202" s="4"/>
      <c r="GG1202" s="4"/>
      <c r="GH1202" s="4"/>
    </row>
    <row r="1203">
      <c r="A1203" s="2" t="s">
        <v>6748</v>
      </c>
      <c r="B1203" s="2" t="s">
        <v>903</v>
      </c>
      <c r="C1203" s="2" t="s">
        <v>624</v>
      </c>
      <c r="D1203" s="2" t="s">
        <v>918</v>
      </c>
      <c r="E1203" s="2" t="s">
        <v>919</v>
      </c>
      <c r="F1203" s="2" t="s">
        <v>6749</v>
      </c>
      <c r="G1203" s="2" t="s">
        <v>6749</v>
      </c>
      <c r="H1203" s="2" t="s">
        <v>6749</v>
      </c>
      <c r="I1203" s="2" t="s">
        <v>6750</v>
      </c>
      <c r="J1203" s="2" t="s">
        <v>612</v>
      </c>
      <c r="K1203" s="2" t="s">
        <v>203</v>
      </c>
      <c r="L1203" s="3">
        <v>32</v>
      </c>
      <c r="M1203" s="3">
        <v>33.6</v>
      </c>
      <c r="N1203" s="3">
        <v>69.99</v>
      </c>
      <c r="O1203" s="2" t="s">
        <v>417</v>
      </c>
      <c r="P1203" s="2" t="s">
        <v>285</v>
      </c>
      <c r="Q1203" s="2" t="s">
        <v>206</v>
      </c>
      <c r="R1203" s="2" t="s">
        <v>200</v>
      </c>
      <c r="S1203" s="2" t="s">
        <v>6751</v>
      </c>
      <c r="T1203" s="2" t="s">
        <v>200</v>
      </c>
      <c r="U1203" s="2" t="s">
        <v>454</v>
      </c>
      <c r="V1203" s="2" t="s">
        <v>208</v>
      </c>
      <c r="W1203" s="2" t="s">
        <v>241</v>
      </c>
      <c r="X1203" s="2" t="s">
        <v>200</v>
      </c>
      <c r="Y1203" s="2" t="s">
        <v>4659</v>
      </c>
      <c r="Z1203" s="4"/>
      <c r="AA1203" s="4">
        <f>=ROUNDDOWN({0},0)</f>
      </c>
      <c r="AB1203" s="5">
        <v>1.1</v>
      </c>
      <c r="AC1203" s="2" t="s">
        <v>200</v>
      </c>
      <c r="AD1203" s="4"/>
      <c r="AE1203" s="4"/>
      <c r="AF1203" s="6">
        <v>65</v>
      </c>
      <c r="AG1203" s="6"/>
      <c r="AH1203" s="7">
        <v>0.8667</v>
      </c>
      <c r="AI1203" s="4"/>
      <c r="AJ1203" s="4">
        <f>=ROUNDDOWN({0},0)</f>
      </c>
      <c r="AK1203" s="5"/>
      <c r="AL1203" s="2" t="s">
        <v>200</v>
      </c>
      <c r="AM1203" s="4"/>
      <c r="AN1203" s="4"/>
      <c r="AO1203" s="7"/>
      <c r="AP1203" s="4"/>
      <c r="AQ1203" s="8"/>
      <c r="AR1203" s="4"/>
      <c r="AS1203" s="8"/>
      <c r="AT1203" s="7"/>
      <c r="AU1203" s="7"/>
      <c r="AV1203" s="4"/>
      <c r="AW1203" s="8"/>
      <c r="AX1203" s="4"/>
      <c r="AY1203" s="8"/>
      <c r="AZ1203" s="7"/>
      <c r="BA1203" s="7"/>
      <c r="BB1203" s="7"/>
      <c r="BC1203" s="4" t="s">
        <v>200</v>
      </c>
      <c r="BD1203" s="8" t="s">
        <v>200</v>
      </c>
      <c r="BE1203" s="4" t="s">
        <v>200</v>
      </c>
      <c r="BF1203" s="8" t="s">
        <v>200</v>
      </c>
      <c r="BG1203" s="7" t="s">
        <v>200</v>
      </c>
      <c r="BH1203" s="7" t="s">
        <v>200</v>
      </c>
      <c r="BI1203" s="7"/>
      <c r="BJ1203" s="4"/>
      <c r="BK1203" s="8"/>
      <c r="BL1203" s="2" t="s">
        <v>327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6752</v>
      </c>
      <c r="BV1203" s="2" t="s">
        <v>200</v>
      </c>
      <c r="BW1203" s="2" t="s">
        <v>200</v>
      </c>
      <c r="BX1203" s="2" t="s">
        <v>289</v>
      </c>
      <c r="BY1203" s="2" t="s">
        <v>247</v>
      </c>
      <c r="BZ1203" s="2" t="s">
        <v>212</v>
      </c>
      <c r="CA1203" s="2" t="s">
        <v>4603</v>
      </c>
      <c r="CB1203" s="2" t="s">
        <v>3840</v>
      </c>
      <c r="CC1203" s="2" t="s">
        <v>213</v>
      </c>
      <c r="CD1203" s="2" t="s">
        <v>200</v>
      </c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E1203" s="4"/>
      <c r="DF1203" s="4"/>
      <c r="DG1203" s="4"/>
      <c r="DH1203" s="4"/>
      <c r="DI1203" s="4"/>
      <c r="DJ1203" s="4"/>
      <c r="DK1203" s="4"/>
      <c r="DL1203" s="4"/>
      <c r="DM1203" s="4"/>
      <c r="DN1203" s="4"/>
      <c r="DO1203" s="4"/>
      <c r="DP1203" s="4"/>
      <c r="DQ1203" s="4"/>
      <c r="DR1203" s="4"/>
      <c r="DS1203" s="4"/>
      <c r="DT1203" s="4"/>
      <c r="DU1203" s="4"/>
      <c r="DV1203" s="4"/>
      <c r="DW1203" s="4"/>
      <c r="DX1203" s="4"/>
      <c r="DY1203" s="4"/>
      <c r="DZ1203" s="4"/>
      <c r="EA1203" s="4"/>
      <c r="EB1203" s="4"/>
      <c r="EC1203" s="4"/>
      <c r="ED1203" s="4"/>
      <c r="EE1203" s="4"/>
      <c r="EF1203" s="4"/>
      <c r="EG1203" s="4"/>
      <c r="EH1203" s="4"/>
      <c r="EI1203" s="4"/>
      <c r="EJ1203" s="4"/>
      <c r="EK1203" s="4"/>
      <c r="EL1203" s="4"/>
      <c r="EM1203" s="4"/>
      <c r="EN1203" s="4"/>
      <c r="EO1203" s="4"/>
      <c r="EP1203" s="4"/>
      <c r="EQ1203" s="4"/>
      <c r="ER1203" s="4"/>
      <c r="ES1203" s="4"/>
      <c r="ET1203" s="4"/>
      <c r="EU1203" s="4"/>
      <c r="EV1203" s="4"/>
      <c r="EW1203" s="4"/>
      <c r="EX1203" s="4"/>
      <c r="EY1203" s="4"/>
      <c r="EZ1203" s="4"/>
      <c r="FA1203" s="4"/>
      <c r="FB1203" s="4"/>
      <c r="FC1203" s="4"/>
      <c r="FD1203" s="4"/>
      <c r="FE1203" s="4"/>
      <c r="FF1203" s="4"/>
      <c r="FG1203" s="4"/>
      <c r="FH1203" s="4"/>
      <c r="FI1203" s="4"/>
      <c r="FJ1203" s="4"/>
      <c r="FK1203" s="4"/>
      <c r="FL1203" s="4"/>
      <c r="FM1203" s="4"/>
      <c r="FN1203" s="4"/>
      <c r="FO1203" s="4"/>
      <c r="FP1203" s="4"/>
      <c r="FQ1203" s="4"/>
      <c r="FR1203" s="4"/>
      <c r="FS1203" s="4"/>
      <c r="FT1203" s="4"/>
      <c r="FU1203" s="4"/>
      <c r="FV1203" s="4"/>
      <c r="FW1203" s="4"/>
      <c r="FX1203" s="4"/>
      <c r="FY1203" s="4"/>
      <c r="FZ1203" s="4"/>
      <c r="GA1203" s="4"/>
      <c r="GB1203" s="4"/>
      <c r="GC1203" s="4"/>
      <c r="GD1203" s="4"/>
      <c r="GE1203" s="4"/>
      <c r="GF1203" s="4"/>
      <c r="GG1203" s="4"/>
      <c r="GH1203" s="4"/>
    </row>
    <row r="1204">
      <c r="A1204" s="2" t="s">
        <v>6753</v>
      </c>
      <c r="B1204" s="2" t="s">
        <v>903</v>
      </c>
      <c r="C1204" s="2" t="s">
        <v>624</v>
      </c>
      <c r="D1204" s="2" t="s">
        <v>608</v>
      </c>
      <c r="E1204" s="2" t="s">
        <v>1324</v>
      </c>
      <c r="F1204" s="2" t="s">
        <v>6749</v>
      </c>
      <c r="G1204" s="2" t="s">
        <v>6749</v>
      </c>
      <c r="H1204" s="2" t="s">
        <v>6749</v>
      </c>
      <c r="I1204" s="2" t="s">
        <v>6754</v>
      </c>
      <c r="J1204" s="2" t="s">
        <v>612</v>
      </c>
      <c r="K1204" s="2" t="s">
        <v>1135</v>
      </c>
      <c r="L1204" s="3">
        <v>45.71</v>
      </c>
      <c r="M1204" s="3">
        <v>48</v>
      </c>
      <c r="N1204" s="3">
        <v>99.99</v>
      </c>
      <c r="O1204" s="2" t="s">
        <v>417</v>
      </c>
      <c r="P1204" s="2" t="s">
        <v>285</v>
      </c>
      <c r="Q1204" s="2" t="s">
        <v>206</v>
      </c>
      <c r="R1204" s="2" t="s">
        <v>200</v>
      </c>
      <c r="S1204" s="2" t="s">
        <v>6755</v>
      </c>
      <c r="T1204" s="2" t="s">
        <v>200</v>
      </c>
      <c r="U1204" s="2" t="s">
        <v>454</v>
      </c>
      <c r="V1204" s="2" t="s">
        <v>208</v>
      </c>
      <c r="W1204" s="2" t="s">
        <v>241</v>
      </c>
      <c r="X1204" s="2" t="s">
        <v>200</v>
      </c>
      <c r="Y1204" s="2" t="s">
        <v>4659</v>
      </c>
      <c r="Z1204" s="4">
        <v>73</v>
      </c>
      <c r="AA1204" s="4">
        <f>=ROUNDDOWN(36.5,0)</f>
      </c>
      <c r="AB1204" s="5">
        <v>2</v>
      </c>
      <c r="AC1204" s="2" t="s">
        <v>200</v>
      </c>
      <c r="AD1204" s="4"/>
      <c r="AE1204" s="4"/>
      <c r="AF1204" s="6">
        <v>65</v>
      </c>
      <c r="AG1204" s="6"/>
      <c r="AH1204" s="7">
        <v>0.8667</v>
      </c>
      <c r="AI1204" s="4"/>
      <c r="AJ1204" s="4">
        <f>=ROUNDDOWN({0},0)</f>
      </c>
      <c r="AK1204" s="5"/>
      <c r="AL1204" s="2" t="s">
        <v>200</v>
      </c>
      <c r="AM1204" s="4"/>
      <c r="AN1204" s="4"/>
      <c r="AO1204" s="7"/>
      <c r="AP1204" s="4"/>
      <c r="AQ1204" s="8"/>
      <c r="AR1204" s="4"/>
      <c r="AS1204" s="8"/>
      <c r="AT1204" s="7"/>
      <c r="AU1204" s="7"/>
      <c r="AV1204" s="4"/>
      <c r="AW1204" s="8"/>
      <c r="AX1204" s="4"/>
      <c r="AY1204" s="8"/>
      <c r="AZ1204" s="7"/>
      <c r="BA1204" s="7"/>
      <c r="BB1204" s="7"/>
      <c r="BC1204" s="4" t="s">
        <v>200</v>
      </c>
      <c r="BD1204" s="8" t="s">
        <v>200</v>
      </c>
      <c r="BE1204" s="4" t="s">
        <v>200</v>
      </c>
      <c r="BF1204" s="8" t="s">
        <v>200</v>
      </c>
      <c r="BG1204" s="7" t="s">
        <v>200</v>
      </c>
      <c r="BH1204" s="7" t="s">
        <v>200</v>
      </c>
      <c r="BI1204" s="7"/>
      <c r="BJ1204" s="4">
        <v>13</v>
      </c>
      <c r="BK1204" s="8">
        <v>614.4</v>
      </c>
      <c r="BL1204" s="2" t="s">
        <v>5804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6756</v>
      </c>
      <c r="BV1204" s="2" t="s">
        <v>200</v>
      </c>
      <c r="BW1204" s="2" t="s">
        <v>200</v>
      </c>
      <c r="BX1204" s="2" t="s">
        <v>289</v>
      </c>
      <c r="BY1204" s="2" t="s">
        <v>247</v>
      </c>
      <c r="BZ1204" s="2" t="s">
        <v>212</v>
      </c>
      <c r="CA1204" s="2" t="s">
        <v>4603</v>
      </c>
      <c r="CB1204" s="2" t="s">
        <v>458</v>
      </c>
      <c r="CC1204" s="2" t="s">
        <v>213</v>
      </c>
      <c r="CD1204" s="2" t="s">
        <v>200</v>
      </c>
      <c r="CE1204" s="4">
        <v>73</v>
      </c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E1204" s="4"/>
      <c r="DF1204" s="4"/>
      <c r="DG1204" s="4"/>
      <c r="DH1204" s="4"/>
      <c r="DI1204" s="4"/>
      <c r="DJ1204" s="4"/>
      <c r="DK1204" s="4"/>
      <c r="DL1204" s="4"/>
      <c r="DM1204" s="4"/>
      <c r="DN1204" s="4"/>
      <c r="DO1204" s="4"/>
      <c r="DP1204" s="4"/>
      <c r="DQ1204" s="4"/>
      <c r="DR1204" s="4"/>
      <c r="DS1204" s="4"/>
      <c r="DT1204" s="4"/>
      <c r="DU1204" s="4"/>
      <c r="DV1204" s="4"/>
      <c r="DW1204" s="4"/>
      <c r="DX1204" s="4"/>
      <c r="DY1204" s="4"/>
      <c r="DZ1204" s="4"/>
      <c r="EA1204" s="4"/>
      <c r="EB1204" s="4"/>
      <c r="EC1204" s="4"/>
      <c r="ED1204" s="4"/>
      <c r="EE1204" s="4"/>
      <c r="EF1204" s="4"/>
      <c r="EG1204" s="4"/>
      <c r="EH1204" s="4"/>
      <c r="EI1204" s="4"/>
      <c r="EJ1204" s="4"/>
      <c r="EK1204" s="4"/>
      <c r="EL1204" s="4"/>
      <c r="EM1204" s="4"/>
      <c r="EN1204" s="4"/>
      <c r="EO1204" s="4"/>
      <c r="EP1204" s="4"/>
      <c r="EQ1204" s="4"/>
      <c r="ER1204" s="4"/>
      <c r="ES1204" s="4"/>
      <c r="ET1204" s="4"/>
      <c r="EU1204" s="4"/>
      <c r="EV1204" s="4"/>
      <c r="EW1204" s="4"/>
      <c r="EX1204" s="4"/>
      <c r="EY1204" s="4"/>
      <c r="EZ1204" s="4"/>
      <c r="FA1204" s="4"/>
      <c r="FB1204" s="4"/>
      <c r="FC1204" s="4"/>
      <c r="FD1204" s="4"/>
      <c r="FE1204" s="4"/>
      <c r="FF1204" s="4"/>
      <c r="FG1204" s="4"/>
      <c r="FH1204" s="4"/>
      <c r="FI1204" s="4"/>
      <c r="FJ1204" s="4"/>
      <c r="FK1204" s="4"/>
      <c r="FL1204" s="4"/>
      <c r="FM1204" s="4"/>
      <c r="FN1204" s="4"/>
      <c r="FO1204" s="4"/>
      <c r="FP1204" s="4"/>
      <c r="FQ1204" s="4"/>
      <c r="FR1204" s="4"/>
      <c r="FS1204" s="4"/>
      <c r="FT1204" s="4"/>
      <c r="FU1204" s="4"/>
      <c r="FV1204" s="4"/>
      <c r="FW1204" s="4"/>
      <c r="FX1204" s="4"/>
      <c r="FY1204" s="4"/>
      <c r="FZ1204" s="4"/>
      <c r="GA1204" s="4"/>
      <c r="GB1204" s="4"/>
      <c r="GC1204" s="4"/>
      <c r="GD1204" s="4"/>
      <c r="GE1204" s="4"/>
      <c r="GF1204" s="4"/>
      <c r="GG1204" s="4"/>
      <c r="GH1204" s="4"/>
    </row>
    <row r="1205">
      <c r="A1205" s="2" t="s">
        <v>6757</v>
      </c>
      <c r="B1205" s="2" t="s">
        <v>744</v>
      </c>
      <c r="C1205" s="2" t="s">
        <v>745</v>
      </c>
      <c r="D1205" s="2" t="s">
        <v>6454</v>
      </c>
      <c r="E1205" s="2" t="s">
        <v>6758</v>
      </c>
      <c r="F1205" s="2" t="s">
        <v>6759</v>
      </c>
      <c r="G1205" s="2" t="s">
        <v>6759</v>
      </c>
      <c r="H1205" s="2" t="s">
        <v>6759</v>
      </c>
      <c r="I1205" s="2" t="s">
        <v>6760</v>
      </c>
      <c r="J1205" s="2" t="s">
        <v>2091</v>
      </c>
      <c r="K1205" s="2" t="s">
        <v>4544</v>
      </c>
      <c r="L1205" s="3">
        <v>157.5</v>
      </c>
      <c r="M1205" s="3">
        <v>165.38</v>
      </c>
      <c r="N1205" s="3">
        <v>329</v>
      </c>
      <c r="O1205" s="2" t="s">
        <v>212</v>
      </c>
      <c r="P1205" s="2" t="s">
        <v>750</v>
      </c>
      <c r="Q1205" s="2" t="s">
        <v>206</v>
      </c>
      <c r="R1205" s="2" t="s">
        <v>200</v>
      </c>
      <c r="S1205" s="2" t="s">
        <v>200</v>
      </c>
      <c r="T1205" s="2" t="s">
        <v>200</v>
      </c>
      <c r="U1205" s="2" t="s">
        <v>270</v>
      </c>
      <c r="V1205" s="2" t="s">
        <v>616</v>
      </c>
      <c r="W1205" s="2" t="s">
        <v>379</v>
      </c>
      <c r="X1205" s="2" t="s">
        <v>241</v>
      </c>
      <c r="Y1205" s="2" t="s">
        <v>4395</v>
      </c>
      <c r="Z1205" s="4">
        <v>171</v>
      </c>
      <c r="AA1205" s="4">
        <f>=ROUNDDOWN(85.5,0)</f>
      </c>
      <c r="AB1205" s="5">
        <v>2</v>
      </c>
      <c r="AC1205" s="2" t="s">
        <v>200</v>
      </c>
      <c r="AD1205" s="4"/>
      <c r="AE1205" s="4"/>
      <c r="AF1205" s="6">
        <v>76</v>
      </c>
      <c r="AG1205" s="6"/>
      <c r="AH1205" s="7">
        <v>1</v>
      </c>
      <c r="AI1205" s="4"/>
      <c r="AJ1205" s="4">
        <f>=ROUNDDOWN({0},0)</f>
      </c>
      <c r="AK1205" s="5"/>
      <c r="AL1205" s="2" t="s">
        <v>200</v>
      </c>
      <c r="AM1205" s="4"/>
      <c r="AN1205" s="4"/>
      <c r="AO1205" s="7"/>
      <c r="AP1205" s="4"/>
      <c r="AQ1205" s="8"/>
      <c r="AR1205" s="4"/>
      <c r="AS1205" s="8"/>
      <c r="AT1205" s="7"/>
      <c r="AU1205" s="7"/>
      <c r="AV1205" s="4" t="s">
        <v>200</v>
      </c>
      <c r="AW1205" s="8" t="s">
        <v>200</v>
      </c>
      <c r="AX1205" s="4" t="s">
        <v>200</v>
      </c>
      <c r="AY1205" s="8" t="s">
        <v>200</v>
      </c>
      <c r="AZ1205" s="7" t="s">
        <v>200</v>
      </c>
      <c r="BA1205" s="7" t="s">
        <v>200</v>
      </c>
      <c r="BB1205" s="7"/>
      <c r="BC1205" s="4" t="s">
        <v>200</v>
      </c>
      <c r="BD1205" s="8" t="s">
        <v>200</v>
      </c>
      <c r="BE1205" s="4" t="s">
        <v>200</v>
      </c>
      <c r="BF1205" s="8" t="s">
        <v>200</v>
      </c>
      <c r="BG1205" s="7" t="s">
        <v>200</v>
      </c>
      <c r="BH1205" s="7" t="s">
        <v>200</v>
      </c>
      <c r="BI1205" s="7"/>
      <c r="BJ1205" s="4">
        <v>2</v>
      </c>
      <c r="BK1205" s="8">
        <v>281.14</v>
      </c>
      <c r="BL1205" s="2" t="s">
        <v>813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6761</v>
      </c>
      <c r="BV1205" s="2" t="s">
        <v>200</v>
      </c>
      <c r="BW1205" s="2" t="s">
        <v>200</v>
      </c>
      <c r="BX1205" s="2" t="s">
        <v>264</v>
      </c>
      <c r="BY1205" s="2" t="s">
        <v>247</v>
      </c>
      <c r="BZ1205" s="2" t="s">
        <v>212</v>
      </c>
      <c r="CA1205" s="2" t="s">
        <v>3245</v>
      </c>
      <c r="CB1205" s="2" t="s">
        <v>2167</v>
      </c>
      <c r="CC1205" s="2" t="s">
        <v>213</v>
      </c>
      <c r="CD1205" s="2" t="s">
        <v>200</v>
      </c>
      <c r="CE1205" s="4"/>
      <c r="CF1205" s="4">
        <v>171</v>
      </c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  <c r="DE1205" s="4"/>
      <c r="DF1205" s="4"/>
      <c r="DG1205" s="4"/>
      <c r="DH1205" s="4"/>
      <c r="DI1205" s="4"/>
      <c r="DJ1205" s="4"/>
      <c r="DK1205" s="4"/>
      <c r="DL1205" s="4"/>
      <c r="DM1205" s="4"/>
      <c r="DN1205" s="4"/>
      <c r="DO1205" s="4"/>
      <c r="DP1205" s="4"/>
      <c r="DQ1205" s="4"/>
      <c r="DR1205" s="4"/>
      <c r="DS1205" s="4"/>
      <c r="DT1205" s="4"/>
      <c r="DU1205" s="4"/>
      <c r="DV1205" s="4"/>
      <c r="DW1205" s="4"/>
      <c r="DX1205" s="4"/>
      <c r="DY1205" s="4"/>
      <c r="DZ1205" s="4"/>
      <c r="EA1205" s="4"/>
      <c r="EB1205" s="4"/>
      <c r="EC1205" s="4"/>
      <c r="ED1205" s="4"/>
      <c r="EE1205" s="4"/>
      <c r="EF1205" s="4"/>
      <c r="EG1205" s="4"/>
      <c r="EH1205" s="4"/>
      <c r="EI1205" s="4"/>
      <c r="EJ1205" s="4"/>
      <c r="EK1205" s="4"/>
      <c r="EL1205" s="4"/>
      <c r="EM1205" s="4"/>
      <c r="EN1205" s="4"/>
      <c r="EO1205" s="4"/>
      <c r="EP1205" s="4"/>
      <c r="EQ1205" s="4"/>
      <c r="ER1205" s="4"/>
      <c r="ES1205" s="4"/>
      <c r="ET1205" s="4"/>
      <c r="EU1205" s="4"/>
      <c r="EV1205" s="4"/>
      <c r="EW1205" s="4"/>
      <c r="EX1205" s="4"/>
      <c r="EY1205" s="4"/>
      <c r="EZ1205" s="4"/>
      <c r="FA1205" s="4"/>
      <c r="FB1205" s="4"/>
      <c r="FC1205" s="4"/>
      <c r="FD1205" s="4"/>
      <c r="FE1205" s="4"/>
      <c r="FF1205" s="4"/>
      <c r="FG1205" s="4"/>
      <c r="FH1205" s="4"/>
      <c r="FI1205" s="4"/>
      <c r="FJ1205" s="4"/>
      <c r="FK1205" s="4"/>
      <c r="FL1205" s="4"/>
      <c r="FM1205" s="4"/>
      <c r="FN1205" s="4"/>
      <c r="FO1205" s="4"/>
      <c r="FP1205" s="4"/>
      <c r="FQ1205" s="4"/>
      <c r="FR1205" s="4"/>
      <c r="FS1205" s="4"/>
      <c r="FT1205" s="4"/>
      <c r="FU1205" s="4"/>
      <c r="FV1205" s="4"/>
      <c r="FW1205" s="4"/>
      <c r="FX1205" s="4"/>
      <c r="FY1205" s="4"/>
      <c r="FZ1205" s="4"/>
      <c r="GA1205" s="4"/>
      <c r="GB1205" s="4"/>
      <c r="GC1205" s="4"/>
      <c r="GD1205" s="4"/>
      <c r="GE1205" s="4"/>
      <c r="GF1205" s="4"/>
      <c r="GG1205" s="4"/>
      <c r="GH1205" s="4"/>
    </row>
    <row r="1206">
      <c r="A1206" s="2" t="s">
        <v>6762</v>
      </c>
      <c r="B1206" s="2" t="s">
        <v>744</v>
      </c>
      <c r="C1206" s="2" t="s">
        <v>745</v>
      </c>
      <c r="D1206" s="2" t="s">
        <v>6454</v>
      </c>
      <c r="E1206" s="2" t="s">
        <v>6758</v>
      </c>
      <c r="F1206" s="2" t="s">
        <v>6759</v>
      </c>
      <c r="G1206" s="2" t="s">
        <v>6759</v>
      </c>
      <c r="H1206" s="2" t="s">
        <v>6759</v>
      </c>
      <c r="I1206" s="2" t="s">
        <v>6763</v>
      </c>
      <c r="J1206" s="2" t="s">
        <v>2678</v>
      </c>
      <c r="K1206" s="2" t="s">
        <v>4544</v>
      </c>
      <c r="L1206" s="3">
        <v>118.8</v>
      </c>
      <c r="M1206" s="3">
        <v>124.74</v>
      </c>
      <c r="N1206" s="3">
        <v>249</v>
      </c>
      <c r="O1206" s="2" t="s">
        <v>212</v>
      </c>
      <c r="P1206" s="2" t="s">
        <v>750</v>
      </c>
      <c r="Q1206" s="2" t="s">
        <v>206</v>
      </c>
      <c r="R1206" s="2" t="s">
        <v>200</v>
      </c>
      <c r="S1206" s="2" t="s">
        <v>200</v>
      </c>
      <c r="T1206" s="2" t="s">
        <v>200</v>
      </c>
      <c r="U1206" s="2" t="s">
        <v>270</v>
      </c>
      <c r="V1206" s="2" t="s">
        <v>616</v>
      </c>
      <c r="W1206" s="2" t="s">
        <v>379</v>
      </c>
      <c r="X1206" s="2" t="s">
        <v>241</v>
      </c>
      <c r="Y1206" s="2" t="s">
        <v>4395</v>
      </c>
      <c r="Z1206" s="4">
        <v>35</v>
      </c>
      <c r="AA1206" s="4">
        <f>=ROUNDDOWN(116.666666666667,0)</f>
      </c>
      <c r="AB1206" s="5">
        <v>0.3</v>
      </c>
      <c r="AC1206" s="2" t="s">
        <v>200</v>
      </c>
      <c r="AD1206" s="4"/>
      <c r="AE1206" s="4"/>
      <c r="AF1206" s="6">
        <v>76</v>
      </c>
      <c r="AG1206" s="6"/>
      <c r="AH1206" s="7">
        <v>0.9333</v>
      </c>
      <c r="AI1206" s="4"/>
      <c r="AJ1206" s="4">
        <f>=ROUNDDOWN({0},0)</f>
      </c>
      <c r="AK1206" s="5"/>
      <c r="AL1206" s="2" t="s">
        <v>200</v>
      </c>
      <c r="AM1206" s="4"/>
      <c r="AN1206" s="4"/>
      <c r="AO1206" s="7"/>
      <c r="AP1206" s="4"/>
      <c r="AQ1206" s="8"/>
      <c r="AR1206" s="4"/>
      <c r="AS1206" s="8"/>
      <c r="AT1206" s="7"/>
      <c r="AU1206" s="7"/>
      <c r="AV1206" s="4" t="s">
        <v>200</v>
      </c>
      <c r="AW1206" s="8" t="s">
        <v>200</v>
      </c>
      <c r="AX1206" s="4" t="s">
        <v>200</v>
      </c>
      <c r="AY1206" s="8" t="s">
        <v>200</v>
      </c>
      <c r="AZ1206" s="7" t="s">
        <v>200</v>
      </c>
      <c r="BA1206" s="7" t="s">
        <v>200</v>
      </c>
      <c r="BB1206" s="7"/>
      <c r="BC1206" s="4" t="s">
        <v>200</v>
      </c>
      <c r="BD1206" s="8" t="s">
        <v>200</v>
      </c>
      <c r="BE1206" s="4" t="s">
        <v>200</v>
      </c>
      <c r="BF1206" s="8" t="s">
        <v>200</v>
      </c>
      <c r="BG1206" s="7" t="s">
        <v>200</v>
      </c>
      <c r="BH1206" s="7" t="s">
        <v>200</v>
      </c>
      <c r="BI1206" s="7"/>
      <c r="BJ1206" s="4">
        <v>2</v>
      </c>
      <c r="BK1206" s="8">
        <v>239.53</v>
      </c>
      <c r="BL1206" s="2" t="s">
        <v>2183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6764</v>
      </c>
      <c r="BV1206" s="2" t="s">
        <v>200</v>
      </c>
      <c r="BW1206" s="2" t="s">
        <v>200</v>
      </c>
      <c r="BX1206" s="2" t="s">
        <v>264</v>
      </c>
      <c r="BY1206" s="2" t="s">
        <v>247</v>
      </c>
      <c r="BZ1206" s="2" t="s">
        <v>212</v>
      </c>
      <c r="CA1206" s="2" t="s">
        <v>3245</v>
      </c>
      <c r="CB1206" s="2" t="s">
        <v>2167</v>
      </c>
      <c r="CC1206" s="2" t="s">
        <v>213</v>
      </c>
      <c r="CD1206" s="2" t="s">
        <v>200</v>
      </c>
      <c r="CE1206" s="4"/>
      <c r="CF1206" s="4">
        <v>35</v>
      </c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E1206" s="4"/>
      <c r="DF1206" s="4"/>
      <c r="DG1206" s="4"/>
      <c r="DH1206" s="4"/>
      <c r="DI1206" s="4"/>
      <c r="DJ1206" s="4"/>
      <c r="DK1206" s="4"/>
      <c r="DL1206" s="4"/>
      <c r="DM1206" s="4"/>
      <c r="DN1206" s="4"/>
      <c r="DO1206" s="4"/>
      <c r="DP1206" s="4"/>
      <c r="DQ1206" s="4"/>
      <c r="DR1206" s="4"/>
      <c r="DS1206" s="4"/>
      <c r="DT1206" s="4"/>
      <c r="DU1206" s="4"/>
      <c r="DV1206" s="4"/>
      <c r="DW1206" s="4"/>
      <c r="DX1206" s="4"/>
      <c r="DY1206" s="4"/>
      <c r="DZ1206" s="4"/>
      <c r="EA1206" s="4"/>
      <c r="EB1206" s="4"/>
      <c r="EC1206" s="4"/>
      <c r="ED1206" s="4"/>
      <c r="EE1206" s="4"/>
      <c r="EF1206" s="4"/>
      <c r="EG1206" s="4"/>
      <c r="EH1206" s="4"/>
      <c r="EI1206" s="4"/>
      <c r="EJ1206" s="4"/>
      <c r="EK1206" s="4"/>
      <c r="EL1206" s="4"/>
      <c r="EM1206" s="4"/>
      <c r="EN1206" s="4"/>
      <c r="EO1206" s="4"/>
      <c r="EP1206" s="4"/>
      <c r="EQ1206" s="4"/>
      <c r="ER1206" s="4"/>
      <c r="ES1206" s="4"/>
      <c r="ET1206" s="4"/>
      <c r="EU1206" s="4"/>
      <c r="EV1206" s="4"/>
      <c r="EW1206" s="4"/>
      <c r="EX1206" s="4"/>
      <c r="EY1206" s="4"/>
      <c r="EZ1206" s="4"/>
      <c r="FA1206" s="4"/>
      <c r="FB1206" s="4"/>
      <c r="FC1206" s="4"/>
      <c r="FD1206" s="4"/>
      <c r="FE1206" s="4"/>
      <c r="FF1206" s="4"/>
      <c r="FG1206" s="4"/>
      <c r="FH1206" s="4"/>
      <c r="FI1206" s="4"/>
      <c r="FJ1206" s="4"/>
      <c r="FK1206" s="4"/>
      <c r="FL1206" s="4"/>
      <c r="FM1206" s="4"/>
      <c r="FN1206" s="4"/>
      <c r="FO1206" s="4"/>
      <c r="FP1206" s="4"/>
      <c r="FQ1206" s="4"/>
      <c r="FR1206" s="4"/>
      <c r="FS1206" s="4"/>
      <c r="FT1206" s="4"/>
      <c r="FU1206" s="4"/>
      <c r="FV1206" s="4"/>
      <c r="FW1206" s="4"/>
      <c r="FX1206" s="4"/>
      <c r="FY1206" s="4"/>
      <c r="FZ1206" s="4"/>
      <c r="GA1206" s="4"/>
      <c r="GB1206" s="4"/>
      <c r="GC1206" s="4"/>
      <c r="GD1206" s="4"/>
      <c r="GE1206" s="4"/>
      <c r="GF1206" s="4"/>
      <c r="GG1206" s="4"/>
      <c r="GH1206" s="4"/>
    </row>
    <row r="1207">
      <c r="A1207" s="2" t="s">
        <v>6765</v>
      </c>
      <c r="B1207" s="2" t="s">
        <v>744</v>
      </c>
      <c r="C1207" s="2" t="s">
        <v>745</v>
      </c>
      <c r="D1207" s="2" t="s">
        <v>6454</v>
      </c>
      <c r="E1207" s="2" t="s">
        <v>6455</v>
      </c>
      <c r="F1207" s="2" t="s">
        <v>6759</v>
      </c>
      <c r="G1207" s="2" t="s">
        <v>6759</v>
      </c>
      <c r="H1207" s="2" t="s">
        <v>6759</v>
      </c>
      <c r="I1207" s="2" t="s">
        <v>6766</v>
      </c>
      <c r="J1207" s="2" t="s">
        <v>711</v>
      </c>
      <c r="K1207" s="2" t="s">
        <v>4544</v>
      </c>
      <c r="L1207" s="3">
        <v>326.34</v>
      </c>
      <c r="M1207" s="3">
        <v>342.66</v>
      </c>
      <c r="N1207" s="3">
        <v>689</v>
      </c>
      <c r="O1207" s="2" t="s">
        <v>212</v>
      </c>
      <c r="P1207" s="2" t="s">
        <v>802</v>
      </c>
      <c r="Q1207" s="2" t="s">
        <v>206</v>
      </c>
      <c r="R1207" s="2" t="s">
        <v>200</v>
      </c>
      <c r="S1207" s="2" t="s">
        <v>200</v>
      </c>
      <c r="T1207" s="2" t="s">
        <v>200</v>
      </c>
      <c r="U1207" s="2" t="s">
        <v>677</v>
      </c>
      <c r="V1207" s="2" t="s">
        <v>616</v>
      </c>
      <c r="W1207" s="2" t="s">
        <v>379</v>
      </c>
      <c r="X1207" s="2" t="s">
        <v>241</v>
      </c>
      <c r="Y1207" s="2" t="s">
        <v>4395</v>
      </c>
      <c r="Z1207" s="4">
        <v>32</v>
      </c>
      <c r="AA1207" s="4">
        <f>=ROUNDDOWN({0},0)</f>
      </c>
      <c r="AB1207" s="5"/>
      <c r="AC1207" s="2" t="s">
        <v>200</v>
      </c>
      <c r="AD1207" s="4"/>
      <c r="AE1207" s="4"/>
      <c r="AF1207" s="6"/>
      <c r="AG1207" s="6"/>
      <c r="AH1207" s="7">
        <v>1</v>
      </c>
      <c r="AI1207" s="4"/>
      <c r="AJ1207" s="4">
        <f>=ROUNDDOWN({0},0)</f>
      </c>
      <c r="AK1207" s="5"/>
      <c r="AL1207" s="2" t="s">
        <v>200</v>
      </c>
      <c r="AM1207" s="4"/>
      <c r="AN1207" s="4"/>
      <c r="AO1207" s="7"/>
      <c r="AP1207" s="4"/>
      <c r="AQ1207" s="8"/>
      <c r="AR1207" s="4"/>
      <c r="AS1207" s="8"/>
      <c r="AT1207" s="7"/>
      <c r="AU1207" s="7"/>
      <c r="AV1207" s="4" t="s">
        <v>200</v>
      </c>
      <c r="AW1207" s="8" t="s">
        <v>200</v>
      </c>
      <c r="AX1207" s="4" t="s">
        <v>200</v>
      </c>
      <c r="AY1207" s="8" t="s">
        <v>200</v>
      </c>
      <c r="AZ1207" s="7" t="s">
        <v>200</v>
      </c>
      <c r="BA1207" s="7" t="s">
        <v>200</v>
      </c>
      <c r="BB1207" s="7" t="s">
        <v>200</v>
      </c>
      <c r="BC1207" s="4" t="s">
        <v>200</v>
      </c>
      <c r="BD1207" s="8" t="s">
        <v>200</v>
      </c>
      <c r="BE1207" s="4" t="s">
        <v>200</v>
      </c>
      <c r="BF1207" s="8" t="s">
        <v>200</v>
      </c>
      <c r="BG1207" s="7" t="s">
        <v>200</v>
      </c>
      <c r="BH1207" s="7" t="s">
        <v>200</v>
      </c>
      <c r="BI1207" s="7"/>
      <c r="BJ1207" s="4"/>
      <c r="BK1207" s="8"/>
      <c r="BL1207" s="2" t="s">
        <v>200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6767</v>
      </c>
      <c r="BV1207" s="2" t="s">
        <v>200</v>
      </c>
      <c r="BW1207" s="2" t="s">
        <v>200</v>
      </c>
      <c r="BX1207" s="2" t="s">
        <v>264</v>
      </c>
      <c r="BY1207" s="2" t="s">
        <v>247</v>
      </c>
      <c r="BZ1207" s="2" t="s">
        <v>212</v>
      </c>
      <c r="CA1207" s="2" t="s">
        <v>3245</v>
      </c>
      <c r="CB1207" s="2" t="s">
        <v>200</v>
      </c>
      <c r="CC1207" s="2" t="s">
        <v>213</v>
      </c>
      <c r="CD1207" s="2" t="s">
        <v>200</v>
      </c>
      <c r="CE1207" s="4"/>
      <c r="CF1207" s="4">
        <v>32</v>
      </c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  <c r="DE1207" s="4"/>
      <c r="DF1207" s="4"/>
      <c r="DG1207" s="4"/>
      <c r="DH1207" s="4"/>
      <c r="DI1207" s="4"/>
      <c r="DJ1207" s="4"/>
      <c r="DK1207" s="4"/>
      <c r="DL1207" s="4"/>
      <c r="DM1207" s="4"/>
      <c r="DN1207" s="4"/>
      <c r="DO1207" s="4"/>
      <c r="DP1207" s="4"/>
      <c r="DQ1207" s="4"/>
      <c r="DR1207" s="4"/>
      <c r="DS1207" s="4"/>
      <c r="DT1207" s="4"/>
      <c r="DU1207" s="4"/>
      <c r="DV1207" s="4"/>
      <c r="DW1207" s="4"/>
      <c r="DX1207" s="4"/>
      <c r="DY1207" s="4"/>
      <c r="DZ1207" s="4"/>
      <c r="EA1207" s="4"/>
      <c r="EB1207" s="4"/>
      <c r="EC1207" s="4"/>
      <c r="ED1207" s="4"/>
      <c r="EE1207" s="4"/>
      <c r="EF1207" s="4"/>
      <c r="EG1207" s="4"/>
      <c r="EH1207" s="4"/>
      <c r="EI1207" s="4"/>
      <c r="EJ1207" s="4"/>
      <c r="EK1207" s="4"/>
      <c r="EL1207" s="4"/>
      <c r="EM1207" s="4"/>
      <c r="EN1207" s="4"/>
      <c r="EO1207" s="4"/>
      <c r="EP1207" s="4"/>
      <c r="EQ1207" s="4"/>
      <c r="ER1207" s="4"/>
      <c r="ES1207" s="4"/>
      <c r="ET1207" s="4"/>
      <c r="EU1207" s="4"/>
      <c r="EV1207" s="4"/>
      <c r="EW1207" s="4"/>
      <c r="EX1207" s="4"/>
      <c r="EY1207" s="4"/>
      <c r="EZ1207" s="4"/>
      <c r="FA1207" s="4"/>
      <c r="FB1207" s="4"/>
      <c r="FC1207" s="4"/>
      <c r="FD1207" s="4"/>
      <c r="FE1207" s="4"/>
      <c r="FF1207" s="4"/>
      <c r="FG1207" s="4"/>
      <c r="FH1207" s="4"/>
      <c r="FI1207" s="4"/>
      <c r="FJ1207" s="4"/>
      <c r="FK1207" s="4"/>
      <c r="FL1207" s="4"/>
      <c r="FM1207" s="4"/>
      <c r="FN1207" s="4"/>
      <c r="FO1207" s="4"/>
      <c r="FP1207" s="4"/>
      <c r="FQ1207" s="4"/>
      <c r="FR1207" s="4"/>
      <c r="FS1207" s="4"/>
      <c r="FT1207" s="4"/>
      <c r="FU1207" s="4"/>
      <c r="FV1207" s="4"/>
      <c r="FW1207" s="4"/>
      <c r="FX1207" s="4"/>
      <c r="FY1207" s="4"/>
      <c r="FZ1207" s="4"/>
      <c r="GA1207" s="4"/>
      <c r="GB1207" s="4"/>
      <c r="GC1207" s="4"/>
      <c r="GD1207" s="4"/>
      <c r="GE1207" s="4"/>
      <c r="GF1207" s="4"/>
      <c r="GG1207" s="4"/>
      <c r="GH1207" s="4"/>
    </row>
    <row r="1208">
      <c r="A1208" s="2" t="s">
        <v>6768</v>
      </c>
      <c r="B1208" s="2" t="s">
        <v>744</v>
      </c>
      <c r="C1208" s="2" t="s">
        <v>745</v>
      </c>
      <c r="D1208" s="2" t="s">
        <v>6454</v>
      </c>
      <c r="E1208" s="2" t="s">
        <v>6455</v>
      </c>
      <c r="F1208" s="2" t="s">
        <v>6759</v>
      </c>
      <c r="G1208" s="2" t="s">
        <v>6759</v>
      </c>
      <c r="H1208" s="2" t="s">
        <v>6759</v>
      </c>
      <c r="I1208" s="2" t="s">
        <v>6769</v>
      </c>
      <c r="J1208" s="2" t="s">
        <v>711</v>
      </c>
      <c r="K1208" s="2" t="s">
        <v>4544</v>
      </c>
      <c r="L1208" s="3">
        <v>785.99</v>
      </c>
      <c r="M1208" s="3">
        <v>825.29</v>
      </c>
      <c r="N1208" s="3">
        <v>1649</v>
      </c>
      <c r="O1208" s="2" t="s">
        <v>212</v>
      </c>
      <c r="P1208" s="2" t="s">
        <v>802</v>
      </c>
      <c r="Q1208" s="2" t="s">
        <v>206</v>
      </c>
      <c r="R1208" s="2" t="s">
        <v>200</v>
      </c>
      <c r="S1208" s="2" t="s">
        <v>200</v>
      </c>
      <c r="T1208" s="2" t="s">
        <v>200</v>
      </c>
      <c r="U1208" s="2" t="s">
        <v>615</v>
      </c>
      <c r="V1208" s="2" t="s">
        <v>616</v>
      </c>
      <c r="W1208" s="2" t="s">
        <v>379</v>
      </c>
      <c r="X1208" s="2" t="s">
        <v>241</v>
      </c>
      <c r="Y1208" s="2" t="s">
        <v>4395</v>
      </c>
      <c r="Z1208" s="4">
        <v>21</v>
      </c>
      <c r="AA1208" s="4">
        <f>=ROUNDDOWN({0},0)</f>
      </c>
      <c r="AB1208" s="5"/>
      <c r="AC1208" s="2" t="s">
        <v>200</v>
      </c>
      <c r="AD1208" s="4"/>
      <c r="AE1208" s="4"/>
      <c r="AF1208" s="6"/>
      <c r="AG1208" s="6"/>
      <c r="AH1208" s="7">
        <v>1</v>
      </c>
      <c r="AI1208" s="4"/>
      <c r="AJ1208" s="4">
        <f>=ROUNDDOWN({0},0)</f>
      </c>
      <c r="AK1208" s="5"/>
      <c r="AL1208" s="2" t="s">
        <v>200</v>
      </c>
      <c r="AM1208" s="4"/>
      <c r="AN1208" s="4"/>
      <c r="AO1208" s="7"/>
      <c r="AP1208" s="4"/>
      <c r="AQ1208" s="8"/>
      <c r="AR1208" s="4"/>
      <c r="AS1208" s="8"/>
      <c r="AT1208" s="7"/>
      <c r="AU1208" s="7"/>
      <c r="AV1208" s="4" t="s">
        <v>200</v>
      </c>
      <c r="AW1208" s="8" t="s">
        <v>200</v>
      </c>
      <c r="AX1208" s="4" t="s">
        <v>200</v>
      </c>
      <c r="AY1208" s="8" t="s">
        <v>200</v>
      </c>
      <c r="AZ1208" s="7" t="s">
        <v>200</v>
      </c>
      <c r="BA1208" s="7" t="s">
        <v>200</v>
      </c>
      <c r="BB1208" s="7" t="s">
        <v>200</v>
      </c>
      <c r="BC1208" s="4" t="s">
        <v>200</v>
      </c>
      <c r="BD1208" s="8" t="s">
        <v>200</v>
      </c>
      <c r="BE1208" s="4" t="s">
        <v>200</v>
      </c>
      <c r="BF1208" s="8" t="s">
        <v>200</v>
      </c>
      <c r="BG1208" s="7" t="s">
        <v>200</v>
      </c>
      <c r="BH1208" s="7" t="s">
        <v>200</v>
      </c>
      <c r="BI1208" s="7"/>
      <c r="BJ1208" s="4"/>
      <c r="BK1208" s="8"/>
      <c r="BL1208" s="2" t="s">
        <v>200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6770</v>
      </c>
      <c r="BV1208" s="2" t="s">
        <v>200</v>
      </c>
      <c r="BW1208" s="2" t="s">
        <v>200</v>
      </c>
      <c r="BX1208" s="2" t="s">
        <v>264</v>
      </c>
      <c r="BY1208" s="2" t="s">
        <v>247</v>
      </c>
      <c r="BZ1208" s="2" t="s">
        <v>212</v>
      </c>
      <c r="CA1208" s="2" t="s">
        <v>3245</v>
      </c>
      <c r="CB1208" s="2" t="s">
        <v>200</v>
      </c>
      <c r="CC1208" s="2" t="s">
        <v>213</v>
      </c>
      <c r="CD1208" s="2" t="s">
        <v>200</v>
      </c>
      <c r="CE1208" s="4"/>
      <c r="CF1208" s="4">
        <v>21</v>
      </c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  <c r="DL1208" s="4"/>
      <c r="DM1208" s="4"/>
      <c r="DN1208" s="4"/>
      <c r="DO1208" s="4"/>
      <c r="DP1208" s="4"/>
      <c r="DQ1208" s="4"/>
      <c r="DR1208" s="4"/>
      <c r="DS1208" s="4"/>
      <c r="DT1208" s="4"/>
      <c r="DU1208" s="4"/>
      <c r="DV1208" s="4"/>
      <c r="DW1208" s="4"/>
      <c r="DX1208" s="4"/>
      <c r="DY1208" s="4"/>
      <c r="DZ1208" s="4"/>
      <c r="EA1208" s="4"/>
      <c r="EB1208" s="4"/>
      <c r="EC1208" s="4"/>
      <c r="ED1208" s="4"/>
      <c r="EE1208" s="4"/>
      <c r="EF1208" s="4"/>
      <c r="EG1208" s="4"/>
      <c r="EH1208" s="4"/>
      <c r="EI1208" s="4"/>
      <c r="EJ1208" s="4"/>
      <c r="EK1208" s="4"/>
      <c r="EL1208" s="4"/>
      <c r="EM1208" s="4"/>
      <c r="EN1208" s="4"/>
      <c r="EO1208" s="4"/>
      <c r="EP1208" s="4"/>
      <c r="EQ1208" s="4"/>
      <c r="ER1208" s="4"/>
      <c r="ES1208" s="4"/>
      <c r="ET1208" s="4"/>
      <c r="EU1208" s="4"/>
      <c r="EV1208" s="4"/>
      <c r="EW1208" s="4"/>
      <c r="EX1208" s="4"/>
      <c r="EY1208" s="4"/>
      <c r="EZ1208" s="4"/>
      <c r="FA1208" s="4"/>
      <c r="FB1208" s="4"/>
      <c r="FC1208" s="4"/>
      <c r="FD1208" s="4"/>
      <c r="FE1208" s="4"/>
      <c r="FF1208" s="4"/>
      <c r="FG1208" s="4"/>
      <c r="FH1208" s="4"/>
      <c r="FI1208" s="4"/>
      <c r="FJ1208" s="4"/>
      <c r="FK1208" s="4"/>
      <c r="FL1208" s="4"/>
      <c r="FM1208" s="4"/>
      <c r="FN1208" s="4"/>
      <c r="FO1208" s="4"/>
      <c r="FP1208" s="4"/>
      <c r="FQ1208" s="4"/>
      <c r="FR1208" s="4"/>
      <c r="FS1208" s="4"/>
      <c r="FT1208" s="4"/>
      <c r="FU1208" s="4"/>
      <c r="FV1208" s="4"/>
      <c r="FW1208" s="4"/>
      <c r="FX1208" s="4"/>
      <c r="FY1208" s="4"/>
      <c r="FZ1208" s="4"/>
      <c r="GA1208" s="4"/>
      <c r="GB1208" s="4"/>
      <c r="GC1208" s="4"/>
      <c r="GD1208" s="4"/>
      <c r="GE1208" s="4"/>
      <c r="GF1208" s="4"/>
      <c r="GG1208" s="4"/>
      <c r="GH1208" s="4"/>
    </row>
    <row r="1209">
      <c r="A1209" s="2" t="s">
        <v>6771</v>
      </c>
      <c r="B1209" s="2" t="s">
        <v>744</v>
      </c>
      <c r="C1209" s="2" t="s">
        <v>745</v>
      </c>
      <c r="D1209" s="2" t="s">
        <v>6454</v>
      </c>
      <c r="E1209" s="2" t="s">
        <v>6455</v>
      </c>
      <c r="F1209" s="2" t="s">
        <v>6759</v>
      </c>
      <c r="G1209" s="2" t="s">
        <v>6759</v>
      </c>
      <c r="H1209" s="2" t="s">
        <v>6759</v>
      </c>
      <c r="I1209" s="2" t="s">
        <v>6772</v>
      </c>
      <c r="J1209" s="2" t="s">
        <v>711</v>
      </c>
      <c r="K1209" s="2" t="s">
        <v>4544</v>
      </c>
      <c r="L1209" s="3">
        <v>480.69</v>
      </c>
      <c r="M1209" s="3">
        <v>504.72</v>
      </c>
      <c r="N1209" s="3">
        <v>999</v>
      </c>
      <c r="O1209" s="2" t="s">
        <v>212</v>
      </c>
      <c r="P1209" s="2" t="s">
        <v>802</v>
      </c>
      <c r="Q1209" s="2" t="s">
        <v>206</v>
      </c>
      <c r="R1209" s="2" t="s">
        <v>200</v>
      </c>
      <c r="S1209" s="2" t="s">
        <v>200</v>
      </c>
      <c r="T1209" s="2" t="s">
        <v>200</v>
      </c>
      <c r="U1209" s="2" t="s">
        <v>454</v>
      </c>
      <c r="V1209" s="2" t="s">
        <v>616</v>
      </c>
      <c r="W1209" s="2" t="s">
        <v>379</v>
      </c>
      <c r="X1209" s="2" t="s">
        <v>241</v>
      </c>
      <c r="Y1209" s="2" t="s">
        <v>4395</v>
      </c>
      <c r="Z1209" s="4">
        <v>32</v>
      </c>
      <c r="AA1209" s="4">
        <f>=ROUNDDOWN({0},0)</f>
      </c>
      <c r="AB1209" s="5"/>
      <c r="AC1209" s="2" t="s">
        <v>200</v>
      </c>
      <c r="AD1209" s="4"/>
      <c r="AE1209" s="4"/>
      <c r="AF1209" s="6"/>
      <c r="AG1209" s="6"/>
      <c r="AH1209" s="7">
        <v>1</v>
      </c>
      <c r="AI1209" s="4"/>
      <c r="AJ1209" s="4">
        <f>=ROUNDDOWN({0},0)</f>
      </c>
      <c r="AK1209" s="5"/>
      <c r="AL1209" s="2" t="s">
        <v>200</v>
      </c>
      <c r="AM1209" s="4"/>
      <c r="AN1209" s="4"/>
      <c r="AO1209" s="7"/>
      <c r="AP1209" s="4"/>
      <c r="AQ1209" s="8"/>
      <c r="AR1209" s="4"/>
      <c r="AS1209" s="8"/>
      <c r="AT1209" s="7"/>
      <c r="AU1209" s="7"/>
      <c r="AV1209" s="4" t="s">
        <v>200</v>
      </c>
      <c r="AW1209" s="8" t="s">
        <v>200</v>
      </c>
      <c r="AX1209" s="4" t="s">
        <v>200</v>
      </c>
      <c r="AY1209" s="8" t="s">
        <v>200</v>
      </c>
      <c r="AZ1209" s="7" t="s">
        <v>200</v>
      </c>
      <c r="BA1209" s="7" t="s">
        <v>200</v>
      </c>
      <c r="BB1209" s="7" t="s">
        <v>200</v>
      </c>
      <c r="BC1209" s="4" t="s">
        <v>200</v>
      </c>
      <c r="BD1209" s="8" t="s">
        <v>200</v>
      </c>
      <c r="BE1209" s="4" t="s">
        <v>200</v>
      </c>
      <c r="BF1209" s="8" t="s">
        <v>200</v>
      </c>
      <c r="BG1209" s="7" t="s">
        <v>200</v>
      </c>
      <c r="BH1209" s="7" t="s">
        <v>200</v>
      </c>
      <c r="BI1209" s="7"/>
      <c r="BJ1209" s="4"/>
      <c r="BK1209" s="8"/>
      <c r="BL1209" s="2" t="s">
        <v>200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6773</v>
      </c>
      <c r="BV1209" s="2" t="s">
        <v>200</v>
      </c>
      <c r="BW1209" s="2" t="s">
        <v>200</v>
      </c>
      <c r="BX1209" s="2" t="s">
        <v>264</v>
      </c>
      <c r="BY1209" s="2" t="s">
        <v>247</v>
      </c>
      <c r="BZ1209" s="2" t="s">
        <v>212</v>
      </c>
      <c r="CA1209" s="2" t="s">
        <v>3245</v>
      </c>
      <c r="CB1209" s="2" t="s">
        <v>200</v>
      </c>
      <c r="CC1209" s="2" t="s">
        <v>213</v>
      </c>
      <c r="CD1209" s="2" t="s">
        <v>200</v>
      </c>
      <c r="CE1209" s="4"/>
      <c r="CF1209" s="4">
        <v>32</v>
      </c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E1209" s="4"/>
      <c r="DF1209" s="4"/>
      <c r="DG1209" s="4"/>
      <c r="DH1209" s="4"/>
      <c r="DI1209" s="4"/>
      <c r="DJ1209" s="4"/>
      <c r="DK1209" s="4"/>
      <c r="DL1209" s="4"/>
      <c r="DM1209" s="4"/>
      <c r="DN1209" s="4"/>
      <c r="DO1209" s="4"/>
      <c r="DP1209" s="4"/>
      <c r="DQ1209" s="4"/>
      <c r="DR1209" s="4"/>
      <c r="DS1209" s="4"/>
      <c r="DT1209" s="4"/>
      <c r="DU1209" s="4"/>
      <c r="DV1209" s="4"/>
      <c r="DW1209" s="4"/>
      <c r="DX1209" s="4"/>
      <c r="DY1209" s="4"/>
      <c r="DZ1209" s="4"/>
      <c r="EA1209" s="4"/>
      <c r="EB1209" s="4"/>
      <c r="EC1209" s="4"/>
      <c r="ED1209" s="4"/>
      <c r="EE1209" s="4"/>
      <c r="EF1209" s="4"/>
      <c r="EG1209" s="4"/>
      <c r="EH1209" s="4"/>
      <c r="EI1209" s="4"/>
      <c r="EJ1209" s="4"/>
      <c r="EK1209" s="4"/>
      <c r="EL1209" s="4"/>
      <c r="EM1209" s="4"/>
      <c r="EN1209" s="4"/>
      <c r="EO1209" s="4"/>
      <c r="EP1209" s="4"/>
      <c r="EQ1209" s="4"/>
      <c r="ER1209" s="4"/>
      <c r="ES1209" s="4"/>
      <c r="ET1209" s="4"/>
      <c r="EU1209" s="4"/>
      <c r="EV1209" s="4"/>
      <c r="EW1209" s="4"/>
      <c r="EX1209" s="4"/>
      <c r="EY1209" s="4"/>
      <c r="EZ1209" s="4"/>
      <c r="FA1209" s="4"/>
      <c r="FB1209" s="4"/>
      <c r="FC1209" s="4"/>
      <c r="FD1209" s="4"/>
      <c r="FE1209" s="4"/>
      <c r="FF1209" s="4"/>
      <c r="FG1209" s="4"/>
      <c r="FH1209" s="4"/>
      <c r="FI1209" s="4"/>
      <c r="FJ1209" s="4"/>
      <c r="FK1209" s="4"/>
      <c r="FL1209" s="4"/>
      <c r="FM1209" s="4"/>
      <c r="FN1209" s="4"/>
      <c r="FO1209" s="4"/>
      <c r="FP1209" s="4"/>
      <c r="FQ1209" s="4"/>
      <c r="FR1209" s="4"/>
      <c r="FS1209" s="4"/>
      <c r="FT1209" s="4"/>
      <c r="FU1209" s="4"/>
      <c r="FV1209" s="4"/>
      <c r="FW1209" s="4"/>
      <c r="FX1209" s="4"/>
      <c r="FY1209" s="4"/>
      <c r="FZ1209" s="4"/>
      <c r="GA1209" s="4"/>
      <c r="GB1209" s="4"/>
      <c r="GC1209" s="4"/>
      <c r="GD1209" s="4"/>
      <c r="GE1209" s="4"/>
      <c r="GF1209" s="4"/>
      <c r="GG1209" s="4"/>
      <c r="GH1209" s="4"/>
    </row>
    <row r="1210">
      <c r="A1210" s="2" t="s">
        <v>6774</v>
      </c>
      <c r="B1210" s="2" t="s">
        <v>744</v>
      </c>
      <c r="C1210" s="2" t="s">
        <v>745</v>
      </c>
      <c r="D1210" s="2" t="s">
        <v>6454</v>
      </c>
      <c r="E1210" s="2" t="s">
        <v>6455</v>
      </c>
      <c r="F1210" s="2" t="s">
        <v>6759</v>
      </c>
      <c r="G1210" s="2" t="s">
        <v>6759</v>
      </c>
      <c r="H1210" s="2" t="s">
        <v>6759</v>
      </c>
      <c r="I1210" s="2" t="s">
        <v>6775</v>
      </c>
      <c r="J1210" s="2" t="s">
        <v>711</v>
      </c>
      <c r="K1210" s="2" t="s">
        <v>4544</v>
      </c>
      <c r="L1210" s="3">
        <v>777.31</v>
      </c>
      <c r="M1210" s="3">
        <v>816.18</v>
      </c>
      <c r="N1210" s="3">
        <v>1629</v>
      </c>
      <c r="O1210" s="2" t="s">
        <v>212</v>
      </c>
      <c r="P1210" s="2" t="s">
        <v>802</v>
      </c>
      <c r="Q1210" s="2" t="s">
        <v>206</v>
      </c>
      <c r="R1210" s="2" t="s">
        <v>200</v>
      </c>
      <c r="S1210" s="2" t="s">
        <v>200</v>
      </c>
      <c r="T1210" s="2" t="s">
        <v>200</v>
      </c>
      <c r="U1210" s="2" t="s">
        <v>615</v>
      </c>
      <c r="V1210" s="2" t="s">
        <v>616</v>
      </c>
      <c r="W1210" s="2" t="s">
        <v>379</v>
      </c>
      <c r="X1210" s="2" t="s">
        <v>241</v>
      </c>
      <c r="Y1210" s="2" t="s">
        <v>4395</v>
      </c>
      <c r="Z1210" s="4">
        <v>32</v>
      </c>
      <c r="AA1210" s="4">
        <f>=ROUNDDOWN({0},0)</f>
      </c>
      <c r="AB1210" s="5"/>
      <c r="AC1210" s="2" t="s">
        <v>200</v>
      </c>
      <c r="AD1210" s="4"/>
      <c r="AE1210" s="4"/>
      <c r="AF1210" s="6"/>
      <c r="AG1210" s="6"/>
      <c r="AH1210" s="7">
        <v>0.6333</v>
      </c>
      <c r="AI1210" s="4"/>
      <c r="AJ1210" s="4">
        <f>=ROUNDDOWN({0},0)</f>
      </c>
      <c r="AK1210" s="5"/>
      <c r="AL1210" s="2" t="s">
        <v>200</v>
      </c>
      <c r="AM1210" s="4"/>
      <c r="AN1210" s="4"/>
      <c r="AO1210" s="7"/>
      <c r="AP1210" s="4"/>
      <c r="AQ1210" s="8"/>
      <c r="AR1210" s="4"/>
      <c r="AS1210" s="8"/>
      <c r="AT1210" s="7"/>
      <c r="AU1210" s="7"/>
      <c r="AV1210" s="4" t="s">
        <v>200</v>
      </c>
      <c r="AW1210" s="8" t="s">
        <v>200</v>
      </c>
      <c r="AX1210" s="4" t="s">
        <v>200</v>
      </c>
      <c r="AY1210" s="8" t="s">
        <v>200</v>
      </c>
      <c r="AZ1210" s="7" t="s">
        <v>200</v>
      </c>
      <c r="BA1210" s="7" t="s">
        <v>200</v>
      </c>
      <c r="BB1210" s="7" t="s">
        <v>200</v>
      </c>
      <c r="BC1210" s="4" t="s">
        <v>200</v>
      </c>
      <c r="BD1210" s="8" t="s">
        <v>200</v>
      </c>
      <c r="BE1210" s="4" t="s">
        <v>200</v>
      </c>
      <c r="BF1210" s="8" t="s">
        <v>200</v>
      </c>
      <c r="BG1210" s="7" t="s">
        <v>200</v>
      </c>
      <c r="BH1210" s="7" t="s">
        <v>200</v>
      </c>
      <c r="BI1210" s="7"/>
      <c r="BJ1210" s="4"/>
      <c r="BK1210" s="8"/>
      <c r="BL1210" s="2" t="s">
        <v>200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6776</v>
      </c>
      <c r="BV1210" s="2" t="s">
        <v>200</v>
      </c>
      <c r="BW1210" s="2" t="s">
        <v>200</v>
      </c>
      <c r="BX1210" s="2" t="s">
        <v>264</v>
      </c>
      <c r="BY1210" s="2" t="s">
        <v>247</v>
      </c>
      <c r="BZ1210" s="2" t="s">
        <v>212</v>
      </c>
      <c r="CA1210" s="2" t="s">
        <v>3245</v>
      </c>
      <c r="CB1210" s="2" t="s">
        <v>200</v>
      </c>
      <c r="CC1210" s="2" t="s">
        <v>213</v>
      </c>
      <c r="CD1210" s="2" t="s">
        <v>200</v>
      </c>
      <c r="CE1210" s="4"/>
      <c r="CF1210" s="4">
        <v>32</v>
      </c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/>
      <c r="DS1210" s="4"/>
      <c r="DT1210" s="4"/>
      <c r="DU1210" s="4"/>
      <c r="DV1210" s="4"/>
      <c r="DW1210" s="4"/>
      <c r="DX1210" s="4"/>
      <c r="DY1210" s="4"/>
      <c r="DZ1210" s="4"/>
      <c r="EA1210" s="4"/>
      <c r="EB1210" s="4"/>
      <c r="EC1210" s="4"/>
      <c r="ED1210" s="4"/>
      <c r="EE1210" s="4"/>
      <c r="EF1210" s="4"/>
      <c r="EG1210" s="4"/>
      <c r="EH1210" s="4"/>
      <c r="EI1210" s="4"/>
      <c r="EJ1210" s="4"/>
      <c r="EK1210" s="4"/>
      <c r="EL1210" s="4"/>
      <c r="EM1210" s="4"/>
      <c r="EN1210" s="4"/>
      <c r="EO1210" s="4"/>
      <c r="EP1210" s="4"/>
      <c r="EQ1210" s="4"/>
      <c r="ER1210" s="4"/>
      <c r="ES1210" s="4"/>
      <c r="ET1210" s="4"/>
      <c r="EU1210" s="4"/>
      <c r="EV1210" s="4"/>
      <c r="EW1210" s="4"/>
      <c r="EX1210" s="4"/>
      <c r="EY1210" s="4"/>
      <c r="EZ1210" s="4"/>
      <c r="FA1210" s="4"/>
      <c r="FB1210" s="4"/>
      <c r="FC1210" s="4"/>
      <c r="FD1210" s="4"/>
      <c r="FE1210" s="4"/>
      <c r="FF1210" s="4"/>
      <c r="FG1210" s="4"/>
      <c r="FH1210" s="4"/>
      <c r="FI1210" s="4"/>
      <c r="FJ1210" s="4"/>
      <c r="FK1210" s="4"/>
      <c r="FL1210" s="4"/>
      <c r="FM1210" s="4"/>
      <c r="FN1210" s="4"/>
      <c r="FO1210" s="4"/>
      <c r="FP1210" s="4"/>
      <c r="FQ1210" s="4"/>
      <c r="FR1210" s="4"/>
      <c r="FS1210" s="4"/>
      <c r="FT1210" s="4"/>
      <c r="FU1210" s="4"/>
      <c r="FV1210" s="4"/>
      <c r="FW1210" s="4"/>
      <c r="FX1210" s="4"/>
      <c r="FY1210" s="4"/>
      <c r="FZ1210" s="4"/>
      <c r="GA1210" s="4"/>
      <c r="GB1210" s="4"/>
      <c r="GC1210" s="4"/>
      <c r="GD1210" s="4"/>
      <c r="GE1210" s="4"/>
      <c r="GF1210" s="4"/>
      <c r="GG1210" s="4"/>
      <c r="GH1210" s="4"/>
    </row>
    <row r="1211">
      <c r="A1211" s="2" t="s">
        <v>6777</v>
      </c>
      <c r="B1211" s="2" t="s">
        <v>744</v>
      </c>
      <c r="C1211" s="2" t="s">
        <v>745</v>
      </c>
      <c r="D1211" s="2" t="s">
        <v>6454</v>
      </c>
      <c r="E1211" s="2" t="s">
        <v>6455</v>
      </c>
      <c r="F1211" s="2" t="s">
        <v>6759</v>
      </c>
      <c r="G1211" s="2" t="s">
        <v>6759</v>
      </c>
      <c r="H1211" s="2" t="s">
        <v>6759</v>
      </c>
      <c r="I1211" s="2" t="s">
        <v>6778</v>
      </c>
      <c r="J1211" s="2" t="s">
        <v>711</v>
      </c>
      <c r="K1211" s="2" t="s">
        <v>4544</v>
      </c>
      <c r="L1211" s="3">
        <v>442.76</v>
      </c>
      <c r="M1211" s="3">
        <v>464.9</v>
      </c>
      <c r="N1211" s="3">
        <v>929</v>
      </c>
      <c r="O1211" s="2" t="s">
        <v>212</v>
      </c>
      <c r="P1211" s="2" t="s">
        <v>802</v>
      </c>
      <c r="Q1211" s="2" t="s">
        <v>206</v>
      </c>
      <c r="R1211" s="2" t="s">
        <v>200</v>
      </c>
      <c r="S1211" s="2" t="s">
        <v>200</v>
      </c>
      <c r="T1211" s="2" t="s">
        <v>200</v>
      </c>
      <c r="U1211" s="2" t="s">
        <v>454</v>
      </c>
      <c r="V1211" s="2" t="s">
        <v>616</v>
      </c>
      <c r="W1211" s="2" t="s">
        <v>379</v>
      </c>
      <c r="X1211" s="2" t="s">
        <v>241</v>
      </c>
      <c r="Y1211" s="2" t="s">
        <v>4395</v>
      </c>
      <c r="Z1211" s="4">
        <v>32</v>
      </c>
      <c r="AA1211" s="4">
        <f>=ROUNDDOWN(160,0)</f>
      </c>
      <c r="AB1211" s="5">
        <v>0.2</v>
      </c>
      <c r="AC1211" s="2" t="s">
        <v>200</v>
      </c>
      <c r="AD1211" s="4"/>
      <c r="AE1211" s="4"/>
      <c r="AF1211" s="6"/>
      <c r="AG1211" s="6"/>
      <c r="AH1211" s="7">
        <v>1</v>
      </c>
      <c r="AI1211" s="4"/>
      <c r="AJ1211" s="4">
        <f>=ROUNDDOWN({0},0)</f>
      </c>
      <c r="AK1211" s="5"/>
      <c r="AL1211" s="2" t="s">
        <v>200</v>
      </c>
      <c r="AM1211" s="4"/>
      <c r="AN1211" s="4"/>
      <c r="AO1211" s="7"/>
      <c r="AP1211" s="4"/>
      <c r="AQ1211" s="8"/>
      <c r="AR1211" s="4"/>
      <c r="AS1211" s="8"/>
      <c r="AT1211" s="7"/>
      <c r="AU1211" s="7"/>
      <c r="AV1211" s="4" t="s">
        <v>200</v>
      </c>
      <c r="AW1211" s="8" t="s">
        <v>200</v>
      </c>
      <c r="AX1211" s="4" t="s">
        <v>200</v>
      </c>
      <c r="AY1211" s="8" t="s">
        <v>200</v>
      </c>
      <c r="AZ1211" s="7" t="s">
        <v>200</v>
      </c>
      <c r="BA1211" s="7" t="s">
        <v>200</v>
      </c>
      <c r="BB1211" s="7" t="s">
        <v>200</v>
      </c>
      <c r="BC1211" s="4" t="s">
        <v>200</v>
      </c>
      <c r="BD1211" s="8" t="s">
        <v>200</v>
      </c>
      <c r="BE1211" s="4" t="s">
        <v>200</v>
      </c>
      <c r="BF1211" s="8" t="s">
        <v>200</v>
      </c>
      <c r="BG1211" s="7" t="s">
        <v>200</v>
      </c>
      <c r="BH1211" s="7" t="s">
        <v>200</v>
      </c>
      <c r="BI1211" s="7"/>
      <c r="BJ1211" s="4">
        <v>1</v>
      </c>
      <c r="BK1211" s="8">
        <v>557.88</v>
      </c>
      <c r="BL1211" s="2" t="s">
        <v>813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6779</v>
      </c>
      <c r="BV1211" s="2" t="s">
        <v>200</v>
      </c>
      <c r="BW1211" s="2" t="s">
        <v>200</v>
      </c>
      <c r="BX1211" s="2" t="s">
        <v>264</v>
      </c>
      <c r="BY1211" s="2" t="s">
        <v>247</v>
      </c>
      <c r="BZ1211" s="2" t="s">
        <v>212</v>
      </c>
      <c r="CA1211" s="2" t="s">
        <v>3245</v>
      </c>
      <c r="CB1211" s="2" t="s">
        <v>200</v>
      </c>
      <c r="CC1211" s="2" t="s">
        <v>213</v>
      </c>
      <c r="CD1211" s="2" t="s">
        <v>200</v>
      </c>
      <c r="CE1211" s="4"/>
      <c r="CF1211" s="4">
        <v>32</v>
      </c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  <c r="DE1211" s="4"/>
      <c r="DF1211" s="4"/>
      <c r="DG1211" s="4"/>
      <c r="DH1211" s="4"/>
      <c r="DI1211" s="4"/>
      <c r="DJ1211" s="4"/>
      <c r="DK1211" s="4"/>
      <c r="DL1211" s="4"/>
      <c r="DM1211" s="4"/>
      <c r="DN1211" s="4"/>
      <c r="DO1211" s="4"/>
      <c r="DP1211" s="4"/>
      <c r="DQ1211" s="4"/>
      <c r="DR1211" s="4"/>
      <c r="DS1211" s="4"/>
      <c r="DT1211" s="4"/>
      <c r="DU1211" s="4"/>
      <c r="DV1211" s="4"/>
      <c r="DW1211" s="4"/>
      <c r="DX1211" s="4"/>
      <c r="DY1211" s="4"/>
      <c r="DZ1211" s="4"/>
      <c r="EA1211" s="4"/>
      <c r="EB1211" s="4"/>
      <c r="EC1211" s="4"/>
      <c r="ED1211" s="4"/>
      <c r="EE1211" s="4"/>
      <c r="EF1211" s="4"/>
      <c r="EG1211" s="4"/>
      <c r="EH1211" s="4"/>
      <c r="EI1211" s="4"/>
      <c r="EJ1211" s="4"/>
      <c r="EK1211" s="4"/>
      <c r="EL1211" s="4"/>
      <c r="EM1211" s="4"/>
      <c r="EN1211" s="4"/>
      <c r="EO1211" s="4"/>
      <c r="EP1211" s="4"/>
      <c r="EQ1211" s="4"/>
      <c r="ER1211" s="4"/>
      <c r="ES1211" s="4"/>
      <c r="ET1211" s="4"/>
      <c r="EU1211" s="4"/>
      <c r="EV1211" s="4"/>
      <c r="EW1211" s="4"/>
      <c r="EX1211" s="4"/>
      <c r="EY1211" s="4"/>
      <c r="EZ1211" s="4"/>
      <c r="FA1211" s="4"/>
      <c r="FB1211" s="4"/>
      <c r="FC1211" s="4"/>
      <c r="FD1211" s="4"/>
      <c r="FE1211" s="4"/>
      <c r="FF1211" s="4"/>
      <c r="FG1211" s="4"/>
      <c r="FH1211" s="4"/>
      <c r="FI1211" s="4"/>
      <c r="FJ1211" s="4"/>
      <c r="FK1211" s="4"/>
      <c r="FL1211" s="4"/>
      <c r="FM1211" s="4"/>
      <c r="FN1211" s="4"/>
      <c r="FO1211" s="4"/>
      <c r="FP1211" s="4"/>
      <c r="FQ1211" s="4"/>
      <c r="FR1211" s="4"/>
      <c r="FS1211" s="4"/>
      <c r="FT1211" s="4"/>
      <c r="FU1211" s="4"/>
      <c r="FV1211" s="4"/>
      <c r="FW1211" s="4"/>
      <c r="FX1211" s="4"/>
      <c r="FY1211" s="4"/>
      <c r="FZ1211" s="4"/>
      <c r="GA1211" s="4"/>
      <c r="GB1211" s="4"/>
      <c r="GC1211" s="4"/>
      <c r="GD1211" s="4"/>
      <c r="GE1211" s="4"/>
      <c r="GF1211" s="4"/>
      <c r="GG1211" s="4"/>
      <c r="GH1211" s="4"/>
    </row>
    <row r="1212">
      <c r="A1212" s="2" t="s">
        <v>6780</v>
      </c>
      <c r="B1212" s="2" t="s">
        <v>744</v>
      </c>
      <c r="C1212" s="2" t="s">
        <v>745</v>
      </c>
      <c r="D1212" s="2" t="s">
        <v>6454</v>
      </c>
      <c r="E1212" s="2" t="s">
        <v>6455</v>
      </c>
      <c r="F1212" s="2" t="s">
        <v>6759</v>
      </c>
      <c r="G1212" s="2" t="s">
        <v>6759</v>
      </c>
      <c r="H1212" s="2" t="s">
        <v>6759</v>
      </c>
      <c r="I1212" s="2" t="s">
        <v>6781</v>
      </c>
      <c r="J1212" s="2" t="s">
        <v>711</v>
      </c>
      <c r="K1212" s="2" t="s">
        <v>4544</v>
      </c>
      <c r="L1212" s="3">
        <v>591.02</v>
      </c>
      <c r="M1212" s="3">
        <v>620.57</v>
      </c>
      <c r="N1212" s="3">
        <v>1239</v>
      </c>
      <c r="O1212" s="2" t="s">
        <v>212</v>
      </c>
      <c r="P1212" s="2" t="s">
        <v>802</v>
      </c>
      <c r="Q1212" s="2" t="s">
        <v>206</v>
      </c>
      <c r="R1212" s="2" t="s">
        <v>200</v>
      </c>
      <c r="S1212" s="2" t="s">
        <v>200</v>
      </c>
      <c r="T1212" s="2" t="s">
        <v>200</v>
      </c>
      <c r="U1212" s="2" t="s">
        <v>240</v>
      </c>
      <c r="V1212" s="2" t="s">
        <v>616</v>
      </c>
      <c r="W1212" s="2" t="s">
        <v>379</v>
      </c>
      <c r="X1212" s="2" t="s">
        <v>241</v>
      </c>
      <c r="Y1212" s="2" t="s">
        <v>4395</v>
      </c>
      <c r="Z1212" s="4">
        <v>32</v>
      </c>
      <c r="AA1212" s="4">
        <f>=ROUNDDOWN(320,0)</f>
      </c>
      <c r="AB1212" s="5">
        <v>0.1</v>
      </c>
      <c r="AC1212" s="2" t="s">
        <v>200</v>
      </c>
      <c r="AD1212" s="4"/>
      <c r="AE1212" s="4"/>
      <c r="AF1212" s="6"/>
      <c r="AG1212" s="6"/>
      <c r="AH1212" s="7">
        <v>1</v>
      </c>
      <c r="AI1212" s="4"/>
      <c r="AJ1212" s="4">
        <f>=ROUNDDOWN({0},0)</f>
      </c>
      <c r="AK1212" s="5"/>
      <c r="AL1212" s="2" t="s">
        <v>200</v>
      </c>
      <c r="AM1212" s="4"/>
      <c r="AN1212" s="4"/>
      <c r="AO1212" s="7"/>
      <c r="AP1212" s="4"/>
      <c r="AQ1212" s="8"/>
      <c r="AR1212" s="4"/>
      <c r="AS1212" s="8"/>
      <c r="AT1212" s="7"/>
      <c r="AU1212" s="7"/>
      <c r="AV1212" s="4" t="s">
        <v>200</v>
      </c>
      <c r="AW1212" s="8" t="s">
        <v>200</v>
      </c>
      <c r="AX1212" s="4" t="s">
        <v>200</v>
      </c>
      <c r="AY1212" s="8" t="s">
        <v>200</v>
      </c>
      <c r="AZ1212" s="7" t="s">
        <v>200</v>
      </c>
      <c r="BA1212" s="7" t="s">
        <v>200</v>
      </c>
      <c r="BB1212" s="7" t="s">
        <v>200</v>
      </c>
      <c r="BC1212" s="4" t="s">
        <v>200</v>
      </c>
      <c r="BD1212" s="8" t="s">
        <v>200</v>
      </c>
      <c r="BE1212" s="4" t="s">
        <v>200</v>
      </c>
      <c r="BF1212" s="8" t="s">
        <v>200</v>
      </c>
      <c r="BG1212" s="7" t="s">
        <v>200</v>
      </c>
      <c r="BH1212" s="7" t="s">
        <v>200</v>
      </c>
      <c r="BI1212" s="7"/>
      <c r="BJ1212" s="4">
        <v>1</v>
      </c>
      <c r="BK1212" s="8">
        <v>558.52</v>
      </c>
      <c r="BL1212" s="2" t="s">
        <v>813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6782</v>
      </c>
      <c r="BV1212" s="2" t="s">
        <v>200</v>
      </c>
      <c r="BW1212" s="2" t="s">
        <v>200</v>
      </c>
      <c r="BX1212" s="2" t="s">
        <v>264</v>
      </c>
      <c r="BY1212" s="2" t="s">
        <v>247</v>
      </c>
      <c r="BZ1212" s="2" t="s">
        <v>212</v>
      </c>
      <c r="CA1212" s="2" t="s">
        <v>3245</v>
      </c>
      <c r="CB1212" s="2" t="s">
        <v>2703</v>
      </c>
      <c r="CC1212" s="2" t="s">
        <v>213</v>
      </c>
      <c r="CD1212" s="2" t="s">
        <v>200</v>
      </c>
      <c r="CE1212" s="4"/>
      <c r="CF1212" s="4">
        <v>32</v>
      </c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  <c r="DP1212" s="4"/>
      <c r="DQ1212" s="4"/>
      <c r="DR1212" s="4"/>
      <c r="DS1212" s="4"/>
      <c r="DT1212" s="4"/>
      <c r="DU1212" s="4"/>
      <c r="DV1212" s="4"/>
      <c r="DW1212" s="4"/>
      <c r="DX1212" s="4"/>
      <c r="DY1212" s="4"/>
      <c r="DZ1212" s="4"/>
      <c r="EA1212" s="4"/>
      <c r="EB1212" s="4"/>
      <c r="EC1212" s="4"/>
      <c r="ED1212" s="4"/>
      <c r="EE1212" s="4"/>
      <c r="EF1212" s="4"/>
      <c r="EG1212" s="4"/>
      <c r="EH1212" s="4"/>
      <c r="EI1212" s="4"/>
      <c r="EJ1212" s="4"/>
      <c r="EK1212" s="4"/>
      <c r="EL1212" s="4"/>
      <c r="EM1212" s="4"/>
      <c r="EN1212" s="4"/>
      <c r="EO1212" s="4"/>
      <c r="EP1212" s="4"/>
      <c r="EQ1212" s="4"/>
      <c r="ER1212" s="4"/>
      <c r="ES1212" s="4"/>
      <c r="ET1212" s="4"/>
      <c r="EU1212" s="4"/>
      <c r="EV1212" s="4"/>
      <c r="EW1212" s="4"/>
      <c r="EX1212" s="4"/>
      <c r="EY1212" s="4"/>
      <c r="EZ1212" s="4"/>
      <c r="FA1212" s="4"/>
      <c r="FB1212" s="4"/>
      <c r="FC1212" s="4"/>
      <c r="FD1212" s="4"/>
      <c r="FE1212" s="4"/>
      <c r="FF1212" s="4"/>
      <c r="FG1212" s="4"/>
      <c r="FH1212" s="4"/>
      <c r="FI1212" s="4"/>
      <c r="FJ1212" s="4"/>
      <c r="FK1212" s="4"/>
      <c r="FL1212" s="4"/>
      <c r="FM1212" s="4"/>
      <c r="FN1212" s="4"/>
      <c r="FO1212" s="4"/>
      <c r="FP1212" s="4"/>
      <c r="FQ1212" s="4"/>
      <c r="FR1212" s="4"/>
      <c r="FS1212" s="4"/>
      <c r="FT1212" s="4"/>
      <c r="FU1212" s="4"/>
      <c r="FV1212" s="4"/>
      <c r="FW1212" s="4"/>
      <c r="FX1212" s="4"/>
      <c r="FY1212" s="4"/>
      <c r="FZ1212" s="4"/>
      <c r="GA1212" s="4"/>
      <c r="GB1212" s="4"/>
      <c r="GC1212" s="4"/>
      <c r="GD1212" s="4"/>
      <c r="GE1212" s="4"/>
      <c r="GF1212" s="4"/>
      <c r="GG1212" s="4"/>
      <c r="GH1212" s="4"/>
    </row>
    <row r="1213">
      <c r="A1213" s="2" t="s">
        <v>6783</v>
      </c>
      <c r="B1213" s="2" t="s">
        <v>744</v>
      </c>
      <c r="C1213" s="2" t="s">
        <v>745</v>
      </c>
      <c r="D1213" s="2" t="s">
        <v>6454</v>
      </c>
      <c r="E1213" s="2" t="s">
        <v>6758</v>
      </c>
      <c r="F1213" s="2" t="s">
        <v>6759</v>
      </c>
      <c r="G1213" s="2" t="s">
        <v>6759</v>
      </c>
      <c r="H1213" s="2" t="s">
        <v>6759</v>
      </c>
      <c r="I1213" s="2" t="s">
        <v>6760</v>
      </c>
      <c r="J1213" s="2" t="s">
        <v>2091</v>
      </c>
      <c r="K1213" s="2" t="s">
        <v>6784</v>
      </c>
      <c r="L1213" s="3">
        <v>157.5</v>
      </c>
      <c r="M1213" s="3">
        <v>165.38</v>
      </c>
      <c r="N1213" s="3">
        <v>329</v>
      </c>
      <c r="O1213" s="2" t="s">
        <v>212</v>
      </c>
      <c r="P1213" s="2" t="s">
        <v>750</v>
      </c>
      <c r="Q1213" s="2" t="s">
        <v>206</v>
      </c>
      <c r="R1213" s="2" t="s">
        <v>200</v>
      </c>
      <c r="S1213" s="2" t="s">
        <v>200</v>
      </c>
      <c r="T1213" s="2" t="s">
        <v>200</v>
      </c>
      <c r="U1213" s="2" t="s">
        <v>270</v>
      </c>
      <c r="V1213" s="2" t="s">
        <v>616</v>
      </c>
      <c r="W1213" s="2" t="s">
        <v>379</v>
      </c>
      <c r="X1213" s="2" t="s">
        <v>241</v>
      </c>
      <c r="Y1213" s="2" t="s">
        <v>5691</v>
      </c>
      <c r="Z1213" s="4">
        <v>98</v>
      </c>
      <c r="AA1213" s="4">
        <f>=ROUNDDOWN(108.888888888889,0)</f>
      </c>
      <c r="AB1213" s="5">
        <v>0.9</v>
      </c>
      <c r="AC1213" s="2" t="s">
        <v>200</v>
      </c>
      <c r="AD1213" s="4"/>
      <c r="AE1213" s="4"/>
      <c r="AF1213" s="6">
        <v>76</v>
      </c>
      <c r="AG1213" s="6"/>
      <c r="AH1213" s="7">
        <v>1</v>
      </c>
      <c r="AI1213" s="4"/>
      <c r="AJ1213" s="4">
        <f>=ROUNDDOWN({0},0)</f>
      </c>
      <c r="AK1213" s="5"/>
      <c r="AL1213" s="2" t="s">
        <v>200</v>
      </c>
      <c r="AM1213" s="4"/>
      <c r="AN1213" s="4"/>
      <c r="AO1213" s="7"/>
      <c r="AP1213" s="4"/>
      <c r="AQ1213" s="8"/>
      <c r="AR1213" s="4"/>
      <c r="AS1213" s="8"/>
      <c r="AT1213" s="7"/>
      <c r="AU1213" s="7"/>
      <c r="AV1213" s="4" t="s">
        <v>200</v>
      </c>
      <c r="AW1213" s="8" t="s">
        <v>200</v>
      </c>
      <c r="AX1213" s="4" t="s">
        <v>200</v>
      </c>
      <c r="AY1213" s="8" t="s">
        <v>200</v>
      </c>
      <c r="AZ1213" s="7" t="s">
        <v>200</v>
      </c>
      <c r="BA1213" s="7" t="s">
        <v>200</v>
      </c>
      <c r="BB1213" s="7"/>
      <c r="BC1213" s="4" t="s">
        <v>200</v>
      </c>
      <c r="BD1213" s="8" t="s">
        <v>200</v>
      </c>
      <c r="BE1213" s="4" t="s">
        <v>200</v>
      </c>
      <c r="BF1213" s="8" t="s">
        <v>200</v>
      </c>
      <c r="BG1213" s="7" t="s">
        <v>200</v>
      </c>
      <c r="BH1213" s="7" t="s">
        <v>200</v>
      </c>
      <c r="BI1213" s="7"/>
      <c r="BJ1213" s="4">
        <v>6</v>
      </c>
      <c r="BK1213" s="8">
        <v>843.42</v>
      </c>
      <c r="BL1213" s="2" t="s">
        <v>6785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6786</v>
      </c>
      <c r="BV1213" s="2" t="s">
        <v>200</v>
      </c>
      <c r="BW1213" s="2" t="s">
        <v>200</v>
      </c>
      <c r="BX1213" s="2" t="s">
        <v>264</v>
      </c>
      <c r="BY1213" s="2" t="s">
        <v>247</v>
      </c>
      <c r="BZ1213" s="2" t="s">
        <v>212</v>
      </c>
      <c r="CA1213" s="2" t="s">
        <v>6787</v>
      </c>
      <c r="CB1213" s="2" t="s">
        <v>4846</v>
      </c>
      <c r="CC1213" s="2" t="s">
        <v>213</v>
      </c>
      <c r="CD1213" s="2" t="s">
        <v>200</v>
      </c>
      <c r="CE1213" s="4"/>
      <c r="CF1213" s="4">
        <v>98</v>
      </c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  <c r="DP1213" s="4"/>
      <c r="DQ1213" s="4"/>
      <c r="DR1213" s="4"/>
      <c r="DS1213" s="4"/>
      <c r="DT1213" s="4"/>
      <c r="DU1213" s="4"/>
      <c r="DV1213" s="4"/>
      <c r="DW1213" s="4"/>
      <c r="DX1213" s="4"/>
      <c r="DY1213" s="4"/>
      <c r="DZ1213" s="4"/>
      <c r="EA1213" s="4"/>
      <c r="EB1213" s="4"/>
      <c r="EC1213" s="4"/>
      <c r="ED1213" s="4"/>
      <c r="EE1213" s="4"/>
      <c r="EF1213" s="4"/>
      <c r="EG1213" s="4"/>
      <c r="EH1213" s="4"/>
      <c r="EI1213" s="4"/>
      <c r="EJ1213" s="4"/>
      <c r="EK1213" s="4"/>
      <c r="EL1213" s="4"/>
      <c r="EM1213" s="4"/>
      <c r="EN1213" s="4"/>
      <c r="EO1213" s="4"/>
      <c r="EP1213" s="4"/>
      <c r="EQ1213" s="4"/>
      <c r="ER1213" s="4"/>
      <c r="ES1213" s="4"/>
      <c r="ET1213" s="4"/>
      <c r="EU1213" s="4"/>
      <c r="EV1213" s="4"/>
      <c r="EW1213" s="4"/>
      <c r="EX1213" s="4"/>
      <c r="EY1213" s="4"/>
      <c r="EZ1213" s="4"/>
      <c r="FA1213" s="4"/>
      <c r="FB1213" s="4"/>
      <c r="FC1213" s="4"/>
      <c r="FD1213" s="4"/>
      <c r="FE1213" s="4"/>
      <c r="FF1213" s="4"/>
      <c r="FG1213" s="4"/>
      <c r="FH1213" s="4"/>
      <c r="FI1213" s="4"/>
      <c r="FJ1213" s="4"/>
      <c r="FK1213" s="4"/>
      <c r="FL1213" s="4"/>
      <c r="FM1213" s="4"/>
      <c r="FN1213" s="4"/>
      <c r="FO1213" s="4"/>
      <c r="FP1213" s="4"/>
      <c r="FQ1213" s="4"/>
      <c r="FR1213" s="4"/>
      <c r="FS1213" s="4"/>
      <c r="FT1213" s="4"/>
      <c r="FU1213" s="4"/>
      <c r="FV1213" s="4"/>
      <c r="FW1213" s="4"/>
      <c r="FX1213" s="4"/>
      <c r="FY1213" s="4"/>
      <c r="FZ1213" s="4"/>
      <c r="GA1213" s="4"/>
      <c r="GB1213" s="4"/>
      <c r="GC1213" s="4"/>
      <c r="GD1213" s="4"/>
      <c r="GE1213" s="4"/>
      <c r="GF1213" s="4"/>
      <c r="GG1213" s="4"/>
      <c r="GH1213" s="4"/>
    </row>
    <row r="1214">
      <c r="A1214" s="2" t="s">
        <v>6788</v>
      </c>
      <c r="B1214" s="2" t="s">
        <v>744</v>
      </c>
      <c r="C1214" s="2" t="s">
        <v>745</v>
      </c>
      <c r="D1214" s="2" t="s">
        <v>6454</v>
      </c>
      <c r="E1214" s="2" t="s">
        <v>6758</v>
      </c>
      <c r="F1214" s="2" t="s">
        <v>6759</v>
      </c>
      <c r="G1214" s="2" t="s">
        <v>6759</v>
      </c>
      <c r="H1214" s="2" t="s">
        <v>6759</v>
      </c>
      <c r="I1214" s="2" t="s">
        <v>6789</v>
      </c>
      <c r="J1214" s="2" t="s">
        <v>6790</v>
      </c>
      <c r="K1214" s="2" t="s">
        <v>6784</v>
      </c>
      <c r="L1214" s="3">
        <v>166.5</v>
      </c>
      <c r="M1214" s="3">
        <v>174.82</v>
      </c>
      <c r="N1214" s="3">
        <v>349</v>
      </c>
      <c r="O1214" s="2" t="s">
        <v>212</v>
      </c>
      <c r="P1214" s="2" t="s">
        <v>750</v>
      </c>
      <c r="Q1214" s="2" t="s">
        <v>206</v>
      </c>
      <c r="R1214" s="2" t="s">
        <v>200</v>
      </c>
      <c r="S1214" s="2" t="s">
        <v>200</v>
      </c>
      <c r="T1214" s="2" t="s">
        <v>200</v>
      </c>
      <c r="U1214" s="2" t="s">
        <v>270</v>
      </c>
      <c r="V1214" s="2" t="s">
        <v>616</v>
      </c>
      <c r="W1214" s="2" t="s">
        <v>379</v>
      </c>
      <c r="X1214" s="2" t="s">
        <v>241</v>
      </c>
      <c r="Y1214" s="2" t="s">
        <v>5691</v>
      </c>
      <c r="Z1214" s="4">
        <v>71</v>
      </c>
      <c r="AA1214" s="4">
        <f>=ROUNDDOWN(142,0)</f>
      </c>
      <c r="AB1214" s="5">
        <v>0.5</v>
      </c>
      <c r="AC1214" s="2" t="s">
        <v>200</v>
      </c>
      <c r="AD1214" s="4"/>
      <c r="AE1214" s="4"/>
      <c r="AF1214" s="6">
        <v>76</v>
      </c>
      <c r="AG1214" s="6"/>
      <c r="AH1214" s="7">
        <v>1</v>
      </c>
      <c r="AI1214" s="4"/>
      <c r="AJ1214" s="4">
        <f>=ROUNDDOWN({0},0)</f>
      </c>
      <c r="AK1214" s="5"/>
      <c r="AL1214" s="2" t="s">
        <v>200</v>
      </c>
      <c r="AM1214" s="4"/>
      <c r="AN1214" s="4"/>
      <c r="AO1214" s="7"/>
      <c r="AP1214" s="4"/>
      <c r="AQ1214" s="8"/>
      <c r="AR1214" s="4"/>
      <c r="AS1214" s="8"/>
      <c r="AT1214" s="7"/>
      <c r="AU1214" s="7"/>
      <c r="AV1214" s="4" t="s">
        <v>200</v>
      </c>
      <c r="AW1214" s="8" t="s">
        <v>200</v>
      </c>
      <c r="AX1214" s="4" t="s">
        <v>200</v>
      </c>
      <c r="AY1214" s="8" t="s">
        <v>200</v>
      </c>
      <c r="AZ1214" s="7" t="s">
        <v>200</v>
      </c>
      <c r="BA1214" s="7" t="s">
        <v>200</v>
      </c>
      <c r="BB1214" s="7"/>
      <c r="BC1214" s="4" t="s">
        <v>200</v>
      </c>
      <c r="BD1214" s="8" t="s">
        <v>200</v>
      </c>
      <c r="BE1214" s="4" t="s">
        <v>200</v>
      </c>
      <c r="BF1214" s="8" t="s">
        <v>200</v>
      </c>
      <c r="BG1214" s="7" t="s">
        <v>200</v>
      </c>
      <c r="BH1214" s="7" t="s">
        <v>200</v>
      </c>
      <c r="BI1214" s="7"/>
      <c r="BJ1214" s="4">
        <v>6</v>
      </c>
      <c r="BK1214" s="8">
        <v>891.6</v>
      </c>
      <c r="BL1214" s="2" t="s">
        <v>6791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6792</v>
      </c>
      <c r="BV1214" s="2" t="s">
        <v>200</v>
      </c>
      <c r="BW1214" s="2" t="s">
        <v>200</v>
      </c>
      <c r="BX1214" s="2" t="s">
        <v>264</v>
      </c>
      <c r="BY1214" s="2" t="s">
        <v>247</v>
      </c>
      <c r="BZ1214" s="2" t="s">
        <v>212</v>
      </c>
      <c r="CA1214" s="2" t="s">
        <v>6787</v>
      </c>
      <c r="CB1214" s="2" t="s">
        <v>4590</v>
      </c>
      <c r="CC1214" s="2" t="s">
        <v>213</v>
      </c>
      <c r="CD1214" s="2" t="s">
        <v>200</v>
      </c>
      <c r="CE1214" s="4"/>
      <c r="CF1214" s="4">
        <v>71</v>
      </c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E1214" s="4"/>
      <c r="DF1214" s="4"/>
      <c r="DG1214" s="4"/>
      <c r="DH1214" s="4"/>
      <c r="DI1214" s="4"/>
      <c r="DJ1214" s="4"/>
      <c r="DK1214" s="4"/>
      <c r="DL1214" s="4"/>
      <c r="DM1214" s="4"/>
      <c r="DN1214" s="4"/>
      <c r="DO1214" s="4"/>
      <c r="DP1214" s="4"/>
      <c r="DQ1214" s="4"/>
      <c r="DR1214" s="4"/>
      <c r="DS1214" s="4"/>
      <c r="DT1214" s="4"/>
      <c r="DU1214" s="4"/>
      <c r="DV1214" s="4"/>
      <c r="DW1214" s="4"/>
      <c r="DX1214" s="4"/>
      <c r="DY1214" s="4"/>
      <c r="DZ1214" s="4"/>
      <c r="EA1214" s="4"/>
      <c r="EB1214" s="4"/>
      <c r="EC1214" s="4"/>
      <c r="ED1214" s="4"/>
      <c r="EE1214" s="4"/>
      <c r="EF1214" s="4"/>
      <c r="EG1214" s="4"/>
      <c r="EH1214" s="4"/>
      <c r="EI1214" s="4"/>
      <c r="EJ1214" s="4"/>
      <c r="EK1214" s="4"/>
      <c r="EL1214" s="4"/>
      <c r="EM1214" s="4"/>
      <c r="EN1214" s="4"/>
      <c r="EO1214" s="4"/>
      <c r="EP1214" s="4"/>
      <c r="EQ1214" s="4"/>
      <c r="ER1214" s="4"/>
      <c r="ES1214" s="4"/>
      <c r="ET1214" s="4"/>
      <c r="EU1214" s="4"/>
      <c r="EV1214" s="4"/>
      <c r="EW1214" s="4"/>
      <c r="EX1214" s="4"/>
      <c r="EY1214" s="4"/>
      <c r="EZ1214" s="4"/>
      <c r="FA1214" s="4"/>
      <c r="FB1214" s="4"/>
      <c r="FC1214" s="4"/>
      <c r="FD1214" s="4"/>
      <c r="FE1214" s="4"/>
      <c r="FF1214" s="4"/>
      <c r="FG1214" s="4"/>
      <c r="FH1214" s="4"/>
      <c r="FI1214" s="4"/>
      <c r="FJ1214" s="4"/>
      <c r="FK1214" s="4"/>
      <c r="FL1214" s="4"/>
      <c r="FM1214" s="4"/>
      <c r="FN1214" s="4"/>
      <c r="FO1214" s="4"/>
      <c r="FP1214" s="4"/>
      <c r="FQ1214" s="4"/>
      <c r="FR1214" s="4"/>
      <c r="FS1214" s="4"/>
      <c r="FT1214" s="4"/>
      <c r="FU1214" s="4"/>
      <c r="FV1214" s="4"/>
      <c r="FW1214" s="4"/>
      <c r="FX1214" s="4"/>
      <c r="FY1214" s="4"/>
      <c r="FZ1214" s="4"/>
      <c r="GA1214" s="4"/>
      <c r="GB1214" s="4"/>
      <c r="GC1214" s="4"/>
      <c r="GD1214" s="4"/>
      <c r="GE1214" s="4"/>
      <c r="GF1214" s="4"/>
      <c r="GG1214" s="4"/>
      <c r="GH1214" s="4"/>
    </row>
    <row r="1215">
      <c r="A1215" s="2" t="s">
        <v>6793</v>
      </c>
      <c r="B1215" s="2" t="s">
        <v>744</v>
      </c>
      <c r="C1215" s="2" t="s">
        <v>745</v>
      </c>
      <c r="D1215" s="2" t="s">
        <v>6454</v>
      </c>
      <c r="E1215" s="2" t="s">
        <v>6758</v>
      </c>
      <c r="F1215" s="2" t="s">
        <v>6759</v>
      </c>
      <c r="G1215" s="2" t="s">
        <v>6759</v>
      </c>
      <c r="H1215" s="2" t="s">
        <v>6759</v>
      </c>
      <c r="I1215" s="2" t="s">
        <v>6763</v>
      </c>
      <c r="J1215" s="2" t="s">
        <v>2678</v>
      </c>
      <c r="K1215" s="2" t="s">
        <v>6784</v>
      </c>
      <c r="L1215" s="3">
        <v>118.8</v>
      </c>
      <c r="M1215" s="3">
        <v>124.74</v>
      </c>
      <c r="N1215" s="3">
        <v>249</v>
      </c>
      <c r="O1215" s="2" t="s">
        <v>212</v>
      </c>
      <c r="P1215" s="2" t="s">
        <v>750</v>
      </c>
      <c r="Q1215" s="2" t="s">
        <v>206</v>
      </c>
      <c r="R1215" s="2" t="s">
        <v>200</v>
      </c>
      <c r="S1215" s="2" t="s">
        <v>200</v>
      </c>
      <c r="T1215" s="2" t="s">
        <v>200</v>
      </c>
      <c r="U1215" s="2" t="s">
        <v>270</v>
      </c>
      <c r="V1215" s="2" t="s">
        <v>616</v>
      </c>
      <c r="W1215" s="2" t="s">
        <v>379</v>
      </c>
      <c r="X1215" s="2" t="s">
        <v>241</v>
      </c>
      <c r="Y1215" s="2" t="s">
        <v>5691</v>
      </c>
      <c r="Z1215" s="4">
        <v>30</v>
      </c>
      <c r="AA1215" s="4">
        <f>=ROUNDDOWN(60,0)</f>
      </c>
      <c r="AB1215" s="5">
        <v>0.5</v>
      </c>
      <c r="AC1215" s="2" t="s">
        <v>6794</v>
      </c>
      <c r="AD1215" s="4">
        <v>50</v>
      </c>
      <c r="AE1215" s="4">
        <v>50</v>
      </c>
      <c r="AF1215" s="6">
        <v>76</v>
      </c>
      <c r="AG1215" s="6"/>
      <c r="AH1215" s="7">
        <v>1</v>
      </c>
      <c r="AI1215" s="4"/>
      <c r="AJ1215" s="4">
        <f>=ROUNDDOWN({0},0)</f>
      </c>
      <c r="AK1215" s="5"/>
      <c r="AL1215" s="2" t="s">
        <v>200</v>
      </c>
      <c r="AM1215" s="4"/>
      <c r="AN1215" s="4"/>
      <c r="AO1215" s="7"/>
      <c r="AP1215" s="4"/>
      <c r="AQ1215" s="8"/>
      <c r="AR1215" s="4"/>
      <c r="AS1215" s="8"/>
      <c r="AT1215" s="7"/>
      <c r="AU1215" s="7"/>
      <c r="AV1215" s="4" t="s">
        <v>200</v>
      </c>
      <c r="AW1215" s="8" t="s">
        <v>200</v>
      </c>
      <c r="AX1215" s="4" t="s">
        <v>200</v>
      </c>
      <c r="AY1215" s="8" t="s">
        <v>200</v>
      </c>
      <c r="AZ1215" s="7" t="s">
        <v>200</v>
      </c>
      <c r="BA1215" s="7" t="s">
        <v>200</v>
      </c>
      <c r="BB1215" s="7"/>
      <c r="BC1215" s="4" t="s">
        <v>200</v>
      </c>
      <c r="BD1215" s="8" t="s">
        <v>200</v>
      </c>
      <c r="BE1215" s="4" t="s">
        <v>200</v>
      </c>
      <c r="BF1215" s="8" t="s">
        <v>200</v>
      </c>
      <c r="BG1215" s="7" t="s">
        <v>200</v>
      </c>
      <c r="BH1215" s="7" t="s">
        <v>200</v>
      </c>
      <c r="BI1215" s="7"/>
      <c r="BJ1215" s="4">
        <v>1</v>
      </c>
      <c r="BK1215" s="8">
        <v>106.03</v>
      </c>
      <c r="BL1215" s="2" t="s">
        <v>6795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6796</v>
      </c>
      <c r="BV1215" s="2" t="s">
        <v>200</v>
      </c>
      <c r="BW1215" s="2" t="s">
        <v>200</v>
      </c>
      <c r="BX1215" s="2" t="s">
        <v>264</v>
      </c>
      <c r="BY1215" s="2" t="s">
        <v>247</v>
      </c>
      <c r="BZ1215" s="2" t="s">
        <v>212</v>
      </c>
      <c r="CA1215" s="2" t="s">
        <v>6787</v>
      </c>
      <c r="CB1215" s="2" t="s">
        <v>1620</v>
      </c>
      <c r="CC1215" s="2" t="s">
        <v>213</v>
      </c>
      <c r="CD1215" s="2" t="s">
        <v>200</v>
      </c>
      <c r="CE1215" s="4"/>
      <c r="CF1215" s="4">
        <v>30</v>
      </c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/>
      <c r="DL1215" s="4"/>
      <c r="DM1215" s="4"/>
      <c r="DN1215" s="4"/>
      <c r="DO1215" s="4"/>
      <c r="DP1215" s="4"/>
      <c r="DQ1215" s="4"/>
      <c r="DR1215" s="4"/>
      <c r="DS1215" s="4"/>
      <c r="DT1215" s="4"/>
      <c r="DU1215" s="4"/>
      <c r="DV1215" s="4"/>
      <c r="DW1215" s="4"/>
      <c r="DX1215" s="4"/>
      <c r="DY1215" s="4"/>
      <c r="DZ1215" s="4"/>
      <c r="EA1215" s="4"/>
      <c r="EB1215" s="4"/>
      <c r="EC1215" s="4"/>
      <c r="ED1215" s="4"/>
      <c r="EE1215" s="4"/>
      <c r="EF1215" s="4"/>
      <c r="EG1215" s="4"/>
      <c r="EH1215" s="4"/>
      <c r="EI1215" s="4"/>
      <c r="EJ1215" s="4"/>
      <c r="EK1215" s="4"/>
      <c r="EL1215" s="4"/>
      <c r="EM1215" s="4"/>
      <c r="EN1215" s="4"/>
      <c r="EO1215" s="4"/>
      <c r="EP1215" s="4"/>
      <c r="EQ1215" s="4"/>
      <c r="ER1215" s="4"/>
      <c r="ES1215" s="4"/>
      <c r="ET1215" s="4"/>
      <c r="EU1215" s="4"/>
      <c r="EV1215" s="4"/>
      <c r="EW1215" s="4"/>
      <c r="EX1215" s="4"/>
      <c r="EY1215" s="4"/>
      <c r="EZ1215" s="4"/>
      <c r="FA1215" s="4"/>
      <c r="FB1215" s="4"/>
      <c r="FC1215" s="4"/>
      <c r="FD1215" s="4"/>
      <c r="FE1215" s="4">
        <v>50</v>
      </c>
      <c r="FF1215" s="4"/>
      <c r="FG1215" s="4"/>
      <c r="FH1215" s="4"/>
      <c r="FI1215" s="4"/>
      <c r="FJ1215" s="4"/>
      <c r="FK1215" s="4"/>
      <c r="FL1215" s="4"/>
      <c r="FM1215" s="4"/>
      <c r="FN1215" s="4"/>
      <c r="FO1215" s="4"/>
      <c r="FP1215" s="4"/>
      <c r="FQ1215" s="4"/>
      <c r="FR1215" s="4"/>
      <c r="FS1215" s="4"/>
      <c r="FT1215" s="4"/>
      <c r="FU1215" s="4"/>
      <c r="FV1215" s="4"/>
      <c r="FW1215" s="4"/>
      <c r="FX1215" s="4"/>
      <c r="FY1215" s="4"/>
      <c r="FZ1215" s="4"/>
      <c r="GA1215" s="4"/>
      <c r="GB1215" s="4"/>
      <c r="GC1215" s="4"/>
      <c r="GD1215" s="4"/>
      <c r="GE1215" s="4"/>
      <c r="GF1215" s="4"/>
      <c r="GG1215" s="4"/>
      <c r="GH1215" s="4"/>
    </row>
    <row r="1216">
      <c r="A1216" s="2" t="s">
        <v>6797</v>
      </c>
      <c r="B1216" s="2" t="s">
        <v>744</v>
      </c>
      <c r="C1216" s="2" t="s">
        <v>745</v>
      </c>
      <c r="D1216" s="2" t="s">
        <v>6454</v>
      </c>
      <c r="E1216" s="2" t="s">
        <v>6455</v>
      </c>
      <c r="F1216" s="2" t="s">
        <v>6759</v>
      </c>
      <c r="G1216" s="2" t="s">
        <v>6759</v>
      </c>
      <c r="H1216" s="2" t="s">
        <v>6759</v>
      </c>
      <c r="I1216" s="2" t="s">
        <v>6766</v>
      </c>
      <c r="J1216" s="2" t="s">
        <v>711</v>
      </c>
      <c r="K1216" s="2" t="s">
        <v>6784</v>
      </c>
      <c r="L1216" s="3">
        <v>326.34</v>
      </c>
      <c r="M1216" s="3">
        <v>342.66</v>
      </c>
      <c r="N1216" s="3">
        <v>689</v>
      </c>
      <c r="O1216" s="2" t="s">
        <v>212</v>
      </c>
      <c r="P1216" s="2" t="s">
        <v>802</v>
      </c>
      <c r="Q1216" s="2" t="s">
        <v>206</v>
      </c>
      <c r="R1216" s="2" t="s">
        <v>200</v>
      </c>
      <c r="S1216" s="2" t="s">
        <v>200</v>
      </c>
      <c r="T1216" s="2" t="s">
        <v>200</v>
      </c>
      <c r="U1216" s="2" t="s">
        <v>677</v>
      </c>
      <c r="V1216" s="2" t="s">
        <v>616</v>
      </c>
      <c r="W1216" s="2" t="s">
        <v>379</v>
      </c>
      <c r="X1216" s="2" t="s">
        <v>241</v>
      </c>
      <c r="Y1216" s="2" t="s">
        <v>6787</v>
      </c>
      <c r="Z1216" s="4">
        <v>38</v>
      </c>
      <c r="AA1216" s="4">
        <f>=ROUNDDOWN({0},0)</f>
      </c>
      <c r="AB1216" s="5"/>
      <c r="AC1216" s="2" t="s">
        <v>200</v>
      </c>
      <c r="AD1216" s="4"/>
      <c r="AE1216" s="4"/>
      <c r="AF1216" s="6"/>
      <c r="AG1216" s="6"/>
      <c r="AH1216" s="7">
        <v>1</v>
      </c>
      <c r="AI1216" s="4"/>
      <c r="AJ1216" s="4">
        <f>=ROUNDDOWN({0},0)</f>
      </c>
      <c r="AK1216" s="5"/>
      <c r="AL1216" s="2" t="s">
        <v>200</v>
      </c>
      <c r="AM1216" s="4"/>
      <c r="AN1216" s="4"/>
      <c r="AO1216" s="7"/>
      <c r="AP1216" s="4"/>
      <c r="AQ1216" s="8"/>
      <c r="AR1216" s="4"/>
      <c r="AS1216" s="8"/>
      <c r="AT1216" s="7"/>
      <c r="AU1216" s="7"/>
      <c r="AV1216" s="4" t="s">
        <v>200</v>
      </c>
      <c r="AW1216" s="8" t="s">
        <v>200</v>
      </c>
      <c r="AX1216" s="4" t="s">
        <v>200</v>
      </c>
      <c r="AY1216" s="8" t="s">
        <v>200</v>
      </c>
      <c r="AZ1216" s="7" t="s">
        <v>200</v>
      </c>
      <c r="BA1216" s="7" t="s">
        <v>200</v>
      </c>
      <c r="BB1216" s="7" t="s">
        <v>200</v>
      </c>
      <c r="BC1216" s="4" t="s">
        <v>200</v>
      </c>
      <c r="BD1216" s="8" t="s">
        <v>200</v>
      </c>
      <c r="BE1216" s="4" t="s">
        <v>200</v>
      </c>
      <c r="BF1216" s="8" t="s">
        <v>200</v>
      </c>
      <c r="BG1216" s="7" t="s">
        <v>200</v>
      </c>
      <c r="BH1216" s="7" t="s">
        <v>200</v>
      </c>
      <c r="BI1216" s="7"/>
      <c r="BJ1216" s="4"/>
      <c r="BK1216" s="8"/>
      <c r="BL1216" s="2" t="s">
        <v>200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6798</v>
      </c>
      <c r="BV1216" s="2" t="s">
        <v>200</v>
      </c>
      <c r="BW1216" s="2" t="s">
        <v>200</v>
      </c>
      <c r="BX1216" s="2" t="s">
        <v>264</v>
      </c>
      <c r="BY1216" s="2" t="s">
        <v>247</v>
      </c>
      <c r="BZ1216" s="2" t="s">
        <v>212</v>
      </c>
      <c r="CA1216" s="2" t="s">
        <v>4773</v>
      </c>
      <c r="CB1216" s="2" t="s">
        <v>200</v>
      </c>
      <c r="CC1216" s="2" t="s">
        <v>213</v>
      </c>
      <c r="CD1216" s="2" t="s">
        <v>200</v>
      </c>
      <c r="CE1216" s="4"/>
      <c r="CF1216" s="4">
        <v>38</v>
      </c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E1216" s="4"/>
      <c r="DF1216" s="4"/>
      <c r="DG1216" s="4"/>
      <c r="DH1216" s="4"/>
      <c r="DI1216" s="4"/>
      <c r="DJ1216" s="4"/>
      <c r="DK1216" s="4"/>
      <c r="DL1216" s="4"/>
      <c r="DM1216" s="4"/>
      <c r="DN1216" s="4"/>
      <c r="DO1216" s="4"/>
      <c r="DP1216" s="4"/>
      <c r="DQ1216" s="4"/>
      <c r="DR1216" s="4"/>
      <c r="DS1216" s="4"/>
      <c r="DT1216" s="4"/>
      <c r="DU1216" s="4"/>
      <c r="DV1216" s="4"/>
      <c r="DW1216" s="4"/>
      <c r="DX1216" s="4"/>
      <c r="DY1216" s="4"/>
      <c r="DZ1216" s="4"/>
      <c r="EA1216" s="4"/>
      <c r="EB1216" s="4"/>
      <c r="EC1216" s="4"/>
      <c r="ED1216" s="4"/>
      <c r="EE1216" s="4"/>
      <c r="EF1216" s="4"/>
      <c r="EG1216" s="4"/>
      <c r="EH1216" s="4"/>
      <c r="EI1216" s="4"/>
      <c r="EJ1216" s="4"/>
      <c r="EK1216" s="4"/>
      <c r="EL1216" s="4"/>
      <c r="EM1216" s="4"/>
      <c r="EN1216" s="4"/>
      <c r="EO1216" s="4"/>
      <c r="EP1216" s="4"/>
      <c r="EQ1216" s="4"/>
      <c r="ER1216" s="4"/>
      <c r="ES1216" s="4"/>
      <c r="ET1216" s="4"/>
      <c r="EU1216" s="4"/>
      <c r="EV1216" s="4"/>
      <c r="EW1216" s="4"/>
      <c r="EX1216" s="4"/>
      <c r="EY1216" s="4"/>
      <c r="EZ1216" s="4"/>
      <c r="FA1216" s="4"/>
      <c r="FB1216" s="4"/>
      <c r="FC1216" s="4"/>
      <c r="FD1216" s="4"/>
      <c r="FE1216" s="4"/>
      <c r="FF1216" s="4"/>
      <c r="FG1216" s="4"/>
      <c r="FH1216" s="4"/>
      <c r="FI1216" s="4"/>
      <c r="FJ1216" s="4"/>
      <c r="FK1216" s="4"/>
      <c r="FL1216" s="4"/>
      <c r="FM1216" s="4"/>
      <c r="FN1216" s="4"/>
      <c r="FO1216" s="4"/>
      <c r="FP1216" s="4"/>
      <c r="FQ1216" s="4"/>
      <c r="FR1216" s="4"/>
      <c r="FS1216" s="4"/>
      <c r="FT1216" s="4"/>
      <c r="FU1216" s="4"/>
      <c r="FV1216" s="4"/>
      <c r="FW1216" s="4"/>
      <c r="FX1216" s="4"/>
      <c r="FY1216" s="4"/>
      <c r="FZ1216" s="4"/>
      <c r="GA1216" s="4"/>
      <c r="GB1216" s="4"/>
      <c r="GC1216" s="4"/>
      <c r="GD1216" s="4"/>
      <c r="GE1216" s="4"/>
      <c r="GF1216" s="4"/>
      <c r="GG1216" s="4"/>
      <c r="GH1216" s="4"/>
    </row>
    <row r="1217">
      <c r="A1217" s="2" t="s">
        <v>6799</v>
      </c>
      <c r="B1217" s="2" t="s">
        <v>744</v>
      </c>
      <c r="C1217" s="2" t="s">
        <v>745</v>
      </c>
      <c r="D1217" s="2" t="s">
        <v>6454</v>
      </c>
      <c r="E1217" s="2" t="s">
        <v>6455</v>
      </c>
      <c r="F1217" s="2" t="s">
        <v>6759</v>
      </c>
      <c r="G1217" s="2" t="s">
        <v>6759</v>
      </c>
      <c r="H1217" s="2" t="s">
        <v>6759</v>
      </c>
      <c r="I1217" s="2" t="s">
        <v>6769</v>
      </c>
      <c r="J1217" s="2" t="s">
        <v>711</v>
      </c>
      <c r="K1217" s="2" t="s">
        <v>6784</v>
      </c>
      <c r="L1217" s="3">
        <v>785.99</v>
      </c>
      <c r="M1217" s="3">
        <v>825.29</v>
      </c>
      <c r="N1217" s="3">
        <v>1649</v>
      </c>
      <c r="O1217" s="2" t="s">
        <v>212</v>
      </c>
      <c r="P1217" s="2" t="s">
        <v>802</v>
      </c>
      <c r="Q1217" s="2" t="s">
        <v>206</v>
      </c>
      <c r="R1217" s="2" t="s">
        <v>200</v>
      </c>
      <c r="S1217" s="2" t="s">
        <v>200</v>
      </c>
      <c r="T1217" s="2" t="s">
        <v>200</v>
      </c>
      <c r="U1217" s="2" t="s">
        <v>615</v>
      </c>
      <c r="V1217" s="2" t="s">
        <v>616</v>
      </c>
      <c r="W1217" s="2" t="s">
        <v>379</v>
      </c>
      <c r="X1217" s="2" t="s">
        <v>241</v>
      </c>
      <c r="Y1217" s="2" t="s">
        <v>6787</v>
      </c>
      <c r="Z1217" s="4">
        <v>25</v>
      </c>
      <c r="AA1217" s="4">
        <f>=ROUNDDOWN({0},0)</f>
      </c>
      <c r="AB1217" s="5"/>
      <c r="AC1217" s="2" t="s">
        <v>200</v>
      </c>
      <c r="AD1217" s="4"/>
      <c r="AE1217" s="4"/>
      <c r="AF1217" s="6"/>
      <c r="AG1217" s="6"/>
      <c r="AH1217" s="7">
        <v>1</v>
      </c>
      <c r="AI1217" s="4"/>
      <c r="AJ1217" s="4">
        <f>=ROUNDDOWN({0},0)</f>
      </c>
      <c r="AK1217" s="5"/>
      <c r="AL1217" s="2" t="s">
        <v>200</v>
      </c>
      <c r="AM1217" s="4"/>
      <c r="AN1217" s="4"/>
      <c r="AO1217" s="7"/>
      <c r="AP1217" s="4"/>
      <c r="AQ1217" s="8"/>
      <c r="AR1217" s="4"/>
      <c r="AS1217" s="8"/>
      <c r="AT1217" s="7"/>
      <c r="AU1217" s="7"/>
      <c r="AV1217" s="4" t="s">
        <v>200</v>
      </c>
      <c r="AW1217" s="8" t="s">
        <v>200</v>
      </c>
      <c r="AX1217" s="4" t="s">
        <v>200</v>
      </c>
      <c r="AY1217" s="8" t="s">
        <v>200</v>
      </c>
      <c r="AZ1217" s="7" t="s">
        <v>200</v>
      </c>
      <c r="BA1217" s="7" t="s">
        <v>200</v>
      </c>
      <c r="BB1217" s="7" t="s">
        <v>200</v>
      </c>
      <c r="BC1217" s="4" t="s">
        <v>200</v>
      </c>
      <c r="BD1217" s="8" t="s">
        <v>200</v>
      </c>
      <c r="BE1217" s="4" t="s">
        <v>200</v>
      </c>
      <c r="BF1217" s="8" t="s">
        <v>200</v>
      </c>
      <c r="BG1217" s="7" t="s">
        <v>200</v>
      </c>
      <c r="BH1217" s="7" t="s">
        <v>200</v>
      </c>
      <c r="BI1217" s="7"/>
      <c r="BJ1217" s="4"/>
      <c r="BK1217" s="8"/>
      <c r="BL1217" s="2" t="s">
        <v>813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6800</v>
      </c>
      <c r="BV1217" s="2" t="s">
        <v>200</v>
      </c>
      <c r="BW1217" s="2" t="s">
        <v>200</v>
      </c>
      <c r="BX1217" s="2" t="s">
        <v>264</v>
      </c>
      <c r="BY1217" s="2" t="s">
        <v>247</v>
      </c>
      <c r="BZ1217" s="2" t="s">
        <v>212</v>
      </c>
      <c r="CA1217" s="2" t="s">
        <v>4773</v>
      </c>
      <c r="CB1217" s="2" t="s">
        <v>200</v>
      </c>
      <c r="CC1217" s="2" t="s">
        <v>213</v>
      </c>
      <c r="CD1217" s="2" t="s">
        <v>200</v>
      </c>
      <c r="CE1217" s="4"/>
      <c r="CF1217" s="4">
        <v>25</v>
      </c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  <c r="DZ1217" s="4"/>
      <c r="EA1217" s="4"/>
      <c r="EB1217" s="4"/>
      <c r="EC1217" s="4"/>
      <c r="ED1217" s="4"/>
      <c r="EE1217" s="4"/>
      <c r="EF1217" s="4"/>
      <c r="EG1217" s="4"/>
      <c r="EH1217" s="4"/>
      <c r="EI1217" s="4"/>
      <c r="EJ1217" s="4"/>
      <c r="EK1217" s="4"/>
      <c r="EL1217" s="4"/>
      <c r="EM1217" s="4"/>
      <c r="EN1217" s="4"/>
      <c r="EO1217" s="4"/>
      <c r="EP1217" s="4"/>
      <c r="EQ1217" s="4"/>
      <c r="ER1217" s="4"/>
      <c r="ES1217" s="4"/>
      <c r="ET1217" s="4"/>
      <c r="EU1217" s="4"/>
      <c r="EV1217" s="4"/>
      <c r="EW1217" s="4"/>
      <c r="EX1217" s="4"/>
      <c r="EY1217" s="4"/>
      <c r="EZ1217" s="4"/>
      <c r="FA1217" s="4"/>
      <c r="FB1217" s="4"/>
      <c r="FC1217" s="4"/>
      <c r="FD1217" s="4"/>
      <c r="FE1217" s="4"/>
      <c r="FF1217" s="4"/>
      <c r="FG1217" s="4"/>
      <c r="FH1217" s="4"/>
      <c r="FI1217" s="4"/>
      <c r="FJ1217" s="4"/>
      <c r="FK1217" s="4"/>
      <c r="FL1217" s="4"/>
      <c r="FM1217" s="4"/>
      <c r="FN1217" s="4"/>
      <c r="FO1217" s="4"/>
      <c r="FP1217" s="4"/>
      <c r="FQ1217" s="4"/>
      <c r="FR1217" s="4"/>
      <c r="FS1217" s="4"/>
      <c r="FT1217" s="4"/>
      <c r="FU1217" s="4"/>
      <c r="FV1217" s="4"/>
      <c r="FW1217" s="4"/>
      <c r="FX1217" s="4"/>
      <c r="FY1217" s="4"/>
      <c r="FZ1217" s="4"/>
      <c r="GA1217" s="4"/>
      <c r="GB1217" s="4"/>
      <c r="GC1217" s="4"/>
      <c r="GD1217" s="4"/>
      <c r="GE1217" s="4"/>
      <c r="GF1217" s="4"/>
      <c r="GG1217" s="4"/>
      <c r="GH1217" s="4"/>
    </row>
    <row r="1218">
      <c r="A1218" s="2" t="s">
        <v>6801</v>
      </c>
      <c r="B1218" s="2" t="s">
        <v>744</v>
      </c>
      <c r="C1218" s="2" t="s">
        <v>745</v>
      </c>
      <c r="D1218" s="2" t="s">
        <v>6454</v>
      </c>
      <c r="E1218" s="2" t="s">
        <v>6455</v>
      </c>
      <c r="F1218" s="2" t="s">
        <v>6759</v>
      </c>
      <c r="G1218" s="2" t="s">
        <v>6759</v>
      </c>
      <c r="H1218" s="2" t="s">
        <v>6759</v>
      </c>
      <c r="I1218" s="2" t="s">
        <v>6772</v>
      </c>
      <c r="J1218" s="2" t="s">
        <v>711</v>
      </c>
      <c r="K1218" s="2" t="s">
        <v>6784</v>
      </c>
      <c r="L1218" s="3">
        <v>480.69</v>
      </c>
      <c r="M1218" s="3">
        <v>504.72</v>
      </c>
      <c r="N1218" s="3">
        <v>999</v>
      </c>
      <c r="O1218" s="2" t="s">
        <v>212</v>
      </c>
      <c r="P1218" s="2" t="s">
        <v>802</v>
      </c>
      <c r="Q1218" s="2" t="s">
        <v>206</v>
      </c>
      <c r="R1218" s="2" t="s">
        <v>200</v>
      </c>
      <c r="S1218" s="2" t="s">
        <v>200</v>
      </c>
      <c r="T1218" s="2" t="s">
        <v>200</v>
      </c>
      <c r="U1218" s="2" t="s">
        <v>454</v>
      </c>
      <c r="V1218" s="2" t="s">
        <v>616</v>
      </c>
      <c r="W1218" s="2" t="s">
        <v>379</v>
      </c>
      <c r="X1218" s="2" t="s">
        <v>241</v>
      </c>
      <c r="Y1218" s="2" t="s">
        <v>6787</v>
      </c>
      <c r="Z1218" s="4">
        <v>38</v>
      </c>
      <c r="AA1218" s="4">
        <f>=ROUNDDOWN(380,0)</f>
      </c>
      <c r="AB1218" s="5">
        <v>0.1</v>
      </c>
      <c r="AC1218" s="2" t="s">
        <v>200</v>
      </c>
      <c r="AD1218" s="4"/>
      <c r="AE1218" s="4"/>
      <c r="AF1218" s="6"/>
      <c r="AG1218" s="6"/>
      <c r="AH1218" s="7">
        <v>1</v>
      </c>
      <c r="AI1218" s="4"/>
      <c r="AJ1218" s="4">
        <f>=ROUNDDOWN({0},0)</f>
      </c>
      <c r="AK1218" s="5"/>
      <c r="AL1218" s="2" t="s">
        <v>200</v>
      </c>
      <c r="AM1218" s="4"/>
      <c r="AN1218" s="4"/>
      <c r="AO1218" s="7"/>
      <c r="AP1218" s="4"/>
      <c r="AQ1218" s="8"/>
      <c r="AR1218" s="4"/>
      <c r="AS1218" s="8"/>
      <c r="AT1218" s="7"/>
      <c r="AU1218" s="7"/>
      <c r="AV1218" s="4" t="s">
        <v>200</v>
      </c>
      <c r="AW1218" s="8" t="s">
        <v>200</v>
      </c>
      <c r="AX1218" s="4" t="s">
        <v>200</v>
      </c>
      <c r="AY1218" s="8" t="s">
        <v>200</v>
      </c>
      <c r="AZ1218" s="7" t="s">
        <v>200</v>
      </c>
      <c r="BA1218" s="7" t="s">
        <v>200</v>
      </c>
      <c r="BB1218" s="7" t="s">
        <v>200</v>
      </c>
      <c r="BC1218" s="4" t="s">
        <v>200</v>
      </c>
      <c r="BD1218" s="8" t="s">
        <v>200</v>
      </c>
      <c r="BE1218" s="4" t="s">
        <v>200</v>
      </c>
      <c r="BF1218" s="8" t="s">
        <v>200</v>
      </c>
      <c r="BG1218" s="7" t="s">
        <v>200</v>
      </c>
      <c r="BH1218" s="7" t="s">
        <v>200</v>
      </c>
      <c r="BI1218" s="7"/>
      <c r="BJ1218" s="4"/>
      <c r="BK1218" s="8"/>
      <c r="BL1218" s="2" t="s">
        <v>200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6802</v>
      </c>
      <c r="BV1218" s="2" t="s">
        <v>200</v>
      </c>
      <c r="BW1218" s="2" t="s">
        <v>200</v>
      </c>
      <c r="BX1218" s="2" t="s">
        <v>264</v>
      </c>
      <c r="BY1218" s="2" t="s">
        <v>247</v>
      </c>
      <c r="BZ1218" s="2" t="s">
        <v>212</v>
      </c>
      <c r="CA1218" s="2" t="s">
        <v>4773</v>
      </c>
      <c r="CB1218" s="2" t="s">
        <v>6803</v>
      </c>
      <c r="CC1218" s="2" t="s">
        <v>213</v>
      </c>
      <c r="CD1218" s="2" t="s">
        <v>200</v>
      </c>
      <c r="CE1218" s="4"/>
      <c r="CF1218" s="4">
        <v>38</v>
      </c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  <c r="DE1218" s="4"/>
      <c r="DF1218" s="4"/>
      <c r="DG1218" s="4"/>
      <c r="DH1218" s="4"/>
      <c r="DI1218" s="4"/>
      <c r="DJ1218" s="4"/>
      <c r="DK1218" s="4"/>
      <c r="DL1218" s="4"/>
      <c r="DM1218" s="4"/>
      <c r="DN1218" s="4"/>
      <c r="DO1218" s="4"/>
      <c r="DP1218" s="4"/>
      <c r="DQ1218" s="4"/>
      <c r="DR1218" s="4"/>
      <c r="DS1218" s="4"/>
      <c r="DT1218" s="4"/>
      <c r="DU1218" s="4"/>
      <c r="DV1218" s="4"/>
      <c r="DW1218" s="4"/>
      <c r="DX1218" s="4"/>
      <c r="DY1218" s="4"/>
      <c r="DZ1218" s="4"/>
      <c r="EA1218" s="4"/>
      <c r="EB1218" s="4"/>
      <c r="EC1218" s="4"/>
      <c r="ED1218" s="4"/>
      <c r="EE1218" s="4"/>
      <c r="EF1218" s="4"/>
      <c r="EG1218" s="4"/>
      <c r="EH1218" s="4"/>
      <c r="EI1218" s="4"/>
      <c r="EJ1218" s="4"/>
      <c r="EK1218" s="4"/>
      <c r="EL1218" s="4"/>
      <c r="EM1218" s="4"/>
      <c r="EN1218" s="4"/>
      <c r="EO1218" s="4"/>
      <c r="EP1218" s="4"/>
      <c r="EQ1218" s="4"/>
      <c r="ER1218" s="4"/>
      <c r="ES1218" s="4"/>
      <c r="ET1218" s="4"/>
      <c r="EU1218" s="4"/>
      <c r="EV1218" s="4"/>
      <c r="EW1218" s="4"/>
      <c r="EX1218" s="4"/>
      <c r="EY1218" s="4"/>
      <c r="EZ1218" s="4"/>
      <c r="FA1218" s="4"/>
      <c r="FB1218" s="4"/>
      <c r="FC1218" s="4"/>
      <c r="FD1218" s="4"/>
      <c r="FE1218" s="4"/>
      <c r="FF1218" s="4"/>
      <c r="FG1218" s="4"/>
      <c r="FH1218" s="4"/>
      <c r="FI1218" s="4"/>
      <c r="FJ1218" s="4"/>
      <c r="FK1218" s="4"/>
      <c r="FL1218" s="4"/>
      <c r="FM1218" s="4"/>
      <c r="FN1218" s="4"/>
      <c r="FO1218" s="4"/>
      <c r="FP1218" s="4"/>
      <c r="FQ1218" s="4"/>
      <c r="FR1218" s="4"/>
      <c r="FS1218" s="4"/>
      <c r="FT1218" s="4"/>
      <c r="FU1218" s="4"/>
      <c r="FV1218" s="4"/>
      <c r="FW1218" s="4"/>
      <c r="FX1218" s="4"/>
      <c r="FY1218" s="4"/>
      <c r="FZ1218" s="4"/>
      <c r="GA1218" s="4"/>
      <c r="GB1218" s="4"/>
      <c r="GC1218" s="4"/>
      <c r="GD1218" s="4"/>
      <c r="GE1218" s="4"/>
      <c r="GF1218" s="4"/>
      <c r="GG1218" s="4"/>
      <c r="GH1218" s="4"/>
    </row>
    <row r="1219">
      <c r="A1219" s="2" t="s">
        <v>6804</v>
      </c>
      <c r="B1219" s="2" t="s">
        <v>744</v>
      </c>
      <c r="C1219" s="2" t="s">
        <v>745</v>
      </c>
      <c r="D1219" s="2" t="s">
        <v>6454</v>
      </c>
      <c r="E1219" s="2" t="s">
        <v>6455</v>
      </c>
      <c r="F1219" s="2" t="s">
        <v>6759</v>
      </c>
      <c r="G1219" s="2" t="s">
        <v>6759</v>
      </c>
      <c r="H1219" s="2" t="s">
        <v>6759</v>
      </c>
      <c r="I1219" s="2" t="s">
        <v>6775</v>
      </c>
      <c r="J1219" s="2" t="s">
        <v>711</v>
      </c>
      <c r="K1219" s="2" t="s">
        <v>6784</v>
      </c>
      <c r="L1219" s="3">
        <v>777.31</v>
      </c>
      <c r="M1219" s="3">
        <v>816.18</v>
      </c>
      <c r="N1219" s="3">
        <v>1629</v>
      </c>
      <c r="O1219" s="2" t="s">
        <v>212</v>
      </c>
      <c r="P1219" s="2" t="s">
        <v>802</v>
      </c>
      <c r="Q1219" s="2" t="s">
        <v>206</v>
      </c>
      <c r="R1219" s="2" t="s">
        <v>200</v>
      </c>
      <c r="S1219" s="2" t="s">
        <v>200</v>
      </c>
      <c r="T1219" s="2" t="s">
        <v>200</v>
      </c>
      <c r="U1219" s="2" t="s">
        <v>615</v>
      </c>
      <c r="V1219" s="2" t="s">
        <v>616</v>
      </c>
      <c r="W1219" s="2" t="s">
        <v>379</v>
      </c>
      <c r="X1219" s="2" t="s">
        <v>241</v>
      </c>
      <c r="Y1219" s="2" t="s">
        <v>6787</v>
      </c>
      <c r="Z1219" s="4">
        <v>34</v>
      </c>
      <c r="AA1219" s="4">
        <f>=ROUNDDOWN({0},0)</f>
      </c>
      <c r="AB1219" s="5"/>
      <c r="AC1219" s="2" t="s">
        <v>200</v>
      </c>
      <c r="AD1219" s="4"/>
      <c r="AE1219" s="4"/>
      <c r="AF1219" s="6"/>
      <c r="AG1219" s="6"/>
      <c r="AH1219" s="7">
        <v>1</v>
      </c>
      <c r="AI1219" s="4"/>
      <c r="AJ1219" s="4">
        <f>=ROUNDDOWN({0},0)</f>
      </c>
      <c r="AK1219" s="5"/>
      <c r="AL1219" s="2" t="s">
        <v>200</v>
      </c>
      <c r="AM1219" s="4"/>
      <c r="AN1219" s="4"/>
      <c r="AO1219" s="7"/>
      <c r="AP1219" s="4"/>
      <c r="AQ1219" s="8"/>
      <c r="AR1219" s="4"/>
      <c r="AS1219" s="8"/>
      <c r="AT1219" s="7"/>
      <c r="AU1219" s="7"/>
      <c r="AV1219" s="4" t="s">
        <v>200</v>
      </c>
      <c r="AW1219" s="8" t="s">
        <v>200</v>
      </c>
      <c r="AX1219" s="4" t="s">
        <v>200</v>
      </c>
      <c r="AY1219" s="8" t="s">
        <v>200</v>
      </c>
      <c r="AZ1219" s="7" t="s">
        <v>200</v>
      </c>
      <c r="BA1219" s="7" t="s">
        <v>200</v>
      </c>
      <c r="BB1219" s="7" t="s">
        <v>200</v>
      </c>
      <c r="BC1219" s="4" t="s">
        <v>200</v>
      </c>
      <c r="BD1219" s="8" t="s">
        <v>200</v>
      </c>
      <c r="BE1219" s="4" t="s">
        <v>200</v>
      </c>
      <c r="BF1219" s="8" t="s">
        <v>200</v>
      </c>
      <c r="BG1219" s="7" t="s">
        <v>200</v>
      </c>
      <c r="BH1219" s="7" t="s">
        <v>200</v>
      </c>
      <c r="BI1219" s="7"/>
      <c r="BJ1219" s="4"/>
      <c r="BK1219" s="8"/>
      <c r="BL1219" s="2" t="s">
        <v>200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6805</v>
      </c>
      <c r="BV1219" s="2" t="s">
        <v>200</v>
      </c>
      <c r="BW1219" s="2" t="s">
        <v>200</v>
      </c>
      <c r="BX1219" s="2" t="s">
        <v>264</v>
      </c>
      <c r="BY1219" s="2" t="s">
        <v>247</v>
      </c>
      <c r="BZ1219" s="2" t="s">
        <v>212</v>
      </c>
      <c r="CA1219" s="2" t="s">
        <v>4773</v>
      </c>
      <c r="CB1219" s="2" t="s">
        <v>200</v>
      </c>
      <c r="CC1219" s="2" t="s">
        <v>213</v>
      </c>
      <c r="CD1219" s="2" t="s">
        <v>200</v>
      </c>
      <c r="CE1219" s="4"/>
      <c r="CF1219" s="4">
        <v>34</v>
      </c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  <c r="DZ1219" s="4"/>
      <c r="EA1219" s="4"/>
      <c r="EB1219" s="4"/>
      <c r="EC1219" s="4"/>
      <c r="ED1219" s="4"/>
      <c r="EE1219" s="4"/>
      <c r="EF1219" s="4"/>
      <c r="EG1219" s="4"/>
      <c r="EH1219" s="4"/>
      <c r="EI1219" s="4"/>
      <c r="EJ1219" s="4"/>
      <c r="EK1219" s="4"/>
      <c r="EL1219" s="4"/>
      <c r="EM1219" s="4"/>
      <c r="EN1219" s="4"/>
      <c r="EO1219" s="4"/>
      <c r="EP1219" s="4"/>
      <c r="EQ1219" s="4"/>
      <c r="ER1219" s="4"/>
      <c r="ES1219" s="4"/>
      <c r="ET1219" s="4"/>
      <c r="EU1219" s="4"/>
      <c r="EV1219" s="4"/>
      <c r="EW1219" s="4"/>
      <c r="EX1219" s="4"/>
      <c r="EY1219" s="4"/>
      <c r="EZ1219" s="4"/>
      <c r="FA1219" s="4"/>
      <c r="FB1219" s="4"/>
      <c r="FC1219" s="4"/>
      <c r="FD1219" s="4"/>
      <c r="FE1219" s="4"/>
      <c r="FF1219" s="4"/>
      <c r="FG1219" s="4"/>
      <c r="FH1219" s="4"/>
      <c r="FI1219" s="4"/>
      <c r="FJ1219" s="4"/>
      <c r="FK1219" s="4"/>
      <c r="FL1219" s="4"/>
      <c r="FM1219" s="4"/>
      <c r="FN1219" s="4"/>
      <c r="FO1219" s="4"/>
      <c r="FP1219" s="4"/>
      <c r="FQ1219" s="4"/>
      <c r="FR1219" s="4"/>
      <c r="FS1219" s="4"/>
      <c r="FT1219" s="4"/>
      <c r="FU1219" s="4"/>
      <c r="FV1219" s="4"/>
      <c r="FW1219" s="4"/>
      <c r="FX1219" s="4"/>
      <c r="FY1219" s="4"/>
      <c r="FZ1219" s="4"/>
      <c r="GA1219" s="4"/>
      <c r="GB1219" s="4"/>
      <c r="GC1219" s="4"/>
      <c r="GD1219" s="4"/>
      <c r="GE1219" s="4"/>
      <c r="GF1219" s="4"/>
      <c r="GG1219" s="4"/>
      <c r="GH1219" s="4"/>
    </row>
    <row r="1220">
      <c r="A1220" s="2" t="s">
        <v>6806</v>
      </c>
      <c r="B1220" s="2" t="s">
        <v>744</v>
      </c>
      <c r="C1220" s="2" t="s">
        <v>745</v>
      </c>
      <c r="D1220" s="2" t="s">
        <v>6454</v>
      </c>
      <c r="E1220" s="2" t="s">
        <v>6455</v>
      </c>
      <c r="F1220" s="2" t="s">
        <v>6759</v>
      </c>
      <c r="G1220" s="2" t="s">
        <v>6759</v>
      </c>
      <c r="H1220" s="2" t="s">
        <v>6759</v>
      </c>
      <c r="I1220" s="2" t="s">
        <v>6778</v>
      </c>
      <c r="J1220" s="2" t="s">
        <v>711</v>
      </c>
      <c r="K1220" s="2" t="s">
        <v>6784</v>
      </c>
      <c r="L1220" s="3">
        <v>442.76</v>
      </c>
      <c r="M1220" s="3">
        <v>464.9</v>
      </c>
      <c r="N1220" s="3">
        <v>929</v>
      </c>
      <c r="O1220" s="2" t="s">
        <v>212</v>
      </c>
      <c r="P1220" s="2" t="s">
        <v>802</v>
      </c>
      <c r="Q1220" s="2" t="s">
        <v>206</v>
      </c>
      <c r="R1220" s="2" t="s">
        <v>200</v>
      </c>
      <c r="S1220" s="2" t="s">
        <v>200</v>
      </c>
      <c r="T1220" s="2" t="s">
        <v>200</v>
      </c>
      <c r="U1220" s="2" t="s">
        <v>454</v>
      </c>
      <c r="V1220" s="2" t="s">
        <v>616</v>
      </c>
      <c r="W1220" s="2" t="s">
        <v>379</v>
      </c>
      <c r="X1220" s="2" t="s">
        <v>241</v>
      </c>
      <c r="Y1220" s="2" t="s">
        <v>6787</v>
      </c>
      <c r="Z1220" s="4">
        <v>31</v>
      </c>
      <c r="AA1220" s="4">
        <f>=ROUNDDOWN({0},0)</f>
      </c>
      <c r="AB1220" s="5"/>
      <c r="AC1220" s="2" t="s">
        <v>200</v>
      </c>
      <c r="AD1220" s="4"/>
      <c r="AE1220" s="4"/>
      <c r="AF1220" s="6"/>
      <c r="AG1220" s="6"/>
      <c r="AH1220" s="7">
        <v>1</v>
      </c>
      <c r="AI1220" s="4"/>
      <c r="AJ1220" s="4">
        <f>=ROUNDDOWN({0},0)</f>
      </c>
      <c r="AK1220" s="5"/>
      <c r="AL1220" s="2" t="s">
        <v>200</v>
      </c>
      <c r="AM1220" s="4"/>
      <c r="AN1220" s="4"/>
      <c r="AO1220" s="7"/>
      <c r="AP1220" s="4"/>
      <c r="AQ1220" s="8"/>
      <c r="AR1220" s="4"/>
      <c r="AS1220" s="8"/>
      <c r="AT1220" s="7"/>
      <c r="AU1220" s="7"/>
      <c r="AV1220" s="4" t="s">
        <v>200</v>
      </c>
      <c r="AW1220" s="8" t="s">
        <v>200</v>
      </c>
      <c r="AX1220" s="4" t="s">
        <v>200</v>
      </c>
      <c r="AY1220" s="8" t="s">
        <v>200</v>
      </c>
      <c r="AZ1220" s="7" t="s">
        <v>200</v>
      </c>
      <c r="BA1220" s="7" t="s">
        <v>200</v>
      </c>
      <c r="BB1220" s="7" t="s">
        <v>200</v>
      </c>
      <c r="BC1220" s="4" t="s">
        <v>200</v>
      </c>
      <c r="BD1220" s="8" t="s">
        <v>200</v>
      </c>
      <c r="BE1220" s="4" t="s">
        <v>200</v>
      </c>
      <c r="BF1220" s="8" t="s">
        <v>200</v>
      </c>
      <c r="BG1220" s="7" t="s">
        <v>200</v>
      </c>
      <c r="BH1220" s="7" t="s">
        <v>200</v>
      </c>
      <c r="BI1220" s="7"/>
      <c r="BJ1220" s="4"/>
      <c r="BK1220" s="8"/>
      <c r="BL1220" s="2" t="s">
        <v>200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6807</v>
      </c>
      <c r="BV1220" s="2" t="s">
        <v>200</v>
      </c>
      <c r="BW1220" s="2" t="s">
        <v>200</v>
      </c>
      <c r="BX1220" s="2" t="s">
        <v>264</v>
      </c>
      <c r="BY1220" s="2" t="s">
        <v>247</v>
      </c>
      <c r="BZ1220" s="2" t="s">
        <v>212</v>
      </c>
      <c r="CA1220" s="2" t="s">
        <v>4773</v>
      </c>
      <c r="CB1220" s="2" t="s">
        <v>200</v>
      </c>
      <c r="CC1220" s="2" t="s">
        <v>213</v>
      </c>
      <c r="CD1220" s="2" t="s">
        <v>200</v>
      </c>
      <c r="CE1220" s="4"/>
      <c r="CF1220" s="4">
        <v>31</v>
      </c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E1220" s="4"/>
      <c r="DF1220" s="4"/>
      <c r="DG1220" s="4"/>
      <c r="DH1220" s="4"/>
      <c r="DI1220" s="4"/>
      <c r="DJ1220" s="4"/>
      <c r="DK1220" s="4"/>
      <c r="DL1220" s="4"/>
      <c r="DM1220" s="4"/>
      <c r="DN1220" s="4"/>
      <c r="DO1220" s="4"/>
      <c r="DP1220" s="4"/>
      <c r="DQ1220" s="4"/>
      <c r="DR1220" s="4"/>
      <c r="DS1220" s="4"/>
      <c r="DT1220" s="4"/>
      <c r="DU1220" s="4"/>
      <c r="DV1220" s="4"/>
      <c r="DW1220" s="4"/>
      <c r="DX1220" s="4"/>
      <c r="DY1220" s="4"/>
      <c r="DZ1220" s="4"/>
      <c r="EA1220" s="4"/>
      <c r="EB1220" s="4"/>
      <c r="EC1220" s="4"/>
      <c r="ED1220" s="4"/>
      <c r="EE1220" s="4"/>
      <c r="EF1220" s="4"/>
      <c r="EG1220" s="4"/>
      <c r="EH1220" s="4"/>
      <c r="EI1220" s="4"/>
      <c r="EJ1220" s="4"/>
      <c r="EK1220" s="4"/>
      <c r="EL1220" s="4"/>
      <c r="EM1220" s="4"/>
      <c r="EN1220" s="4"/>
      <c r="EO1220" s="4"/>
      <c r="EP1220" s="4"/>
      <c r="EQ1220" s="4"/>
      <c r="ER1220" s="4"/>
      <c r="ES1220" s="4"/>
      <c r="ET1220" s="4"/>
      <c r="EU1220" s="4"/>
      <c r="EV1220" s="4"/>
      <c r="EW1220" s="4"/>
      <c r="EX1220" s="4"/>
      <c r="EY1220" s="4"/>
      <c r="EZ1220" s="4"/>
      <c r="FA1220" s="4"/>
      <c r="FB1220" s="4"/>
      <c r="FC1220" s="4"/>
      <c r="FD1220" s="4"/>
      <c r="FE1220" s="4"/>
      <c r="FF1220" s="4"/>
      <c r="FG1220" s="4"/>
      <c r="FH1220" s="4"/>
      <c r="FI1220" s="4"/>
      <c r="FJ1220" s="4"/>
      <c r="FK1220" s="4"/>
      <c r="FL1220" s="4"/>
      <c r="FM1220" s="4"/>
      <c r="FN1220" s="4"/>
      <c r="FO1220" s="4"/>
      <c r="FP1220" s="4"/>
      <c r="FQ1220" s="4"/>
      <c r="FR1220" s="4"/>
      <c r="FS1220" s="4"/>
      <c r="FT1220" s="4"/>
      <c r="FU1220" s="4"/>
      <c r="FV1220" s="4"/>
      <c r="FW1220" s="4"/>
      <c r="FX1220" s="4"/>
      <c r="FY1220" s="4"/>
      <c r="FZ1220" s="4"/>
      <c r="GA1220" s="4"/>
      <c r="GB1220" s="4"/>
      <c r="GC1220" s="4"/>
      <c r="GD1220" s="4"/>
      <c r="GE1220" s="4"/>
      <c r="GF1220" s="4"/>
      <c r="GG1220" s="4"/>
      <c r="GH1220" s="4"/>
    </row>
    <row r="1221">
      <c r="A1221" s="2" t="s">
        <v>6808</v>
      </c>
      <c r="B1221" s="2" t="s">
        <v>744</v>
      </c>
      <c r="C1221" s="2" t="s">
        <v>745</v>
      </c>
      <c r="D1221" s="2" t="s">
        <v>6454</v>
      </c>
      <c r="E1221" s="2" t="s">
        <v>6455</v>
      </c>
      <c r="F1221" s="2" t="s">
        <v>6759</v>
      </c>
      <c r="G1221" s="2" t="s">
        <v>6759</v>
      </c>
      <c r="H1221" s="2" t="s">
        <v>6759</v>
      </c>
      <c r="I1221" s="2" t="s">
        <v>6781</v>
      </c>
      <c r="J1221" s="2" t="s">
        <v>711</v>
      </c>
      <c r="K1221" s="2" t="s">
        <v>6784</v>
      </c>
      <c r="L1221" s="3">
        <v>591.02</v>
      </c>
      <c r="M1221" s="3">
        <v>620.57</v>
      </c>
      <c r="N1221" s="3">
        <v>1239</v>
      </c>
      <c r="O1221" s="2" t="s">
        <v>212</v>
      </c>
      <c r="P1221" s="2" t="s">
        <v>802</v>
      </c>
      <c r="Q1221" s="2" t="s">
        <v>206</v>
      </c>
      <c r="R1221" s="2" t="s">
        <v>200</v>
      </c>
      <c r="S1221" s="2" t="s">
        <v>200</v>
      </c>
      <c r="T1221" s="2" t="s">
        <v>200</v>
      </c>
      <c r="U1221" s="2" t="s">
        <v>240</v>
      </c>
      <c r="V1221" s="2" t="s">
        <v>616</v>
      </c>
      <c r="W1221" s="2" t="s">
        <v>379</v>
      </c>
      <c r="X1221" s="2" t="s">
        <v>241</v>
      </c>
      <c r="Y1221" s="2" t="s">
        <v>6787</v>
      </c>
      <c r="Z1221" s="4">
        <v>31</v>
      </c>
      <c r="AA1221" s="4">
        <f>=ROUNDDOWN({0},0)</f>
      </c>
      <c r="AB1221" s="5"/>
      <c r="AC1221" s="2" t="s">
        <v>200</v>
      </c>
      <c r="AD1221" s="4"/>
      <c r="AE1221" s="4"/>
      <c r="AF1221" s="6"/>
      <c r="AG1221" s="6"/>
      <c r="AH1221" s="7">
        <v>1</v>
      </c>
      <c r="AI1221" s="4"/>
      <c r="AJ1221" s="4">
        <f>=ROUNDDOWN({0},0)</f>
      </c>
      <c r="AK1221" s="5"/>
      <c r="AL1221" s="2" t="s">
        <v>200</v>
      </c>
      <c r="AM1221" s="4"/>
      <c r="AN1221" s="4"/>
      <c r="AO1221" s="7"/>
      <c r="AP1221" s="4"/>
      <c r="AQ1221" s="8"/>
      <c r="AR1221" s="4"/>
      <c r="AS1221" s="8"/>
      <c r="AT1221" s="7"/>
      <c r="AU1221" s="7"/>
      <c r="AV1221" s="4" t="s">
        <v>200</v>
      </c>
      <c r="AW1221" s="8" t="s">
        <v>200</v>
      </c>
      <c r="AX1221" s="4" t="s">
        <v>200</v>
      </c>
      <c r="AY1221" s="8" t="s">
        <v>200</v>
      </c>
      <c r="AZ1221" s="7" t="s">
        <v>200</v>
      </c>
      <c r="BA1221" s="7" t="s">
        <v>200</v>
      </c>
      <c r="BB1221" s="7" t="s">
        <v>200</v>
      </c>
      <c r="BC1221" s="4" t="s">
        <v>200</v>
      </c>
      <c r="BD1221" s="8" t="s">
        <v>200</v>
      </c>
      <c r="BE1221" s="4" t="s">
        <v>200</v>
      </c>
      <c r="BF1221" s="8" t="s">
        <v>200</v>
      </c>
      <c r="BG1221" s="7" t="s">
        <v>200</v>
      </c>
      <c r="BH1221" s="7" t="s">
        <v>200</v>
      </c>
      <c r="BI1221" s="7"/>
      <c r="BJ1221" s="4"/>
      <c r="BK1221" s="8"/>
      <c r="BL1221" s="2" t="s">
        <v>813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6809</v>
      </c>
      <c r="BV1221" s="2" t="s">
        <v>200</v>
      </c>
      <c r="BW1221" s="2" t="s">
        <v>200</v>
      </c>
      <c r="BX1221" s="2" t="s">
        <v>264</v>
      </c>
      <c r="BY1221" s="2" t="s">
        <v>247</v>
      </c>
      <c r="BZ1221" s="2" t="s">
        <v>212</v>
      </c>
      <c r="CA1221" s="2" t="s">
        <v>4773</v>
      </c>
      <c r="CB1221" s="2" t="s">
        <v>200</v>
      </c>
      <c r="CC1221" s="2" t="s">
        <v>213</v>
      </c>
      <c r="CD1221" s="2" t="s">
        <v>200</v>
      </c>
      <c r="CE1221" s="4"/>
      <c r="CF1221" s="4">
        <v>31</v>
      </c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  <c r="DZ1221" s="4"/>
      <c r="EA1221" s="4"/>
      <c r="EB1221" s="4"/>
      <c r="EC1221" s="4"/>
      <c r="ED1221" s="4"/>
      <c r="EE1221" s="4"/>
      <c r="EF1221" s="4"/>
      <c r="EG1221" s="4"/>
      <c r="EH1221" s="4"/>
      <c r="EI1221" s="4"/>
      <c r="EJ1221" s="4"/>
      <c r="EK1221" s="4"/>
      <c r="EL1221" s="4"/>
      <c r="EM1221" s="4"/>
      <c r="EN1221" s="4"/>
      <c r="EO1221" s="4"/>
      <c r="EP1221" s="4"/>
      <c r="EQ1221" s="4"/>
      <c r="ER1221" s="4"/>
      <c r="ES1221" s="4"/>
      <c r="ET1221" s="4"/>
      <c r="EU1221" s="4"/>
      <c r="EV1221" s="4"/>
      <c r="EW1221" s="4"/>
      <c r="EX1221" s="4"/>
      <c r="EY1221" s="4"/>
      <c r="EZ1221" s="4"/>
      <c r="FA1221" s="4"/>
      <c r="FB1221" s="4"/>
      <c r="FC1221" s="4"/>
      <c r="FD1221" s="4"/>
      <c r="FE1221" s="4"/>
      <c r="FF1221" s="4"/>
      <c r="FG1221" s="4"/>
      <c r="FH1221" s="4"/>
      <c r="FI1221" s="4"/>
      <c r="FJ1221" s="4"/>
      <c r="FK1221" s="4"/>
      <c r="FL1221" s="4"/>
      <c r="FM1221" s="4"/>
      <c r="FN1221" s="4"/>
      <c r="FO1221" s="4"/>
      <c r="FP1221" s="4"/>
      <c r="FQ1221" s="4"/>
      <c r="FR1221" s="4"/>
      <c r="FS1221" s="4"/>
      <c r="FT1221" s="4"/>
      <c r="FU1221" s="4"/>
      <c r="FV1221" s="4"/>
      <c r="FW1221" s="4"/>
      <c r="FX1221" s="4"/>
      <c r="FY1221" s="4"/>
      <c r="FZ1221" s="4"/>
      <c r="GA1221" s="4"/>
      <c r="GB1221" s="4"/>
      <c r="GC1221" s="4"/>
      <c r="GD1221" s="4"/>
      <c r="GE1221" s="4"/>
      <c r="GF1221" s="4"/>
      <c r="GG1221" s="4"/>
      <c r="GH1221" s="4"/>
    </row>
    <row r="1222">
      <c r="A1222" s="2" t="s">
        <v>6810</v>
      </c>
      <c r="B1222" s="2" t="s">
        <v>744</v>
      </c>
      <c r="C1222" s="2" t="s">
        <v>1375</v>
      </c>
      <c r="D1222" s="2" t="s">
        <v>1806</v>
      </c>
      <c r="E1222" s="2" t="s">
        <v>2569</v>
      </c>
      <c r="F1222" s="2" t="s">
        <v>6811</v>
      </c>
      <c r="G1222" s="2" t="s">
        <v>6811</v>
      </c>
      <c r="H1222" s="2" t="s">
        <v>6811</v>
      </c>
      <c r="I1222" s="2" t="s">
        <v>6812</v>
      </c>
      <c r="J1222" s="2" t="s">
        <v>711</v>
      </c>
      <c r="K1222" s="2" t="s">
        <v>6813</v>
      </c>
      <c r="L1222" s="3">
        <v>95.64</v>
      </c>
      <c r="M1222" s="3">
        <v>100.42</v>
      </c>
      <c r="N1222" s="3">
        <v>189.99</v>
      </c>
      <c r="O1222" s="2" t="s">
        <v>460</v>
      </c>
      <c r="P1222" s="2" t="s">
        <v>285</v>
      </c>
      <c r="Q1222" s="2" t="s">
        <v>206</v>
      </c>
      <c r="R1222" s="2" t="s">
        <v>200</v>
      </c>
      <c r="S1222" s="2" t="s">
        <v>200</v>
      </c>
      <c r="T1222" s="2" t="s">
        <v>200</v>
      </c>
      <c r="U1222" s="2" t="s">
        <v>200</v>
      </c>
      <c r="V1222" s="2" t="s">
        <v>616</v>
      </c>
      <c r="W1222" s="2" t="s">
        <v>379</v>
      </c>
      <c r="X1222" s="2" t="s">
        <v>419</v>
      </c>
      <c r="Y1222" s="2" t="s">
        <v>2556</v>
      </c>
      <c r="Z1222" s="4">
        <v>76</v>
      </c>
      <c r="AA1222" s="4">
        <f>=ROUNDDOWN(12.6666666666667,0)</f>
      </c>
      <c r="AB1222" s="5">
        <v>6</v>
      </c>
      <c r="AC1222" s="2" t="s">
        <v>200</v>
      </c>
      <c r="AD1222" s="4"/>
      <c r="AE1222" s="4"/>
      <c r="AF1222" s="6">
        <v>74</v>
      </c>
      <c r="AG1222" s="6"/>
      <c r="AH1222" s="7">
        <v>1</v>
      </c>
      <c r="AI1222" s="4"/>
      <c r="AJ1222" s="4">
        <f>=ROUNDDOWN({0},0)</f>
      </c>
      <c r="AK1222" s="5"/>
      <c r="AL1222" s="2" t="s">
        <v>200</v>
      </c>
      <c r="AM1222" s="4"/>
      <c r="AN1222" s="4"/>
      <c r="AO1222" s="7"/>
      <c r="AP1222" s="4"/>
      <c r="AQ1222" s="8"/>
      <c r="AR1222" s="4"/>
      <c r="AS1222" s="8"/>
      <c r="AT1222" s="7"/>
      <c r="AU1222" s="7"/>
      <c r="AV1222" s="4"/>
      <c r="AW1222" s="8"/>
      <c r="AX1222" s="4"/>
      <c r="AY1222" s="8"/>
      <c r="AZ1222" s="7"/>
      <c r="BA1222" s="7"/>
      <c r="BB1222" s="7"/>
      <c r="BC1222" s="4"/>
      <c r="BD1222" s="8"/>
      <c r="BE1222" s="4"/>
      <c r="BF1222" s="8"/>
      <c r="BG1222" s="7"/>
      <c r="BH1222" s="7"/>
      <c r="BI1222" s="7"/>
      <c r="BJ1222" s="4">
        <v>21</v>
      </c>
      <c r="BK1222" s="8">
        <v>977.69</v>
      </c>
      <c r="BL1222" s="2" t="s">
        <v>6814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6815</v>
      </c>
      <c r="BV1222" s="2" t="s">
        <v>200</v>
      </c>
      <c r="BW1222" s="2" t="s">
        <v>200</v>
      </c>
      <c r="BX1222" s="2" t="s">
        <v>289</v>
      </c>
      <c r="BY1222" s="2" t="s">
        <v>247</v>
      </c>
      <c r="BZ1222" s="2" t="s">
        <v>212</v>
      </c>
      <c r="CA1222" s="2" t="s">
        <v>2559</v>
      </c>
      <c r="CB1222" s="2" t="s">
        <v>4116</v>
      </c>
      <c r="CC1222" s="2" t="s">
        <v>213</v>
      </c>
      <c r="CD1222" s="2" t="s">
        <v>200</v>
      </c>
      <c r="CE1222" s="4"/>
      <c r="CF1222" s="4">
        <v>76</v>
      </c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E1222" s="4"/>
      <c r="DF1222" s="4"/>
      <c r="DG1222" s="4"/>
      <c r="DH1222" s="4"/>
      <c r="DI1222" s="4"/>
      <c r="DJ1222" s="4"/>
      <c r="DK1222" s="4"/>
      <c r="DL1222" s="4"/>
      <c r="DM1222" s="4"/>
      <c r="DN1222" s="4"/>
      <c r="DO1222" s="4"/>
      <c r="DP1222" s="4"/>
      <c r="DQ1222" s="4"/>
      <c r="DR1222" s="4"/>
      <c r="DS1222" s="4"/>
      <c r="DT1222" s="4"/>
      <c r="DU1222" s="4"/>
      <c r="DV1222" s="4"/>
      <c r="DW1222" s="4"/>
      <c r="DX1222" s="4"/>
      <c r="DY1222" s="4"/>
      <c r="DZ1222" s="4"/>
      <c r="EA1222" s="4"/>
      <c r="EB1222" s="4"/>
      <c r="EC1222" s="4"/>
      <c r="ED1222" s="4"/>
      <c r="EE1222" s="4"/>
      <c r="EF1222" s="4"/>
      <c r="EG1222" s="4"/>
      <c r="EH1222" s="4"/>
      <c r="EI1222" s="4"/>
      <c r="EJ1222" s="4"/>
      <c r="EK1222" s="4"/>
      <c r="EL1222" s="4"/>
      <c r="EM1222" s="4"/>
      <c r="EN1222" s="4"/>
      <c r="EO1222" s="4"/>
      <c r="EP1222" s="4"/>
      <c r="EQ1222" s="4"/>
      <c r="ER1222" s="4"/>
      <c r="ES1222" s="4"/>
      <c r="ET1222" s="4"/>
      <c r="EU1222" s="4"/>
      <c r="EV1222" s="4"/>
      <c r="EW1222" s="4"/>
      <c r="EX1222" s="4"/>
      <c r="EY1222" s="4"/>
      <c r="EZ1222" s="4"/>
      <c r="FA1222" s="4"/>
      <c r="FB1222" s="4"/>
      <c r="FC1222" s="4"/>
      <c r="FD1222" s="4"/>
      <c r="FE1222" s="4"/>
      <c r="FF1222" s="4"/>
      <c r="FG1222" s="4"/>
      <c r="FH1222" s="4"/>
      <c r="FI1222" s="4"/>
      <c r="FJ1222" s="4"/>
      <c r="FK1222" s="4"/>
      <c r="FL1222" s="4"/>
      <c r="FM1222" s="4"/>
      <c r="FN1222" s="4"/>
      <c r="FO1222" s="4"/>
      <c r="FP1222" s="4"/>
      <c r="FQ1222" s="4"/>
      <c r="FR1222" s="4"/>
      <c r="FS1222" s="4"/>
      <c r="FT1222" s="4"/>
      <c r="FU1222" s="4"/>
      <c r="FV1222" s="4"/>
      <c r="FW1222" s="4"/>
      <c r="FX1222" s="4"/>
      <c r="FY1222" s="4"/>
      <c r="FZ1222" s="4"/>
      <c r="GA1222" s="4"/>
      <c r="GB1222" s="4"/>
      <c r="GC1222" s="4"/>
      <c r="GD1222" s="4"/>
      <c r="GE1222" s="4"/>
      <c r="GF1222" s="4"/>
      <c r="GG1222" s="4"/>
      <c r="GH1222" s="4"/>
    </row>
    <row r="1223">
      <c r="A1223" s="2" t="s">
        <v>6816</v>
      </c>
      <c r="B1223" s="2" t="s">
        <v>903</v>
      </c>
      <c r="C1223" s="2" t="s">
        <v>1523</v>
      </c>
      <c r="D1223" s="2" t="s">
        <v>2228</v>
      </c>
      <c r="E1223" s="2" t="s">
        <v>2229</v>
      </c>
      <c r="F1223" s="2" t="s">
        <v>6817</v>
      </c>
      <c r="G1223" s="2" t="s">
        <v>6817</v>
      </c>
      <c r="H1223" s="2" t="s">
        <v>6817</v>
      </c>
      <c r="I1223" s="2" t="s">
        <v>2850</v>
      </c>
      <c r="J1223" s="2" t="s">
        <v>2175</v>
      </c>
      <c r="K1223" s="2" t="s">
        <v>1017</v>
      </c>
      <c r="L1223" s="3">
        <v>24.76</v>
      </c>
      <c r="M1223" s="3">
        <v>26</v>
      </c>
      <c r="N1223" s="3">
        <v>79.99</v>
      </c>
      <c r="O1223" s="2" t="s">
        <v>212</v>
      </c>
      <c r="P1223" s="2" t="s">
        <v>760</v>
      </c>
      <c r="Q1223" s="2" t="s">
        <v>206</v>
      </c>
      <c r="R1223" s="2" t="s">
        <v>200</v>
      </c>
      <c r="S1223" s="2" t="s">
        <v>200</v>
      </c>
      <c r="T1223" s="2" t="s">
        <v>200</v>
      </c>
      <c r="U1223" s="2" t="s">
        <v>270</v>
      </c>
      <c r="V1223" s="2" t="s">
        <v>1529</v>
      </c>
      <c r="W1223" s="2" t="s">
        <v>736</v>
      </c>
      <c r="X1223" s="2" t="s">
        <v>200</v>
      </c>
      <c r="Y1223" s="2" t="s">
        <v>1530</v>
      </c>
      <c r="Z1223" s="4">
        <v>53</v>
      </c>
      <c r="AA1223" s="4">
        <f>=ROUNDDOWN(13.25,0)</f>
      </c>
      <c r="AB1223" s="5">
        <v>4</v>
      </c>
      <c r="AC1223" s="2" t="s">
        <v>200</v>
      </c>
      <c r="AD1223" s="4"/>
      <c r="AE1223" s="4"/>
      <c r="AF1223" s="6">
        <v>65</v>
      </c>
      <c r="AG1223" s="6"/>
      <c r="AH1223" s="7">
        <v>1</v>
      </c>
      <c r="AI1223" s="4"/>
      <c r="AJ1223" s="4">
        <f>=ROUNDDOWN({0},0)</f>
      </c>
      <c r="AK1223" s="5"/>
      <c r="AL1223" s="2" t="s">
        <v>200</v>
      </c>
      <c r="AM1223" s="4"/>
      <c r="AN1223" s="4"/>
      <c r="AO1223" s="7"/>
      <c r="AP1223" s="4"/>
      <c r="AQ1223" s="8"/>
      <c r="AR1223" s="4"/>
      <c r="AS1223" s="8"/>
      <c r="AT1223" s="7"/>
      <c r="AU1223" s="7"/>
      <c r="AV1223" s="4"/>
      <c r="AW1223" s="8"/>
      <c r="AX1223" s="4"/>
      <c r="AY1223" s="8"/>
      <c r="AZ1223" s="7"/>
      <c r="BA1223" s="7"/>
      <c r="BB1223" s="7"/>
      <c r="BC1223" s="4" t="s">
        <v>200</v>
      </c>
      <c r="BD1223" s="8" t="s">
        <v>200</v>
      </c>
      <c r="BE1223" s="4" t="s">
        <v>200</v>
      </c>
      <c r="BF1223" s="8" t="s">
        <v>200</v>
      </c>
      <c r="BG1223" s="7" t="s">
        <v>200</v>
      </c>
      <c r="BH1223" s="7" t="s">
        <v>200</v>
      </c>
      <c r="BI1223" s="7"/>
      <c r="BJ1223" s="4">
        <v>2</v>
      </c>
      <c r="BK1223" s="8">
        <v>135.98</v>
      </c>
      <c r="BL1223" s="2" t="s">
        <v>6818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6819</v>
      </c>
      <c r="BV1223" s="2" t="s">
        <v>200</v>
      </c>
      <c r="BW1223" s="2" t="s">
        <v>200</v>
      </c>
      <c r="BX1223" s="2" t="s">
        <v>289</v>
      </c>
      <c r="BY1223" s="2" t="s">
        <v>247</v>
      </c>
      <c r="BZ1223" s="2" t="s">
        <v>212</v>
      </c>
      <c r="CA1223" s="2" t="s">
        <v>1218</v>
      </c>
      <c r="CB1223" s="2" t="s">
        <v>200</v>
      </c>
      <c r="CC1223" s="2" t="s">
        <v>213</v>
      </c>
      <c r="CD1223" s="2" t="s">
        <v>200</v>
      </c>
      <c r="CE1223" s="4">
        <v>53</v>
      </c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/>
      <c r="DL1223" s="4"/>
      <c r="DM1223" s="4"/>
      <c r="DN1223" s="4"/>
      <c r="DO1223" s="4"/>
      <c r="DP1223" s="4"/>
      <c r="DQ1223" s="4"/>
      <c r="DR1223" s="4"/>
      <c r="DS1223" s="4"/>
      <c r="DT1223" s="4"/>
      <c r="DU1223" s="4"/>
      <c r="DV1223" s="4"/>
      <c r="DW1223" s="4"/>
      <c r="DX1223" s="4"/>
      <c r="DY1223" s="4"/>
      <c r="DZ1223" s="4"/>
      <c r="EA1223" s="4"/>
      <c r="EB1223" s="4"/>
      <c r="EC1223" s="4"/>
      <c r="ED1223" s="4"/>
      <c r="EE1223" s="4"/>
      <c r="EF1223" s="4"/>
      <c r="EG1223" s="4"/>
      <c r="EH1223" s="4"/>
      <c r="EI1223" s="4"/>
      <c r="EJ1223" s="4"/>
      <c r="EK1223" s="4"/>
      <c r="EL1223" s="4"/>
      <c r="EM1223" s="4"/>
      <c r="EN1223" s="4"/>
      <c r="EO1223" s="4"/>
      <c r="EP1223" s="4"/>
      <c r="EQ1223" s="4"/>
      <c r="ER1223" s="4"/>
      <c r="ES1223" s="4"/>
      <c r="ET1223" s="4"/>
      <c r="EU1223" s="4"/>
      <c r="EV1223" s="4"/>
      <c r="EW1223" s="4"/>
      <c r="EX1223" s="4"/>
      <c r="EY1223" s="4"/>
      <c r="EZ1223" s="4"/>
      <c r="FA1223" s="4"/>
      <c r="FB1223" s="4"/>
      <c r="FC1223" s="4"/>
      <c r="FD1223" s="4"/>
      <c r="FE1223" s="4"/>
      <c r="FF1223" s="4"/>
      <c r="FG1223" s="4"/>
      <c r="FH1223" s="4"/>
      <c r="FI1223" s="4"/>
      <c r="FJ1223" s="4"/>
      <c r="FK1223" s="4"/>
      <c r="FL1223" s="4"/>
      <c r="FM1223" s="4"/>
      <c r="FN1223" s="4"/>
      <c r="FO1223" s="4"/>
      <c r="FP1223" s="4"/>
      <c r="FQ1223" s="4"/>
      <c r="FR1223" s="4"/>
      <c r="FS1223" s="4"/>
      <c r="FT1223" s="4"/>
      <c r="FU1223" s="4"/>
      <c r="FV1223" s="4"/>
      <c r="FW1223" s="4"/>
      <c r="FX1223" s="4"/>
      <c r="FY1223" s="4"/>
      <c r="FZ1223" s="4"/>
      <c r="GA1223" s="4"/>
      <c r="GB1223" s="4"/>
      <c r="GC1223" s="4"/>
      <c r="GD1223" s="4"/>
      <c r="GE1223" s="4"/>
      <c r="GF1223" s="4"/>
      <c r="GG1223" s="4"/>
      <c r="GH1223" s="4"/>
    </row>
    <row r="1224">
      <c r="A1224" s="2" t="s">
        <v>6820</v>
      </c>
      <c r="B1224" s="2" t="s">
        <v>903</v>
      </c>
      <c r="C1224" s="2" t="s">
        <v>1523</v>
      </c>
      <c r="D1224" s="2" t="s">
        <v>2228</v>
      </c>
      <c r="E1224" s="2" t="s">
        <v>2229</v>
      </c>
      <c r="F1224" s="2" t="s">
        <v>6817</v>
      </c>
      <c r="G1224" s="2" t="s">
        <v>6817</v>
      </c>
      <c r="H1224" s="2" t="s">
        <v>6817</v>
      </c>
      <c r="I1224" s="2" t="s">
        <v>2850</v>
      </c>
      <c r="J1224" s="2" t="s">
        <v>2175</v>
      </c>
      <c r="K1224" s="2" t="s">
        <v>1380</v>
      </c>
      <c r="L1224" s="3">
        <v>24.76</v>
      </c>
      <c r="M1224" s="3">
        <v>26</v>
      </c>
      <c r="N1224" s="3">
        <v>79.99</v>
      </c>
      <c r="O1224" s="2" t="s">
        <v>212</v>
      </c>
      <c r="P1224" s="2" t="s">
        <v>760</v>
      </c>
      <c r="Q1224" s="2" t="s">
        <v>206</v>
      </c>
      <c r="R1224" s="2" t="s">
        <v>200</v>
      </c>
      <c r="S1224" s="2" t="s">
        <v>200</v>
      </c>
      <c r="T1224" s="2" t="s">
        <v>200</v>
      </c>
      <c r="U1224" s="2" t="s">
        <v>270</v>
      </c>
      <c r="V1224" s="2" t="s">
        <v>1529</v>
      </c>
      <c r="W1224" s="2" t="s">
        <v>736</v>
      </c>
      <c r="X1224" s="2" t="s">
        <v>200</v>
      </c>
      <c r="Y1224" s="2" t="s">
        <v>1530</v>
      </c>
      <c r="Z1224" s="4">
        <v>83</v>
      </c>
      <c r="AA1224" s="4">
        <f>=ROUNDDOWN(22.4324324324324,0)</f>
      </c>
      <c r="AB1224" s="5">
        <v>3.7</v>
      </c>
      <c r="AC1224" s="2" t="s">
        <v>200</v>
      </c>
      <c r="AD1224" s="4"/>
      <c r="AE1224" s="4"/>
      <c r="AF1224" s="6">
        <v>65</v>
      </c>
      <c r="AG1224" s="6"/>
      <c r="AH1224" s="7">
        <v>1</v>
      </c>
      <c r="AI1224" s="4"/>
      <c r="AJ1224" s="4">
        <f>=ROUNDDOWN({0},0)</f>
      </c>
      <c r="AK1224" s="5"/>
      <c r="AL1224" s="2" t="s">
        <v>200</v>
      </c>
      <c r="AM1224" s="4"/>
      <c r="AN1224" s="4"/>
      <c r="AO1224" s="7"/>
      <c r="AP1224" s="4"/>
      <c r="AQ1224" s="8"/>
      <c r="AR1224" s="4"/>
      <c r="AS1224" s="8"/>
      <c r="AT1224" s="7"/>
      <c r="AU1224" s="7"/>
      <c r="AV1224" s="4"/>
      <c r="AW1224" s="8"/>
      <c r="AX1224" s="4"/>
      <c r="AY1224" s="8"/>
      <c r="AZ1224" s="7"/>
      <c r="BA1224" s="7"/>
      <c r="BB1224" s="7"/>
      <c r="BC1224" s="4" t="s">
        <v>200</v>
      </c>
      <c r="BD1224" s="8" t="s">
        <v>200</v>
      </c>
      <c r="BE1224" s="4" t="s">
        <v>200</v>
      </c>
      <c r="BF1224" s="8" t="s">
        <v>200</v>
      </c>
      <c r="BG1224" s="7" t="s">
        <v>200</v>
      </c>
      <c r="BH1224" s="7" t="s">
        <v>200</v>
      </c>
      <c r="BI1224" s="7"/>
      <c r="BJ1224" s="4">
        <v>8</v>
      </c>
      <c r="BK1224" s="8">
        <v>323.05</v>
      </c>
      <c r="BL1224" s="2" t="s">
        <v>1531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6821</v>
      </c>
      <c r="BV1224" s="2" t="s">
        <v>200</v>
      </c>
      <c r="BW1224" s="2" t="s">
        <v>200</v>
      </c>
      <c r="BX1224" s="2" t="s">
        <v>289</v>
      </c>
      <c r="BY1224" s="2" t="s">
        <v>247</v>
      </c>
      <c r="BZ1224" s="2" t="s">
        <v>212</v>
      </c>
      <c r="CA1224" s="2" t="s">
        <v>1218</v>
      </c>
      <c r="CB1224" s="2" t="s">
        <v>200</v>
      </c>
      <c r="CC1224" s="2" t="s">
        <v>213</v>
      </c>
      <c r="CD1224" s="2" t="s">
        <v>200</v>
      </c>
      <c r="CE1224" s="4">
        <v>83</v>
      </c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  <c r="DE1224" s="4"/>
      <c r="DF1224" s="4"/>
      <c r="DG1224" s="4"/>
      <c r="DH1224" s="4"/>
      <c r="DI1224" s="4"/>
      <c r="DJ1224" s="4"/>
      <c r="DK1224" s="4"/>
      <c r="DL1224" s="4"/>
      <c r="DM1224" s="4"/>
      <c r="DN1224" s="4"/>
      <c r="DO1224" s="4"/>
      <c r="DP1224" s="4"/>
      <c r="DQ1224" s="4"/>
      <c r="DR1224" s="4"/>
      <c r="DS1224" s="4"/>
      <c r="DT1224" s="4"/>
      <c r="DU1224" s="4"/>
      <c r="DV1224" s="4"/>
      <c r="DW1224" s="4"/>
      <c r="DX1224" s="4"/>
      <c r="DY1224" s="4"/>
      <c r="DZ1224" s="4"/>
      <c r="EA1224" s="4"/>
      <c r="EB1224" s="4"/>
      <c r="EC1224" s="4"/>
      <c r="ED1224" s="4"/>
      <c r="EE1224" s="4"/>
      <c r="EF1224" s="4"/>
      <c r="EG1224" s="4"/>
      <c r="EH1224" s="4"/>
      <c r="EI1224" s="4"/>
      <c r="EJ1224" s="4"/>
      <c r="EK1224" s="4"/>
      <c r="EL1224" s="4"/>
      <c r="EM1224" s="4"/>
      <c r="EN1224" s="4"/>
      <c r="EO1224" s="4"/>
      <c r="EP1224" s="4"/>
      <c r="EQ1224" s="4"/>
      <c r="ER1224" s="4"/>
      <c r="ES1224" s="4"/>
      <c r="ET1224" s="4"/>
      <c r="EU1224" s="4"/>
      <c r="EV1224" s="4"/>
      <c r="EW1224" s="4"/>
      <c r="EX1224" s="4"/>
      <c r="EY1224" s="4"/>
      <c r="EZ1224" s="4"/>
      <c r="FA1224" s="4"/>
      <c r="FB1224" s="4"/>
      <c r="FC1224" s="4"/>
      <c r="FD1224" s="4"/>
      <c r="FE1224" s="4"/>
      <c r="FF1224" s="4"/>
      <c r="FG1224" s="4"/>
      <c r="FH1224" s="4"/>
      <c r="FI1224" s="4"/>
      <c r="FJ1224" s="4"/>
      <c r="FK1224" s="4"/>
      <c r="FL1224" s="4"/>
      <c r="FM1224" s="4"/>
      <c r="FN1224" s="4"/>
      <c r="FO1224" s="4"/>
      <c r="FP1224" s="4"/>
      <c r="FQ1224" s="4"/>
      <c r="FR1224" s="4"/>
      <c r="FS1224" s="4"/>
      <c r="FT1224" s="4"/>
      <c r="FU1224" s="4"/>
      <c r="FV1224" s="4"/>
      <c r="FW1224" s="4"/>
      <c r="FX1224" s="4"/>
      <c r="FY1224" s="4"/>
      <c r="FZ1224" s="4"/>
      <c r="GA1224" s="4"/>
      <c r="GB1224" s="4"/>
      <c r="GC1224" s="4"/>
      <c r="GD1224" s="4"/>
      <c r="GE1224" s="4"/>
      <c r="GF1224" s="4"/>
      <c r="GG1224" s="4"/>
      <c r="GH1224" s="4"/>
    </row>
    <row r="1225">
      <c r="A1225" s="2" t="s">
        <v>6822</v>
      </c>
      <c r="B1225" s="2" t="s">
        <v>719</v>
      </c>
      <c r="C1225" s="2" t="s">
        <v>231</v>
      </c>
      <c r="D1225" s="2" t="s">
        <v>1554</v>
      </c>
      <c r="E1225" s="2" t="s">
        <v>721</v>
      </c>
      <c r="F1225" s="2" t="s">
        <v>6823</v>
      </c>
      <c r="G1225" s="2" t="s">
        <v>6823</v>
      </c>
      <c r="H1225" s="2" t="s">
        <v>6823</v>
      </c>
      <c r="I1225" s="2" t="s">
        <v>6824</v>
      </c>
      <c r="J1225" s="2" t="s">
        <v>711</v>
      </c>
      <c r="K1225" s="2" t="s">
        <v>6825</v>
      </c>
      <c r="L1225" s="3">
        <v>52.38</v>
      </c>
      <c r="M1225" s="3">
        <v>55</v>
      </c>
      <c r="N1225" s="3">
        <v>109.99</v>
      </c>
      <c r="O1225" s="2" t="s">
        <v>212</v>
      </c>
      <c r="P1225" s="2" t="s">
        <v>750</v>
      </c>
      <c r="Q1225" s="2" t="s">
        <v>206</v>
      </c>
      <c r="R1225" s="2" t="s">
        <v>200</v>
      </c>
      <c r="S1225" s="2" t="s">
        <v>200</v>
      </c>
      <c r="T1225" s="2" t="s">
        <v>200</v>
      </c>
      <c r="U1225" s="2" t="s">
        <v>270</v>
      </c>
      <c r="V1225" s="2" t="s">
        <v>616</v>
      </c>
      <c r="W1225" s="2" t="s">
        <v>313</v>
      </c>
      <c r="X1225" s="2" t="s">
        <v>419</v>
      </c>
      <c r="Y1225" s="2" t="s">
        <v>4548</v>
      </c>
      <c r="Z1225" s="4">
        <v>43</v>
      </c>
      <c r="AA1225" s="4">
        <f>=ROUNDDOWN(43,0)</f>
      </c>
      <c r="AB1225" s="5">
        <v>1</v>
      </c>
      <c r="AC1225" s="2" t="s">
        <v>200</v>
      </c>
      <c r="AD1225" s="4"/>
      <c r="AE1225" s="4"/>
      <c r="AF1225" s="6">
        <v>61</v>
      </c>
      <c r="AG1225" s="6"/>
      <c r="AH1225" s="7">
        <v>1</v>
      </c>
      <c r="AI1225" s="4"/>
      <c r="AJ1225" s="4">
        <f>=ROUNDDOWN({0},0)</f>
      </c>
      <c r="AK1225" s="5"/>
      <c r="AL1225" s="2" t="s">
        <v>200</v>
      </c>
      <c r="AM1225" s="4"/>
      <c r="AN1225" s="4"/>
      <c r="AO1225" s="7"/>
      <c r="AP1225" s="4"/>
      <c r="AQ1225" s="8"/>
      <c r="AR1225" s="4"/>
      <c r="AS1225" s="8"/>
      <c r="AT1225" s="7"/>
      <c r="AU1225" s="7"/>
      <c r="AV1225" s="4"/>
      <c r="AW1225" s="8"/>
      <c r="AX1225" s="4"/>
      <c r="AY1225" s="8"/>
      <c r="AZ1225" s="7"/>
      <c r="BA1225" s="7"/>
      <c r="BB1225" s="7"/>
      <c r="BC1225" s="4"/>
      <c r="BD1225" s="8"/>
      <c r="BE1225" s="4"/>
      <c r="BF1225" s="8"/>
      <c r="BG1225" s="7"/>
      <c r="BH1225" s="7"/>
      <c r="BI1225" s="7"/>
      <c r="BJ1225" s="4">
        <v>3</v>
      </c>
      <c r="BK1225" s="8">
        <v>174.35</v>
      </c>
      <c r="BL1225" s="2" t="s">
        <v>6826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6827</v>
      </c>
      <c r="BV1225" s="2" t="s">
        <v>200</v>
      </c>
      <c r="BW1225" s="2" t="s">
        <v>200</v>
      </c>
      <c r="BX1225" s="2" t="s">
        <v>264</v>
      </c>
      <c r="BY1225" s="2" t="s">
        <v>247</v>
      </c>
      <c r="BZ1225" s="2" t="s">
        <v>212</v>
      </c>
      <c r="CA1225" s="2" t="s">
        <v>1209</v>
      </c>
      <c r="CB1225" s="2" t="s">
        <v>4124</v>
      </c>
      <c r="CC1225" s="2" t="s">
        <v>213</v>
      </c>
      <c r="CD1225" s="2" t="s">
        <v>200</v>
      </c>
      <c r="CE1225" s="4"/>
      <c r="CF1225" s="4">
        <v>43</v>
      </c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  <c r="DP1225" s="4"/>
      <c r="DQ1225" s="4"/>
      <c r="DR1225" s="4"/>
      <c r="DS1225" s="4"/>
      <c r="DT1225" s="4"/>
      <c r="DU1225" s="4"/>
      <c r="DV1225" s="4"/>
      <c r="DW1225" s="4"/>
      <c r="DX1225" s="4"/>
      <c r="DY1225" s="4"/>
      <c r="DZ1225" s="4"/>
      <c r="EA1225" s="4"/>
      <c r="EB1225" s="4"/>
      <c r="EC1225" s="4"/>
      <c r="ED1225" s="4"/>
      <c r="EE1225" s="4"/>
      <c r="EF1225" s="4"/>
      <c r="EG1225" s="4"/>
      <c r="EH1225" s="4"/>
      <c r="EI1225" s="4"/>
      <c r="EJ1225" s="4"/>
      <c r="EK1225" s="4"/>
      <c r="EL1225" s="4"/>
      <c r="EM1225" s="4"/>
      <c r="EN1225" s="4"/>
      <c r="EO1225" s="4"/>
      <c r="EP1225" s="4"/>
      <c r="EQ1225" s="4"/>
      <c r="ER1225" s="4"/>
      <c r="ES1225" s="4"/>
      <c r="ET1225" s="4"/>
      <c r="EU1225" s="4"/>
      <c r="EV1225" s="4"/>
      <c r="EW1225" s="4"/>
      <c r="EX1225" s="4"/>
      <c r="EY1225" s="4"/>
      <c r="EZ1225" s="4"/>
      <c r="FA1225" s="4"/>
      <c r="FB1225" s="4"/>
      <c r="FC1225" s="4"/>
      <c r="FD1225" s="4"/>
      <c r="FE1225" s="4"/>
      <c r="FF1225" s="4"/>
      <c r="FG1225" s="4"/>
      <c r="FH1225" s="4"/>
      <c r="FI1225" s="4"/>
      <c r="FJ1225" s="4"/>
      <c r="FK1225" s="4"/>
      <c r="FL1225" s="4"/>
      <c r="FM1225" s="4"/>
      <c r="FN1225" s="4"/>
      <c r="FO1225" s="4"/>
      <c r="FP1225" s="4"/>
      <c r="FQ1225" s="4"/>
      <c r="FR1225" s="4"/>
      <c r="FS1225" s="4"/>
      <c r="FT1225" s="4"/>
      <c r="FU1225" s="4"/>
      <c r="FV1225" s="4"/>
      <c r="FW1225" s="4"/>
      <c r="FX1225" s="4"/>
      <c r="FY1225" s="4"/>
      <c r="FZ1225" s="4"/>
      <c r="GA1225" s="4"/>
      <c r="GB1225" s="4"/>
      <c r="GC1225" s="4"/>
      <c r="GD1225" s="4"/>
      <c r="GE1225" s="4"/>
      <c r="GF1225" s="4"/>
      <c r="GG1225" s="4"/>
      <c r="GH1225" s="4"/>
    </row>
    <row r="1226">
      <c r="A1226" s="2" t="s">
        <v>6828</v>
      </c>
      <c r="B1226" s="2" t="s">
        <v>903</v>
      </c>
      <c r="C1226" s="2" t="s">
        <v>1759</v>
      </c>
      <c r="D1226" s="2" t="s">
        <v>608</v>
      </c>
      <c r="E1226" s="2" t="s">
        <v>609</v>
      </c>
      <c r="F1226" s="2" t="s">
        <v>6829</v>
      </c>
      <c r="G1226" s="2" t="s">
        <v>6829</v>
      </c>
      <c r="H1226" s="2" t="s">
        <v>6829</v>
      </c>
      <c r="I1226" s="2" t="s">
        <v>6830</v>
      </c>
      <c r="J1226" s="2" t="s">
        <v>277</v>
      </c>
      <c r="K1226" s="2" t="s">
        <v>6831</v>
      </c>
      <c r="L1226" s="3">
        <v>91.2</v>
      </c>
      <c r="M1226" s="3">
        <v>95.76</v>
      </c>
      <c r="N1226" s="3">
        <v>189.99</v>
      </c>
      <c r="O1226" s="2" t="s">
        <v>212</v>
      </c>
      <c r="P1226" s="2" t="s">
        <v>205</v>
      </c>
      <c r="Q1226" s="2" t="s">
        <v>206</v>
      </c>
      <c r="R1226" s="2" t="s">
        <v>200</v>
      </c>
      <c r="S1226" s="2" t="s">
        <v>6832</v>
      </c>
      <c r="T1226" s="2" t="s">
        <v>1833</v>
      </c>
      <c r="U1226" s="2" t="s">
        <v>662</v>
      </c>
      <c r="V1226" s="2" t="s">
        <v>339</v>
      </c>
      <c r="W1226" s="2" t="s">
        <v>6276</v>
      </c>
      <c r="X1226" s="2" t="s">
        <v>6833</v>
      </c>
      <c r="Y1226" s="2" t="s">
        <v>3183</v>
      </c>
      <c r="Z1226" s="4">
        <v>168</v>
      </c>
      <c r="AA1226" s="4">
        <f>=ROUNDDOWN(56,0)</f>
      </c>
      <c r="AB1226" s="5">
        <v>3</v>
      </c>
      <c r="AC1226" s="2" t="s">
        <v>200</v>
      </c>
      <c r="AD1226" s="4"/>
      <c r="AE1226" s="4"/>
      <c r="AF1226" s="6">
        <v>65</v>
      </c>
      <c r="AG1226" s="6"/>
      <c r="AH1226" s="7">
        <v>1</v>
      </c>
      <c r="AI1226" s="4"/>
      <c r="AJ1226" s="4">
        <f>=ROUNDDOWN({0},0)</f>
      </c>
      <c r="AK1226" s="5"/>
      <c r="AL1226" s="2" t="s">
        <v>200</v>
      </c>
      <c r="AM1226" s="4"/>
      <c r="AN1226" s="4"/>
      <c r="AO1226" s="7"/>
      <c r="AP1226" s="4"/>
      <c r="AQ1226" s="8"/>
      <c r="AR1226" s="4"/>
      <c r="AS1226" s="8"/>
      <c r="AT1226" s="7"/>
      <c r="AU1226" s="7"/>
      <c r="AV1226" s="4" t="s">
        <v>200</v>
      </c>
      <c r="AW1226" s="8" t="s">
        <v>200</v>
      </c>
      <c r="AX1226" s="4" t="s">
        <v>200</v>
      </c>
      <c r="AY1226" s="8" t="s">
        <v>200</v>
      </c>
      <c r="AZ1226" s="7" t="s">
        <v>200</v>
      </c>
      <c r="BA1226" s="7" t="s">
        <v>200</v>
      </c>
      <c r="BB1226" s="7"/>
      <c r="BC1226" s="4" t="s">
        <v>200</v>
      </c>
      <c r="BD1226" s="8" t="s">
        <v>200</v>
      </c>
      <c r="BE1226" s="4" t="s">
        <v>200</v>
      </c>
      <c r="BF1226" s="8" t="s">
        <v>200</v>
      </c>
      <c r="BG1226" s="7" t="s">
        <v>200</v>
      </c>
      <c r="BH1226" s="7" t="s">
        <v>200</v>
      </c>
      <c r="BI1226" s="7"/>
      <c r="BJ1226" s="4">
        <v>1</v>
      </c>
      <c r="BK1226" s="8">
        <v>103.42</v>
      </c>
      <c r="BL1226" s="2" t="s">
        <v>1292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6834</v>
      </c>
      <c r="BV1226" s="2" t="s">
        <v>200</v>
      </c>
      <c r="BW1226" s="2" t="s">
        <v>200</v>
      </c>
      <c r="BX1226" s="2" t="s">
        <v>620</v>
      </c>
      <c r="BY1226" s="2" t="s">
        <v>247</v>
      </c>
      <c r="BZ1226" s="2" t="s">
        <v>212</v>
      </c>
      <c r="CA1226" s="2" t="s">
        <v>6835</v>
      </c>
      <c r="CB1226" s="2" t="s">
        <v>384</v>
      </c>
      <c r="CC1226" s="2" t="s">
        <v>213</v>
      </c>
      <c r="CD1226" s="2" t="s">
        <v>200</v>
      </c>
      <c r="CE1226" s="4">
        <v>168</v>
      </c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/>
      <c r="DL1226" s="4"/>
      <c r="DM1226" s="4"/>
      <c r="DN1226" s="4"/>
      <c r="DO1226" s="4"/>
      <c r="DP1226" s="4"/>
      <c r="DQ1226" s="4"/>
      <c r="DR1226" s="4"/>
      <c r="DS1226" s="4"/>
      <c r="DT1226" s="4"/>
      <c r="DU1226" s="4"/>
      <c r="DV1226" s="4"/>
      <c r="DW1226" s="4"/>
      <c r="DX1226" s="4"/>
      <c r="DY1226" s="4"/>
      <c r="DZ1226" s="4"/>
      <c r="EA1226" s="4"/>
      <c r="EB1226" s="4"/>
      <c r="EC1226" s="4"/>
      <c r="ED1226" s="4"/>
      <c r="EE1226" s="4"/>
      <c r="EF1226" s="4"/>
      <c r="EG1226" s="4"/>
      <c r="EH1226" s="4"/>
      <c r="EI1226" s="4"/>
      <c r="EJ1226" s="4"/>
      <c r="EK1226" s="4"/>
      <c r="EL1226" s="4"/>
      <c r="EM1226" s="4"/>
      <c r="EN1226" s="4"/>
      <c r="EO1226" s="4"/>
      <c r="EP1226" s="4"/>
      <c r="EQ1226" s="4"/>
      <c r="ER1226" s="4"/>
      <c r="ES1226" s="4"/>
      <c r="ET1226" s="4"/>
      <c r="EU1226" s="4"/>
      <c r="EV1226" s="4"/>
      <c r="EW1226" s="4"/>
      <c r="EX1226" s="4"/>
      <c r="EY1226" s="4"/>
      <c r="EZ1226" s="4"/>
      <c r="FA1226" s="4"/>
      <c r="FB1226" s="4"/>
      <c r="FC1226" s="4"/>
      <c r="FD1226" s="4"/>
      <c r="FE1226" s="4"/>
      <c r="FF1226" s="4"/>
      <c r="FG1226" s="4"/>
      <c r="FH1226" s="4"/>
      <c r="FI1226" s="4"/>
      <c r="FJ1226" s="4"/>
      <c r="FK1226" s="4"/>
      <c r="FL1226" s="4"/>
      <c r="FM1226" s="4"/>
      <c r="FN1226" s="4"/>
      <c r="FO1226" s="4"/>
      <c r="FP1226" s="4"/>
      <c r="FQ1226" s="4"/>
      <c r="FR1226" s="4"/>
      <c r="FS1226" s="4"/>
      <c r="FT1226" s="4"/>
      <c r="FU1226" s="4"/>
      <c r="FV1226" s="4"/>
      <c r="FW1226" s="4"/>
      <c r="FX1226" s="4"/>
      <c r="FY1226" s="4"/>
      <c r="FZ1226" s="4"/>
      <c r="GA1226" s="4"/>
      <c r="GB1226" s="4"/>
      <c r="GC1226" s="4"/>
      <c r="GD1226" s="4"/>
      <c r="GE1226" s="4"/>
      <c r="GF1226" s="4"/>
      <c r="GG1226" s="4"/>
      <c r="GH1226" s="4"/>
    </row>
    <row r="1227">
      <c r="A1227" s="2" t="s">
        <v>6836</v>
      </c>
      <c r="B1227" s="2" t="s">
        <v>903</v>
      </c>
      <c r="C1227" s="2" t="s">
        <v>1759</v>
      </c>
      <c r="D1227" s="2" t="s">
        <v>918</v>
      </c>
      <c r="E1227" s="2" t="s">
        <v>934</v>
      </c>
      <c r="F1227" s="2" t="s">
        <v>6829</v>
      </c>
      <c r="G1227" s="2" t="s">
        <v>6829</v>
      </c>
      <c r="H1227" s="2" t="s">
        <v>6829</v>
      </c>
      <c r="I1227" s="2" t="s">
        <v>6837</v>
      </c>
      <c r="J1227" s="2" t="s">
        <v>924</v>
      </c>
      <c r="K1227" s="2" t="s">
        <v>6831</v>
      </c>
      <c r="L1227" s="3">
        <v>90</v>
      </c>
      <c r="M1227" s="3">
        <v>94.5</v>
      </c>
      <c r="N1227" s="3">
        <v>179.99</v>
      </c>
      <c r="O1227" s="2" t="s">
        <v>212</v>
      </c>
      <c r="P1227" s="2" t="s">
        <v>205</v>
      </c>
      <c r="Q1227" s="2" t="s">
        <v>206</v>
      </c>
      <c r="R1227" s="2" t="s">
        <v>200</v>
      </c>
      <c r="S1227" s="2" t="s">
        <v>6832</v>
      </c>
      <c r="T1227" s="2" t="s">
        <v>1833</v>
      </c>
      <c r="U1227" s="2" t="s">
        <v>615</v>
      </c>
      <c r="V1227" s="2" t="s">
        <v>339</v>
      </c>
      <c r="W1227" s="2" t="s">
        <v>6276</v>
      </c>
      <c r="X1227" s="2" t="s">
        <v>6833</v>
      </c>
      <c r="Y1227" s="2" t="s">
        <v>3183</v>
      </c>
      <c r="Z1227" s="4">
        <v>114</v>
      </c>
      <c r="AA1227" s="4">
        <f>=ROUNDDOWN(57,0)</f>
      </c>
      <c r="AB1227" s="5">
        <v>2</v>
      </c>
      <c r="AC1227" s="2" t="s">
        <v>200</v>
      </c>
      <c r="AD1227" s="4"/>
      <c r="AE1227" s="4"/>
      <c r="AF1227" s="6">
        <v>65</v>
      </c>
      <c r="AG1227" s="6"/>
      <c r="AH1227" s="7">
        <v>1</v>
      </c>
      <c r="AI1227" s="4"/>
      <c r="AJ1227" s="4">
        <f>=ROUNDDOWN({0},0)</f>
      </c>
      <c r="AK1227" s="5"/>
      <c r="AL1227" s="2" t="s">
        <v>200</v>
      </c>
      <c r="AM1227" s="4"/>
      <c r="AN1227" s="4"/>
      <c r="AO1227" s="7"/>
      <c r="AP1227" s="4"/>
      <c r="AQ1227" s="8"/>
      <c r="AR1227" s="4"/>
      <c r="AS1227" s="8"/>
      <c r="AT1227" s="7"/>
      <c r="AU1227" s="7"/>
      <c r="AV1227" s="4" t="s">
        <v>200</v>
      </c>
      <c r="AW1227" s="8" t="s">
        <v>200</v>
      </c>
      <c r="AX1227" s="4" t="s">
        <v>200</v>
      </c>
      <c r="AY1227" s="8" t="s">
        <v>200</v>
      </c>
      <c r="AZ1227" s="7" t="s">
        <v>200</v>
      </c>
      <c r="BA1227" s="7" t="s">
        <v>200</v>
      </c>
      <c r="BB1227" s="7"/>
      <c r="BC1227" s="4" t="s">
        <v>200</v>
      </c>
      <c r="BD1227" s="8" t="s">
        <v>200</v>
      </c>
      <c r="BE1227" s="4" t="s">
        <v>200</v>
      </c>
      <c r="BF1227" s="8" t="s">
        <v>200</v>
      </c>
      <c r="BG1227" s="7" t="s">
        <v>200</v>
      </c>
      <c r="BH1227" s="7" t="s">
        <v>200</v>
      </c>
      <c r="BI1227" s="7"/>
      <c r="BJ1227" s="4">
        <v>3</v>
      </c>
      <c r="BK1227" s="8">
        <v>272.16</v>
      </c>
      <c r="BL1227" s="2" t="s">
        <v>791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6838</v>
      </c>
      <c r="BV1227" s="2" t="s">
        <v>200</v>
      </c>
      <c r="BW1227" s="2" t="s">
        <v>200</v>
      </c>
      <c r="BX1227" s="2" t="s">
        <v>264</v>
      </c>
      <c r="BY1227" s="2" t="s">
        <v>247</v>
      </c>
      <c r="BZ1227" s="2" t="s">
        <v>212</v>
      </c>
      <c r="CA1227" s="2" t="s">
        <v>6835</v>
      </c>
      <c r="CB1227" s="2" t="s">
        <v>858</v>
      </c>
      <c r="CC1227" s="2" t="s">
        <v>213</v>
      </c>
      <c r="CD1227" s="2" t="s">
        <v>200</v>
      </c>
      <c r="CE1227" s="4">
        <v>114</v>
      </c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  <c r="DE1227" s="4"/>
      <c r="DF1227" s="4"/>
      <c r="DG1227" s="4"/>
      <c r="DH1227" s="4"/>
      <c r="DI1227" s="4"/>
      <c r="DJ1227" s="4"/>
      <c r="DK1227" s="4"/>
      <c r="DL1227" s="4"/>
      <c r="DM1227" s="4"/>
      <c r="DN1227" s="4"/>
      <c r="DO1227" s="4"/>
      <c r="DP1227" s="4"/>
      <c r="DQ1227" s="4"/>
      <c r="DR1227" s="4"/>
      <c r="DS1227" s="4"/>
      <c r="DT1227" s="4"/>
      <c r="DU1227" s="4"/>
      <c r="DV1227" s="4"/>
      <c r="DW1227" s="4"/>
      <c r="DX1227" s="4"/>
      <c r="DY1227" s="4"/>
      <c r="DZ1227" s="4"/>
      <c r="EA1227" s="4"/>
      <c r="EB1227" s="4"/>
      <c r="EC1227" s="4"/>
      <c r="ED1227" s="4"/>
      <c r="EE1227" s="4"/>
      <c r="EF1227" s="4"/>
      <c r="EG1227" s="4"/>
      <c r="EH1227" s="4"/>
      <c r="EI1227" s="4"/>
      <c r="EJ1227" s="4"/>
      <c r="EK1227" s="4"/>
      <c r="EL1227" s="4"/>
      <c r="EM1227" s="4"/>
      <c r="EN1227" s="4"/>
      <c r="EO1227" s="4"/>
      <c r="EP1227" s="4"/>
      <c r="EQ1227" s="4"/>
      <c r="ER1227" s="4"/>
      <c r="ES1227" s="4"/>
      <c r="ET1227" s="4"/>
      <c r="EU1227" s="4"/>
      <c r="EV1227" s="4"/>
      <c r="EW1227" s="4"/>
      <c r="EX1227" s="4"/>
      <c r="EY1227" s="4"/>
      <c r="EZ1227" s="4"/>
      <c r="FA1227" s="4"/>
      <c r="FB1227" s="4"/>
      <c r="FC1227" s="4"/>
      <c r="FD1227" s="4"/>
      <c r="FE1227" s="4"/>
      <c r="FF1227" s="4"/>
      <c r="FG1227" s="4"/>
      <c r="FH1227" s="4"/>
      <c r="FI1227" s="4"/>
      <c r="FJ1227" s="4"/>
      <c r="FK1227" s="4"/>
      <c r="FL1227" s="4"/>
      <c r="FM1227" s="4"/>
      <c r="FN1227" s="4"/>
      <c r="FO1227" s="4"/>
      <c r="FP1227" s="4"/>
      <c r="FQ1227" s="4"/>
      <c r="FR1227" s="4"/>
      <c r="FS1227" s="4"/>
      <c r="FT1227" s="4"/>
      <c r="FU1227" s="4"/>
      <c r="FV1227" s="4"/>
      <c r="FW1227" s="4"/>
      <c r="FX1227" s="4"/>
      <c r="FY1227" s="4"/>
      <c r="FZ1227" s="4"/>
      <c r="GA1227" s="4"/>
      <c r="GB1227" s="4"/>
      <c r="GC1227" s="4"/>
      <c r="GD1227" s="4"/>
      <c r="GE1227" s="4"/>
      <c r="GF1227" s="4"/>
      <c r="GG1227" s="4"/>
      <c r="GH1227" s="4"/>
    </row>
    <row r="1228">
      <c r="A1228" s="2" t="s">
        <v>6839</v>
      </c>
      <c r="B1228" s="2" t="s">
        <v>719</v>
      </c>
      <c r="C1228" s="2" t="s">
        <v>231</v>
      </c>
      <c r="D1228" s="2" t="s">
        <v>6246</v>
      </c>
      <c r="E1228" s="2" t="s">
        <v>6247</v>
      </c>
      <c r="F1228" s="2" t="s">
        <v>6840</v>
      </c>
      <c r="G1228" s="2" t="s">
        <v>200</v>
      </c>
      <c r="H1228" s="2" t="s">
        <v>200</v>
      </c>
      <c r="I1228" s="2" t="s">
        <v>6841</v>
      </c>
      <c r="J1228" s="2" t="s">
        <v>711</v>
      </c>
      <c r="K1228" s="2" t="s">
        <v>1153</v>
      </c>
      <c r="L1228" s="3">
        <v>39.47</v>
      </c>
      <c r="M1228" s="3">
        <v>41.44</v>
      </c>
      <c r="N1228" s="3">
        <v>81.99</v>
      </c>
      <c r="O1228" s="2" t="s">
        <v>212</v>
      </c>
      <c r="P1228" s="2" t="s">
        <v>750</v>
      </c>
      <c r="Q1228" s="2" t="s">
        <v>206</v>
      </c>
      <c r="R1228" s="2" t="s">
        <v>200</v>
      </c>
      <c r="S1228" s="2" t="s">
        <v>6842</v>
      </c>
      <c r="T1228" s="2" t="s">
        <v>200</v>
      </c>
      <c r="U1228" s="2" t="s">
        <v>240</v>
      </c>
      <c r="V1228" s="2" t="s">
        <v>3675</v>
      </c>
      <c r="W1228" s="2" t="s">
        <v>1975</v>
      </c>
      <c r="X1228" s="2" t="s">
        <v>200</v>
      </c>
      <c r="Y1228" s="2" t="s">
        <v>261</v>
      </c>
      <c r="Z1228" s="4">
        <v>98</v>
      </c>
      <c r="AA1228" s="4">
        <f>=ROUNDDOWN(24.5,0)</f>
      </c>
      <c r="AB1228" s="5">
        <v>4</v>
      </c>
      <c r="AC1228" s="2" t="s">
        <v>200</v>
      </c>
      <c r="AD1228" s="4"/>
      <c r="AE1228" s="4"/>
      <c r="AF1228" s="6">
        <v>63</v>
      </c>
      <c r="AG1228" s="6"/>
      <c r="AH1228" s="7">
        <v>1</v>
      </c>
      <c r="AI1228" s="4"/>
      <c r="AJ1228" s="4">
        <f>=ROUNDDOWN({0},0)</f>
      </c>
      <c r="AK1228" s="5"/>
      <c r="AL1228" s="2" t="s">
        <v>200</v>
      </c>
      <c r="AM1228" s="4"/>
      <c r="AN1228" s="4"/>
      <c r="AO1228" s="7"/>
      <c r="AP1228" s="4"/>
      <c r="AQ1228" s="8"/>
      <c r="AR1228" s="4"/>
      <c r="AS1228" s="8"/>
      <c r="AT1228" s="7"/>
      <c r="AU1228" s="7"/>
      <c r="AV1228" s="4"/>
      <c r="AW1228" s="8"/>
      <c r="AX1228" s="4"/>
      <c r="AY1228" s="8"/>
      <c r="AZ1228" s="7"/>
      <c r="BA1228" s="7"/>
      <c r="BB1228" s="7"/>
      <c r="BC1228" s="4"/>
      <c r="BD1228" s="8"/>
      <c r="BE1228" s="4"/>
      <c r="BF1228" s="8"/>
      <c r="BG1228" s="7"/>
      <c r="BH1228" s="7"/>
      <c r="BI1228" s="7"/>
      <c r="BJ1228" s="4">
        <v>20</v>
      </c>
      <c r="BK1228" s="8">
        <v>777.95</v>
      </c>
      <c r="BL1228" s="2" t="s">
        <v>6843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6844</v>
      </c>
      <c r="BV1228" s="2" t="s">
        <v>200</v>
      </c>
      <c r="BW1228" s="2" t="s">
        <v>200</v>
      </c>
      <c r="BX1228" s="2" t="s">
        <v>264</v>
      </c>
      <c r="BY1228" s="2" t="s">
        <v>247</v>
      </c>
      <c r="BZ1228" s="2" t="s">
        <v>212</v>
      </c>
      <c r="CA1228" s="2" t="s">
        <v>265</v>
      </c>
      <c r="CB1228" s="2" t="s">
        <v>6845</v>
      </c>
      <c r="CC1228" s="2" t="s">
        <v>213</v>
      </c>
      <c r="CD1228" s="2" t="s">
        <v>200</v>
      </c>
      <c r="CE1228" s="4">
        <v>71</v>
      </c>
      <c r="CF1228" s="4">
        <v>27</v>
      </c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E1228" s="4"/>
      <c r="DF1228" s="4"/>
      <c r="DG1228" s="4"/>
      <c r="DH1228" s="4"/>
      <c r="DI1228" s="4"/>
      <c r="DJ1228" s="4"/>
      <c r="DK1228" s="4"/>
      <c r="DL1228" s="4"/>
      <c r="DM1228" s="4"/>
      <c r="DN1228" s="4"/>
      <c r="DO1228" s="4"/>
      <c r="DP1228" s="4"/>
      <c r="DQ1228" s="4"/>
      <c r="DR1228" s="4"/>
      <c r="DS1228" s="4"/>
      <c r="DT1228" s="4"/>
      <c r="DU1228" s="4"/>
      <c r="DV1228" s="4"/>
      <c r="DW1228" s="4"/>
      <c r="DX1228" s="4"/>
      <c r="DY1228" s="4"/>
      <c r="DZ1228" s="4"/>
      <c r="EA1228" s="4"/>
      <c r="EB1228" s="4"/>
      <c r="EC1228" s="4"/>
      <c r="ED1228" s="4"/>
      <c r="EE1228" s="4"/>
      <c r="EF1228" s="4"/>
      <c r="EG1228" s="4"/>
      <c r="EH1228" s="4"/>
      <c r="EI1228" s="4"/>
      <c r="EJ1228" s="4"/>
      <c r="EK1228" s="4"/>
      <c r="EL1228" s="4"/>
      <c r="EM1228" s="4"/>
      <c r="EN1228" s="4"/>
      <c r="EO1228" s="4"/>
      <c r="EP1228" s="4"/>
      <c r="EQ1228" s="4"/>
      <c r="ER1228" s="4"/>
      <c r="ES1228" s="4"/>
      <c r="ET1228" s="4"/>
      <c r="EU1228" s="4"/>
      <c r="EV1228" s="4"/>
      <c r="EW1228" s="4"/>
      <c r="EX1228" s="4"/>
      <c r="EY1228" s="4"/>
      <c r="EZ1228" s="4"/>
      <c r="FA1228" s="4"/>
      <c r="FB1228" s="4"/>
      <c r="FC1228" s="4"/>
      <c r="FD1228" s="4"/>
      <c r="FE1228" s="4"/>
      <c r="FF1228" s="4"/>
      <c r="FG1228" s="4"/>
      <c r="FH1228" s="4"/>
      <c r="FI1228" s="4"/>
      <c r="FJ1228" s="4"/>
      <c r="FK1228" s="4"/>
      <c r="FL1228" s="4"/>
      <c r="FM1228" s="4"/>
      <c r="FN1228" s="4"/>
      <c r="FO1228" s="4"/>
      <c r="FP1228" s="4"/>
      <c r="FQ1228" s="4"/>
      <c r="FR1228" s="4"/>
      <c r="FS1228" s="4"/>
      <c r="FT1228" s="4"/>
      <c r="FU1228" s="4"/>
      <c r="FV1228" s="4"/>
      <c r="FW1228" s="4"/>
      <c r="FX1228" s="4"/>
      <c r="FY1228" s="4"/>
      <c r="FZ1228" s="4"/>
      <c r="GA1228" s="4"/>
      <c r="GB1228" s="4"/>
      <c r="GC1228" s="4"/>
      <c r="GD1228" s="4"/>
      <c r="GE1228" s="4"/>
      <c r="GF1228" s="4"/>
      <c r="GG1228" s="4"/>
      <c r="GH1228" s="4"/>
    </row>
    <row r="1229">
      <c r="A1229" s="2" t="s">
        <v>6846</v>
      </c>
      <c r="B1229" s="2" t="s">
        <v>2124</v>
      </c>
      <c r="C1229" s="2" t="s">
        <v>231</v>
      </c>
      <c r="D1229" s="2" t="s">
        <v>2125</v>
      </c>
      <c r="E1229" s="2" t="s">
        <v>2126</v>
      </c>
      <c r="F1229" s="2" t="s">
        <v>6847</v>
      </c>
      <c r="G1229" s="2" t="s">
        <v>6847</v>
      </c>
      <c r="H1229" s="2" t="s">
        <v>6847</v>
      </c>
      <c r="I1229" s="2" t="s">
        <v>6848</v>
      </c>
      <c r="J1229" s="2" t="s">
        <v>5278</v>
      </c>
      <c r="K1229" s="2" t="s">
        <v>237</v>
      </c>
      <c r="L1229" s="3">
        <v>12.1</v>
      </c>
      <c r="M1229" s="3">
        <v>12.71</v>
      </c>
      <c r="N1229" s="3">
        <v>49.99</v>
      </c>
      <c r="O1229" s="2" t="s">
        <v>212</v>
      </c>
      <c r="P1229" s="2" t="s">
        <v>205</v>
      </c>
      <c r="Q1229" s="2" t="s">
        <v>206</v>
      </c>
      <c r="R1229" s="2" t="s">
        <v>200</v>
      </c>
      <c r="S1229" s="2" t="s">
        <v>200</v>
      </c>
      <c r="T1229" s="2" t="s">
        <v>200</v>
      </c>
      <c r="U1229" s="2" t="s">
        <v>200</v>
      </c>
      <c r="V1229" s="2" t="s">
        <v>616</v>
      </c>
      <c r="W1229" s="2" t="s">
        <v>200</v>
      </c>
      <c r="X1229" s="2" t="s">
        <v>200</v>
      </c>
      <c r="Y1229" s="2" t="s">
        <v>2438</v>
      </c>
      <c r="Z1229" s="4">
        <v>170</v>
      </c>
      <c r="AA1229" s="4">
        <f>=ROUNDDOWN({0},0)</f>
      </c>
      <c r="AB1229" s="5"/>
      <c r="AC1229" s="2" t="s">
        <v>200</v>
      </c>
      <c r="AD1229" s="4"/>
      <c r="AE1229" s="4"/>
      <c r="AF1229" s="6"/>
      <c r="AG1229" s="6">
        <v>48</v>
      </c>
      <c r="AH1229" s="7">
        <v>1</v>
      </c>
      <c r="AI1229" s="4"/>
      <c r="AJ1229" s="4">
        <f>=ROUNDDOWN({0},0)</f>
      </c>
      <c r="AK1229" s="5"/>
      <c r="AL1229" s="2" t="s">
        <v>200</v>
      </c>
      <c r="AM1229" s="4"/>
      <c r="AN1229" s="4"/>
      <c r="AO1229" s="7"/>
      <c r="AP1229" s="4"/>
      <c r="AQ1229" s="8"/>
      <c r="AR1229" s="4"/>
      <c r="AS1229" s="8"/>
      <c r="AT1229" s="7"/>
      <c r="AU1229" s="7"/>
      <c r="AV1229" s="4" t="s">
        <v>200</v>
      </c>
      <c r="AW1229" s="8" t="s">
        <v>200</v>
      </c>
      <c r="AX1229" s="4" t="s">
        <v>200</v>
      </c>
      <c r="AY1229" s="8" t="s">
        <v>200</v>
      </c>
      <c r="AZ1229" s="7" t="s">
        <v>200</v>
      </c>
      <c r="BA1229" s="7" t="s">
        <v>200</v>
      </c>
      <c r="BB1229" s="7"/>
      <c r="BC1229" s="4" t="s">
        <v>200</v>
      </c>
      <c r="BD1229" s="8" t="s">
        <v>200</v>
      </c>
      <c r="BE1229" s="4" t="s">
        <v>200</v>
      </c>
      <c r="BF1229" s="8" t="s">
        <v>200</v>
      </c>
      <c r="BG1229" s="7" t="s">
        <v>200</v>
      </c>
      <c r="BH1229" s="7" t="s">
        <v>200</v>
      </c>
      <c r="BI1229" s="7"/>
      <c r="BJ1229" s="4"/>
      <c r="BK1229" s="8"/>
      <c r="BL1229" s="2" t="s">
        <v>200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210</v>
      </c>
      <c r="BV1229" s="2" t="s">
        <v>200</v>
      </c>
      <c r="BW1229" s="2" t="s">
        <v>200</v>
      </c>
      <c r="BX1229" s="2" t="s">
        <v>210</v>
      </c>
      <c r="BY1229" s="2" t="s">
        <v>211</v>
      </c>
      <c r="BZ1229" s="2" t="s">
        <v>212</v>
      </c>
      <c r="CA1229" s="2" t="s">
        <v>200</v>
      </c>
      <c r="CB1229" s="2" t="s">
        <v>200</v>
      </c>
      <c r="CC1229" s="2" t="s">
        <v>213</v>
      </c>
      <c r="CD1229" s="2" t="s">
        <v>200</v>
      </c>
      <c r="CE1229" s="4"/>
      <c r="CF1229" s="4"/>
      <c r="CG1229" s="4"/>
      <c r="CH1229" s="4">
        <v>170</v>
      </c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E1229" s="4"/>
      <c r="DF1229" s="4"/>
      <c r="DG1229" s="4"/>
      <c r="DH1229" s="4"/>
      <c r="DI1229" s="4"/>
      <c r="DJ1229" s="4"/>
      <c r="DK1229" s="4"/>
      <c r="DL1229" s="4"/>
      <c r="DM1229" s="4"/>
      <c r="DN1229" s="4"/>
      <c r="DO1229" s="4"/>
      <c r="DP1229" s="4"/>
      <c r="DQ1229" s="4"/>
      <c r="DR1229" s="4"/>
      <c r="DS1229" s="4"/>
      <c r="DT1229" s="4"/>
      <c r="DU1229" s="4"/>
      <c r="DV1229" s="4"/>
      <c r="DW1229" s="4"/>
      <c r="DX1229" s="4"/>
      <c r="DY1229" s="4"/>
      <c r="DZ1229" s="4"/>
      <c r="EA1229" s="4"/>
      <c r="EB1229" s="4"/>
      <c r="EC1229" s="4"/>
      <c r="ED1229" s="4"/>
      <c r="EE1229" s="4"/>
      <c r="EF1229" s="4"/>
      <c r="EG1229" s="4"/>
      <c r="EH1229" s="4"/>
      <c r="EI1229" s="4"/>
      <c r="EJ1229" s="4"/>
      <c r="EK1229" s="4"/>
      <c r="EL1229" s="4"/>
      <c r="EM1229" s="4"/>
      <c r="EN1229" s="4"/>
      <c r="EO1229" s="4"/>
      <c r="EP1229" s="4"/>
      <c r="EQ1229" s="4"/>
      <c r="ER1229" s="4"/>
      <c r="ES1229" s="4"/>
      <c r="ET1229" s="4"/>
      <c r="EU1229" s="4"/>
      <c r="EV1229" s="4"/>
      <c r="EW1229" s="4"/>
      <c r="EX1229" s="4"/>
      <c r="EY1229" s="4"/>
      <c r="EZ1229" s="4"/>
      <c r="FA1229" s="4"/>
      <c r="FB1229" s="4"/>
      <c r="FC1229" s="4"/>
      <c r="FD1229" s="4"/>
      <c r="FE1229" s="4"/>
      <c r="FF1229" s="4"/>
      <c r="FG1229" s="4"/>
      <c r="FH1229" s="4"/>
      <c r="FI1229" s="4"/>
      <c r="FJ1229" s="4"/>
      <c r="FK1229" s="4"/>
      <c r="FL1229" s="4"/>
      <c r="FM1229" s="4"/>
      <c r="FN1229" s="4"/>
      <c r="FO1229" s="4"/>
      <c r="FP1229" s="4"/>
      <c r="FQ1229" s="4"/>
      <c r="FR1229" s="4"/>
      <c r="FS1229" s="4"/>
      <c r="FT1229" s="4"/>
      <c r="FU1229" s="4"/>
      <c r="FV1229" s="4"/>
      <c r="FW1229" s="4"/>
      <c r="FX1229" s="4"/>
      <c r="FY1229" s="4"/>
      <c r="FZ1229" s="4"/>
      <c r="GA1229" s="4"/>
      <c r="GB1229" s="4"/>
      <c r="GC1229" s="4"/>
      <c r="GD1229" s="4"/>
      <c r="GE1229" s="4"/>
      <c r="GF1229" s="4"/>
      <c r="GG1229" s="4"/>
      <c r="GH1229" s="4"/>
    </row>
    <row r="1230">
      <c r="A1230" s="2" t="s">
        <v>6849</v>
      </c>
      <c r="B1230" s="2" t="s">
        <v>2124</v>
      </c>
      <c r="C1230" s="2" t="s">
        <v>231</v>
      </c>
      <c r="D1230" s="2" t="s">
        <v>2125</v>
      </c>
      <c r="E1230" s="2" t="s">
        <v>2126</v>
      </c>
      <c r="F1230" s="2" t="s">
        <v>6847</v>
      </c>
      <c r="G1230" s="2" t="s">
        <v>6847</v>
      </c>
      <c r="H1230" s="2" t="s">
        <v>6847</v>
      </c>
      <c r="I1230" s="2" t="s">
        <v>6848</v>
      </c>
      <c r="J1230" s="2" t="s">
        <v>5283</v>
      </c>
      <c r="K1230" s="2" t="s">
        <v>237</v>
      </c>
      <c r="L1230" s="3">
        <v>12.1</v>
      </c>
      <c r="M1230" s="3">
        <v>12.71</v>
      </c>
      <c r="N1230" s="3">
        <v>49.99</v>
      </c>
      <c r="O1230" s="2" t="s">
        <v>212</v>
      </c>
      <c r="P1230" s="2" t="s">
        <v>205</v>
      </c>
      <c r="Q1230" s="2" t="s">
        <v>206</v>
      </c>
      <c r="R1230" s="2" t="s">
        <v>200</v>
      </c>
      <c r="S1230" s="2" t="s">
        <v>200</v>
      </c>
      <c r="T1230" s="2" t="s">
        <v>200</v>
      </c>
      <c r="U1230" s="2" t="s">
        <v>200</v>
      </c>
      <c r="V1230" s="2" t="s">
        <v>616</v>
      </c>
      <c r="W1230" s="2" t="s">
        <v>200</v>
      </c>
      <c r="X1230" s="2" t="s">
        <v>200</v>
      </c>
      <c r="Y1230" s="2" t="s">
        <v>2438</v>
      </c>
      <c r="Z1230" s="4">
        <v>330</v>
      </c>
      <c r="AA1230" s="4">
        <f>=ROUNDDOWN({0},0)</f>
      </c>
      <c r="AB1230" s="5"/>
      <c r="AC1230" s="2" t="s">
        <v>200</v>
      </c>
      <c r="AD1230" s="4"/>
      <c r="AE1230" s="4"/>
      <c r="AF1230" s="6"/>
      <c r="AG1230" s="6">
        <v>48</v>
      </c>
      <c r="AH1230" s="7">
        <v>1</v>
      </c>
      <c r="AI1230" s="4"/>
      <c r="AJ1230" s="4">
        <f>=ROUNDDOWN({0},0)</f>
      </c>
      <c r="AK1230" s="5"/>
      <c r="AL1230" s="2" t="s">
        <v>200</v>
      </c>
      <c r="AM1230" s="4"/>
      <c r="AN1230" s="4"/>
      <c r="AO1230" s="7"/>
      <c r="AP1230" s="4"/>
      <c r="AQ1230" s="8"/>
      <c r="AR1230" s="4"/>
      <c r="AS1230" s="8"/>
      <c r="AT1230" s="7"/>
      <c r="AU1230" s="7"/>
      <c r="AV1230" s="4" t="s">
        <v>200</v>
      </c>
      <c r="AW1230" s="8" t="s">
        <v>200</v>
      </c>
      <c r="AX1230" s="4" t="s">
        <v>200</v>
      </c>
      <c r="AY1230" s="8" t="s">
        <v>200</v>
      </c>
      <c r="AZ1230" s="7" t="s">
        <v>200</v>
      </c>
      <c r="BA1230" s="7" t="s">
        <v>200</v>
      </c>
      <c r="BB1230" s="7"/>
      <c r="BC1230" s="4" t="s">
        <v>200</v>
      </c>
      <c r="BD1230" s="8" t="s">
        <v>200</v>
      </c>
      <c r="BE1230" s="4" t="s">
        <v>200</v>
      </c>
      <c r="BF1230" s="8" t="s">
        <v>200</v>
      </c>
      <c r="BG1230" s="7" t="s">
        <v>200</v>
      </c>
      <c r="BH1230" s="7" t="s">
        <v>200</v>
      </c>
      <c r="BI1230" s="7"/>
      <c r="BJ1230" s="4"/>
      <c r="BK1230" s="8"/>
      <c r="BL1230" s="2" t="s">
        <v>200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210</v>
      </c>
      <c r="BV1230" s="2" t="s">
        <v>200</v>
      </c>
      <c r="BW1230" s="2" t="s">
        <v>200</v>
      </c>
      <c r="BX1230" s="2" t="s">
        <v>210</v>
      </c>
      <c r="BY1230" s="2" t="s">
        <v>211</v>
      </c>
      <c r="BZ1230" s="2" t="s">
        <v>212</v>
      </c>
      <c r="CA1230" s="2" t="s">
        <v>200</v>
      </c>
      <c r="CB1230" s="2" t="s">
        <v>200</v>
      </c>
      <c r="CC1230" s="2" t="s">
        <v>213</v>
      </c>
      <c r="CD1230" s="2" t="s">
        <v>200</v>
      </c>
      <c r="CE1230" s="4"/>
      <c r="CF1230" s="4"/>
      <c r="CG1230" s="4"/>
      <c r="CH1230" s="4">
        <v>330</v>
      </c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/>
      <c r="DI1230" s="4"/>
      <c r="DJ1230" s="4"/>
      <c r="DK1230" s="4"/>
      <c r="DL1230" s="4"/>
      <c r="DM1230" s="4"/>
      <c r="DN1230" s="4"/>
      <c r="DO1230" s="4"/>
      <c r="DP1230" s="4"/>
      <c r="DQ1230" s="4"/>
      <c r="DR1230" s="4"/>
      <c r="DS1230" s="4"/>
      <c r="DT1230" s="4"/>
      <c r="DU1230" s="4"/>
      <c r="DV1230" s="4"/>
      <c r="DW1230" s="4"/>
      <c r="DX1230" s="4"/>
      <c r="DY1230" s="4"/>
      <c r="DZ1230" s="4"/>
      <c r="EA1230" s="4"/>
      <c r="EB1230" s="4"/>
      <c r="EC1230" s="4"/>
      <c r="ED1230" s="4"/>
      <c r="EE1230" s="4"/>
      <c r="EF1230" s="4"/>
      <c r="EG1230" s="4"/>
      <c r="EH1230" s="4"/>
      <c r="EI1230" s="4"/>
      <c r="EJ1230" s="4"/>
      <c r="EK1230" s="4"/>
      <c r="EL1230" s="4"/>
      <c r="EM1230" s="4"/>
      <c r="EN1230" s="4"/>
      <c r="EO1230" s="4"/>
      <c r="EP1230" s="4"/>
      <c r="EQ1230" s="4"/>
      <c r="ER1230" s="4"/>
      <c r="ES1230" s="4"/>
      <c r="ET1230" s="4"/>
      <c r="EU1230" s="4"/>
      <c r="EV1230" s="4"/>
      <c r="EW1230" s="4"/>
      <c r="EX1230" s="4"/>
      <c r="EY1230" s="4"/>
      <c r="EZ1230" s="4"/>
      <c r="FA1230" s="4"/>
      <c r="FB1230" s="4"/>
      <c r="FC1230" s="4"/>
      <c r="FD1230" s="4"/>
      <c r="FE1230" s="4"/>
      <c r="FF1230" s="4"/>
      <c r="FG1230" s="4"/>
      <c r="FH1230" s="4"/>
      <c r="FI1230" s="4"/>
      <c r="FJ1230" s="4"/>
      <c r="FK1230" s="4"/>
      <c r="FL1230" s="4"/>
      <c r="FM1230" s="4"/>
      <c r="FN1230" s="4"/>
      <c r="FO1230" s="4"/>
      <c r="FP1230" s="4"/>
      <c r="FQ1230" s="4"/>
      <c r="FR1230" s="4"/>
      <c r="FS1230" s="4"/>
      <c r="FT1230" s="4"/>
      <c r="FU1230" s="4"/>
      <c r="FV1230" s="4"/>
      <c r="FW1230" s="4"/>
      <c r="FX1230" s="4"/>
      <c r="FY1230" s="4"/>
      <c r="FZ1230" s="4"/>
      <c r="GA1230" s="4"/>
      <c r="GB1230" s="4"/>
      <c r="GC1230" s="4"/>
      <c r="GD1230" s="4"/>
      <c r="GE1230" s="4"/>
      <c r="GF1230" s="4"/>
      <c r="GG1230" s="4"/>
      <c r="GH1230" s="4"/>
    </row>
    <row r="1231">
      <c r="A1231" s="2" t="s">
        <v>6850</v>
      </c>
      <c r="B1231" s="2" t="s">
        <v>2124</v>
      </c>
      <c r="C1231" s="2" t="s">
        <v>231</v>
      </c>
      <c r="D1231" s="2" t="s">
        <v>2125</v>
      </c>
      <c r="E1231" s="2" t="s">
        <v>2126</v>
      </c>
      <c r="F1231" s="2" t="s">
        <v>6847</v>
      </c>
      <c r="G1231" s="2" t="s">
        <v>6847</v>
      </c>
      <c r="H1231" s="2" t="s">
        <v>6847</v>
      </c>
      <c r="I1231" s="2" t="s">
        <v>6848</v>
      </c>
      <c r="J1231" s="2" t="s">
        <v>6851</v>
      </c>
      <c r="K1231" s="2" t="s">
        <v>237</v>
      </c>
      <c r="L1231" s="3">
        <v>12.1</v>
      </c>
      <c r="M1231" s="3">
        <v>12.71</v>
      </c>
      <c r="N1231" s="3">
        <v>49.99</v>
      </c>
      <c r="O1231" s="2" t="s">
        <v>212</v>
      </c>
      <c r="P1231" s="2" t="s">
        <v>205</v>
      </c>
      <c r="Q1231" s="2" t="s">
        <v>206</v>
      </c>
      <c r="R1231" s="2" t="s">
        <v>200</v>
      </c>
      <c r="S1231" s="2" t="s">
        <v>200</v>
      </c>
      <c r="T1231" s="2" t="s">
        <v>200</v>
      </c>
      <c r="U1231" s="2" t="s">
        <v>200</v>
      </c>
      <c r="V1231" s="2" t="s">
        <v>616</v>
      </c>
      <c r="W1231" s="2" t="s">
        <v>200</v>
      </c>
      <c r="X1231" s="2" t="s">
        <v>200</v>
      </c>
      <c r="Y1231" s="2" t="s">
        <v>2438</v>
      </c>
      <c r="Z1231" s="4">
        <v>330</v>
      </c>
      <c r="AA1231" s="4">
        <f>=ROUNDDOWN({0},0)</f>
      </c>
      <c r="AB1231" s="5"/>
      <c r="AC1231" s="2" t="s">
        <v>200</v>
      </c>
      <c r="AD1231" s="4"/>
      <c r="AE1231" s="4"/>
      <c r="AF1231" s="6"/>
      <c r="AG1231" s="6">
        <v>48</v>
      </c>
      <c r="AH1231" s="7">
        <v>1</v>
      </c>
      <c r="AI1231" s="4"/>
      <c r="AJ1231" s="4">
        <f>=ROUNDDOWN({0},0)</f>
      </c>
      <c r="AK1231" s="5"/>
      <c r="AL1231" s="2" t="s">
        <v>200</v>
      </c>
      <c r="AM1231" s="4"/>
      <c r="AN1231" s="4"/>
      <c r="AO1231" s="7"/>
      <c r="AP1231" s="4"/>
      <c r="AQ1231" s="8"/>
      <c r="AR1231" s="4"/>
      <c r="AS1231" s="8"/>
      <c r="AT1231" s="7"/>
      <c r="AU1231" s="7"/>
      <c r="AV1231" s="4" t="s">
        <v>200</v>
      </c>
      <c r="AW1231" s="8" t="s">
        <v>200</v>
      </c>
      <c r="AX1231" s="4" t="s">
        <v>200</v>
      </c>
      <c r="AY1231" s="8" t="s">
        <v>200</v>
      </c>
      <c r="AZ1231" s="7" t="s">
        <v>200</v>
      </c>
      <c r="BA1231" s="7" t="s">
        <v>200</v>
      </c>
      <c r="BB1231" s="7"/>
      <c r="BC1231" s="4" t="s">
        <v>200</v>
      </c>
      <c r="BD1231" s="8" t="s">
        <v>200</v>
      </c>
      <c r="BE1231" s="4" t="s">
        <v>200</v>
      </c>
      <c r="BF1231" s="8" t="s">
        <v>200</v>
      </c>
      <c r="BG1231" s="7" t="s">
        <v>200</v>
      </c>
      <c r="BH1231" s="7" t="s">
        <v>200</v>
      </c>
      <c r="BI1231" s="7"/>
      <c r="BJ1231" s="4"/>
      <c r="BK1231" s="8"/>
      <c r="BL1231" s="2" t="s">
        <v>200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210</v>
      </c>
      <c r="BV1231" s="2" t="s">
        <v>200</v>
      </c>
      <c r="BW1231" s="2" t="s">
        <v>200</v>
      </c>
      <c r="BX1231" s="2" t="s">
        <v>210</v>
      </c>
      <c r="BY1231" s="2" t="s">
        <v>211</v>
      </c>
      <c r="BZ1231" s="2" t="s">
        <v>212</v>
      </c>
      <c r="CA1231" s="2" t="s">
        <v>200</v>
      </c>
      <c r="CB1231" s="2" t="s">
        <v>200</v>
      </c>
      <c r="CC1231" s="2" t="s">
        <v>213</v>
      </c>
      <c r="CD1231" s="2" t="s">
        <v>200</v>
      </c>
      <c r="CE1231" s="4"/>
      <c r="CF1231" s="4"/>
      <c r="CG1231" s="4"/>
      <c r="CH1231" s="4">
        <v>330</v>
      </c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  <c r="DE1231" s="4"/>
      <c r="DF1231" s="4"/>
      <c r="DG1231" s="4"/>
      <c r="DH1231" s="4"/>
      <c r="DI1231" s="4"/>
      <c r="DJ1231" s="4"/>
      <c r="DK1231" s="4"/>
      <c r="DL1231" s="4"/>
      <c r="DM1231" s="4"/>
      <c r="DN1231" s="4"/>
      <c r="DO1231" s="4"/>
      <c r="DP1231" s="4"/>
      <c r="DQ1231" s="4"/>
      <c r="DR1231" s="4"/>
      <c r="DS1231" s="4"/>
      <c r="DT1231" s="4"/>
      <c r="DU1231" s="4"/>
      <c r="DV1231" s="4"/>
      <c r="DW1231" s="4"/>
      <c r="DX1231" s="4"/>
      <c r="DY1231" s="4"/>
      <c r="DZ1231" s="4"/>
      <c r="EA1231" s="4"/>
      <c r="EB1231" s="4"/>
      <c r="EC1231" s="4"/>
      <c r="ED1231" s="4"/>
      <c r="EE1231" s="4"/>
      <c r="EF1231" s="4"/>
      <c r="EG1231" s="4"/>
      <c r="EH1231" s="4"/>
      <c r="EI1231" s="4"/>
      <c r="EJ1231" s="4"/>
      <c r="EK1231" s="4"/>
      <c r="EL1231" s="4"/>
      <c r="EM1231" s="4"/>
      <c r="EN1231" s="4"/>
      <c r="EO1231" s="4"/>
      <c r="EP1231" s="4"/>
      <c r="EQ1231" s="4"/>
      <c r="ER1231" s="4"/>
      <c r="ES1231" s="4"/>
      <c r="ET1231" s="4"/>
      <c r="EU1231" s="4"/>
      <c r="EV1231" s="4"/>
      <c r="EW1231" s="4"/>
      <c r="EX1231" s="4"/>
      <c r="EY1231" s="4"/>
      <c r="EZ1231" s="4"/>
      <c r="FA1231" s="4"/>
      <c r="FB1231" s="4"/>
      <c r="FC1231" s="4"/>
      <c r="FD1231" s="4"/>
      <c r="FE1231" s="4"/>
      <c r="FF1231" s="4"/>
      <c r="FG1231" s="4"/>
      <c r="FH1231" s="4"/>
      <c r="FI1231" s="4"/>
      <c r="FJ1231" s="4"/>
      <c r="FK1231" s="4"/>
      <c r="FL1231" s="4"/>
      <c r="FM1231" s="4"/>
      <c r="FN1231" s="4"/>
      <c r="FO1231" s="4"/>
      <c r="FP1231" s="4"/>
      <c r="FQ1231" s="4"/>
      <c r="FR1231" s="4"/>
      <c r="FS1231" s="4"/>
      <c r="FT1231" s="4"/>
      <c r="FU1231" s="4"/>
      <c r="FV1231" s="4"/>
      <c r="FW1231" s="4"/>
      <c r="FX1231" s="4"/>
      <c r="FY1231" s="4"/>
      <c r="FZ1231" s="4"/>
      <c r="GA1231" s="4"/>
      <c r="GB1231" s="4"/>
      <c r="GC1231" s="4"/>
      <c r="GD1231" s="4"/>
      <c r="GE1231" s="4"/>
      <c r="GF1231" s="4"/>
      <c r="GG1231" s="4"/>
      <c r="GH1231" s="4"/>
    </row>
    <row r="1232">
      <c r="A1232" s="2" t="s">
        <v>6852</v>
      </c>
      <c r="B1232" s="2" t="s">
        <v>2124</v>
      </c>
      <c r="C1232" s="2" t="s">
        <v>231</v>
      </c>
      <c r="D1232" s="2" t="s">
        <v>2125</v>
      </c>
      <c r="E1232" s="2" t="s">
        <v>2126</v>
      </c>
      <c r="F1232" s="2" t="s">
        <v>6847</v>
      </c>
      <c r="G1232" s="2" t="s">
        <v>6847</v>
      </c>
      <c r="H1232" s="2" t="s">
        <v>6847</v>
      </c>
      <c r="I1232" s="2" t="s">
        <v>6848</v>
      </c>
      <c r="J1232" s="2" t="s">
        <v>6853</v>
      </c>
      <c r="K1232" s="2" t="s">
        <v>237</v>
      </c>
      <c r="L1232" s="3">
        <v>12.1</v>
      </c>
      <c r="M1232" s="3">
        <v>12.71</v>
      </c>
      <c r="N1232" s="3">
        <v>49.99</v>
      </c>
      <c r="O1232" s="2" t="s">
        <v>212</v>
      </c>
      <c r="P1232" s="2" t="s">
        <v>205</v>
      </c>
      <c r="Q1232" s="2" t="s">
        <v>206</v>
      </c>
      <c r="R1232" s="2" t="s">
        <v>200</v>
      </c>
      <c r="S1232" s="2" t="s">
        <v>200</v>
      </c>
      <c r="T1232" s="2" t="s">
        <v>200</v>
      </c>
      <c r="U1232" s="2" t="s">
        <v>200</v>
      </c>
      <c r="V1232" s="2" t="s">
        <v>616</v>
      </c>
      <c r="W1232" s="2" t="s">
        <v>200</v>
      </c>
      <c r="X1232" s="2" t="s">
        <v>200</v>
      </c>
      <c r="Y1232" s="2" t="s">
        <v>2438</v>
      </c>
      <c r="Z1232" s="4">
        <v>170</v>
      </c>
      <c r="AA1232" s="4">
        <f>=ROUNDDOWN({0},0)</f>
      </c>
      <c r="AB1232" s="5"/>
      <c r="AC1232" s="2" t="s">
        <v>200</v>
      </c>
      <c r="AD1232" s="4"/>
      <c r="AE1232" s="4"/>
      <c r="AF1232" s="6"/>
      <c r="AG1232" s="6">
        <v>48</v>
      </c>
      <c r="AH1232" s="7">
        <v>1</v>
      </c>
      <c r="AI1232" s="4"/>
      <c r="AJ1232" s="4">
        <f>=ROUNDDOWN({0},0)</f>
      </c>
      <c r="AK1232" s="5"/>
      <c r="AL1232" s="2" t="s">
        <v>200</v>
      </c>
      <c r="AM1232" s="4"/>
      <c r="AN1232" s="4"/>
      <c r="AO1232" s="7"/>
      <c r="AP1232" s="4"/>
      <c r="AQ1232" s="8"/>
      <c r="AR1232" s="4"/>
      <c r="AS1232" s="8"/>
      <c r="AT1232" s="7"/>
      <c r="AU1232" s="7"/>
      <c r="AV1232" s="4" t="s">
        <v>200</v>
      </c>
      <c r="AW1232" s="8" t="s">
        <v>200</v>
      </c>
      <c r="AX1232" s="4" t="s">
        <v>200</v>
      </c>
      <c r="AY1232" s="8" t="s">
        <v>200</v>
      </c>
      <c r="AZ1232" s="7" t="s">
        <v>200</v>
      </c>
      <c r="BA1232" s="7" t="s">
        <v>200</v>
      </c>
      <c r="BB1232" s="7"/>
      <c r="BC1232" s="4" t="s">
        <v>200</v>
      </c>
      <c r="BD1232" s="8" t="s">
        <v>200</v>
      </c>
      <c r="BE1232" s="4" t="s">
        <v>200</v>
      </c>
      <c r="BF1232" s="8" t="s">
        <v>200</v>
      </c>
      <c r="BG1232" s="7" t="s">
        <v>200</v>
      </c>
      <c r="BH1232" s="7" t="s">
        <v>200</v>
      </c>
      <c r="BI1232" s="7"/>
      <c r="BJ1232" s="4"/>
      <c r="BK1232" s="8"/>
      <c r="BL1232" s="2" t="s">
        <v>200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210</v>
      </c>
      <c r="BV1232" s="2" t="s">
        <v>200</v>
      </c>
      <c r="BW1232" s="2" t="s">
        <v>200</v>
      </c>
      <c r="BX1232" s="2" t="s">
        <v>210</v>
      </c>
      <c r="BY1232" s="2" t="s">
        <v>211</v>
      </c>
      <c r="BZ1232" s="2" t="s">
        <v>212</v>
      </c>
      <c r="CA1232" s="2" t="s">
        <v>200</v>
      </c>
      <c r="CB1232" s="2" t="s">
        <v>200</v>
      </c>
      <c r="CC1232" s="2" t="s">
        <v>213</v>
      </c>
      <c r="CD1232" s="2" t="s">
        <v>200</v>
      </c>
      <c r="CE1232" s="4"/>
      <c r="CF1232" s="4"/>
      <c r="CG1232" s="4"/>
      <c r="CH1232" s="4">
        <v>170</v>
      </c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  <c r="DT1232" s="4"/>
      <c r="DU1232" s="4"/>
      <c r="DV1232" s="4"/>
      <c r="DW1232" s="4"/>
      <c r="DX1232" s="4"/>
      <c r="DY1232" s="4"/>
      <c r="DZ1232" s="4"/>
      <c r="EA1232" s="4"/>
      <c r="EB1232" s="4"/>
      <c r="EC1232" s="4"/>
      <c r="ED1232" s="4"/>
      <c r="EE1232" s="4"/>
      <c r="EF1232" s="4"/>
      <c r="EG1232" s="4"/>
      <c r="EH1232" s="4"/>
      <c r="EI1232" s="4"/>
      <c r="EJ1232" s="4"/>
      <c r="EK1232" s="4"/>
      <c r="EL1232" s="4"/>
      <c r="EM1232" s="4"/>
      <c r="EN1232" s="4"/>
      <c r="EO1232" s="4"/>
      <c r="EP1232" s="4"/>
      <c r="EQ1232" s="4"/>
      <c r="ER1232" s="4"/>
      <c r="ES1232" s="4"/>
      <c r="ET1232" s="4"/>
      <c r="EU1232" s="4"/>
      <c r="EV1232" s="4"/>
      <c r="EW1232" s="4"/>
      <c r="EX1232" s="4"/>
      <c r="EY1232" s="4"/>
      <c r="EZ1232" s="4"/>
      <c r="FA1232" s="4"/>
      <c r="FB1232" s="4"/>
      <c r="FC1232" s="4"/>
      <c r="FD1232" s="4"/>
      <c r="FE1232" s="4"/>
      <c r="FF1232" s="4"/>
      <c r="FG1232" s="4"/>
      <c r="FH1232" s="4"/>
      <c r="FI1232" s="4"/>
      <c r="FJ1232" s="4"/>
      <c r="FK1232" s="4"/>
      <c r="FL1232" s="4"/>
      <c r="FM1232" s="4"/>
      <c r="FN1232" s="4"/>
      <c r="FO1232" s="4"/>
      <c r="FP1232" s="4"/>
      <c r="FQ1232" s="4"/>
      <c r="FR1232" s="4"/>
      <c r="FS1232" s="4"/>
      <c r="FT1232" s="4"/>
      <c r="FU1232" s="4"/>
      <c r="FV1232" s="4"/>
      <c r="FW1232" s="4"/>
      <c r="FX1232" s="4"/>
      <c r="FY1232" s="4"/>
      <c r="FZ1232" s="4"/>
      <c r="GA1232" s="4"/>
      <c r="GB1232" s="4"/>
      <c r="GC1232" s="4"/>
      <c r="GD1232" s="4"/>
      <c r="GE1232" s="4"/>
      <c r="GF1232" s="4"/>
      <c r="GG1232" s="4"/>
      <c r="GH1232" s="4"/>
    </row>
    <row r="1233">
      <c r="A1233" s="2" t="s">
        <v>6854</v>
      </c>
      <c r="B1233" s="2" t="s">
        <v>2124</v>
      </c>
      <c r="C1233" s="2" t="s">
        <v>231</v>
      </c>
      <c r="D1233" s="2" t="s">
        <v>2125</v>
      </c>
      <c r="E1233" s="2" t="s">
        <v>2126</v>
      </c>
      <c r="F1233" s="2" t="s">
        <v>6847</v>
      </c>
      <c r="G1233" s="2" t="s">
        <v>6847</v>
      </c>
      <c r="H1233" s="2" t="s">
        <v>6847</v>
      </c>
      <c r="I1233" s="2" t="s">
        <v>6848</v>
      </c>
      <c r="J1233" s="2" t="s">
        <v>5278</v>
      </c>
      <c r="K1233" s="2" t="s">
        <v>221</v>
      </c>
      <c r="L1233" s="3">
        <v>12.1</v>
      </c>
      <c r="M1233" s="3">
        <v>12.71</v>
      </c>
      <c r="N1233" s="3">
        <v>49.99</v>
      </c>
      <c r="O1233" s="2" t="s">
        <v>212</v>
      </c>
      <c r="P1233" s="2" t="s">
        <v>205</v>
      </c>
      <c r="Q1233" s="2" t="s">
        <v>206</v>
      </c>
      <c r="R1233" s="2" t="s">
        <v>200</v>
      </c>
      <c r="S1233" s="2" t="s">
        <v>200</v>
      </c>
      <c r="T1233" s="2" t="s">
        <v>200</v>
      </c>
      <c r="U1233" s="2" t="s">
        <v>200</v>
      </c>
      <c r="V1233" s="2" t="s">
        <v>616</v>
      </c>
      <c r="W1233" s="2" t="s">
        <v>200</v>
      </c>
      <c r="X1233" s="2" t="s">
        <v>200</v>
      </c>
      <c r="Y1233" s="2" t="s">
        <v>2438</v>
      </c>
      <c r="Z1233" s="4">
        <v>170</v>
      </c>
      <c r="AA1233" s="4">
        <f>=ROUNDDOWN({0},0)</f>
      </c>
      <c r="AB1233" s="5"/>
      <c r="AC1233" s="2" t="s">
        <v>200</v>
      </c>
      <c r="AD1233" s="4"/>
      <c r="AE1233" s="4"/>
      <c r="AF1233" s="6"/>
      <c r="AG1233" s="6">
        <v>48</v>
      </c>
      <c r="AH1233" s="7">
        <v>1</v>
      </c>
      <c r="AI1233" s="4"/>
      <c r="AJ1233" s="4">
        <f>=ROUNDDOWN({0},0)</f>
      </c>
      <c r="AK1233" s="5"/>
      <c r="AL1233" s="2" t="s">
        <v>200</v>
      </c>
      <c r="AM1233" s="4"/>
      <c r="AN1233" s="4"/>
      <c r="AO1233" s="7"/>
      <c r="AP1233" s="4"/>
      <c r="AQ1233" s="8"/>
      <c r="AR1233" s="4"/>
      <c r="AS1233" s="8"/>
      <c r="AT1233" s="7"/>
      <c r="AU1233" s="7"/>
      <c r="AV1233" s="4" t="s">
        <v>200</v>
      </c>
      <c r="AW1233" s="8" t="s">
        <v>200</v>
      </c>
      <c r="AX1233" s="4" t="s">
        <v>200</v>
      </c>
      <c r="AY1233" s="8" t="s">
        <v>200</v>
      </c>
      <c r="AZ1233" s="7" t="s">
        <v>200</v>
      </c>
      <c r="BA1233" s="7" t="s">
        <v>200</v>
      </c>
      <c r="BB1233" s="7"/>
      <c r="BC1233" s="4" t="s">
        <v>200</v>
      </c>
      <c r="BD1233" s="8" t="s">
        <v>200</v>
      </c>
      <c r="BE1233" s="4" t="s">
        <v>200</v>
      </c>
      <c r="BF1233" s="8" t="s">
        <v>200</v>
      </c>
      <c r="BG1233" s="7" t="s">
        <v>200</v>
      </c>
      <c r="BH1233" s="7" t="s">
        <v>200</v>
      </c>
      <c r="BI1233" s="7"/>
      <c r="BJ1233" s="4"/>
      <c r="BK1233" s="8"/>
      <c r="BL1233" s="2" t="s">
        <v>200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210</v>
      </c>
      <c r="BV1233" s="2" t="s">
        <v>200</v>
      </c>
      <c r="BW1233" s="2" t="s">
        <v>200</v>
      </c>
      <c r="BX1233" s="2" t="s">
        <v>210</v>
      </c>
      <c r="BY1233" s="2" t="s">
        <v>211</v>
      </c>
      <c r="BZ1233" s="2" t="s">
        <v>212</v>
      </c>
      <c r="CA1233" s="2" t="s">
        <v>200</v>
      </c>
      <c r="CB1233" s="2" t="s">
        <v>200</v>
      </c>
      <c r="CC1233" s="2" t="s">
        <v>213</v>
      </c>
      <c r="CD1233" s="2" t="s">
        <v>200</v>
      </c>
      <c r="CE1233" s="4"/>
      <c r="CF1233" s="4"/>
      <c r="CG1233" s="4"/>
      <c r="CH1233" s="4">
        <v>170</v>
      </c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E1233" s="4"/>
      <c r="DF1233" s="4"/>
      <c r="DG1233" s="4"/>
      <c r="DH1233" s="4"/>
      <c r="DI1233" s="4"/>
      <c r="DJ1233" s="4"/>
      <c r="DK1233" s="4"/>
      <c r="DL1233" s="4"/>
      <c r="DM1233" s="4"/>
      <c r="DN1233" s="4"/>
      <c r="DO1233" s="4"/>
      <c r="DP1233" s="4"/>
      <c r="DQ1233" s="4"/>
      <c r="DR1233" s="4"/>
      <c r="DS1233" s="4"/>
      <c r="DT1233" s="4"/>
      <c r="DU1233" s="4"/>
      <c r="DV1233" s="4"/>
      <c r="DW1233" s="4"/>
      <c r="DX1233" s="4"/>
      <c r="DY1233" s="4"/>
      <c r="DZ1233" s="4"/>
      <c r="EA1233" s="4"/>
      <c r="EB1233" s="4"/>
      <c r="EC1233" s="4"/>
      <c r="ED1233" s="4"/>
      <c r="EE1233" s="4"/>
      <c r="EF1233" s="4"/>
      <c r="EG1233" s="4"/>
      <c r="EH1233" s="4"/>
      <c r="EI1233" s="4"/>
      <c r="EJ1233" s="4"/>
      <c r="EK1233" s="4"/>
      <c r="EL1233" s="4"/>
      <c r="EM1233" s="4"/>
      <c r="EN1233" s="4"/>
      <c r="EO1233" s="4"/>
      <c r="EP1233" s="4"/>
      <c r="EQ1233" s="4"/>
      <c r="ER1233" s="4"/>
      <c r="ES1233" s="4"/>
      <c r="ET1233" s="4"/>
      <c r="EU1233" s="4"/>
      <c r="EV1233" s="4"/>
      <c r="EW1233" s="4"/>
      <c r="EX1233" s="4"/>
      <c r="EY1233" s="4"/>
      <c r="EZ1233" s="4"/>
      <c r="FA1233" s="4"/>
      <c r="FB1233" s="4"/>
      <c r="FC1233" s="4"/>
      <c r="FD1233" s="4"/>
      <c r="FE1233" s="4"/>
      <c r="FF1233" s="4"/>
      <c r="FG1233" s="4"/>
      <c r="FH1233" s="4"/>
      <c r="FI1233" s="4"/>
      <c r="FJ1233" s="4"/>
      <c r="FK1233" s="4"/>
      <c r="FL1233" s="4"/>
      <c r="FM1233" s="4"/>
      <c r="FN1233" s="4"/>
      <c r="FO1233" s="4"/>
      <c r="FP1233" s="4"/>
      <c r="FQ1233" s="4"/>
      <c r="FR1233" s="4"/>
      <c r="FS1233" s="4"/>
      <c r="FT1233" s="4"/>
      <c r="FU1233" s="4"/>
      <c r="FV1233" s="4"/>
      <c r="FW1233" s="4"/>
      <c r="FX1233" s="4"/>
      <c r="FY1233" s="4"/>
      <c r="FZ1233" s="4"/>
      <c r="GA1233" s="4"/>
      <c r="GB1233" s="4"/>
      <c r="GC1233" s="4"/>
      <c r="GD1233" s="4"/>
      <c r="GE1233" s="4"/>
      <c r="GF1233" s="4"/>
      <c r="GG1233" s="4"/>
      <c r="GH1233" s="4"/>
    </row>
    <row r="1234">
      <c r="A1234" s="2" t="s">
        <v>6855</v>
      </c>
      <c r="B1234" s="2" t="s">
        <v>2124</v>
      </c>
      <c r="C1234" s="2" t="s">
        <v>231</v>
      </c>
      <c r="D1234" s="2" t="s">
        <v>2125</v>
      </c>
      <c r="E1234" s="2" t="s">
        <v>2126</v>
      </c>
      <c r="F1234" s="2" t="s">
        <v>6847</v>
      </c>
      <c r="G1234" s="2" t="s">
        <v>6847</v>
      </c>
      <c r="H1234" s="2" t="s">
        <v>6847</v>
      </c>
      <c r="I1234" s="2" t="s">
        <v>6848</v>
      </c>
      <c r="J1234" s="2" t="s">
        <v>5283</v>
      </c>
      <c r="K1234" s="2" t="s">
        <v>221</v>
      </c>
      <c r="L1234" s="3">
        <v>12.1</v>
      </c>
      <c r="M1234" s="3">
        <v>12.71</v>
      </c>
      <c r="N1234" s="3">
        <v>49.99</v>
      </c>
      <c r="O1234" s="2" t="s">
        <v>212</v>
      </c>
      <c r="P1234" s="2" t="s">
        <v>205</v>
      </c>
      <c r="Q1234" s="2" t="s">
        <v>206</v>
      </c>
      <c r="R1234" s="2" t="s">
        <v>200</v>
      </c>
      <c r="S1234" s="2" t="s">
        <v>200</v>
      </c>
      <c r="T1234" s="2" t="s">
        <v>200</v>
      </c>
      <c r="U1234" s="2" t="s">
        <v>200</v>
      </c>
      <c r="V1234" s="2" t="s">
        <v>616</v>
      </c>
      <c r="W1234" s="2" t="s">
        <v>200</v>
      </c>
      <c r="X1234" s="2" t="s">
        <v>200</v>
      </c>
      <c r="Y1234" s="2" t="s">
        <v>2438</v>
      </c>
      <c r="Z1234" s="4">
        <v>330</v>
      </c>
      <c r="AA1234" s="4">
        <f>=ROUNDDOWN({0},0)</f>
      </c>
      <c r="AB1234" s="5"/>
      <c r="AC1234" s="2" t="s">
        <v>200</v>
      </c>
      <c r="AD1234" s="4"/>
      <c r="AE1234" s="4"/>
      <c r="AF1234" s="6"/>
      <c r="AG1234" s="6">
        <v>48</v>
      </c>
      <c r="AH1234" s="7">
        <v>1</v>
      </c>
      <c r="AI1234" s="4"/>
      <c r="AJ1234" s="4">
        <f>=ROUNDDOWN({0},0)</f>
      </c>
      <c r="AK1234" s="5"/>
      <c r="AL1234" s="2" t="s">
        <v>200</v>
      </c>
      <c r="AM1234" s="4"/>
      <c r="AN1234" s="4"/>
      <c r="AO1234" s="7"/>
      <c r="AP1234" s="4"/>
      <c r="AQ1234" s="8"/>
      <c r="AR1234" s="4"/>
      <c r="AS1234" s="8"/>
      <c r="AT1234" s="7"/>
      <c r="AU1234" s="7"/>
      <c r="AV1234" s="4" t="s">
        <v>200</v>
      </c>
      <c r="AW1234" s="8" t="s">
        <v>200</v>
      </c>
      <c r="AX1234" s="4" t="s">
        <v>200</v>
      </c>
      <c r="AY1234" s="8" t="s">
        <v>200</v>
      </c>
      <c r="AZ1234" s="7" t="s">
        <v>200</v>
      </c>
      <c r="BA1234" s="7" t="s">
        <v>200</v>
      </c>
      <c r="BB1234" s="7"/>
      <c r="BC1234" s="4" t="s">
        <v>200</v>
      </c>
      <c r="BD1234" s="8" t="s">
        <v>200</v>
      </c>
      <c r="BE1234" s="4" t="s">
        <v>200</v>
      </c>
      <c r="BF1234" s="8" t="s">
        <v>200</v>
      </c>
      <c r="BG1234" s="7" t="s">
        <v>200</v>
      </c>
      <c r="BH1234" s="7" t="s">
        <v>200</v>
      </c>
      <c r="BI1234" s="7"/>
      <c r="BJ1234" s="4"/>
      <c r="BK1234" s="8"/>
      <c r="BL1234" s="2" t="s">
        <v>200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210</v>
      </c>
      <c r="BV1234" s="2" t="s">
        <v>200</v>
      </c>
      <c r="BW1234" s="2" t="s">
        <v>200</v>
      </c>
      <c r="BX1234" s="2" t="s">
        <v>210</v>
      </c>
      <c r="BY1234" s="2" t="s">
        <v>211</v>
      </c>
      <c r="BZ1234" s="2" t="s">
        <v>212</v>
      </c>
      <c r="CA1234" s="2" t="s">
        <v>200</v>
      </c>
      <c r="CB1234" s="2" t="s">
        <v>200</v>
      </c>
      <c r="CC1234" s="2" t="s">
        <v>213</v>
      </c>
      <c r="CD1234" s="2" t="s">
        <v>200</v>
      </c>
      <c r="CE1234" s="4"/>
      <c r="CF1234" s="4"/>
      <c r="CG1234" s="4"/>
      <c r="CH1234" s="4">
        <v>330</v>
      </c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/>
      <c r="DV1234" s="4"/>
      <c r="DW1234" s="4"/>
      <c r="DX1234" s="4"/>
      <c r="DY1234" s="4"/>
      <c r="DZ1234" s="4"/>
      <c r="EA1234" s="4"/>
      <c r="EB1234" s="4"/>
      <c r="EC1234" s="4"/>
      <c r="ED1234" s="4"/>
      <c r="EE1234" s="4"/>
      <c r="EF1234" s="4"/>
      <c r="EG1234" s="4"/>
      <c r="EH1234" s="4"/>
      <c r="EI1234" s="4"/>
      <c r="EJ1234" s="4"/>
      <c r="EK1234" s="4"/>
      <c r="EL1234" s="4"/>
      <c r="EM1234" s="4"/>
      <c r="EN1234" s="4"/>
      <c r="EO1234" s="4"/>
      <c r="EP1234" s="4"/>
      <c r="EQ1234" s="4"/>
      <c r="ER1234" s="4"/>
      <c r="ES1234" s="4"/>
      <c r="ET1234" s="4"/>
      <c r="EU1234" s="4"/>
      <c r="EV1234" s="4"/>
      <c r="EW1234" s="4"/>
      <c r="EX1234" s="4"/>
      <c r="EY1234" s="4"/>
      <c r="EZ1234" s="4"/>
      <c r="FA1234" s="4"/>
      <c r="FB1234" s="4"/>
      <c r="FC1234" s="4"/>
      <c r="FD1234" s="4"/>
      <c r="FE1234" s="4"/>
      <c r="FF1234" s="4"/>
      <c r="FG1234" s="4"/>
      <c r="FH1234" s="4"/>
      <c r="FI1234" s="4"/>
      <c r="FJ1234" s="4"/>
      <c r="FK1234" s="4"/>
      <c r="FL1234" s="4"/>
      <c r="FM1234" s="4"/>
      <c r="FN1234" s="4"/>
      <c r="FO1234" s="4"/>
      <c r="FP1234" s="4"/>
      <c r="FQ1234" s="4"/>
      <c r="FR1234" s="4"/>
      <c r="FS1234" s="4"/>
      <c r="FT1234" s="4"/>
      <c r="FU1234" s="4"/>
      <c r="FV1234" s="4"/>
      <c r="FW1234" s="4"/>
      <c r="FX1234" s="4"/>
      <c r="FY1234" s="4"/>
      <c r="FZ1234" s="4"/>
      <c r="GA1234" s="4"/>
      <c r="GB1234" s="4"/>
      <c r="GC1234" s="4"/>
      <c r="GD1234" s="4"/>
      <c r="GE1234" s="4"/>
      <c r="GF1234" s="4"/>
      <c r="GG1234" s="4"/>
      <c r="GH1234" s="4"/>
    </row>
    <row r="1235">
      <c r="A1235" s="2" t="s">
        <v>6856</v>
      </c>
      <c r="B1235" s="2" t="s">
        <v>2124</v>
      </c>
      <c r="C1235" s="2" t="s">
        <v>231</v>
      </c>
      <c r="D1235" s="2" t="s">
        <v>2125</v>
      </c>
      <c r="E1235" s="2" t="s">
        <v>2126</v>
      </c>
      <c r="F1235" s="2" t="s">
        <v>6847</v>
      </c>
      <c r="G1235" s="2" t="s">
        <v>6847</v>
      </c>
      <c r="H1235" s="2" t="s">
        <v>6847</v>
      </c>
      <c r="I1235" s="2" t="s">
        <v>6848</v>
      </c>
      <c r="J1235" s="2" t="s">
        <v>6851</v>
      </c>
      <c r="K1235" s="2" t="s">
        <v>221</v>
      </c>
      <c r="L1235" s="3">
        <v>12.1</v>
      </c>
      <c r="M1235" s="3">
        <v>12.71</v>
      </c>
      <c r="N1235" s="3">
        <v>49.99</v>
      </c>
      <c r="O1235" s="2" t="s">
        <v>212</v>
      </c>
      <c r="P1235" s="2" t="s">
        <v>205</v>
      </c>
      <c r="Q1235" s="2" t="s">
        <v>206</v>
      </c>
      <c r="R1235" s="2" t="s">
        <v>200</v>
      </c>
      <c r="S1235" s="2" t="s">
        <v>200</v>
      </c>
      <c r="T1235" s="2" t="s">
        <v>200</v>
      </c>
      <c r="U1235" s="2" t="s">
        <v>200</v>
      </c>
      <c r="V1235" s="2" t="s">
        <v>616</v>
      </c>
      <c r="W1235" s="2" t="s">
        <v>200</v>
      </c>
      <c r="X1235" s="2" t="s">
        <v>200</v>
      </c>
      <c r="Y1235" s="2" t="s">
        <v>2438</v>
      </c>
      <c r="Z1235" s="4">
        <v>330</v>
      </c>
      <c r="AA1235" s="4">
        <f>=ROUNDDOWN({0},0)</f>
      </c>
      <c r="AB1235" s="5"/>
      <c r="AC1235" s="2" t="s">
        <v>200</v>
      </c>
      <c r="AD1235" s="4"/>
      <c r="AE1235" s="4"/>
      <c r="AF1235" s="6"/>
      <c r="AG1235" s="6">
        <v>48</v>
      </c>
      <c r="AH1235" s="7">
        <v>1</v>
      </c>
      <c r="AI1235" s="4"/>
      <c r="AJ1235" s="4">
        <f>=ROUNDDOWN({0},0)</f>
      </c>
      <c r="AK1235" s="5"/>
      <c r="AL1235" s="2" t="s">
        <v>200</v>
      </c>
      <c r="AM1235" s="4"/>
      <c r="AN1235" s="4"/>
      <c r="AO1235" s="7"/>
      <c r="AP1235" s="4"/>
      <c r="AQ1235" s="8"/>
      <c r="AR1235" s="4"/>
      <c r="AS1235" s="8"/>
      <c r="AT1235" s="7"/>
      <c r="AU1235" s="7"/>
      <c r="AV1235" s="4" t="s">
        <v>200</v>
      </c>
      <c r="AW1235" s="8" t="s">
        <v>200</v>
      </c>
      <c r="AX1235" s="4" t="s">
        <v>200</v>
      </c>
      <c r="AY1235" s="8" t="s">
        <v>200</v>
      </c>
      <c r="AZ1235" s="7" t="s">
        <v>200</v>
      </c>
      <c r="BA1235" s="7" t="s">
        <v>200</v>
      </c>
      <c r="BB1235" s="7"/>
      <c r="BC1235" s="4" t="s">
        <v>200</v>
      </c>
      <c r="BD1235" s="8" t="s">
        <v>200</v>
      </c>
      <c r="BE1235" s="4" t="s">
        <v>200</v>
      </c>
      <c r="BF1235" s="8" t="s">
        <v>200</v>
      </c>
      <c r="BG1235" s="7" t="s">
        <v>200</v>
      </c>
      <c r="BH1235" s="7" t="s">
        <v>200</v>
      </c>
      <c r="BI1235" s="7"/>
      <c r="BJ1235" s="4"/>
      <c r="BK1235" s="8"/>
      <c r="BL1235" s="2" t="s">
        <v>200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210</v>
      </c>
      <c r="BV1235" s="2" t="s">
        <v>200</v>
      </c>
      <c r="BW1235" s="2" t="s">
        <v>200</v>
      </c>
      <c r="BX1235" s="2" t="s">
        <v>210</v>
      </c>
      <c r="BY1235" s="2" t="s">
        <v>211</v>
      </c>
      <c r="BZ1235" s="2" t="s">
        <v>212</v>
      </c>
      <c r="CA1235" s="2" t="s">
        <v>200</v>
      </c>
      <c r="CB1235" s="2" t="s">
        <v>200</v>
      </c>
      <c r="CC1235" s="2" t="s">
        <v>213</v>
      </c>
      <c r="CD1235" s="2" t="s">
        <v>200</v>
      </c>
      <c r="CE1235" s="4"/>
      <c r="CF1235" s="4"/>
      <c r="CG1235" s="4"/>
      <c r="CH1235" s="4">
        <v>330</v>
      </c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E1235" s="4"/>
      <c r="DF1235" s="4"/>
      <c r="DG1235" s="4"/>
      <c r="DH1235" s="4"/>
      <c r="DI1235" s="4"/>
      <c r="DJ1235" s="4"/>
      <c r="DK1235" s="4"/>
      <c r="DL1235" s="4"/>
      <c r="DM1235" s="4"/>
      <c r="DN1235" s="4"/>
      <c r="DO1235" s="4"/>
      <c r="DP1235" s="4"/>
      <c r="DQ1235" s="4"/>
      <c r="DR1235" s="4"/>
      <c r="DS1235" s="4"/>
      <c r="DT1235" s="4"/>
      <c r="DU1235" s="4"/>
      <c r="DV1235" s="4"/>
      <c r="DW1235" s="4"/>
      <c r="DX1235" s="4"/>
      <c r="DY1235" s="4"/>
      <c r="DZ1235" s="4"/>
      <c r="EA1235" s="4"/>
      <c r="EB1235" s="4"/>
      <c r="EC1235" s="4"/>
      <c r="ED1235" s="4"/>
      <c r="EE1235" s="4"/>
      <c r="EF1235" s="4"/>
      <c r="EG1235" s="4"/>
      <c r="EH1235" s="4"/>
      <c r="EI1235" s="4"/>
      <c r="EJ1235" s="4"/>
      <c r="EK1235" s="4"/>
      <c r="EL1235" s="4"/>
      <c r="EM1235" s="4"/>
      <c r="EN1235" s="4"/>
      <c r="EO1235" s="4"/>
      <c r="EP1235" s="4"/>
      <c r="EQ1235" s="4"/>
      <c r="ER1235" s="4"/>
      <c r="ES1235" s="4"/>
      <c r="ET1235" s="4"/>
      <c r="EU1235" s="4"/>
      <c r="EV1235" s="4"/>
      <c r="EW1235" s="4"/>
      <c r="EX1235" s="4"/>
      <c r="EY1235" s="4"/>
      <c r="EZ1235" s="4"/>
      <c r="FA1235" s="4"/>
      <c r="FB1235" s="4"/>
      <c r="FC1235" s="4"/>
      <c r="FD1235" s="4"/>
      <c r="FE1235" s="4"/>
      <c r="FF1235" s="4"/>
      <c r="FG1235" s="4"/>
      <c r="FH1235" s="4"/>
      <c r="FI1235" s="4"/>
      <c r="FJ1235" s="4"/>
      <c r="FK1235" s="4"/>
      <c r="FL1235" s="4"/>
      <c r="FM1235" s="4"/>
      <c r="FN1235" s="4"/>
      <c r="FO1235" s="4"/>
      <c r="FP1235" s="4"/>
      <c r="FQ1235" s="4"/>
      <c r="FR1235" s="4"/>
      <c r="FS1235" s="4"/>
      <c r="FT1235" s="4"/>
      <c r="FU1235" s="4"/>
      <c r="FV1235" s="4"/>
      <c r="FW1235" s="4"/>
      <c r="FX1235" s="4"/>
      <c r="FY1235" s="4"/>
      <c r="FZ1235" s="4"/>
      <c r="GA1235" s="4"/>
      <c r="GB1235" s="4"/>
      <c r="GC1235" s="4"/>
      <c r="GD1235" s="4"/>
      <c r="GE1235" s="4"/>
      <c r="GF1235" s="4"/>
      <c r="GG1235" s="4"/>
      <c r="GH1235" s="4"/>
    </row>
    <row r="1236">
      <c r="A1236" s="2" t="s">
        <v>6857</v>
      </c>
      <c r="B1236" s="2" t="s">
        <v>2124</v>
      </c>
      <c r="C1236" s="2" t="s">
        <v>231</v>
      </c>
      <c r="D1236" s="2" t="s">
        <v>2125</v>
      </c>
      <c r="E1236" s="2" t="s">
        <v>2126</v>
      </c>
      <c r="F1236" s="2" t="s">
        <v>6847</v>
      </c>
      <c r="G1236" s="2" t="s">
        <v>6847</v>
      </c>
      <c r="H1236" s="2" t="s">
        <v>6847</v>
      </c>
      <c r="I1236" s="2" t="s">
        <v>6848</v>
      </c>
      <c r="J1236" s="2" t="s">
        <v>6853</v>
      </c>
      <c r="K1236" s="2" t="s">
        <v>221</v>
      </c>
      <c r="L1236" s="3">
        <v>12.1</v>
      </c>
      <c r="M1236" s="3">
        <v>12.71</v>
      </c>
      <c r="N1236" s="3">
        <v>49.99</v>
      </c>
      <c r="O1236" s="2" t="s">
        <v>212</v>
      </c>
      <c r="P1236" s="2" t="s">
        <v>205</v>
      </c>
      <c r="Q1236" s="2" t="s">
        <v>206</v>
      </c>
      <c r="R1236" s="2" t="s">
        <v>200</v>
      </c>
      <c r="S1236" s="2" t="s">
        <v>200</v>
      </c>
      <c r="T1236" s="2" t="s">
        <v>200</v>
      </c>
      <c r="U1236" s="2" t="s">
        <v>200</v>
      </c>
      <c r="V1236" s="2" t="s">
        <v>616</v>
      </c>
      <c r="W1236" s="2" t="s">
        <v>200</v>
      </c>
      <c r="X1236" s="2" t="s">
        <v>200</v>
      </c>
      <c r="Y1236" s="2" t="s">
        <v>2438</v>
      </c>
      <c r="Z1236" s="4">
        <v>170</v>
      </c>
      <c r="AA1236" s="4">
        <f>=ROUNDDOWN({0},0)</f>
      </c>
      <c r="AB1236" s="5"/>
      <c r="AC1236" s="2" t="s">
        <v>200</v>
      </c>
      <c r="AD1236" s="4"/>
      <c r="AE1236" s="4"/>
      <c r="AF1236" s="6"/>
      <c r="AG1236" s="6">
        <v>48</v>
      </c>
      <c r="AH1236" s="7">
        <v>1</v>
      </c>
      <c r="AI1236" s="4"/>
      <c r="AJ1236" s="4">
        <f>=ROUNDDOWN({0},0)</f>
      </c>
      <c r="AK1236" s="5"/>
      <c r="AL1236" s="2" t="s">
        <v>200</v>
      </c>
      <c r="AM1236" s="4"/>
      <c r="AN1236" s="4"/>
      <c r="AO1236" s="7"/>
      <c r="AP1236" s="4"/>
      <c r="AQ1236" s="8"/>
      <c r="AR1236" s="4"/>
      <c r="AS1236" s="8"/>
      <c r="AT1236" s="7"/>
      <c r="AU1236" s="7"/>
      <c r="AV1236" s="4" t="s">
        <v>200</v>
      </c>
      <c r="AW1236" s="8" t="s">
        <v>200</v>
      </c>
      <c r="AX1236" s="4" t="s">
        <v>200</v>
      </c>
      <c r="AY1236" s="8" t="s">
        <v>200</v>
      </c>
      <c r="AZ1236" s="7" t="s">
        <v>200</v>
      </c>
      <c r="BA1236" s="7" t="s">
        <v>200</v>
      </c>
      <c r="BB1236" s="7"/>
      <c r="BC1236" s="4" t="s">
        <v>200</v>
      </c>
      <c r="BD1236" s="8" t="s">
        <v>200</v>
      </c>
      <c r="BE1236" s="4" t="s">
        <v>200</v>
      </c>
      <c r="BF1236" s="8" t="s">
        <v>200</v>
      </c>
      <c r="BG1236" s="7" t="s">
        <v>200</v>
      </c>
      <c r="BH1236" s="7" t="s">
        <v>200</v>
      </c>
      <c r="BI1236" s="7"/>
      <c r="BJ1236" s="4"/>
      <c r="BK1236" s="8"/>
      <c r="BL1236" s="2" t="s">
        <v>200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210</v>
      </c>
      <c r="BV1236" s="2" t="s">
        <v>200</v>
      </c>
      <c r="BW1236" s="2" t="s">
        <v>200</v>
      </c>
      <c r="BX1236" s="2" t="s">
        <v>210</v>
      </c>
      <c r="BY1236" s="2" t="s">
        <v>211</v>
      </c>
      <c r="BZ1236" s="2" t="s">
        <v>212</v>
      </c>
      <c r="CA1236" s="2" t="s">
        <v>200</v>
      </c>
      <c r="CB1236" s="2" t="s">
        <v>200</v>
      </c>
      <c r="CC1236" s="2" t="s">
        <v>213</v>
      </c>
      <c r="CD1236" s="2" t="s">
        <v>200</v>
      </c>
      <c r="CE1236" s="4"/>
      <c r="CF1236" s="4"/>
      <c r="CG1236" s="4"/>
      <c r="CH1236" s="4">
        <v>170</v>
      </c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  <c r="DL1236" s="4"/>
      <c r="DM1236" s="4"/>
      <c r="DN1236" s="4"/>
      <c r="DO1236" s="4"/>
      <c r="DP1236" s="4"/>
      <c r="DQ1236" s="4"/>
      <c r="DR1236" s="4"/>
      <c r="DS1236" s="4"/>
      <c r="DT1236" s="4"/>
      <c r="DU1236" s="4"/>
      <c r="DV1236" s="4"/>
      <c r="DW1236" s="4"/>
      <c r="DX1236" s="4"/>
      <c r="DY1236" s="4"/>
      <c r="DZ1236" s="4"/>
      <c r="EA1236" s="4"/>
      <c r="EB1236" s="4"/>
      <c r="EC1236" s="4"/>
      <c r="ED1236" s="4"/>
      <c r="EE1236" s="4"/>
      <c r="EF1236" s="4"/>
      <c r="EG1236" s="4"/>
      <c r="EH1236" s="4"/>
      <c r="EI1236" s="4"/>
      <c r="EJ1236" s="4"/>
      <c r="EK1236" s="4"/>
      <c r="EL1236" s="4"/>
      <c r="EM1236" s="4"/>
      <c r="EN1236" s="4"/>
      <c r="EO1236" s="4"/>
      <c r="EP1236" s="4"/>
      <c r="EQ1236" s="4"/>
      <c r="ER1236" s="4"/>
      <c r="ES1236" s="4"/>
      <c r="ET1236" s="4"/>
      <c r="EU1236" s="4"/>
      <c r="EV1236" s="4"/>
      <c r="EW1236" s="4"/>
      <c r="EX1236" s="4"/>
      <c r="EY1236" s="4"/>
      <c r="EZ1236" s="4"/>
      <c r="FA1236" s="4"/>
      <c r="FB1236" s="4"/>
      <c r="FC1236" s="4"/>
      <c r="FD1236" s="4"/>
      <c r="FE1236" s="4"/>
      <c r="FF1236" s="4"/>
      <c r="FG1236" s="4"/>
      <c r="FH1236" s="4"/>
      <c r="FI1236" s="4"/>
      <c r="FJ1236" s="4"/>
      <c r="FK1236" s="4"/>
      <c r="FL1236" s="4"/>
      <c r="FM1236" s="4"/>
      <c r="FN1236" s="4"/>
      <c r="FO1236" s="4"/>
      <c r="FP1236" s="4"/>
      <c r="FQ1236" s="4"/>
      <c r="FR1236" s="4"/>
      <c r="FS1236" s="4"/>
      <c r="FT1236" s="4"/>
      <c r="FU1236" s="4"/>
      <c r="FV1236" s="4"/>
      <c r="FW1236" s="4"/>
      <c r="FX1236" s="4"/>
      <c r="FY1236" s="4"/>
      <c r="FZ1236" s="4"/>
      <c r="GA1236" s="4"/>
      <c r="GB1236" s="4"/>
      <c r="GC1236" s="4"/>
      <c r="GD1236" s="4"/>
      <c r="GE1236" s="4"/>
      <c r="GF1236" s="4"/>
      <c r="GG1236" s="4"/>
      <c r="GH1236" s="4"/>
    </row>
    <row r="1237">
      <c r="A1237" s="2" t="s">
        <v>6858</v>
      </c>
      <c r="B1237" s="2" t="s">
        <v>2124</v>
      </c>
      <c r="C1237" s="2" t="s">
        <v>231</v>
      </c>
      <c r="D1237" s="2" t="s">
        <v>2125</v>
      </c>
      <c r="E1237" s="2" t="s">
        <v>2126</v>
      </c>
      <c r="F1237" s="2" t="s">
        <v>6847</v>
      </c>
      <c r="G1237" s="2" t="s">
        <v>6847</v>
      </c>
      <c r="H1237" s="2" t="s">
        <v>6847</v>
      </c>
      <c r="I1237" s="2" t="s">
        <v>6848</v>
      </c>
      <c r="J1237" s="2" t="s">
        <v>5278</v>
      </c>
      <c r="K1237" s="2" t="s">
        <v>436</v>
      </c>
      <c r="L1237" s="3">
        <v>12.1</v>
      </c>
      <c r="M1237" s="3">
        <v>12.71</v>
      </c>
      <c r="N1237" s="3">
        <v>49.99</v>
      </c>
      <c r="O1237" s="2" t="s">
        <v>212</v>
      </c>
      <c r="P1237" s="2" t="s">
        <v>205</v>
      </c>
      <c r="Q1237" s="2" t="s">
        <v>206</v>
      </c>
      <c r="R1237" s="2" t="s">
        <v>200</v>
      </c>
      <c r="S1237" s="2" t="s">
        <v>200</v>
      </c>
      <c r="T1237" s="2" t="s">
        <v>200</v>
      </c>
      <c r="U1237" s="2" t="s">
        <v>200</v>
      </c>
      <c r="V1237" s="2" t="s">
        <v>616</v>
      </c>
      <c r="W1237" s="2" t="s">
        <v>200</v>
      </c>
      <c r="X1237" s="2" t="s">
        <v>200</v>
      </c>
      <c r="Y1237" s="2" t="s">
        <v>2438</v>
      </c>
      <c r="Z1237" s="4">
        <v>170</v>
      </c>
      <c r="AA1237" s="4">
        <f>=ROUNDDOWN({0},0)</f>
      </c>
      <c r="AB1237" s="5"/>
      <c r="AC1237" s="2" t="s">
        <v>200</v>
      </c>
      <c r="AD1237" s="4"/>
      <c r="AE1237" s="4"/>
      <c r="AF1237" s="6"/>
      <c r="AG1237" s="6">
        <v>48</v>
      </c>
      <c r="AH1237" s="7">
        <v>1</v>
      </c>
      <c r="AI1237" s="4"/>
      <c r="AJ1237" s="4">
        <f>=ROUNDDOWN({0},0)</f>
      </c>
      <c r="AK1237" s="5"/>
      <c r="AL1237" s="2" t="s">
        <v>200</v>
      </c>
      <c r="AM1237" s="4"/>
      <c r="AN1237" s="4"/>
      <c r="AO1237" s="7"/>
      <c r="AP1237" s="4"/>
      <c r="AQ1237" s="8"/>
      <c r="AR1237" s="4"/>
      <c r="AS1237" s="8"/>
      <c r="AT1237" s="7"/>
      <c r="AU1237" s="7"/>
      <c r="AV1237" s="4" t="s">
        <v>200</v>
      </c>
      <c r="AW1237" s="8" t="s">
        <v>200</v>
      </c>
      <c r="AX1237" s="4" t="s">
        <v>200</v>
      </c>
      <c r="AY1237" s="8" t="s">
        <v>200</v>
      </c>
      <c r="AZ1237" s="7" t="s">
        <v>200</v>
      </c>
      <c r="BA1237" s="7" t="s">
        <v>200</v>
      </c>
      <c r="BB1237" s="7"/>
      <c r="BC1237" s="4" t="s">
        <v>200</v>
      </c>
      <c r="BD1237" s="8" t="s">
        <v>200</v>
      </c>
      <c r="BE1237" s="4" t="s">
        <v>200</v>
      </c>
      <c r="BF1237" s="8" t="s">
        <v>200</v>
      </c>
      <c r="BG1237" s="7" t="s">
        <v>200</v>
      </c>
      <c r="BH1237" s="7" t="s">
        <v>200</v>
      </c>
      <c r="BI1237" s="7"/>
      <c r="BJ1237" s="4"/>
      <c r="BK1237" s="8"/>
      <c r="BL1237" s="2" t="s">
        <v>200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210</v>
      </c>
      <c r="BV1237" s="2" t="s">
        <v>200</v>
      </c>
      <c r="BW1237" s="2" t="s">
        <v>200</v>
      </c>
      <c r="BX1237" s="2" t="s">
        <v>210</v>
      </c>
      <c r="BY1237" s="2" t="s">
        <v>211</v>
      </c>
      <c r="BZ1237" s="2" t="s">
        <v>212</v>
      </c>
      <c r="CA1237" s="2" t="s">
        <v>200</v>
      </c>
      <c r="CB1237" s="2" t="s">
        <v>200</v>
      </c>
      <c r="CC1237" s="2" t="s">
        <v>213</v>
      </c>
      <c r="CD1237" s="2" t="s">
        <v>200</v>
      </c>
      <c r="CE1237" s="4"/>
      <c r="CF1237" s="4"/>
      <c r="CG1237" s="4"/>
      <c r="CH1237" s="4">
        <v>170</v>
      </c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E1237" s="4"/>
      <c r="DF1237" s="4"/>
      <c r="DG1237" s="4"/>
      <c r="DH1237" s="4"/>
      <c r="DI1237" s="4"/>
      <c r="DJ1237" s="4"/>
      <c r="DK1237" s="4"/>
      <c r="DL1237" s="4"/>
      <c r="DM1237" s="4"/>
      <c r="DN1237" s="4"/>
      <c r="DO1237" s="4"/>
      <c r="DP1237" s="4"/>
      <c r="DQ1237" s="4"/>
      <c r="DR1237" s="4"/>
      <c r="DS1237" s="4"/>
      <c r="DT1237" s="4"/>
      <c r="DU1237" s="4"/>
      <c r="DV1237" s="4"/>
      <c r="DW1237" s="4"/>
      <c r="DX1237" s="4"/>
      <c r="DY1237" s="4"/>
      <c r="DZ1237" s="4"/>
      <c r="EA1237" s="4"/>
      <c r="EB1237" s="4"/>
      <c r="EC1237" s="4"/>
      <c r="ED1237" s="4"/>
      <c r="EE1237" s="4"/>
      <c r="EF1237" s="4"/>
      <c r="EG1237" s="4"/>
      <c r="EH1237" s="4"/>
      <c r="EI1237" s="4"/>
      <c r="EJ1237" s="4"/>
      <c r="EK1237" s="4"/>
      <c r="EL1237" s="4"/>
      <c r="EM1237" s="4"/>
      <c r="EN1237" s="4"/>
      <c r="EO1237" s="4"/>
      <c r="EP1237" s="4"/>
      <c r="EQ1237" s="4"/>
      <c r="ER1237" s="4"/>
      <c r="ES1237" s="4"/>
      <c r="ET1237" s="4"/>
      <c r="EU1237" s="4"/>
      <c r="EV1237" s="4"/>
      <c r="EW1237" s="4"/>
      <c r="EX1237" s="4"/>
      <c r="EY1237" s="4"/>
      <c r="EZ1237" s="4"/>
      <c r="FA1237" s="4"/>
      <c r="FB1237" s="4"/>
      <c r="FC1237" s="4"/>
      <c r="FD1237" s="4"/>
      <c r="FE1237" s="4"/>
      <c r="FF1237" s="4"/>
      <c r="FG1237" s="4"/>
      <c r="FH1237" s="4"/>
      <c r="FI1237" s="4"/>
      <c r="FJ1237" s="4"/>
      <c r="FK1237" s="4"/>
      <c r="FL1237" s="4"/>
      <c r="FM1237" s="4"/>
      <c r="FN1237" s="4"/>
      <c r="FO1237" s="4"/>
      <c r="FP1237" s="4"/>
      <c r="FQ1237" s="4"/>
      <c r="FR1237" s="4"/>
      <c r="FS1237" s="4"/>
      <c r="FT1237" s="4"/>
      <c r="FU1237" s="4"/>
      <c r="FV1237" s="4"/>
      <c r="FW1237" s="4"/>
      <c r="FX1237" s="4"/>
      <c r="FY1237" s="4"/>
      <c r="FZ1237" s="4"/>
      <c r="GA1237" s="4"/>
      <c r="GB1237" s="4"/>
      <c r="GC1237" s="4"/>
      <c r="GD1237" s="4"/>
      <c r="GE1237" s="4"/>
      <c r="GF1237" s="4"/>
      <c r="GG1237" s="4"/>
      <c r="GH1237" s="4"/>
    </row>
    <row r="1238">
      <c r="A1238" s="2" t="s">
        <v>6859</v>
      </c>
      <c r="B1238" s="2" t="s">
        <v>2124</v>
      </c>
      <c r="C1238" s="2" t="s">
        <v>231</v>
      </c>
      <c r="D1238" s="2" t="s">
        <v>2125</v>
      </c>
      <c r="E1238" s="2" t="s">
        <v>2126</v>
      </c>
      <c r="F1238" s="2" t="s">
        <v>6847</v>
      </c>
      <c r="G1238" s="2" t="s">
        <v>6847</v>
      </c>
      <c r="H1238" s="2" t="s">
        <v>6847</v>
      </c>
      <c r="I1238" s="2" t="s">
        <v>6848</v>
      </c>
      <c r="J1238" s="2" t="s">
        <v>5283</v>
      </c>
      <c r="K1238" s="2" t="s">
        <v>436</v>
      </c>
      <c r="L1238" s="3">
        <v>12.1</v>
      </c>
      <c r="M1238" s="3">
        <v>12.71</v>
      </c>
      <c r="N1238" s="3">
        <v>49.99</v>
      </c>
      <c r="O1238" s="2" t="s">
        <v>212</v>
      </c>
      <c r="P1238" s="2" t="s">
        <v>205</v>
      </c>
      <c r="Q1238" s="2" t="s">
        <v>206</v>
      </c>
      <c r="R1238" s="2" t="s">
        <v>200</v>
      </c>
      <c r="S1238" s="2" t="s">
        <v>200</v>
      </c>
      <c r="T1238" s="2" t="s">
        <v>200</v>
      </c>
      <c r="U1238" s="2" t="s">
        <v>200</v>
      </c>
      <c r="V1238" s="2" t="s">
        <v>616</v>
      </c>
      <c r="W1238" s="2" t="s">
        <v>200</v>
      </c>
      <c r="X1238" s="2" t="s">
        <v>200</v>
      </c>
      <c r="Y1238" s="2" t="s">
        <v>2438</v>
      </c>
      <c r="Z1238" s="4">
        <v>330</v>
      </c>
      <c r="AA1238" s="4">
        <f>=ROUNDDOWN({0},0)</f>
      </c>
      <c r="AB1238" s="5"/>
      <c r="AC1238" s="2" t="s">
        <v>200</v>
      </c>
      <c r="AD1238" s="4"/>
      <c r="AE1238" s="4"/>
      <c r="AF1238" s="6"/>
      <c r="AG1238" s="6">
        <v>48</v>
      </c>
      <c r="AH1238" s="7">
        <v>1</v>
      </c>
      <c r="AI1238" s="4"/>
      <c r="AJ1238" s="4">
        <f>=ROUNDDOWN({0},0)</f>
      </c>
      <c r="AK1238" s="5"/>
      <c r="AL1238" s="2" t="s">
        <v>200</v>
      </c>
      <c r="AM1238" s="4"/>
      <c r="AN1238" s="4"/>
      <c r="AO1238" s="7"/>
      <c r="AP1238" s="4"/>
      <c r="AQ1238" s="8"/>
      <c r="AR1238" s="4"/>
      <c r="AS1238" s="8"/>
      <c r="AT1238" s="7"/>
      <c r="AU1238" s="7"/>
      <c r="AV1238" s="4" t="s">
        <v>200</v>
      </c>
      <c r="AW1238" s="8" t="s">
        <v>200</v>
      </c>
      <c r="AX1238" s="4" t="s">
        <v>200</v>
      </c>
      <c r="AY1238" s="8" t="s">
        <v>200</v>
      </c>
      <c r="AZ1238" s="7" t="s">
        <v>200</v>
      </c>
      <c r="BA1238" s="7" t="s">
        <v>200</v>
      </c>
      <c r="BB1238" s="7"/>
      <c r="BC1238" s="4" t="s">
        <v>200</v>
      </c>
      <c r="BD1238" s="8" t="s">
        <v>200</v>
      </c>
      <c r="BE1238" s="4" t="s">
        <v>200</v>
      </c>
      <c r="BF1238" s="8" t="s">
        <v>200</v>
      </c>
      <c r="BG1238" s="7" t="s">
        <v>200</v>
      </c>
      <c r="BH1238" s="7" t="s">
        <v>200</v>
      </c>
      <c r="BI1238" s="7"/>
      <c r="BJ1238" s="4"/>
      <c r="BK1238" s="8"/>
      <c r="BL1238" s="2" t="s">
        <v>200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210</v>
      </c>
      <c r="BV1238" s="2" t="s">
        <v>200</v>
      </c>
      <c r="BW1238" s="2" t="s">
        <v>200</v>
      </c>
      <c r="BX1238" s="2" t="s">
        <v>210</v>
      </c>
      <c r="BY1238" s="2" t="s">
        <v>211</v>
      </c>
      <c r="BZ1238" s="2" t="s">
        <v>212</v>
      </c>
      <c r="CA1238" s="2" t="s">
        <v>200</v>
      </c>
      <c r="CB1238" s="2" t="s">
        <v>200</v>
      </c>
      <c r="CC1238" s="2" t="s">
        <v>213</v>
      </c>
      <c r="CD1238" s="2" t="s">
        <v>200</v>
      </c>
      <c r="CE1238" s="4"/>
      <c r="CF1238" s="4"/>
      <c r="CG1238" s="4"/>
      <c r="CH1238" s="4">
        <v>330</v>
      </c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  <c r="DL1238" s="4"/>
      <c r="DM1238" s="4"/>
      <c r="DN1238" s="4"/>
      <c r="DO1238" s="4"/>
      <c r="DP1238" s="4"/>
      <c r="DQ1238" s="4"/>
      <c r="DR1238" s="4"/>
      <c r="DS1238" s="4"/>
      <c r="DT1238" s="4"/>
      <c r="DU1238" s="4"/>
      <c r="DV1238" s="4"/>
      <c r="DW1238" s="4"/>
      <c r="DX1238" s="4"/>
      <c r="DY1238" s="4"/>
      <c r="DZ1238" s="4"/>
      <c r="EA1238" s="4"/>
      <c r="EB1238" s="4"/>
      <c r="EC1238" s="4"/>
      <c r="ED1238" s="4"/>
      <c r="EE1238" s="4"/>
      <c r="EF1238" s="4"/>
      <c r="EG1238" s="4"/>
      <c r="EH1238" s="4"/>
      <c r="EI1238" s="4"/>
      <c r="EJ1238" s="4"/>
      <c r="EK1238" s="4"/>
      <c r="EL1238" s="4"/>
      <c r="EM1238" s="4"/>
      <c r="EN1238" s="4"/>
      <c r="EO1238" s="4"/>
      <c r="EP1238" s="4"/>
      <c r="EQ1238" s="4"/>
      <c r="ER1238" s="4"/>
      <c r="ES1238" s="4"/>
      <c r="ET1238" s="4"/>
      <c r="EU1238" s="4"/>
      <c r="EV1238" s="4"/>
      <c r="EW1238" s="4"/>
      <c r="EX1238" s="4"/>
      <c r="EY1238" s="4"/>
      <c r="EZ1238" s="4"/>
      <c r="FA1238" s="4"/>
      <c r="FB1238" s="4"/>
      <c r="FC1238" s="4"/>
      <c r="FD1238" s="4"/>
      <c r="FE1238" s="4"/>
      <c r="FF1238" s="4"/>
      <c r="FG1238" s="4"/>
      <c r="FH1238" s="4"/>
      <c r="FI1238" s="4"/>
      <c r="FJ1238" s="4"/>
      <c r="FK1238" s="4"/>
      <c r="FL1238" s="4"/>
      <c r="FM1238" s="4"/>
      <c r="FN1238" s="4"/>
      <c r="FO1238" s="4"/>
      <c r="FP1238" s="4"/>
      <c r="FQ1238" s="4"/>
      <c r="FR1238" s="4"/>
      <c r="FS1238" s="4"/>
      <c r="FT1238" s="4"/>
      <c r="FU1238" s="4"/>
      <c r="FV1238" s="4"/>
      <c r="FW1238" s="4"/>
      <c r="FX1238" s="4"/>
      <c r="FY1238" s="4"/>
      <c r="FZ1238" s="4"/>
      <c r="GA1238" s="4"/>
      <c r="GB1238" s="4"/>
      <c r="GC1238" s="4"/>
      <c r="GD1238" s="4"/>
      <c r="GE1238" s="4"/>
      <c r="GF1238" s="4"/>
      <c r="GG1238" s="4"/>
      <c r="GH1238" s="4"/>
    </row>
    <row r="1239">
      <c r="A1239" s="2" t="s">
        <v>6860</v>
      </c>
      <c r="B1239" s="2" t="s">
        <v>2124</v>
      </c>
      <c r="C1239" s="2" t="s">
        <v>231</v>
      </c>
      <c r="D1239" s="2" t="s">
        <v>2125</v>
      </c>
      <c r="E1239" s="2" t="s">
        <v>2126</v>
      </c>
      <c r="F1239" s="2" t="s">
        <v>6847</v>
      </c>
      <c r="G1239" s="2" t="s">
        <v>6847</v>
      </c>
      <c r="H1239" s="2" t="s">
        <v>6847</v>
      </c>
      <c r="I1239" s="2" t="s">
        <v>6848</v>
      </c>
      <c r="J1239" s="2" t="s">
        <v>6851</v>
      </c>
      <c r="K1239" s="2" t="s">
        <v>436</v>
      </c>
      <c r="L1239" s="3">
        <v>12.1</v>
      </c>
      <c r="M1239" s="3">
        <v>12.71</v>
      </c>
      <c r="N1239" s="3">
        <v>49.99</v>
      </c>
      <c r="O1239" s="2" t="s">
        <v>212</v>
      </c>
      <c r="P1239" s="2" t="s">
        <v>205</v>
      </c>
      <c r="Q1239" s="2" t="s">
        <v>206</v>
      </c>
      <c r="R1239" s="2" t="s">
        <v>200</v>
      </c>
      <c r="S1239" s="2" t="s">
        <v>200</v>
      </c>
      <c r="T1239" s="2" t="s">
        <v>200</v>
      </c>
      <c r="U1239" s="2" t="s">
        <v>200</v>
      </c>
      <c r="V1239" s="2" t="s">
        <v>616</v>
      </c>
      <c r="W1239" s="2" t="s">
        <v>200</v>
      </c>
      <c r="X1239" s="2" t="s">
        <v>200</v>
      </c>
      <c r="Y1239" s="2" t="s">
        <v>2438</v>
      </c>
      <c r="Z1239" s="4">
        <v>330</v>
      </c>
      <c r="AA1239" s="4">
        <f>=ROUNDDOWN({0},0)</f>
      </c>
      <c r="AB1239" s="5"/>
      <c r="AC1239" s="2" t="s">
        <v>200</v>
      </c>
      <c r="AD1239" s="4"/>
      <c r="AE1239" s="4"/>
      <c r="AF1239" s="6"/>
      <c r="AG1239" s="6">
        <v>48</v>
      </c>
      <c r="AH1239" s="7">
        <v>1</v>
      </c>
      <c r="AI1239" s="4"/>
      <c r="AJ1239" s="4">
        <f>=ROUNDDOWN({0},0)</f>
      </c>
      <c r="AK1239" s="5"/>
      <c r="AL1239" s="2" t="s">
        <v>200</v>
      </c>
      <c r="AM1239" s="4"/>
      <c r="AN1239" s="4"/>
      <c r="AO1239" s="7"/>
      <c r="AP1239" s="4"/>
      <c r="AQ1239" s="8"/>
      <c r="AR1239" s="4"/>
      <c r="AS1239" s="8"/>
      <c r="AT1239" s="7"/>
      <c r="AU1239" s="7"/>
      <c r="AV1239" s="4" t="s">
        <v>200</v>
      </c>
      <c r="AW1239" s="8" t="s">
        <v>200</v>
      </c>
      <c r="AX1239" s="4" t="s">
        <v>200</v>
      </c>
      <c r="AY1239" s="8" t="s">
        <v>200</v>
      </c>
      <c r="AZ1239" s="7" t="s">
        <v>200</v>
      </c>
      <c r="BA1239" s="7" t="s">
        <v>200</v>
      </c>
      <c r="BB1239" s="7"/>
      <c r="BC1239" s="4" t="s">
        <v>200</v>
      </c>
      <c r="BD1239" s="8" t="s">
        <v>200</v>
      </c>
      <c r="BE1239" s="4" t="s">
        <v>200</v>
      </c>
      <c r="BF1239" s="8" t="s">
        <v>200</v>
      </c>
      <c r="BG1239" s="7" t="s">
        <v>200</v>
      </c>
      <c r="BH1239" s="7" t="s">
        <v>200</v>
      </c>
      <c r="BI1239" s="7"/>
      <c r="BJ1239" s="4"/>
      <c r="BK1239" s="8"/>
      <c r="BL1239" s="2" t="s">
        <v>200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210</v>
      </c>
      <c r="BV1239" s="2" t="s">
        <v>200</v>
      </c>
      <c r="BW1239" s="2" t="s">
        <v>200</v>
      </c>
      <c r="BX1239" s="2" t="s">
        <v>210</v>
      </c>
      <c r="BY1239" s="2" t="s">
        <v>211</v>
      </c>
      <c r="BZ1239" s="2" t="s">
        <v>212</v>
      </c>
      <c r="CA1239" s="2" t="s">
        <v>200</v>
      </c>
      <c r="CB1239" s="2" t="s">
        <v>200</v>
      </c>
      <c r="CC1239" s="2" t="s">
        <v>213</v>
      </c>
      <c r="CD1239" s="2" t="s">
        <v>200</v>
      </c>
      <c r="CE1239" s="4"/>
      <c r="CF1239" s="4"/>
      <c r="CG1239" s="4"/>
      <c r="CH1239" s="4">
        <v>330</v>
      </c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E1239" s="4"/>
      <c r="DF1239" s="4"/>
      <c r="DG1239" s="4"/>
      <c r="DH1239" s="4"/>
      <c r="DI1239" s="4"/>
      <c r="DJ1239" s="4"/>
      <c r="DK1239" s="4"/>
      <c r="DL1239" s="4"/>
      <c r="DM1239" s="4"/>
      <c r="DN1239" s="4"/>
      <c r="DO1239" s="4"/>
      <c r="DP1239" s="4"/>
      <c r="DQ1239" s="4"/>
      <c r="DR1239" s="4"/>
      <c r="DS1239" s="4"/>
      <c r="DT1239" s="4"/>
      <c r="DU1239" s="4"/>
      <c r="DV1239" s="4"/>
      <c r="DW1239" s="4"/>
      <c r="DX1239" s="4"/>
      <c r="DY1239" s="4"/>
      <c r="DZ1239" s="4"/>
      <c r="EA1239" s="4"/>
      <c r="EB1239" s="4"/>
      <c r="EC1239" s="4"/>
      <c r="ED1239" s="4"/>
      <c r="EE1239" s="4"/>
      <c r="EF1239" s="4"/>
      <c r="EG1239" s="4"/>
      <c r="EH1239" s="4"/>
      <c r="EI1239" s="4"/>
      <c r="EJ1239" s="4"/>
      <c r="EK1239" s="4"/>
      <c r="EL1239" s="4"/>
      <c r="EM1239" s="4"/>
      <c r="EN1239" s="4"/>
      <c r="EO1239" s="4"/>
      <c r="EP1239" s="4"/>
      <c r="EQ1239" s="4"/>
      <c r="ER1239" s="4"/>
      <c r="ES1239" s="4"/>
      <c r="ET1239" s="4"/>
      <c r="EU1239" s="4"/>
      <c r="EV1239" s="4"/>
      <c r="EW1239" s="4"/>
      <c r="EX1239" s="4"/>
      <c r="EY1239" s="4"/>
      <c r="EZ1239" s="4"/>
      <c r="FA1239" s="4"/>
      <c r="FB1239" s="4"/>
      <c r="FC1239" s="4"/>
      <c r="FD1239" s="4"/>
      <c r="FE1239" s="4"/>
      <c r="FF1239" s="4"/>
      <c r="FG1239" s="4"/>
      <c r="FH1239" s="4"/>
      <c r="FI1239" s="4"/>
      <c r="FJ1239" s="4"/>
      <c r="FK1239" s="4"/>
      <c r="FL1239" s="4"/>
      <c r="FM1239" s="4"/>
      <c r="FN1239" s="4"/>
      <c r="FO1239" s="4"/>
      <c r="FP1239" s="4"/>
      <c r="FQ1239" s="4"/>
      <c r="FR1239" s="4"/>
      <c r="FS1239" s="4"/>
      <c r="FT1239" s="4"/>
      <c r="FU1239" s="4"/>
      <c r="FV1239" s="4"/>
      <c r="FW1239" s="4"/>
      <c r="FX1239" s="4"/>
      <c r="FY1239" s="4"/>
      <c r="FZ1239" s="4"/>
      <c r="GA1239" s="4"/>
      <c r="GB1239" s="4"/>
      <c r="GC1239" s="4"/>
      <c r="GD1239" s="4"/>
      <c r="GE1239" s="4"/>
      <c r="GF1239" s="4"/>
      <c r="GG1239" s="4"/>
      <c r="GH1239" s="4"/>
    </row>
    <row r="1240">
      <c r="A1240" s="2" t="s">
        <v>6861</v>
      </c>
      <c r="B1240" s="2" t="s">
        <v>2124</v>
      </c>
      <c r="C1240" s="2" t="s">
        <v>231</v>
      </c>
      <c r="D1240" s="2" t="s">
        <v>2125</v>
      </c>
      <c r="E1240" s="2" t="s">
        <v>2126</v>
      </c>
      <c r="F1240" s="2" t="s">
        <v>6847</v>
      </c>
      <c r="G1240" s="2" t="s">
        <v>6847</v>
      </c>
      <c r="H1240" s="2" t="s">
        <v>6847</v>
      </c>
      <c r="I1240" s="2" t="s">
        <v>6848</v>
      </c>
      <c r="J1240" s="2" t="s">
        <v>6853</v>
      </c>
      <c r="K1240" s="2" t="s">
        <v>436</v>
      </c>
      <c r="L1240" s="3">
        <v>12.1</v>
      </c>
      <c r="M1240" s="3">
        <v>12.71</v>
      </c>
      <c r="N1240" s="3">
        <v>49.99</v>
      </c>
      <c r="O1240" s="2" t="s">
        <v>212</v>
      </c>
      <c r="P1240" s="2" t="s">
        <v>205</v>
      </c>
      <c r="Q1240" s="2" t="s">
        <v>206</v>
      </c>
      <c r="R1240" s="2" t="s">
        <v>200</v>
      </c>
      <c r="S1240" s="2" t="s">
        <v>200</v>
      </c>
      <c r="T1240" s="2" t="s">
        <v>200</v>
      </c>
      <c r="U1240" s="2" t="s">
        <v>200</v>
      </c>
      <c r="V1240" s="2" t="s">
        <v>616</v>
      </c>
      <c r="W1240" s="2" t="s">
        <v>200</v>
      </c>
      <c r="X1240" s="2" t="s">
        <v>200</v>
      </c>
      <c r="Y1240" s="2" t="s">
        <v>2438</v>
      </c>
      <c r="Z1240" s="4">
        <v>170</v>
      </c>
      <c r="AA1240" s="4">
        <f>=ROUNDDOWN({0},0)</f>
      </c>
      <c r="AB1240" s="5"/>
      <c r="AC1240" s="2" t="s">
        <v>200</v>
      </c>
      <c r="AD1240" s="4"/>
      <c r="AE1240" s="4"/>
      <c r="AF1240" s="6"/>
      <c r="AG1240" s="6">
        <v>48</v>
      </c>
      <c r="AH1240" s="7">
        <v>1</v>
      </c>
      <c r="AI1240" s="4"/>
      <c r="AJ1240" s="4">
        <f>=ROUNDDOWN({0},0)</f>
      </c>
      <c r="AK1240" s="5"/>
      <c r="AL1240" s="2" t="s">
        <v>200</v>
      </c>
      <c r="AM1240" s="4"/>
      <c r="AN1240" s="4"/>
      <c r="AO1240" s="7"/>
      <c r="AP1240" s="4"/>
      <c r="AQ1240" s="8"/>
      <c r="AR1240" s="4"/>
      <c r="AS1240" s="8"/>
      <c r="AT1240" s="7"/>
      <c r="AU1240" s="7"/>
      <c r="AV1240" s="4" t="s">
        <v>200</v>
      </c>
      <c r="AW1240" s="8" t="s">
        <v>200</v>
      </c>
      <c r="AX1240" s="4" t="s">
        <v>200</v>
      </c>
      <c r="AY1240" s="8" t="s">
        <v>200</v>
      </c>
      <c r="AZ1240" s="7" t="s">
        <v>200</v>
      </c>
      <c r="BA1240" s="7" t="s">
        <v>200</v>
      </c>
      <c r="BB1240" s="7"/>
      <c r="BC1240" s="4" t="s">
        <v>200</v>
      </c>
      <c r="BD1240" s="8" t="s">
        <v>200</v>
      </c>
      <c r="BE1240" s="4" t="s">
        <v>200</v>
      </c>
      <c r="BF1240" s="8" t="s">
        <v>200</v>
      </c>
      <c r="BG1240" s="7" t="s">
        <v>200</v>
      </c>
      <c r="BH1240" s="7" t="s">
        <v>200</v>
      </c>
      <c r="BI1240" s="7"/>
      <c r="BJ1240" s="4"/>
      <c r="BK1240" s="8"/>
      <c r="BL1240" s="2" t="s">
        <v>200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210</v>
      </c>
      <c r="BV1240" s="2" t="s">
        <v>200</v>
      </c>
      <c r="BW1240" s="2" t="s">
        <v>200</v>
      </c>
      <c r="BX1240" s="2" t="s">
        <v>210</v>
      </c>
      <c r="BY1240" s="2" t="s">
        <v>211</v>
      </c>
      <c r="BZ1240" s="2" t="s">
        <v>212</v>
      </c>
      <c r="CA1240" s="2" t="s">
        <v>200</v>
      </c>
      <c r="CB1240" s="2" t="s">
        <v>200</v>
      </c>
      <c r="CC1240" s="2" t="s">
        <v>213</v>
      </c>
      <c r="CD1240" s="2" t="s">
        <v>200</v>
      </c>
      <c r="CE1240" s="4"/>
      <c r="CF1240" s="4"/>
      <c r="CG1240" s="4"/>
      <c r="CH1240" s="4">
        <v>170</v>
      </c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  <c r="DP1240" s="4"/>
      <c r="DQ1240" s="4"/>
      <c r="DR1240" s="4"/>
      <c r="DS1240" s="4"/>
      <c r="DT1240" s="4"/>
      <c r="DU1240" s="4"/>
      <c r="DV1240" s="4"/>
      <c r="DW1240" s="4"/>
      <c r="DX1240" s="4"/>
      <c r="DY1240" s="4"/>
      <c r="DZ1240" s="4"/>
      <c r="EA1240" s="4"/>
      <c r="EB1240" s="4"/>
      <c r="EC1240" s="4"/>
      <c r="ED1240" s="4"/>
      <c r="EE1240" s="4"/>
      <c r="EF1240" s="4"/>
      <c r="EG1240" s="4"/>
      <c r="EH1240" s="4"/>
      <c r="EI1240" s="4"/>
      <c r="EJ1240" s="4"/>
      <c r="EK1240" s="4"/>
      <c r="EL1240" s="4"/>
      <c r="EM1240" s="4"/>
      <c r="EN1240" s="4"/>
      <c r="EO1240" s="4"/>
      <c r="EP1240" s="4"/>
      <c r="EQ1240" s="4"/>
      <c r="ER1240" s="4"/>
      <c r="ES1240" s="4"/>
      <c r="ET1240" s="4"/>
      <c r="EU1240" s="4"/>
      <c r="EV1240" s="4"/>
      <c r="EW1240" s="4"/>
      <c r="EX1240" s="4"/>
      <c r="EY1240" s="4"/>
      <c r="EZ1240" s="4"/>
      <c r="FA1240" s="4"/>
      <c r="FB1240" s="4"/>
      <c r="FC1240" s="4"/>
      <c r="FD1240" s="4"/>
      <c r="FE1240" s="4"/>
      <c r="FF1240" s="4"/>
      <c r="FG1240" s="4"/>
      <c r="FH1240" s="4"/>
      <c r="FI1240" s="4"/>
      <c r="FJ1240" s="4"/>
      <c r="FK1240" s="4"/>
      <c r="FL1240" s="4"/>
      <c r="FM1240" s="4"/>
      <c r="FN1240" s="4"/>
      <c r="FO1240" s="4"/>
      <c r="FP1240" s="4"/>
      <c r="FQ1240" s="4"/>
      <c r="FR1240" s="4"/>
      <c r="FS1240" s="4"/>
      <c r="FT1240" s="4"/>
      <c r="FU1240" s="4"/>
      <c r="FV1240" s="4"/>
      <c r="FW1240" s="4"/>
      <c r="FX1240" s="4"/>
      <c r="FY1240" s="4"/>
      <c r="FZ1240" s="4"/>
      <c r="GA1240" s="4"/>
      <c r="GB1240" s="4"/>
      <c r="GC1240" s="4"/>
      <c r="GD1240" s="4"/>
      <c r="GE1240" s="4"/>
      <c r="GF1240" s="4"/>
      <c r="GG1240" s="4"/>
      <c r="GH1240" s="4"/>
    </row>
    <row r="1241">
      <c r="A1241" s="2" t="s">
        <v>6862</v>
      </c>
      <c r="B1241" s="2" t="s">
        <v>932</v>
      </c>
      <c r="C1241" s="2" t="s">
        <v>1839</v>
      </c>
      <c r="D1241" s="2" t="s">
        <v>608</v>
      </c>
      <c r="E1241" s="2" t="s">
        <v>609</v>
      </c>
      <c r="F1241" s="2" t="s">
        <v>6863</v>
      </c>
      <c r="G1241" s="2" t="s">
        <v>6864</v>
      </c>
      <c r="H1241" s="2" t="s">
        <v>6865</v>
      </c>
      <c r="I1241" s="2" t="s">
        <v>6866</v>
      </c>
      <c r="J1241" s="2" t="s">
        <v>924</v>
      </c>
      <c r="K1241" s="2" t="s">
        <v>499</v>
      </c>
      <c r="L1241" s="3">
        <v>84</v>
      </c>
      <c r="M1241" s="3">
        <v>88.2</v>
      </c>
      <c r="N1241" s="3">
        <v>174.99</v>
      </c>
      <c r="O1241" s="2" t="s">
        <v>417</v>
      </c>
      <c r="P1241" s="2" t="s">
        <v>285</v>
      </c>
      <c r="Q1241" s="2" t="s">
        <v>206</v>
      </c>
      <c r="R1241" s="2" t="s">
        <v>200</v>
      </c>
      <c r="S1241" s="2" t="s">
        <v>6867</v>
      </c>
      <c r="T1241" s="2" t="s">
        <v>312</v>
      </c>
      <c r="U1241" s="2" t="s">
        <v>1067</v>
      </c>
      <c r="V1241" s="2" t="s">
        <v>1077</v>
      </c>
      <c r="W1241" s="2" t="s">
        <v>2087</v>
      </c>
      <c r="X1241" s="2" t="s">
        <v>2305</v>
      </c>
      <c r="Y1241" s="2" t="s">
        <v>2306</v>
      </c>
      <c r="Z1241" s="4">
        <v>15</v>
      </c>
      <c r="AA1241" s="4">
        <f>=ROUNDDOWN(13.6363636363636,0)</f>
      </c>
      <c r="AB1241" s="5">
        <v>1.1</v>
      </c>
      <c r="AC1241" s="2" t="s">
        <v>200</v>
      </c>
      <c r="AD1241" s="4"/>
      <c r="AE1241" s="4"/>
      <c r="AF1241" s="6">
        <v>65</v>
      </c>
      <c r="AG1241" s="6"/>
      <c r="AH1241" s="7">
        <v>0.8667</v>
      </c>
      <c r="AI1241" s="4"/>
      <c r="AJ1241" s="4">
        <f>=ROUNDDOWN({0},0)</f>
      </c>
      <c r="AK1241" s="5"/>
      <c r="AL1241" s="2" t="s">
        <v>200</v>
      </c>
      <c r="AM1241" s="4"/>
      <c r="AN1241" s="4"/>
      <c r="AO1241" s="7"/>
      <c r="AP1241" s="4"/>
      <c r="AQ1241" s="8"/>
      <c r="AR1241" s="4"/>
      <c r="AS1241" s="8"/>
      <c r="AT1241" s="7"/>
      <c r="AU1241" s="7"/>
      <c r="AV1241" s="4"/>
      <c r="AW1241" s="8"/>
      <c r="AX1241" s="4"/>
      <c r="AY1241" s="8"/>
      <c r="AZ1241" s="7"/>
      <c r="BA1241" s="7"/>
      <c r="BB1241" s="7"/>
      <c r="BC1241" s="4"/>
      <c r="BD1241" s="8"/>
      <c r="BE1241" s="4"/>
      <c r="BF1241" s="8"/>
      <c r="BG1241" s="7"/>
      <c r="BH1241" s="7"/>
      <c r="BI1241" s="7"/>
      <c r="BJ1241" s="4"/>
      <c r="BK1241" s="8"/>
      <c r="BL1241" s="2" t="s">
        <v>6868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6869</v>
      </c>
      <c r="BV1241" s="2" t="s">
        <v>200</v>
      </c>
      <c r="BW1241" s="2" t="s">
        <v>200</v>
      </c>
      <c r="BX1241" s="2" t="s">
        <v>289</v>
      </c>
      <c r="BY1241" s="2" t="s">
        <v>247</v>
      </c>
      <c r="BZ1241" s="2" t="s">
        <v>212</v>
      </c>
      <c r="CA1241" s="2" t="s">
        <v>2309</v>
      </c>
      <c r="CB1241" s="2" t="s">
        <v>2335</v>
      </c>
      <c r="CC1241" s="2" t="s">
        <v>213</v>
      </c>
      <c r="CD1241" s="2" t="s">
        <v>200</v>
      </c>
      <c r="CE1241" s="4">
        <v>15</v>
      </c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E1241" s="4"/>
      <c r="DF1241" s="4"/>
      <c r="DG1241" s="4"/>
      <c r="DH1241" s="4"/>
      <c r="DI1241" s="4"/>
      <c r="DJ1241" s="4"/>
      <c r="DK1241" s="4"/>
      <c r="DL1241" s="4"/>
      <c r="DM1241" s="4"/>
      <c r="DN1241" s="4"/>
      <c r="DO1241" s="4"/>
      <c r="DP1241" s="4"/>
      <c r="DQ1241" s="4"/>
      <c r="DR1241" s="4"/>
      <c r="DS1241" s="4"/>
      <c r="DT1241" s="4"/>
      <c r="DU1241" s="4"/>
      <c r="DV1241" s="4"/>
      <c r="DW1241" s="4"/>
      <c r="DX1241" s="4"/>
      <c r="DY1241" s="4"/>
      <c r="DZ1241" s="4"/>
      <c r="EA1241" s="4"/>
      <c r="EB1241" s="4"/>
      <c r="EC1241" s="4"/>
      <c r="ED1241" s="4"/>
      <c r="EE1241" s="4"/>
      <c r="EF1241" s="4"/>
      <c r="EG1241" s="4"/>
      <c r="EH1241" s="4"/>
      <c r="EI1241" s="4"/>
      <c r="EJ1241" s="4"/>
      <c r="EK1241" s="4"/>
      <c r="EL1241" s="4"/>
      <c r="EM1241" s="4"/>
      <c r="EN1241" s="4"/>
      <c r="EO1241" s="4"/>
      <c r="EP1241" s="4"/>
      <c r="EQ1241" s="4"/>
      <c r="ER1241" s="4"/>
      <c r="ES1241" s="4"/>
      <c r="ET1241" s="4"/>
      <c r="EU1241" s="4"/>
      <c r="EV1241" s="4"/>
      <c r="EW1241" s="4"/>
      <c r="EX1241" s="4"/>
      <c r="EY1241" s="4"/>
      <c r="EZ1241" s="4"/>
      <c r="FA1241" s="4"/>
      <c r="FB1241" s="4"/>
      <c r="FC1241" s="4"/>
      <c r="FD1241" s="4"/>
      <c r="FE1241" s="4"/>
      <c r="FF1241" s="4"/>
      <c r="FG1241" s="4"/>
      <c r="FH1241" s="4"/>
      <c r="FI1241" s="4"/>
      <c r="FJ1241" s="4"/>
      <c r="FK1241" s="4"/>
      <c r="FL1241" s="4"/>
      <c r="FM1241" s="4"/>
      <c r="FN1241" s="4"/>
      <c r="FO1241" s="4"/>
      <c r="FP1241" s="4"/>
      <c r="FQ1241" s="4"/>
      <c r="FR1241" s="4"/>
      <c r="FS1241" s="4"/>
      <c r="FT1241" s="4"/>
      <c r="FU1241" s="4"/>
      <c r="FV1241" s="4"/>
      <c r="FW1241" s="4"/>
      <c r="FX1241" s="4"/>
      <c r="FY1241" s="4"/>
      <c r="FZ1241" s="4"/>
      <c r="GA1241" s="4"/>
      <c r="GB1241" s="4"/>
      <c r="GC1241" s="4"/>
      <c r="GD1241" s="4"/>
      <c r="GE1241" s="4"/>
      <c r="GF1241" s="4"/>
      <c r="GG1241" s="4"/>
      <c r="GH1241" s="4"/>
    </row>
    <row r="1242">
      <c r="A1242" s="2" t="s">
        <v>6870</v>
      </c>
      <c r="B1242" s="2" t="s">
        <v>1099</v>
      </c>
      <c r="C1242" s="2" t="s">
        <v>877</v>
      </c>
      <c r="D1242" s="2" t="s">
        <v>6016</v>
      </c>
      <c r="E1242" s="2" t="s">
        <v>671</v>
      </c>
      <c r="F1242" s="2" t="s">
        <v>6871</v>
      </c>
      <c r="G1242" s="2" t="s">
        <v>6871</v>
      </c>
      <c r="H1242" s="2" t="s">
        <v>6871</v>
      </c>
      <c r="I1242" s="2" t="s">
        <v>6018</v>
      </c>
      <c r="J1242" s="2" t="s">
        <v>711</v>
      </c>
      <c r="K1242" s="2" t="s">
        <v>544</v>
      </c>
      <c r="L1242" s="3">
        <v>28.99</v>
      </c>
      <c r="M1242" s="3">
        <v>30.44</v>
      </c>
      <c r="N1242" s="3">
        <v>49.99</v>
      </c>
      <c r="O1242" s="2" t="s">
        <v>417</v>
      </c>
      <c r="P1242" s="2" t="s">
        <v>285</v>
      </c>
      <c r="Q1242" s="2" t="s">
        <v>206</v>
      </c>
      <c r="R1242" s="2" t="s">
        <v>200</v>
      </c>
      <c r="S1242" s="2" t="s">
        <v>200</v>
      </c>
      <c r="T1242" s="2" t="s">
        <v>200</v>
      </c>
      <c r="U1242" s="2" t="s">
        <v>662</v>
      </c>
      <c r="V1242" s="2" t="s">
        <v>2763</v>
      </c>
      <c r="W1242" s="2" t="s">
        <v>200</v>
      </c>
      <c r="X1242" s="2" t="s">
        <v>200</v>
      </c>
      <c r="Y1242" s="2" t="s">
        <v>4418</v>
      </c>
      <c r="Z1242" s="4">
        <v>359</v>
      </c>
      <c r="AA1242" s="4">
        <f>=ROUNDDOWN(211.176470588235,0)</f>
      </c>
      <c r="AB1242" s="5">
        <v>1.7</v>
      </c>
      <c r="AC1242" s="2" t="s">
        <v>200</v>
      </c>
      <c r="AD1242" s="4"/>
      <c r="AE1242" s="4"/>
      <c r="AF1242" s="6">
        <v>73</v>
      </c>
      <c r="AG1242" s="6"/>
      <c r="AH1242" s="7">
        <v>0.8667</v>
      </c>
      <c r="AI1242" s="4"/>
      <c r="AJ1242" s="4">
        <f>=ROUNDDOWN({0},0)</f>
      </c>
      <c r="AK1242" s="5"/>
      <c r="AL1242" s="2" t="s">
        <v>200</v>
      </c>
      <c r="AM1242" s="4"/>
      <c r="AN1242" s="4"/>
      <c r="AO1242" s="7"/>
      <c r="AP1242" s="4"/>
      <c r="AQ1242" s="8"/>
      <c r="AR1242" s="4"/>
      <c r="AS1242" s="8"/>
      <c r="AT1242" s="7"/>
      <c r="AU1242" s="7"/>
      <c r="AV1242" s="4"/>
      <c r="AW1242" s="8"/>
      <c r="AX1242" s="4"/>
      <c r="AY1242" s="8"/>
      <c r="AZ1242" s="7"/>
      <c r="BA1242" s="7"/>
      <c r="BB1242" s="7"/>
      <c r="BC1242" s="4" t="s">
        <v>200</v>
      </c>
      <c r="BD1242" s="8" t="s">
        <v>200</v>
      </c>
      <c r="BE1242" s="4" t="s">
        <v>200</v>
      </c>
      <c r="BF1242" s="8" t="s">
        <v>200</v>
      </c>
      <c r="BG1242" s="7" t="s">
        <v>200</v>
      </c>
      <c r="BH1242" s="7" t="s">
        <v>200</v>
      </c>
      <c r="BI1242" s="7"/>
      <c r="BJ1242" s="4"/>
      <c r="BK1242" s="8"/>
      <c r="BL1242" s="2" t="s">
        <v>1029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6872</v>
      </c>
      <c r="BV1242" s="2" t="s">
        <v>200</v>
      </c>
      <c r="BW1242" s="2" t="s">
        <v>200</v>
      </c>
      <c r="BX1242" s="2" t="s">
        <v>289</v>
      </c>
      <c r="BY1242" s="2" t="s">
        <v>247</v>
      </c>
      <c r="BZ1242" s="2" t="s">
        <v>212</v>
      </c>
      <c r="CA1242" s="2" t="s">
        <v>4853</v>
      </c>
      <c r="CB1242" s="2" t="s">
        <v>3811</v>
      </c>
      <c r="CC1242" s="2" t="s">
        <v>213</v>
      </c>
      <c r="CD1242" s="2" t="s">
        <v>200</v>
      </c>
      <c r="CE1242" s="4">
        <v>359</v>
      </c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  <c r="DT1242" s="4"/>
      <c r="DU1242" s="4"/>
      <c r="DV1242" s="4"/>
      <c r="DW1242" s="4"/>
      <c r="DX1242" s="4"/>
      <c r="DY1242" s="4"/>
      <c r="DZ1242" s="4"/>
      <c r="EA1242" s="4"/>
      <c r="EB1242" s="4"/>
      <c r="EC1242" s="4"/>
      <c r="ED1242" s="4"/>
      <c r="EE1242" s="4"/>
      <c r="EF1242" s="4"/>
      <c r="EG1242" s="4"/>
      <c r="EH1242" s="4"/>
      <c r="EI1242" s="4"/>
      <c r="EJ1242" s="4"/>
      <c r="EK1242" s="4"/>
      <c r="EL1242" s="4"/>
      <c r="EM1242" s="4"/>
      <c r="EN1242" s="4"/>
      <c r="EO1242" s="4"/>
      <c r="EP1242" s="4"/>
      <c r="EQ1242" s="4"/>
      <c r="ER1242" s="4"/>
      <c r="ES1242" s="4"/>
      <c r="ET1242" s="4"/>
      <c r="EU1242" s="4"/>
      <c r="EV1242" s="4"/>
      <c r="EW1242" s="4"/>
      <c r="EX1242" s="4"/>
      <c r="EY1242" s="4"/>
      <c r="EZ1242" s="4"/>
      <c r="FA1242" s="4"/>
      <c r="FB1242" s="4"/>
      <c r="FC1242" s="4"/>
      <c r="FD1242" s="4"/>
      <c r="FE1242" s="4"/>
      <c r="FF1242" s="4"/>
      <c r="FG1242" s="4"/>
      <c r="FH1242" s="4"/>
      <c r="FI1242" s="4"/>
      <c r="FJ1242" s="4"/>
      <c r="FK1242" s="4"/>
      <c r="FL1242" s="4"/>
      <c r="FM1242" s="4"/>
      <c r="FN1242" s="4"/>
      <c r="FO1242" s="4"/>
      <c r="FP1242" s="4"/>
      <c r="FQ1242" s="4"/>
      <c r="FR1242" s="4"/>
      <c r="FS1242" s="4"/>
      <c r="FT1242" s="4"/>
      <c r="FU1242" s="4"/>
      <c r="FV1242" s="4"/>
      <c r="FW1242" s="4"/>
      <c r="FX1242" s="4"/>
      <c r="FY1242" s="4"/>
      <c r="FZ1242" s="4"/>
      <c r="GA1242" s="4"/>
      <c r="GB1242" s="4"/>
      <c r="GC1242" s="4"/>
      <c r="GD1242" s="4"/>
      <c r="GE1242" s="4"/>
      <c r="GF1242" s="4"/>
      <c r="GG1242" s="4"/>
      <c r="GH1242" s="4"/>
    </row>
    <row r="1243">
      <c r="A1243" s="2" t="s">
        <v>6873</v>
      </c>
      <c r="B1243" s="2" t="s">
        <v>1099</v>
      </c>
      <c r="C1243" s="2" t="s">
        <v>877</v>
      </c>
      <c r="D1243" s="2" t="s">
        <v>6016</v>
      </c>
      <c r="E1243" s="2" t="s">
        <v>671</v>
      </c>
      <c r="F1243" s="2" t="s">
        <v>6871</v>
      </c>
      <c r="G1243" s="2" t="s">
        <v>6871</v>
      </c>
      <c r="H1243" s="2" t="s">
        <v>6871</v>
      </c>
      <c r="I1243" s="2" t="s">
        <v>6018</v>
      </c>
      <c r="J1243" s="2" t="s">
        <v>711</v>
      </c>
      <c r="K1243" s="2" t="s">
        <v>464</v>
      </c>
      <c r="L1243" s="3">
        <v>28.99</v>
      </c>
      <c r="M1243" s="3">
        <v>30.44</v>
      </c>
      <c r="N1243" s="3">
        <v>49.99</v>
      </c>
      <c r="O1243" s="2" t="s">
        <v>212</v>
      </c>
      <c r="P1243" s="2" t="s">
        <v>750</v>
      </c>
      <c r="Q1243" s="2" t="s">
        <v>206</v>
      </c>
      <c r="R1243" s="2" t="s">
        <v>200</v>
      </c>
      <c r="S1243" s="2" t="s">
        <v>200</v>
      </c>
      <c r="T1243" s="2" t="s">
        <v>200</v>
      </c>
      <c r="U1243" s="2" t="s">
        <v>662</v>
      </c>
      <c r="V1243" s="2" t="s">
        <v>2763</v>
      </c>
      <c r="W1243" s="2" t="s">
        <v>200</v>
      </c>
      <c r="X1243" s="2" t="s">
        <v>200</v>
      </c>
      <c r="Y1243" s="2" t="s">
        <v>4418</v>
      </c>
      <c r="Z1243" s="4">
        <v>154</v>
      </c>
      <c r="AA1243" s="4">
        <f>=ROUNDDOWN(51.3333333333333,0)</f>
      </c>
      <c r="AB1243" s="5">
        <v>3</v>
      </c>
      <c r="AC1243" s="2" t="s">
        <v>200</v>
      </c>
      <c r="AD1243" s="4"/>
      <c r="AE1243" s="4"/>
      <c r="AF1243" s="6">
        <v>73</v>
      </c>
      <c r="AG1243" s="6"/>
      <c r="AH1243" s="7">
        <v>1</v>
      </c>
      <c r="AI1243" s="4"/>
      <c r="AJ1243" s="4">
        <f>=ROUNDDOWN({0},0)</f>
      </c>
      <c r="AK1243" s="5"/>
      <c r="AL1243" s="2" t="s">
        <v>200</v>
      </c>
      <c r="AM1243" s="4"/>
      <c r="AN1243" s="4"/>
      <c r="AO1243" s="7"/>
      <c r="AP1243" s="4"/>
      <c r="AQ1243" s="8"/>
      <c r="AR1243" s="4"/>
      <c r="AS1243" s="8"/>
      <c r="AT1243" s="7"/>
      <c r="AU1243" s="7"/>
      <c r="AV1243" s="4"/>
      <c r="AW1243" s="8"/>
      <c r="AX1243" s="4"/>
      <c r="AY1243" s="8"/>
      <c r="AZ1243" s="7"/>
      <c r="BA1243" s="7"/>
      <c r="BB1243" s="7"/>
      <c r="BC1243" s="4" t="s">
        <v>200</v>
      </c>
      <c r="BD1243" s="8" t="s">
        <v>200</v>
      </c>
      <c r="BE1243" s="4" t="s">
        <v>200</v>
      </c>
      <c r="BF1243" s="8" t="s">
        <v>200</v>
      </c>
      <c r="BG1243" s="7" t="s">
        <v>200</v>
      </c>
      <c r="BH1243" s="7" t="s">
        <v>200</v>
      </c>
      <c r="BI1243" s="7"/>
      <c r="BJ1243" s="4">
        <v>4</v>
      </c>
      <c r="BK1243" s="8">
        <v>115.96</v>
      </c>
      <c r="BL1243" s="2" t="s">
        <v>1029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6874</v>
      </c>
      <c r="BV1243" s="2" t="s">
        <v>200</v>
      </c>
      <c r="BW1243" s="2" t="s">
        <v>200</v>
      </c>
      <c r="BX1243" s="2" t="s">
        <v>264</v>
      </c>
      <c r="BY1243" s="2" t="s">
        <v>247</v>
      </c>
      <c r="BZ1243" s="2" t="s">
        <v>212</v>
      </c>
      <c r="CA1243" s="2" t="s">
        <v>3977</v>
      </c>
      <c r="CB1243" s="2" t="s">
        <v>2996</v>
      </c>
      <c r="CC1243" s="2" t="s">
        <v>213</v>
      </c>
      <c r="CD1243" s="2" t="s">
        <v>200</v>
      </c>
      <c r="CE1243" s="4">
        <v>154</v>
      </c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  <c r="DE1243" s="4"/>
      <c r="DF1243" s="4"/>
      <c r="DG1243" s="4"/>
      <c r="DH1243" s="4"/>
      <c r="DI1243" s="4"/>
      <c r="DJ1243" s="4"/>
      <c r="DK1243" s="4"/>
      <c r="DL1243" s="4"/>
      <c r="DM1243" s="4"/>
      <c r="DN1243" s="4"/>
      <c r="DO1243" s="4"/>
      <c r="DP1243" s="4"/>
      <c r="DQ1243" s="4"/>
      <c r="DR1243" s="4"/>
      <c r="DS1243" s="4"/>
      <c r="DT1243" s="4"/>
      <c r="DU1243" s="4"/>
      <c r="DV1243" s="4"/>
      <c r="DW1243" s="4"/>
      <c r="DX1243" s="4"/>
      <c r="DY1243" s="4"/>
      <c r="DZ1243" s="4"/>
      <c r="EA1243" s="4"/>
      <c r="EB1243" s="4"/>
      <c r="EC1243" s="4"/>
      <c r="ED1243" s="4"/>
      <c r="EE1243" s="4"/>
      <c r="EF1243" s="4"/>
      <c r="EG1243" s="4"/>
      <c r="EH1243" s="4"/>
      <c r="EI1243" s="4"/>
      <c r="EJ1243" s="4"/>
      <c r="EK1243" s="4"/>
      <c r="EL1243" s="4"/>
      <c r="EM1243" s="4"/>
      <c r="EN1243" s="4"/>
      <c r="EO1243" s="4"/>
      <c r="EP1243" s="4"/>
      <c r="EQ1243" s="4"/>
      <c r="ER1243" s="4"/>
      <c r="ES1243" s="4"/>
      <c r="ET1243" s="4"/>
      <c r="EU1243" s="4"/>
      <c r="EV1243" s="4"/>
      <c r="EW1243" s="4"/>
      <c r="EX1243" s="4"/>
      <c r="EY1243" s="4"/>
      <c r="EZ1243" s="4"/>
      <c r="FA1243" s="4"/>
      <c r="FB1243" s="4"/>
      <c r="FC1243" s="4"/>
      <c r="FD1243" s="4"/>
      <c r="FE1243" s="4"/>
      <c r="FF1243" s="4"/>
      <c r="FG1243" s="4"/>
      <c r="FH1243" s="4"/>
      <c r="FI1243" s="4"/>
      <c r="FJ1243" s="4"/>
      <c r="FK1243" s="4"/>
      <c r="FL1243" s="4"/>
      <c r="FM1243" s="4"/>
      <c r="FN1243" s="4"/>
      <c r="FO1243" s="4"/>
      <c r="FP1243" s="4"/>
      <c r="FQ1243" s="4"/>
      <c r="FR1243" s="4"/>
      <c r="FS1243" s="4"/>
      <c r="FT1243" s="4"/>
      <c r="FU1243" s="4"/>
      <c r="FV1243" s="4"/>
      <c r="FW1243" s="4"/>
      <c r="FX1243" s="4"/>
      <c r="FY1243" s="4"/>
      <c r="FZ1243" s="4"/>
      <c r="GA1243" s="4"/>
      <c r="GB1243" s="4"/>
      <c r="GC1243" s="4"/>
      <c r="GD1243" s="4"/>
      <c r="GE1243" s="4"/>
      <c r="GF1243" s="4"/>
      <c r="GG1243" s="4"/>
      <c r="GH1243" s="4"/>
    </row>
    <row r="1244">
      <c r="A1244" s="2" t="s">
        <v>6875</v>
      </c>
      <c r="B1244" s="2" t="s">
        <v>945</v>
      </c>
      <c r="C1244" s="2" t="s">
        <v>946</v>
      </c>
      <c r="D1244" s="2" t="s">
        <v>947</v>
      </c>
      <c r="E1244" s="2" t="s">
        <v>948</v>
      </c>
      <c r="F1244" s="2" t="s">
        <v>6876</v>
      </c>
      <c r="G1244" s="2" t="s">
        <v>6876</v>
      </c>
      <c r="H1244" s="2" t="s">
        <v>6876</v>
      </c>
      <c r="I1244" s="2" t="s">
        <v>6877</v>
      </c>
      <c r="J1244" s="2" t="s">
        <v>1103</v>
      </c>
      <c r="K1244" s="2" t="s">
        <v>221</v>
      </c>
      <c r="L1244" s="3">
        <v>9.51</v>
      </c>
      <c r="M1244" s="3">
        <v>9.99</v>
      </c>
      <c r="N1244" s="3">
        <v>24.99</v>
      </c>
      <c r="O1244" s="2" t="s">
        <v>212</v>
      </c>
      <c r="P1244" s="2" t="s">
        <v>258</v>
      </c>
      <c r="Q1244" s="2" t="s">
        <v>206</v>
      </c>
      <c r="R1244" s="2" t="s">
        <v>200</v>
      </c>
      <c r="S1244" s="2" t="s">
        <v>200</v>
      </c>
      <c r="T1244" s="2" t="s">
        <v>200</v>
      </c>
      <c r="U1244" s="2" t="s">
        <v>270</v>
      </c>
      <c r="V1244" s="2" t="s">
        <v>616</v>
      </c>
      <c r="W1244" s="2" t="s">
        <v>241</v>
      </c>
      <c r="X1244" s="2" t="s">
        <v>200</v>
      </c>
      <c r="Y1244" s="2" t="s">
        <v>2400</v>
      </c>
      <c r="Z1244" s="4">
        <v>388</v>
      </c>
      <c r="AA1244" s="4">
        <f>=ROUNDDOWN(121.25,0)</f>
      </c>
      <c r="AB1244" s="5">
        <v>3.2</v>
      </c>
      <c r="AC1244" s="2" t="s">
        <v>200</v>
      </c>
      <c r="AD1244" s="4"/>
      <c r="AE1244" s="4"/>
      <c r="AF1244" s="6">
        <v>65</v>
      </c>
      <c r="AG1244" s="6"/>
      <c r="AH1244" s="7">
        <v>1</v>
      </c>
      <c r="AI1244" s="4"/>
      <c r="AJ1244" s="4">
        <f>=ROUNDDOWN({0},0)</f>
      </c>
      <c r="AK1244" s="5"/>
      <c r="AL1244" s="2" t="s">
        <v>200</v>
      </c>
      <c r="AM1244" s="4"/>
      <c r="AN1244" s="4"/>
      <c r="AO1244" s="7"/>
      <c r="AP1244" s="4"/>
      <c r="AQ1244" s="8"/>
      <c r="AR1244" s="4"/>
      <c r="AS1244" s="8"/>
      <c r="AT1244" s="7"/>
      <c r="AU1244" s="7"/>
      <c r="AV1244" s="4"/>
      <c r="AW1244" s="8"/>
      <c r="AX1244" s="4"/>
      <c r="AY1244" s="8"/>
      <c r="AZ1244" s="7"/>
      <c r="BA1244" s="7"/>
      <c r="BB1244" s="7"/>
      <c r="BC1244" s="4"/>
      <c r="BD1244" s="8"/>
      <c r="BE1244" s="4"/>
      <c r="BF1244" s="8"/>
      <c r="BG1244" s="7"/>
      <c r="BH1244" s="7"/>
      <c r="BI1244" s="7"/>
      <c r="BJ1244" s="4">
        <v>8</v>
      </c>
      <c r="BK1244" s="8">
        <v>95.28</v>
      </c>
      <c r="BL1244" s="2" t="s">
        <v>6878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6879</v>
      </c>
      <c r="BV1244" s="2" t="s">
        <v>200</v>
      </c>
      <c r="BW1244" s="2" t="s">
        <v>200</v>
      </c>
      <c r="BX1244" s="2" t="s">
        <v>264</v>
      </c>
      <c r="BY1244" s="2" t="s">
        <v>247</v>
      </c>
      <c r="BZ1244" s="2" t="s">
        <v>212</v>
      </c>
      <c r="CA1244" s="2" t="s">
        <v>6144</v>
      </c>
      <c r="CB1244" s="2" t="s">
        <v>4952</v>
      </c>
      <c r="CC1244" s="2" t="s">
        <v>213</v>
      </c>
      <c r="CD1244" s="2" t="s">
        <v>200</v>
      </c>
      <c r="CE1244" s="4">
        <v>388</v>
      </c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E1244" s="4"/>
      <c r="DF1244" s="4"/>
      <c r="DG1244" s="4"/>
      <c r="DH1244" s="4"/>
      <c r="DI1244" s="4"/>
      <c r="DJ1244" s="4"/>
      <c r="DK1244" s="4"/>
      <c r="DL1244" s="4"/>
      <c r="DM1244" s="4"/>
      <c r="DN1244" s="4"/>
      <c r="DO1244" s="4"/>
      <c r="DP1244" s="4"/>
      <c r="DQ1244" s="4"/>
      <c r="DR1244" s="4"/>
      <c r="DS1244" s="4"/>
      <c r="DT1244" s="4"/>
      <c r="DU1244" s="4"/>
      <c r="DV1244" s="4"/>
      <c r="DW1244" s="4"/>
      <c r="DX1244" s="4"/>
      <c r="DY1244" s="4"/>
      <c r="DZ1244" s="4"/>
      <c r="EA1244" s="4"/>
      <c r="EB1244" s="4"/>
      <c r="EC1244" s="4"/>
      <c r="ED1244" s="4"/>
      <c r="EE1244" s="4"/>
      <c r="EF1244" s="4"/>
      <c r="EG1244" s="4"/>
      <c r="EH1244" s="4"/>
      <c r="EI1244" s="4"/>
      <c r="EJ1244" s="4"/>
      <c r="EK1244" s="4"/>
      <c r="EL1244" s="4"/>
      <c r="EM1244" s="4"/>
      <c r="EN1244" s="4"/>
      <c r="EO1244" s="4"/>
      <c r="EP1244" s="4"/>
      <c r="EQ1244" s="4"/>
      <c r="ER1244" s="4"/>
      <c r="ES1244" s="4"/>
      <c r="ET1244" s="4"/>
      <c r="EU1244" s="4"/>
      <c r="EV1244" s="4"/>
      <c r="EW1244" s="4"/>
      <c r="EX1244" s="4"/>
      <c r="EY1244" s="4"/>
      <c r="EZ1244" s="4"/>
      <c r="FA1244" s="4"/>
      <c r="FB1244" s="4"/>
      <c r="FC1244" s="4"/>
      <c r="FD1244" s="4"/>
      <c r="FE1244" s="4"/>
      <c r="FF1244" s="4"/>
      <c r="FG1244" s="4"/>
      <c r="FH1244" s="4"/>
      <c r="FI1244" s="4"/>
      <c r="FJ1244" s="4"/>
      <c r="FK1244" s="4"/>
      <c r="FL1244" s="4"/>
      <c r="FM1244" s="4"/>
      <c r="FN1244" s="4"/>
      <c r="FO1244" s="4"/>
      <c r="FP1244" s="4"/>
      <c r="FQ1244" s="4"/>
      <c r="FR1244" s="4"/>
      <c r="FS1244" s="4"/>
      <c r="FT1244" s="4"/>
      <c r="FU1244" s="4"/>
      <c r="FV1244" s="4"/>
      <c r="FW1244" s="4"/>
      <c r="FX1244" s="4"/>
      <c r="FY1244" s="4"/>
      <c r="FZ1244" s="4"/>
      <c r="GA1244" s="4"/>
      <c r="GB1244" s="4"/>
      <c r="GC1244" s="4"/>
      <c r="GD1244" s="4"/>
      <c r="GE1244" s="4"/>
      <c r="GF1244" s="4"/>
      <c r="GG1244" s="4"/>
      <c r="GH1244" s="4"/>
    </row>
    <row r="1245">
      <c r="A1245" s="2" t="s">
        <v>6880</v>
      </c>
      <c r="B1245" s="2" t="s">
        <v>932</v>
      </c>
      <c r="C1245" s="2" t="s">
        <v>877</v>
      </c>
      <c r="D1245" s="2" t="s">
        <v>608</v>
      </c>
      <c r="E1245" s="2" t="s">
        <v>1324</v>
      </c>
      <c r="F1245" s="2" t="s">
        <v>6881</v>
      </c>
      <c r="G1245" s="2" t="s">
        <v>3973</v>
      </c>
      <c r="H1245" s="2" t="s">
        <v>6882</v>
      </c>
      <c r="I1245" s="2" t="s">
        <v>6883</v>
      </c>
      <c r="J1245" s="2" t="s">
        <v>1390</v>
      </c>
      <c r="K1245" s="2" t="s">
        <v>4428</v>
      </c>
      <c r="L1245" s="3">
        <v>30.95</v>
      </c>
      <c r="M1245" s="3">
        <v>32.5</v>
      </c>
      <c r="N1245" s="3">
        <v>64.99</v>
      </c>
      <c r="O1245" s="2" t="s">
        <v>460</v>
      </c>
      <c r="P1245" s="2" t="s">
        <v>285</v>
      </c>
      <c r="Q1245" s="2" t="s">
        <v>206</v>
      </c>
      <c r="R1245" s="2" t="s">
        <v>200</v>
      </c>
      <c r="S1245" s="2" t="s">
        <v>6884</v>
      </c>
      <c r="T1245" s="2" t="s">
        <v>1899</v>
      </c>
      <c r="U1245" s="2" t="s">
        <v>677</v>
      </c>
      <c r="V1245" s="2" t="s">
        <v>208</v>
      </c>
      <c r="W1245" s="2" t="s">
        <v>242</v>
      </c>
      <c r="X1245" s="2" t="s">
        <v>970</v>
      </c>
      <c r="Y1245" s="2" t="s">
        <v>6885</v>
      </c>
      <c r="Z1245" s="4">
        <v>271</v>
      </c>
      <c r="AA1245" s="4">
        <f>=ROUNDDOWN(903.333333333333,0)</f>
      </c>
      <c r="AB1245" s="5">
        <v>0.3</v>
      </c>
      <c r="AC1245" s="2" t="s">
        <v>200</v>
      </c>
      <c r="AD1245" s="4"/>
      <c r="AE1245" s="4"/>
      <c r="AF1245" s="6">
        <v>64</v>
      </c>
      <c r="AG1245" s="6"/>
      <c r="AH1245" s="7">
        <v>1</v>
      </c>
      <c r="AI1245" s="4"/>
      <c r="AJ1245" s="4">
        <f>=ROUNDDOWN({0},0)</f>
      </c>
      <c r="AK1245" s="5"/>
      <c r="AL1245" s="2" t="s">
        <v>200</v>
      </c>
      <c r="AM1245" s="4"/>
      <c r="AN1245" s="4"/>
      <c r="AO1245" s="7"/>
      <c r="AP1245" s="4"/>
      <c r="AQ1245" s="8"/>
      <c r="AR1245" s="4"/>
      <c r="AS1245" s="8"/>
      <c r="AT1245" s="7"/>
      <c r="AU1245" s="7"/>
      <c r="AV1245" s="4" t="s">
        <v>200</v>
      </c>
      <c r="AW1245" s="8" t="s">
        <v>200</v>
      </c>
      <c r="AX1245" s="4" t="s">
        <v>200</v>
      </c>
      <c r="AY1245" s="8" t="s">
        <v>200</v>
      </c>
      <c r="AZ1245" s="7" t="s">
        <v>200</v>
      </c>
      <c r="BA1245" s="7" t="s">
        <v>200</v>
      </c>
      <c r="BB1245" s="7" t="s">
        <v>200</v>
      </c>
      <c r="BC1245" s="4" t="s">
        <v>200</v>
      </c>
      <c r="BD1245" s="8" t="s">
        <v>200</v>
      </c>
      <c r="BE1245" s="4" t="s">
        <v>200</v>
      </c>
      <c r="BF1245" s="8" t="s">
        <v>200</v>
      </c>
      <c r="BG1245" s="7" t="s">
        <v>200</v>
      </c>
      <c r="BH1245" s="7" t="s">
        <v>200</v>
      </c>
      <c r="BI1245" s="7"/>
      <c r="BJ1245" s="4">
        <v>6</v>
      </c>
      <c r="BK1245" s="8">
        <v>157.77</v>
      </c>
      <c r="BL1245" s="2" t="s">
        <v>2716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6886</v>
      </c>
      <c r="BV1245" s="2" t="s">
        <v>200</v>
      </c>
      <c r="BW1245" s="2" t="s">
        <v>200</v>
      </c>
      <c r="BX1245" s="2" t="s">
        <v>289</v>
      </c>
      <c r="BY1245" s="2" t="s">
        <v>247</v>
      </c>
      <c r="BZ1245" s="2" t="s">
        <v>212</v>
      </c>
      <c r="CA1245" s="2" t="s">
        <v>6887</v>
      </c>
      <c r="CB1245" s="2" t="s">
        <v>3211</v>
      </c>
      <c r="CC1245" s="2" t="s">
        <v>213</v>
      </c>
      <c r="CD1245" s="2" t="s">
        <v>200</v>
      </c>
      <c r="CE1245" s="4">
        <v>271</v>
      </c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E1245" s="4"/>
      <c r="DF1245" s="4"/>
      <c r="DG1245" s="4"/>
      <c r="DH1245" s="4"/>
      <c r="DI1245" s="4"/>
      <c r="DJ1245" s="4"/>
      <c r="DK1245" s="4"/>
      <c r="DL1245" s="4"/>
      <c r="DM1245" s="4"/>
      <c r="DN1245" s="4"/>
      <c r="DO1245" s="4"/>
      <c r="DP1245" s="4"/>
      <c r="DQ1245" s="4"/>
      <c r="DR1245" s="4"/>
      <c r="DS1245" s="4"/>
      <c r="DT1245" s="4"/>
      <c r="DU1245" s="4"/>
      <c r="DV1245" s="4"/>
      <c r="DW1245" s="4"/>
      <c r="DX1245" s="4"/>
      <c r="DY1245" s="4"/>
      <c r="DZ1245" s="4"/>
      <c r="EA1245" s="4"/>
      <c r="EB1245" s="4"/>
      <c r="EC1245" s="4"/>
      <c r="ED1245" s="4"/>
      <c r="EE1245" s="4"/>
      <c r="EF1245" s="4"/>
      <c r="EG1245" s="4"/>
      <c r="EH1245" s="4"/>
      <c r="EI1245" s="4"/>
      <c r="EJ1245" s="4"/>
      <c r="EK1245" s="4"/>
      <c r="EL1245" s="4"/>
      <c r="EM1245" s="4"/>
      <c r="EN1245" s="4"/>
      <c r="EO1245" s="4"/>
      <c r="EP1245" s="4"/>
      <c r="EQ1245" s="4"/>
      <c r="ER1245" s="4"/>
      <c r="ES1245" s="4"/>
      <c r="ET1245" s="4"/>
      <c r="EU1245" s="4"/>
      <c r="EV1245" s="4"/>
      <c r="EW1245" s="4"/>
      <c r="EX1245" s="4"/>
      <c r="EY1245" s="4"/>
      <c r="EZ1245" s="4"/>
      <c r="FA1245" s="4"/>
      <c r="FB1245" s="4"/>
      <c r="FC1245" s="4"/>
      <c r="FD1245" s="4"/>
      <c r="FE1245" s="4"/>
      <c r="FF1245" s="4"/>
      <c r="FG1245" s="4"/>
      <c r="FH1245" s="4"/>
      <c r="FI1245" s="4"/>
      <c r="FJ1245" s="4"/>
      <c r="FK1245" s="4"/>
      <c r="FL1245" s="4"/>
      <c r="FM1245" s="4"/>
      <c r="FN1245" s="4"/>
      <c r="FO1245" s="4"/>
      <c r="FP1245" s="4"/>
      <c r="FQ1245" s="4"/>
      <c r="FR1245" s="4"/>
      <c r="FS1245" s="4"/>
      <c r="FT1245" s="4"/>
      <c r="FU1245" s="4"/>
      <c r="FV1245" s="4"/>
      <c r="FW1245" s="4"/>
      <c r="FX1245" s="4"/>
      <c r="FY1245" s="4"/>
      <c r="FZ1245" s="4"/>
      <c r="GA1245" s="4"/>
      <c r="GB1245" s="4"/>
      <c r="GC1245" s="4"/>
      <c r="GD1245" s="4"/>
      <c r="GE1245" s="4"/>
      <c r="GF1245" s="4"/>
      <c r="GG1245" s="4"/>
      <c r="GH1245" s="4"/>
    </row>
    <row r="1246">
      <c r="A1246" s="2" t="s">
        <v>6888</v>
      </c>
      <c r="B1246" s="2" t="s">
        <v>932</v>
      </c>
      <c r="C1246" s="2" t="s">
        <v>877</v>
      </c>
      <c r="D1246" s="2" t="s">
        <v>918</v>
      </c>
      <c r="E1246" s="2" t="s">
        <v>919</v>
      </c>
      <c r="F1246" s="2" t="s">
        <v>6881</v>
      </c>
      <c r="G1246" s="2" t="s">
        <v>3973</v>
      </c>
      <c r="H1246" s="2" t="s">
        <v>6882</v>
      </c>
      <c r="I1246" s="2" t="s">
        <v>6889</v>
      </c>
      <c r="J1246" s="2" t="s">
        <v>1390</v>
      </c>
      <c r="K1246" s="2" t="s">
        <v>4428</v>
      </c>
      <c r="L1246" s="3">
        <v>23.8</v>
      </c>
      <c r="M1246" s="3">
        <v>24.99</v>
      </c>
      <c r="N1246" s="3">
        <v>49.99</v>
      </c>
      <c r="O1246" s="2" t="s">
        <v>460</v>
      </c>
      <c r="P1246" s="2" t="s">
        <v>285</v>
      </c>
      <c r="Q1246" s="2" t="s">
        <v>206</v>
      </c>
      <c r="R1246" s="2" t="s">
        <v>200</v>
      </c>
      <c r="S1246" s="2" t="s">
        <v>6884</v>
      </c>
      <c r="T1246" s="2" t="s">
        <v>1899</v>
      </c>
      <c r="U1246" s="2" t="s">
        <v>677</v>
      </c>
      <c r="V1246" s="2" t="s">
        <v>208</v>
      </c>
      <c r="W1246" s="2" t="s">
        <v>242</v>
      </c>
      <c r="X1246" s="2" t="s">
        <v>970</v>
      </c>
      <c r="Y1246" s="2" t="s">
        <v>6885</v>
      </c>
      <c r="Z1246" s="4">
        <v>124</v>
      </c>
      <c r="AA1246" s="4">
        <f>=ROUNDDOWN(248,0)</f>
      </c>
      <c r="AB1246" s="5">
        <v>0.5</v>
      </c>
      <c r="AC1246" s="2" t="s">
        <v>200</v>
      </c>
      <c r="AD1246" s="4"/>
      <c r="AE1246" s="4"/>
      <c r="AF1246" s="6">
        <v>64</v>
      </c>
      <c r="AG1246" s="6"/>
      <c r="AH1246" s="7">
        <v>1</v>
      </c>
      <c r="AI1246" s="4"/>
      <c r="AJ1246" s="4">
        <f>=ROUNDDOWN({0},0)</f>
      </c>
      <c r="AK1246" s="5"/>
      <c r="AL1246" s="2" t="s">
        <v>200</v>
      </c>
      <c r="AM1246" s="4"/>
      <c r="AN1246" s="4"/>
      <c r="AO1246" s="7"/>
      <c r="AP1246" s="4"/>
      <c r="AQ1246" s="8"/>
      <c r="AR1246" s="4"/>
      <c r="AS1246" s="8"/>
      <c r="AT1246" s="7"/>
      <c r="AU1246" s="7"/>
      <c r="AV1246" s="4" t="s">
        <v>200</v>
      </c>
      <c r="AW1246" s="8" t="s">
        <v>200</v>
      </c>
      <c r="AX1246" s="4" t="s">
        <v>200</v>
      </c>
      <c r="AY1246" s="8" t="s">
        <v>200</v>
      </c>
      <c r="AZ1246" s="7" t="s">
        <v>200</v>
      </c>
      <c r="BA1246" s="7" t="s">
        <v>200</v>
      </c>
      <c r="BB1246" s="7" t="s">
        <v>200</v>
      </c>
      <c r="BC1246" s="4" t="s">
        <v>200</v>
      </c>
      <c r="BD1246" s="8" t="s">
        <v>200</v>
      </c>
      <c r="BE1246" s="4" t="s">
        <v>200</v>
      </c>
      <c r="BF1246" s="8" t="s">
        <v>200</v>
      </c>
      <c r="BG1246" s="7" t="s">
        <v>200</v>
      </c>
      <c r="BH1246" s="7" t="s">
        <v>200</v>
      </c>
      <c r="BI1246" s="7"/>
      <c r="BJ1246" s="4">
        <v>6</v>
      </c>
      <c r="BK1246" s="8">
        <v>129.48</v>
      </c>
      <c r="BL1246" s="2" t="s">
        <v>1987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6890</v>
      </c>
      <c r="BV1246" s="2" t="s">
        <v>200</v>
      </c>
      <c r="BW1246" s="2" t="s">
        <v>200</v>
      </c>
      <c r="BX1246" s="2" t="s">
        <v>289</v>
      </c>
      <c r="BY1246" s="2" t="s">
        <v>247</v>
      </c>
      <c r="BZ1246" s="2" t="s">
        <v>212</v>
      </c>
      <c r="CA1246" s="2" t="s">
        <v>6887</v>
      </c>
      <c r="CB1246" s="2" t="s">
        <v>5663</v>
      </c>
      <c r="CC1246" s="2" t="s">
        <v>213</v>
      </c>
      <c r="CD1246" s="2" t="s">
        <v>200</v>
      </c>
      <c r="CE1246" s="4">
        <v>124</v>
      </c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E1246" s="4"/>
      <c r="DF1246" s="4"/>
      <c r="DG1246" s="4"/>
      <c r="DH1246" s="4"/>
      <c r="DI1246" s="4"/>
      <c r="DJ1246" s="4"/>
      <c r="DK1246" s="4"/>
      <c r="DL1246" s="4"/>
      <c r="DM1246" s="4"/>
      <c r="DN1246" s="4"/>
      <c r="DO1246" s="4"/>
      <c r="DP1246" s="4"/>
      <c r="DQ1246" s="4"/>
      <c r="DR1246" s="4"/>
      <c r="DS1246" s="4"/>
      <c r="DT1246" s="4"/>
      <c r="DU1246" s="4"/>
      <c r="DV1246" s="4"/>
      <c r="DW1246" s="4"/>
      <c r="DX1246" s="4"/>
      <c r="DY1246" s="4"/>
      <c r="DZ1246" s="4"/>
      <c r="EA1246" s="4"/>
      <c r="EB1246" s="4"/>
      <c r="EC1246" s="4"/>
      <c r="ED1246" s="4"/>
      <c r="EE1246" s="4"/>
      <c r="EF1246" s="4"/>
      <c r="EG1246" s="4"/>
      <c r="EH1246" s="4"/>
      <c r="EI1246" s="4"/>
      <c r="EJ1246" s="4"/>
      <c r="EK1246" s="4"/>
      <c r="EL1246" s="4"/>
      <c r="EM1246" s="4"/>
      <c r="EN1246" s="4"/>
      <c r="EO1246" s="4"/>
      <c r="EP1246" s="4"/>
      <c r="EQ1246" s="4"/>
      <c r="ER1246" s="4"/>
      <c r="ES1246" s="4"/>
      <c r="ET1246" s="4"/>
      <c r="EU1246" s="4"/>
      <c r="EV1246" s="4"/>
      <c r="EW1246" s="4"/>
      <c r="EX1246" s="4"/>
      <c r="EY1246" s="4"/>
      <c r="EZ1246" s="4"/>
      <c r="FA1246" s="4"/>
      <c r="FB1246" s="4"/>
      <c r="FC1246" s="4"/>
      <c r="FD1246" s="4"/>
      <c r="FE1246" s="4"/>
      <c r="FF1246" s="4"/>
      <c r="FG1246" s="4"/>
      <c r="FH1246" s="4"/>
      <c r="FI1246" s="4"/>
      <c r="FJ1246" s="4"/>
      <c r="FK1246" s="4"/>
      <c r="FL1246" s="4"/>
      <c r="FM1246" s="4"/>
      <c r="FN1246" s="4"/>
      <c r="FO1246" s="4"/>
      <c r="FP1246" s="4"/>
      <c r="FQ1246" s="4"/>
      <c r="FR1246" s="4"/>
      <c r="FS1246" s="4"/>
      <c r="FT1246" s="4"/>
      <c r="FU1246" s="4"/>
      <c r="FV1246" s="4"/>
      <c r="FW1246" s="4"/>
      <c r="FX1246" s="4"/>
      <c r="FY1246" s="4"/>
      <c r="FZ1246" s="4"/>
      <c r="GA1246" s="4"/>
      <c r="GB1246" s="4"/>
      <c r="GC1246" s="4"/>
      <c r="GD1246" s="4"/>
      <c r="GE1246" s="4"/>
      <c r="GF1246" s="4"/>
      <c r="GG1246" s="4"/>
      <c r="GH1246" s="4"/>
    </row>
    <row r="1247">
      <c r="A1247" s="2" t="s">
        <v>6891</v>
      </c>
      <c r="B1247" s="2" t="s">
        <v>932</v>
      </c>
      <c r="C1247" s="2" t="s">
        <v>877</v>
      </c>
      <c r="D1247" s="2" t="s">
        <v>918</v>
      </c>
      <c r="E1247" s="2" t="s">
        <v>919</v>
      </c>
      <c r="F1247" s="2" t="s">
        <v>6881</v>
      </c>
      <c r="G1247" s="2" t="s">
        <v>3973</v>
      </c>
      <c r="H1247" s="2" t="s">
        <v>6882</v>
      </c>
      <c r="I1247" s="2" t="s">
        <v>6889</v>
      </c>
      <c r="J1247" s="2" t="s">
        <v>1390</v>
      </c>
      <c r="K1247" s="2" t="s">
        <v>6446</v>
      </c>
      <c r="L1247" s="3">
        <v>23.8</v>
      </c>
      <c r="M1247" s="3">
        <v>24.99</v>
      </c>
      <c r="N1247" s="3">
        <v>49.99</v>
      </c>
      <c r="O1247" s="2" t="s">
        <v>460</v>
      </c>
      <c r="P1247" s="2" t="s">
        <v>285</v>
      </c>
      <c r="Q1247" s="2" t="s">
        <v>206</v>
      </c>
      <c r="R1247" s="2" t="s">
        <v>200</v>
      </c>
      <c r="S1247" s="2" t="s">
        <v>6892</v>
      </c>
      <c r="T1247" s="2" t="s">
        <v>1899</v>
      </c>
      <c r="U1247" s="2" t="s">
        <v>677</v>
      </c>
      <c r="V1247" s="2" t="s">
        <v>208</v>
      </c>
      <c r="W1247" s="2" t="s">
        <v>242</v>
      </c>
      <c r="X1247" s="2" t="s">
        <v>970</v>
      </c>
      <c r="Y1247" s="2" t="s">
        <v>6885</v>
      </c>
      <c r="Z1247" s="4">
        <v>123</v>
      </c>
      <c r="AA1247" s="4">
        <f>=ROUNDDOWN(1230,0)</f>
      </c>
      <c r="AB1247" s="5">
        <v>0.1</v>
      </c>
      <c r="AC1247" s="2" t="s">
        <v>200</v>
      </c>
      <c r="AD1247" s="4"/>
      <c r="AE1247" s="4"/>
      <c r="AF1247" s="6">
        <v>64</v>
      </c>
      <c r="AG1247" s="6"/>
      <c r="AH1247" s="7">
        <v>1</v>
      </c>
      <c r="AI1247" s="4"/>
      <c r="AJ1247" s="4">
        <f>=ROUNDDOWN({0},0)</f>
      </c>
      <c r="AK1247" s="5"/>
      <c r="AL1247" s="2" t="s">
        <v>200</v>
      </c>
      <c r="AM1247" s="4"/>
      <c r="AN1247" s="4"/>
      <c r="AO1247" s="7"/>
      <c r="AP1247" s="4"/>
      <c r="AQ1247" s="8"/>
      <c r="AR1247" s="4"/>
      <c r="AS1247" s="8"/>
      <c r="AT1247" s="7"/>
      <c r="AU1247" s="7"/>
      <c r="AV1247" s="4"/>
      <c r="AW1247" s="8"/>
      <c r="AX1247" s="4"/>
      <c r="AY1247" s="8"/>
      <c r="AZ1247" s="7"/>
      <c r="BA1247" s="7"/>
      <c r="BB1247" s="7"/>
      <c r="BC1247" s="4" t="s">
        <v>200</v>
      </c>
      <c r="BD1247" s="8" t="s">
        <v>200</v>
      </c>
      <c r="BE1247" s="4" t="s">
        <v>200</v>
      </c>
      <c r="BF1247" s="8" t="s">
        <v>200</v>
      </c>
      <c r="BG1247" s="7" t="s">
        <v>200</v>
      </c>
      <c r="BH1247" s="7" t="s">
        <v>200</v>
      </c>
      <c r="BI1247" s="7"/>
      <c r="BJ1247" s="4">
        <v>4</v>
      </c>
      <c r="BK1247" s="8">
        <v>107.96</v>
      </c>
      <c r="BL1247" s="2" t="s">
        <v>2436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6893</v>
      </c>
      <c r="BV1247" s="2" t="s">
        <v>200</v>
      </c>
      <c r="BW1247" s="2" t="s">
        <v>200</v>
      </c>
      <c r="BX1247" s="2" t="s">
        <v>289</v>
      </c>
      <c r="BY1247" s="2" t="s">
        <v>247</v>
      </c>
      <c r="BZ1247" s="2" t="s">
        <v>212</v>
      </c>
      <c r="CA1247" s="2" t="s">
        <v>6887</v>
      </c>
      <c r="CB1247" s="2" t="s">
        <v>1264</v>
      </c>
      <c r="CC1247" s="2" t="s">
        <v>213</v>
      </c>
      <c r="CD1247" s="2" t="s">
        <v>200</v>
      </c>
      <c r="CE1247" s="4">
        <v>123</v>
      </c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E1247" s="4"/>
      <c r="DF1247" s="4"/>
      <c r="DG1247" s="4"/>
      <c r="DH1247" s="4"/>
      <c r="DI1247" s="4"/>
      <c r="DJ1247" s="4"/>
      <c r="DK1247" s="4"/>
      <c r="DL1247" s="4"/>
      <c r="DM1247" s="4"/>
      <c r="DN1247" s="4"/>
      <c r="DO1247" s="4"/>
      <c r="DP1247" s="4"/>
      <c r="DQ1247" s="4"/>
      <c r="DR1247" s="4"/>
      <c r="DS1247" s="4"/>
      <c r="DT1247" s="4"/>
      <c r="DU1247" s="4"/>
      <c r="DV1247" s="4"/>
      <c r="DW1247" s="4"/>
      <c r="DX1247" s="4"/>
      <c r="DY1247" s="4"/>
      <c r="DZ1247" s="4"/>
      <c r="EA1247" s="4"/>
      <c r="EB1247" s="4"/>
      <c r="EC1247" s="4"/>
      <c r="ED1247" s="4"/>
      <c r="EE1247" s="4"/>
      <c r="EF1247" s="4"/>
      <c r="EG1247" s="4"/>
      <c r="EH1247" s="4"/>
      <c r="EI1247" s="4"/>
      <c r="EJ1247" s="4"/>
      <c r="EK1247" s="4"/>
      <c r="EL1247" s="4"/>
      <c r="EM1247" s="4"/>
      <c r="EN1247" s="4"/>
      <c r="EO1247" s="4"/>
      <c r="EP1247" s="4"/>
      <c r="EQ1247" s="4"/>
      <c r="ER1247" s="4"/>
      <c r="ES1247" s="4"/>
      <c r="ET1247" s="4"/>
      <c r="EU1247" s="4"/>
      <c r="EV1247" s="4"/>
      <c r="EW1247" s="4"/>
      <c r="EX1247" s="4"/>
      <c r="EY1247" s="4"/>
      <c r="EZ1247" s="4"/>
      <c r="FA1247" s="4"/>
      <c r="FB1247" s="4"/>
      <c r="FC1247" s="4"/>
      <c r="FD1247" s="4"/>
      <c r="FE1247" s="4"/>
      <c r="FF1247" s="4"/>
      <c r="FG1247" s="4"/>
      <c r="FH1247" s="4"/>
      <c r="FI1247" s="4"/>
      <c r="FJ1247" s="4"/>
      <c r="FK1247" s="4"/>
      <c r="FL1247" s="4"/>
      <c r="FM1247" s="4"/>
      <c r="FN1247" s="4"/>
      <c r="FO1247" s="4"/>
      <c r="FP1247" s="4"/>
      <c r="FQ1247" s="4"/>
      <c r="FR1247" s="4"/>
      <c r="FS1247" s="4"/>
      <c r="FT1247" s="4"/>
      <c r="FU1247" s="4"/>
      <c r="FV1247" s="4"/>
      <c r="FW1247" s="4"/>
      <c r="FX1247" s="4"/>
      <c r="FY1247" s="4"/>
      <c r="FZ1247" s="4"/>
      <c r="GA1247" s="4"/>
      <c r="GB1247" s="4"/>
      <c r="GC1247" s="4"/>
      <c r="GD1247" s="4"/>
      <c r="GE1247" s="4"/>
      <c r="GF1247" s="4"/>
      <c r="GG1247" s="4"/>
      <c r="GH1247" s="4"/>
    </row>
    <row r="1248">
      <c r="A1248" s="2" t="s">
        <v>6894</v>
      </c>
      <c r="B1248" s="2" t="s">
        <v>719</v>
      </c>
      <c r="C1248" s="2" t="s">
        <v>730</v>
      </c>
      <c r="D1248" s="2" t="s">
        <v>1535</v>
      </c>
      <c r="E1248" s="2" t="s">
        <v>1536</v>
      </c>
      <c r="F1248" s="2" t="s">
        <v>6881</v>
      </c>
      <c r="G1248" s="2" t="s">
        <v>6881</v>
      </c>
      <c r="H1248" s="2" t="s">
        <v>6881</v>
      </c>
      <c r="I1248" s="2" t="s">
        <v>6895</v>
      </c>
      <c r="J1248" s="2" t="s">
        <v>711</v>
      </c>
      <c r="K1248" s="2" t="s">
        <v>203</v>
      </c>
      <c r="L1248" s="3">
        <v>95.23</v>
      </c>
      <c r="M1248" s="3">
        <v>99.99</v>
      </c>
      <c r="N1248" s="3">
        <v>199.99</v>
      </c>
      <c r="O1248" s="2" t="s">
        <v>212</v>
      </c>
      <c r="P1248" s="2" t="s">
        <v>205</v>
      </c>
      <c r="Q1248" s="2" t="s">
        <v>206</v>
      </c>
      <c r="R1248" s="2" t="s">
        <v>200</v>
      </c>
      <c r="S1248" s="2" t="s">
        <v>200</v>
      </c>
      <c r="T1248" s="2" t="s">
        <v>200</v>
      </c>
      <c r="U1248" s="2" t="s">
        <v>270</v>
      </c>
      <c r="V1248" s="2" t="s">
        <v>616</v>
      </c>
      <c r="W1248" s="2" t="s">
        <v>313</v>
      </c>
      <c r="X1248" s="2" t="s">
        <v>4808</v>
      </c>
      <c r="Y1248" s="2" t="s">
        <v>5314</v>
      </c>
      <c r="Z1248" s="4">
        <v>88</v>
      </c>
      <c r="AA1248" s="4">
        <f>=ROUNDDOWN(125.714285714286,0)</f>
      </c>
      <c r="AB1248" s="5">
        <v>0.7</v>
      </c>
      <c r="AC1248" s="2" t="s">
        <v>200</v>
      </c>
      <c r="AD1248" s="4"/>
      <c r="AE1248" s="4"/>
      <c r="AF1248" s="6">
        <v>63</v>
      </c>
      <c r="AG1248" s="6"/>
      <c r="AH1248" s="7">
        <v>1</v>
      </c>
      <c r="AI1248" s="4"/>
      <c r="AJ1248" s="4">
        <f>=ROUNDDOWN({0},0)</f>
      </c>
      <c r="AK1248" s="5"/>
      <c r="AL1248" s="2" t="s">
        <v>200</v>
      </c>
      <c r="AM1248" s="4"/>
      <c r="AN1248" s="4"/>
      <c r="AO1248" s="7"/>
      <c r="AP1248" s="4"/>
      <c r="AQ1248" s="8"/>
      <c r="AR1248" s="4"/>
      <c r="AS1248" s="8"/>
      <c r="AT1248" s="7"/>
      <c r="AU1248" s="7"/>
      <c r="AV1248" s="4"/>
      <c r="AW1248" s="8"/>
      <c r="AX1248" s="4"/>
      <c r="AY1248" s="8"/>
      <c r="AZ1248" s="7"/>
      <c r="BA1248" s="7"/>
      <c r="BB1248" s="7"/>
      <c r="BC1248" s="4" t="s">
        <v>200</v>
      </c>
      <c r="BD1248" s="8" t="s">
        <v>200</v>
      </c>
      <c r="BE1248" s="4" t="s">
        <v>200</v>
      </c>
      <c r="BF1248" s="8" t="s">
        <v>200</v>
      </c>
      <c r="BG1248" s="7" t="s">
        <v>200</v>
      </c>
      <c r="BH1248" s="7" t="s">
        <v>200</v>
      </c>
      <c r="BI1248" s="7"/>
      <c r="BJ1248" s="4">
        <v>2</v>
      </c>
      <c r="BK1248" s="8">
        <v>216.98</v>
      </c>
      <c r="BL1248" s="2" t="s">
        <v>6896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6897</v>
      </c>
      <c r="BV1248" s="2" t="s">
        <v>200</v>
      </c>
      <c r="BW1248" s="2" t="s">
        <v>200</v>
      </c>
      <c r="BX1248" s="2" t="s">
        <v>264</v>
      </c>
      <c r="BY1248" s="2" t="s">
        <v>247</v>
      </c>
      <c r="BZ1248" s="2" t="s">
        <v>212</v>
      </c>
      <c r="CA1248" s="2" t="s">
        <v>6195</v>
      </c>
      <c r="CB1248" s="2" t="s">
        <v>200</v>
      </c>
      <c r="CC1248" s="2" t="s">
        <v>213</v>
      </c>
      <c r="CD1248" s="2" t="s">
        <v>200</v>
      </c>
      <c r="CE1248" s="4"/>
      <c r="CF1248" s="4">
        <v>88</v>
      </c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E1248" s="4"/>
      <c r="DF1248" s="4"/>
      <c r="DG1248" s="4"/>
      <c r="DH1248" s="4"/>
      <c r="DI1248" s="4"/>
      <c r="DJ1248" s="4"/>
      <c r="DK1248" s="4"/>
      <c r="DL1248" s="4"/>
      <c r="DM1248" s="4"/>
      <c r="DN1248" s="4"/>
      <c r="DO1248" s="4"/>
      <c r="DP1248" s="4"/>
      <c r="DQ1248" s="4"/>
      <c r="DR1248" s="4"/>
      <c r="DS1248" s="4"/>
      <c r="DT1248" s="4"/>
      <c r="DU1248" s="4"/>
      <c r="DV1248" s="4"/>
      <c r="DW1248" s="4"/>
      <c r="DX1248" s="4"/>
      <c r="DY1248" s="4"/>
      <c r="DZ1248" s="4"/>
      <c r="EA1248" s="4"/>
      <c r="EB1248" s="4"/>
      <c r="EC1248" s="4"/>
      <c r="ED1248" s="4"/>
      <c r="EE1248" s="4"/>
      <c r="EF1248" s="4"/>
      <c r="EG1248" s="4"/>
      <c r="EH1248" s="4"/>
      <c r="EI1248" s="4"/>
      <c r="EJ1248" s="4"/>
      <c r="EK1248" s="4"/>
      <c r="EL1248" s="4"/>
      <c r="EM1248" s="4"/>
      <c r="EN1248" s="4"/>
      <c r="EO1248" s="4"/>
      <c r="EP1248" s="4"/>
      <c r="EQ1248" s="4"/>
      <c r="ER1248" s="4"/>
      <c r="ES1248" s="4"/>
      <c r="ET1248" s="4"/>
      <c r="EU1248" s="4"/>
      <c r="EV1248" s="4"/>
      <c r="EW1248" s="4"/>
      <c r="EX1248" s="4"/>
      <c r="EY1248" s="4"/>
      <c r="EZ1248" s="4"/>
      <c r="FA1248" s="4"/>
      <c r="FB1248" s="4"/>
      <c r="FC1248" s="4"/>
      <c r="FD1248" s="4"/>
      <c r="FE1248" s="4"/>
      <c r="FF1248" s="4"/>
      <c r="FG1248" s="4"/>
      <c r="FH1248" s="4"/>
      <c r="FI1248" s="4"/>
      <c r="FJ1248" s="4"/>
      <c r="FK1248" s="4"/>
      <c r="FL1248" s="4"/>
      <c r="FM1248" s="4"/>
      <c r="FN1248" s="4"/>
      <c r="FO1248" s="4"/>
      <c r="FP1248" s="4"/>
      <c r="FQ1248" s="4"/>
      <c r="FR1248" s="4"/>
      <c r="FS1248" s="4"/>
      <c r="FT1248" s="4"/>
      <c r="FU1248" s="4"/>
      <c r="FV1248" s="4"/>
      <c r="FW1248" s="4"/>
      <c r="FX1248" s="4"/>
      <c r="FY1248" s="4"/>
      <c r="FZ1248" s="4"/>
      <c r="GA1248" s="4"/>
      <c r="GB1248" s="4"/>
      <c r="GC1248" s="4"/>
      <c r="GD1248" s="4"/>
      <c r="GE1248" s="4"/>
      <c r="GF1248" s="4"/>
      <c r="GG1248" s="4"/>
      <c r="GH1248" s="4"/>
    </row>
    <row r="1249">
      <c r="A1249" s="2" t="s">
        <v>6898</v>
      </c>
      <c r="B1249" s="2" t="s">
        <v>719</v>
      </c>
      <c r="C1249" s="2" t="s">
        <v>730</v>
      </c>
      <c r="D1249" s="2" t="s">
        <v>1535</v>
      </c>
      <c r="E1249" s="2" t="s">
        <v>1536</v>
      </c>
      <c r="F1249" s="2" t="s">
        <v>6881</v>
      </c>
      <c r="G1249" s="2" t="s">
        <v>6881</v>
      </c>
      <c r="H1249" s="2" t="s">
        <v>6881</v>
      </c>
      <c r="I1249" s="2" t="s">
        <v>6895</v>
      </c>
      <c r="J1249" s="2" t="s">
        <v>711</v>
      </c>
      <c r="K1249" s="2" t="s">
        <v>1135</v>
      </c>
      <c r="L1249" s="3">
        <v>95.23</v>
      </c>
      <c r="M1249" s="3">
        <v>99.99</v>
      </c>
      <c r="N1249" s="3">
        <v>199.99</v>
      </c>
      <c r="O1249" s="2" t="s">
        <v>212</v>
      </c>
      <c r="P1249" s="2" t="s">
        <v>205</v>
      </c>
      <c r="Q1249" s="2" t="s">
        <v>206</v>
      </c>
      <c r="R1249" s="2" t="s">
        <v>200</v>
      </c>
      <c r="S1249" s="2" t="s">
        <v>200</v>
      </c>
      <c r="T1249" s="2" t="s">
        <v>200</v>
      </c>
      <c r="U1249" s="2" t="s">
        <v>270</v>
      </c>
      <c r="V1249" s="2" t="s">
        <v>616</v>
      </c>
      <c r="W1249" s="2" t="s">
        <v>313</v>
      </c>
      <c r="X1249" s="2" t="s">
        <v>4808</v>
      </c>
      <c r="Y1249" s="2" t="s">
        <v>5314</v>
      </c>
      <c r="Z1249" s="4">
        <v>77</v>
      </c>
      <c r="AA1249" s="4">
        <f>=ROUNDDOWN(85.5555555555555,0)</f>
      </c>
      <c r="AB1249" s="5">
        <v>0.9</v>
      </c>
      <c r="AC1249" s="2" t="s">
        <v>200</v>
      </c>
      <c r="AD1249" s="4"/>
      <c r="AE1249" s="4"/>
      <c r="AF1249" s="6">
        <v>63</v>
      </c>
      <c r="AG1249" s="6"/>
      <c r="AH1249" s="7">
        <v>1</v>
      </c>
      <c r="AI1249" s="4"/>
      <c r="AJ1249" s="4">
        <f>=ROUNDDOWN({0},0)</f>
      </c>
      <c r="AK1249" s="5"/>
      <c r="AL1249" s="2" t="s">
        <v>200</v>
      </c>
      <c r="AM1249" s="4"/>
      <c r="AN1249" s="4"/>
      <c r="AO1249" s="7"/>
      <c r="AP1249" s="4"/>
      <c r="AQ1249" s="8"/>
      <c r="AR1249" s="4"/>
      <c r="AS1249" s="8"/>
      <c r="AT1249" s="7"/>
      <c r="AU1249" s="7"/>
      <c r="AV1249" s="4"/>
      <c r="AW1249" s="8"/>
      <c r="AX1249" s="4"/>
      <c r="AY1249" s="8"/>
      <c r="AZ1249" s="7"/>
      <c r="BA1249" s="7"/>
      <c r="BB1249" s="7"/>
      <c r="BC1249" s="4" t="s">
        <v>200</v>
      </c>
      <c r="BD1249" s="8" t="s">
        <v>200</v>
      </c>
      <c r="BE1249" s="4" t="s">
        <v>200</v>
      </c>
      <c r="BF1249" s="8" t="s">
        <v>200</v>
      </c>
      <c r="BG1249" s="7" t="s">
        <v>200</v>
      </c>
      <c r="BH1249" s="7" t="s">
        <v>200</v>
      </c>
      <c r="BI1249" s="7"/>
      <c r="BJ1249" s="4">
        <v>1</v>
      </c>
      <c r="BK1249" s="8">
        <v>104.99</v>
      </c>
      <c r="BL1249" s="2" t="s">
        <v>3665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6899</v>
      </c>
      <c r="BV1249" s="2" t="s">
        <v>200</v>
      </c>
      <c r="BW1249" s="2" t="s">
        <v>200</v>
      </c>
      <c r="BX1249" s="2" t="s">
        <v>264</v>
      </c>
      <c r="BY1249" s="2" t="s">
        <v>247</v>
      </c>
      <c r="BZ1249" s="2" t="s">
        <v>212</v>
      </c>
      <c r="CA1249" s="2" t="s">
        <v>6195</v>
      </c>
      <c r="CB1249" s="2" t="s">
        <v>200</v>
      </c>
      <c r="CC1249" s="2" t="s">
        <v>213</v>
      </c>
      <c r="CD1249" s="2" t="s">
        <v>200</v>
      </c>
      <c r="CE1249" s="4"/>
      <c r="CF1249" s="4">
        <v>77</v>
      </c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E1249" s="4"/>
      <c r="DF1249" s="4"/>
      <c r="DG1249" s="4"/>
      <c r="DH1249" s="4"/>
      <c r="DI1249" s="4"/>
      <c r="DJ1249" s="4"/>
      <c r="DK1249" s="4"/>
      <c r="DL1249" s="4"/>
      <c r="DM1249" s="4"/>
      <c r="DN1249" s="4"/>
      <c r="DO1249" s="4"/>
      <c r="DP1249" s="4"/>
      <c r="DQ1249" s="4"/>
      <c r="DR1249" s="4"/>
      <c r="DS1249" s="4"/>
      <c r="DT1249" s="4"/>
      <c r="DU1249" s="4"/>
      <c r="DV1249" s="4"/>
      <c r="DW1249" s="4"/>
      <c r="DX1249" s="4"/>
      <c r="DY1249" s="4"/>
      <c r="DZ1249" s="4"/>
      <c r="EA1249" s="4"/>
      <c r="EB1249" s="4"/>
      <c r="EC1249" s="4"/>
      <c r="ED1249" s="4"/>
      <c r="EE1249" s="4"/>
      <c r="EF1249" s="4"/>
      <c r="EG1249" s="4"/>
      <c r="EH1249" s="4"/>
      <c r="EI1249" s="4"/>
      <c r="EJ1249" s="4"/>
      <c r="EK1249" s="4"/>
      <c r="EL1249" s="4"/>
      <c r="EM1249" s="4"/>
      <c r="EN1249" s="4"/>
      <c r="EO1249" s="4"/>
      <c r="EP1249" s="4"/>
      <c r="EQ1249" s="4"/>
      <c r="ER1249" s="4"/>
      <c r="ES1249" s="4"/>
      <c r="ET1249" s="4"/>
      <c r="EU1249" s="4"/>
      <c r="EV1249" s="4"/>
      <c r="EW1249" s="4"/>
      <c r="EX1249" s="4"/>
      <c r="EY1249" s="4"/>
      <c r="EZ1249" s="4"/>
      <c r="FA1249" s="4"/>
      <c r="FB1249" s="4"/>
      <c r="FC1249" s="4"/>
      <c r="FD1249" s="4"/>
      <c r="FE1249" s="4"/>
      <c r="FF1249" s="4"/>
      <c r="FG1249" s="4"/>
      <c r="FH1249" s="4"/>
      <c r="FI1249" s="4"/>
      <c r="FJ1249" s="4"/>
      <c r="FK1249" s="4"/>
      <c r="FL1249" s="4"/>
      <c r="FM1249" s="4"/>
      <c r="FN1249" s="4"/>
      <c r="FO1249" s="4"/>
      <c r="FP1249" s="4"/>
      <c r="FQ1249" s="4"/>
      <c r="FR1249" s="4"/>
      <c r="FS1249" s="4"/>
      <c r="FT1249" s="4"/>
      <c r="FU1249" s="4"/>
      <c r="FV1249" s="4"/>
      <c r="FW1249" s="4"/>
      <c r="FX1249" s="4"/>
      <c r="FY1249" s="4"/>
      <c r="FZ1249" s="4"/>
      <c r="GA1249" s="4"/>
      <c r="GB1249" s="4"/>
      <c r="GC1249" s="4"/>
      <c r="GD1249" s="4"/>
      <c r="GE1249" s="4"/>
      <c r="GF1249" s="4"/>
      <c r="GG1249" s="4"/>
      <c r="GH1249" s="4"/>
    </row>
    <row r="1250">
      <c r="A1250" s="2" t="s">
        <v>6900</v>
      </c>
      <c r="B1250" s="2" t="s">
        <v>705</v>
      </c>
      <c r="C1250" s="2" t="s">
        <v>706</v>
      </c>
      <c r="D1250" s="2" t="s">
        <v>707</v>
      </c>
      <c r="E1250" s="2" t="s">
        <v>708</v>
      </c>
      <c r="F1250" s="2" t="s">
        <v>6901</v>
      </c>
      <c r="G1250" s="2" t="s">
        <v>6901</v>
      </c>
      <c r="H1250" s="2" t="s">
        <v>6901</v>
      </c>
      <c r="I1250" s="2" t="s">
        <v>6902</v>
      </c>
      <c r="J1250" s="2" t="s">
        <v>711</v>
      </c>
      <c r="K1250" s="2" t="s">
        <v>237</v>
      </c>
      <c r="L1250" s="3">
        <v>48.06</v>
      </c>
      <c r="M1250" s="3">
        <v>50.46</v>
      </c>
      <c r="N1250" s="3">
        <v>104.99</v>
      </c>
      <c r="O1250" s="2" t="s">
        <v>460</v>
      </c>
      <c r="P1250" s="2" t="s">
        <v>285</v>
      </c>
      <c r="Q1250" s="2" t="s">
        <v>206</v>
      </c>
      <c r="R1250" s="2" t="s">
        <v>200</v>
      </c>
      <c r="S1250" s="2" t="s">
        <v>200</v>
      </c>
      <c r="T1250" s="2" t="s">
        <v>200</v>
      </c>
      <c r="U1250" s="2" t="s">
        <v>270</v>
      </c>
      <c r="V1250" s="2" t="s">
        <v>616</v>
      </c>
      <c r="W1250" s="2" t="s">
        <v>1399</v>
      </c>
      <c r="X1250" s="2" t="s">
        <v>736</v>
      </c>
      <c r="Y1250" s="2" t="s">
        <v>1215</v>
      </c>
      <c r="Z1250" s="4">
        <v>31</v>
      </c>
      <c r="AA1250" s="4">
        <f>=ROUNDDOWN(31,0)</f>
      </c>
      <c r="AB1250" s="5">
        <v>1</v>
      </c>
      <c r="AC1250" s="2" t="s">
        <v>200</v>
      </c>
      <c r="AD1250" s="4"/>
      <c r="AE1250" s="4"/>
      <c r="AF1250" s="6">
        <v>63</v>
      </c>
      <c r="AG1250" s="6"/>
      <c r="AH1250" s="7">
        <v>1</v>
      </c>
      <c r="AI1250" s="4"/>
      <c r="AJ1250" s="4">
        <f>=ROUNDDOWN({0},0)</f>
      </c>
      <c r="AK1250" s="5"/>
      <c r="AL1250" s="2" t="s">
        <v>200</v>
      </c>
      <c r="AM1250" s="4"/>
      <c r="AN1250" s="4"/>
      <c r="AO1250" s="7"/>
      <c r="AP1250" s="4"/>
      <c r="AQ1250" s="8"/>
      <c r="AR1250" s="4"/>
      <c r="AS1250" s="8"/>
      <c r="AT1250" s="7"/>
      <c r="AU1250" s="7"/>
      <c r="AV1250" s="4"/>
      <c r="AW1250" s="8"/>
      <c r="AX1250" s="4"/>
      <c r="AY1250" s="8"/>
      <c r="AZ1250" s="7"/>
      <c r="BA1250" s="7"/>
      <c r="BB1250" s="7"/>
      <c r="BC1250" s="4"/>
      <c r="BD1250" s="8"/>
      <c r="BE1250" s="4"/>
      <c r="BF1250" s="8"/>
      <c r="BG1250" s="7"/>
      <c r="BH1250" s="7"/>
      <c r="BI1250" s="7"/>
      <c r="BJ1250" s="4">
        <v>6</v>
      </c>
      <c r="BK1250" s="8">
        <v>297.24</v>
      </c>
      <c r="BL1250" s="2" t="s">
        <v>791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6903</v>
      </c>
      <c r="BV1250" s="2" t="s">
        <v>200</v>
      </c>
      <c r="BW1250" s="2" t="s">
        <v>200</v>
      </c>
      <c r="BX1250" s="2" t="s">
        <v>289</v>
      </c>
      <c r="BY1250" s="2" t="s">
        <v>247</v>
      </c>
      <c r="BZ1250" s="2" t="s">
        <v>212</v>
      </c>
      <c r="CA1250" s="2" t="s">
        <v>3242</v>
      </c>
      <c r="CB1250" s="2" t="s">
        <v>6904</v>
      </c>
      <c r="CC1250" s="2" t="s">
        <v>213</v>
      </c>
      <c r="CD1250" s="2" t="s">
        <v>200</v>
      </c>
      <c r="CE1250" s="4"/>
      <c r="CF1250" s="4">
        <v>31</v>
      </c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E1250" s="4"/>
      <c r="DF1250" s="4"/>
      <c r="DG1250" s="4"/>
      <c r="DH1250" s="4"/>
      <c r="DI1250" s="4"/>
      <c r="DJ1250" s="4"/>
      <c r="DK1250" s="4"/>
      <c r="DL1250" s="4"/>
      <c r="DM1250" s="4"/>
      <c r="DN1250" s="4"/>
      <c r="DO1250" s="4"/>
      <c r="DP1250" s="4"/>
      <c r="DQ1250" s="4"/>
      <c r="DR1250" s="4"/>
      <c r="DS1250" s="4"/>
      <c r="DT1250" s="4"/>
      <c r="DU1250" s="4"/>
      <c r="DV1250" s="4"/>
      <c r="DW1250" s="4"/>
      <c r="DX1250" s="4"/>
      <c r="DY1250" s="4"/>
      <c r="DZ1250" s="4"/>
      <c r="EA1250" s="4"/>
      <c r="EB1250" s="4"/>
      <c r="EC1250" s="4"/>
      <c r="ED1250" s="4"/>
      <c r="EE1250" s="4"/>
      <c r="EF1250" s="4"/>
      <c r="EG1250" s="4"/>
      <c r="EH1250" s="4"/>
      <c r="EI1250" s="4"/>
      <c r="EJ1250" s="4"/>
      <c r="EK1250" s="4"/>
      <c r="EL1250" s="4"/>
      <c r="EM1250" s="4"/>
      <c r="EN1250" s="4"/>
      <c r="EO1250" s="4"/>
      <c r="EP1250" s="4"/>
      <c r="EQ1250" s="4"/>
      <c r="ER1250" s="4"/>
      <c r="ES1250" s="4"/>
      <c r="ET1250" s="4"/>
      <c r="EU1250" s="4"/>
      <c r="EV1250" s="4"/>
      <c r="EW1250" s="4"/>
      <c r="EX1250" s="4"/>
      <c r="EY1250" s="4"/>
      <c r="EZ1250" s="4"/>
      <c r="FA1250" s="4"/>
      <c r="FB1250" s="4"/>
      <c r="FC1250" s="4"/>
      <c r="FD1250" s="4"/>
      <c r="FE1250" s="4"/>
      <c r="FF1250" s="4"/>
      <c r="FG1250" s="4"/>
      <c r="FH1250" s="4"/>
      <c r="FI1250" s="4"/>
      <c r="FJ1250" s="4"/>
      <c r="FK1250" s="4"/>
      <c r="FL1250" s="4"/>
      <c r="FM1250" s="4"/>
      <c r="FN1250" s="4"/>
      <c r="FO1250" s="4"/>
      <c r="FP1250" s="4"/>
      <c r="FQ1250" s="4"/>
      <c r="FR1250" s="4"/>
      <c r="FS1250" s="4"/>
      <c r="FT1250" s="4"/>
      <c r="FU1250" s="4"/>
      <c r="FV1250" s="4"/>
      <c r="FW1250" s="4"/>
      <c r="FX1250" s="4"/>
      <c r="FY1250" s="4"/>
      <c r="FZ1250" s="4"/>
      <c r="GA1250" s="4"/>
      <c r="GB1250" s="4"/>
      <c r="GC1250" s="4"/>
      <c r="GD1250" s="4"/>
      <c r="GE1250" s="4"/>
      <c r="GF1250" s="4"/>
      <c r="GG1250" s="4"/>
      <c r="GH1250" s="4"/>
    </row>
    <row r="1251">
      <c r="A1251" s="2" t="s">
        <v>6905</v>
      </c>
      <c r="B1251" s="2" t="s">
        <v>903</v>
      </c>
      <c r="C1251" s="2" t="s">
        <v>231</v>
      </c>
      <c r="D1251" s="2" t="s">
        <v>918</v>
      </c>
      <c r="E1251" s="2" t="s">
        <v>919</v>
      </c>
      <c r="F1251" s="2" t="s">
        <v>6906</v>
      </c>
      <c r="G1251" s="2" t="s">
        <v>6907</v>
      </c>
      <c r="H1251" s="2" t="s">
        <v>1397</v>
      </c>
      <c r="I1251" s="2" t="s">
        <v>6908</v>
      </c>
      <c r="J1251" s="2" t="s">
        <v>612</v>
      </c>
      <c r="K1251" s="2" t="s">
        <v>2485</v>
      </c>
      <c r="L1251" s="3">
        <v>27.42</v>
      </c>
      <c r="M1251" s="3">
        <v>28.79</v>
      </c>
      <c r="N1251" s="3">
        <v>59.99</v>
      </c>
      <c r="O1251" s="2" t="s">
        <v>212</v>
      </c>
      <c r="P1251" s="2" t="s">
        <v>205</v>
      </c>
      <c r="Q1251" s="2" t="s">
        <v>206</v>
      </c>
      <c r="R1251" s="2" t="s">
        <v>200</v>
      </c>
      <c r="S1251" s="2" t="s">
        <v>6909</v>
      </c>
      <c r="T1251" s="2" t="s">
        <v>3640</v>
      </c>
      <c r="U1251" s="2" t="s">
        <v>454</v>
      </c>
      <c r="V1251" s="2" t="s">
        <v>940</v>
      </c>
      <c r="W1251" s="2" t="s">
        <v>910</v>
      </c>
      <c r="X1251" s="2" t="s">
        <v>379</v>
      </c>
      <c r="Y1251" s="2" t="s">
        <v>4956</v>
      </c>
      <c r="Z1251" s="4">
        <v>113</v>
      </c>
      <c r="AA1251" s="4">
        <f>=ROUNDDOWN(37.6666666666667,0)</f>
      </c>
      <c r="AB1251" s="5">
        <v>3</v>
      </c>
      <c r="AC1251" s="2" t="s">
        <v>200</v>
      </c>
      <c r="AD1251" s="4"/>
      <c r="AE1251" s="4"/>
      <c r="AF1251" s="6">
        <v>65</v>
      </c>
      <c r="AG1251" s="6"/>
      <c r="AH1251" s="7">
        <v>1</v>
      </c>
      <c r="AI1251" s="4"/>
      <c r="AJ1251" s="4">
        <f>=ROUNDDOWN({0},0)</f>
      </c>
      <c r="AK1251" s="5"/>
      <c r="AL1251" s="2" t="s">
        <v>200</v>
      </c>
      <c r="AM1251" s="4"/>
      <c r="AN1251" s="4"/>
      <c r="AO1251" s="7"/>
      <c r="AP1251" s="4"/>
      <c r="AQ1251" s="8"/>
      <c r="AR1251" s="4"/>
      <c r="AS1251" s="8"/>
      <c r="AT1251" s="7"/>
      <c r="AU1251" s="7"/>
      <c r="AV1251" s="4" t="s">
        <v>200</v>
      </c>
      <c r="AW1251" s="8" t="s">
        <v>200</v>
      </c>
      <c r="AX1251" s="4" t="s">
        <v>200</v>
      </c>
      <c r="AY1251" s="8" t="s">
        <v>200</v>
      </c>
      <c r="AZ1251" s="7" t="s">
        <v>200</v>
      </c>
      <c r="BA1251" s="7" t="s">
        <v>200</v>
      </c>
      <c r="BB1251" s="7"/>
      <c r="BC1251" s="4" t="s">
        <v>200</v>
      </c>
      <c r="BD1251" s="8" t="s">
        <v>200</v>
      </c>
      <c r="BE1251" s="4" t="s">
        <v>200</v>
      </c>
      <c r="BF1251" s="8" t="s">
        <v>200</v>
      </c>
      <c r="BG1251" s="7" t="s">
        <v>200</v>
      </c>
      <c r="BH1251" s="7" t="s">
        <v>200</v>
      </c>
      <c r="BI1251" s="7"/>
      <c r="BJ1251" s="4">
        <v>14</v>
      </c>
      <c r="BK1251" s="8">
        <v>461.34</v>
      </c>
      <c r="BL1251" s="2" t="s">
        <v>6910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6911</v>
      </c>
      <c r="BV1251" s="2" t="s">
        <v>200</v>
      </c>
      <c r="BW1251" s="2" t="s">
        <v>200</v>
      </c>
      <c r="BX1251" s="2" t="s">
        <v>264</v>
      </c>
      <c r="BY1251" s="2" t="s">
        <v>247</v>
      </c>
      <c r="BZ1251" s="2" t="s">
        <v>212</v>
      </c>
      <c r="CA1251" s="2" t="s">
        <v>4811</v>
      </c>
      <c r="CB1251" s="2" t="s">
        <v>1368</v>
      </c>
      <c r="CC1251" s="2" t="s">
        <v>213</v>
      </c>
      <c r="CD1251" s="2" t="s">
        <v>200</v>
      </c>
      <c r="CE1251" s="4">
        <v>113</v>
      </c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E1251" s="4"/>
      <c r="DF1251" s="4"/>
      <c r="DG1251" s="4"/>
      <c r="DH1251" s="4"/>
      <c r="DI1251" s="4"/>
      <c r="DJ1251" s="4"/>
      <c r="DK1251" s="4"/>
      <c r="DL1251" s="4"/>
      <c r="DM1251" s="4"/>
      <c r="DN1251" s="4"/>
      <c r="DO1251" s="4"/>
      <c r="DP1251" s="4"/>
      <c r="DQ1251" s="4"/>
      <c r="DR1251" s="4"/>
      <c r="DS1251" s="4"/>
      <c r="DT1251" s="4"/>
      <c r="DU1251" s="4"/>
      <c r="DV1251" s="4"/>
      <c r="DW1251" s="4"/>
      <c r="DX1251" s="4"/>
      <c r="DY1251" s="4"/>
      <c r="DZ1251" s="4"/>
      <c r="EA1251" s="4"/>
      <c r="EB1251" s="4"/>
      <c r="EC1251" s="4"/>
      <c r="ED1251" s="4"/>
      <c r="EE1251" s="4"/>
      <c r="EF1251" s="4"/>
      <c r="EG1251" s="4"/>
      <c r="EH1251" s="4"/>
      <c r="EI1251" s="4"/>
      <c r="EJ1251" s="4"/>
      <c r="EK1251" s="4"/>
      <c r="EL1251" s="4"/>
      <c r="EM1251" s="4"/>
      <c r="EN1251" s="4"/>
      <c r="EO1251" s="4"/>
      <c r="EP1251" s="4"/>
      <c r="EQ1251" s="4"/>
      <c r="ER1251" s="4"/>
      <c r="ES1251" s="4"/>
      <c r="ET1251" s="4"/>
      <c r="EU1251" s="4"/>
      <c r="EV1251" s="4"/>
      <c r="EW1251" s="4"/>
      <c r="EX1251" s="4"/>
      <c r="EY1251" s="4"/>
      <c r="EZ1251" s="4"/>
      <c r="FA1251" s="4"/>
      <c r="FB1251" s="4"/>
      <c r="FC1251" s="4"/>
      <c r="FD1251" s="4"/>
      <c r="FE1251" s="4"/>
      <c r="FF1251" s="4"/>
      <c r="FG1251" s="4"/>
      <c r="FH1251" s="4"/>
      <c r="FI1251" s="4"/>
      <c r="FJ1251" s="4"/>
      <c r="FK1251" s="4"/>
      <c r="FL1251" s="4"/>
      <c r="FM1251" s="4"/>
      <c r="FN1251" s="4"/>
      <c r="FO1251" s="4"/>
      <c r="FP1251" s="4"/>
      <c r="FQ1251" s="4"/>
      <c r="FR1251" s="4"/>
      <c r="FS1251" s="4"/>
      <c r="FT1251" s="4"/>
      <c r="FU1251" s="4"/>
      <c r="FV1251" s="4"/>
      <c r="FW1251" s="4"/>
      <c r="FX1251" s="4"/>
      <c r="FY1251" s="4"/>
      <c r="FZ1251" s="4"/>
      <c r="GA1251" s="4"/>
      <c r="GB1251" s="4"/>
      <c r="GC1251" s="4"/>
      <c r="GD1251" s="4"/>
      <c r="GE1251" s="4"/>
      <c r="GF1251" s="4"/>
      <c r="GG1251" s="4"/>
      <c r="GH1251" s="4"/>
    </row>
    <row r="1252">
      <c r="A1252" s="2" t="s">
        <v>6912</v>
      </c>
      <c r="B1252" s="2" t="s">
        <v>903</v>
      </c>
      <c r="C1252" s="2" t="s">
        <v>231</v>
      </c>
      <c r="D1252" s="2" t="s">
        <v>608</v>
      </c>
      <c r="E1252" s="2" t="s">
        <v>1324</v>
      </c>
      <c r="F1252" s="2" t="s">
        <v>6906</v>
      </c>
      <c r="G1252" s="2" t="s">
        <v>6907</v>
      </c>
      <c r="H1252" s="2" t="s">
        <v>1397</v>
      </c>
      <c r="I1252" s="2" t="s">
        <v>6913</v>
      </c>
      <c r="J1252" s="2" t="s">
        <v>924</v>
      </c>
      <c r="K1252" s="2" t="s">
        <v>2485</v>
      </c>
      <c r="L1252" s="3">
        <v>41.14</v>
      </c>
      <c r="M1252" s="3">
        <v>43.2</v>
      </c>
      <c r="N1252" s="3">
        <v>89.99</v>
      </c>
      <c r="O1252" s="2" t="s">
        <v>212</v>
      </c>
      <c r="P1252" s="2" t="s">
        <v>205</v>
      </c>
      <c r="Q1252" s="2" t="s">
        <v>206</v>
      </c>
      <c r="R1252" s="2" t="s">
        <v>200</v>
      </c>
      <c r="S1252" s="2" t="s">
        <v>6909</v>
      </c>
      <c r="T1252" s="2" t="s">
        <v>3640</v>
      </c>
      <c r="U1252" s="2" t="s">
        <v>454</v>
      </c>
      <c r="V1252" s="2" t="s">
        <v>940</v>
      </c>
      <c r="W1252" s="2" t="s">
        <v>910</v>
      </c>
      <c r="X1252" s="2" t="s">
        <v>379</v>
      </c>
      <c r="Y1252" s="2" t="s">
        <v>4956</v>
      </c>
      <c r="Z1252" s="4">
        <v>78</v>
      </c>
      <c r="AA1252" s="4">
        <f>=ROUNDDOWN(13,0)</f>
      </c>
      <c r="AB1252" s="5">
        <v>6</v>
      </c>
      <c r="AC1252" s="2" t="s">
        <v>200</v>
      </c>
      <c r="AD1252" s="4"/>
      <c r="AE1252" s="4"/>
      <c r="AF1252" s="6">
        <v>65</v>
      </c>
      <c r="AG1252" s="6"/>
      <c r="AH1252" s="7">
        <v>1</v>
      </c>
      <c r="AI1252" s="4"/>
      <c r="AJ1252" s="4">
        <f>=ROUNDDOWN({0},0)</f>
      </c>
      <c r="AK1252" s="5"/>
      <c r="AL1252" s="2" t="s">
        <v>200</v>
      </c>
      <c r="AM1252" s="4"/>
      <c r="AN1252" s="4"/>
      <c r="AO1252" s="7"/>
      <c r="AP1252" s="4"/>
      <c r="AQ1252" s="8"/>
      <c r="AR1252" s="4"/>
      <c r="AS1252" s="8"/>
      <c r="AT1252" s="7"/>
      <c r="AU1252" s="7"/>
      <c r="AV1252" s="4" t="s">
        <v>200</v>
      </c>
      <c r="AW1252" s="8" t="s">
        <v>200</v>
      </c>
      <c r="AX1252" s="4" t="s">
        <v>200</v>
      </c>
      <c r="AY1252" s="8" t="s">
        <v>200</v>
      </c>
      <c r="AZ1252" s="7" t="s">
        <v>200</v>
      </c>
      <c r="BA1252" s="7" t="s">
        <v>200</v>
      </c>
      <c r="BB1252" s="7" t="s">
        <v>200</v>
      </c>
      <c r="BC1252" s="4" t="s">
        <v>200</v>
      </c>
      <c r="BD1252" s="8" t="s">
        <v>200</v>
      </c>
      <c r="BE1252" s="4" t="s">
        <v>200</v>
      </c>
      <c r="BF1252" s="8" t="s">
        <v>200</v>
      </c>
      <c r="BG1252" s="7" t="s">
        <v>200</v>
      </c>
      <c r="BH1252" s="7" t="s">
        <v>200</v>
      </c>
      <c r="BI1252" s="7"/>
      <c r="BJ1252" s="4">
        <v>19</v>
      </c>
      <c r="BK1252" s="8">
        <v>882.34</v>
      </c>
      <c r="BL1252" s="2" t="s">
        <v>6914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6915</v>
      </c>
      <c r="BV1252" s="2" t="s">
        <v>200</v>
      </c>
      <c r="BW1252" s="2" t="s">
        <v>200</v>
      </c>
      <c r="BX1252" s="2" t="s">
        <v>264</v>
      </c>
      <c r="BY1252" s="2" t="s">
        <v>247</v>
      </c>
      <c r="BZ1252" s="2" t="s">
        <v>212</v>
      </c>
      <c r="CA1252" s="2" t="s">
        <v>2706</v>
      </c>
      <c r="CB1252" s="2" t="s">
        <v>6916</v>
      </c>
      <c r="CC1252" s="2" t="s">
        <v>213</v>
      </c>
      <c r="CD1252" s="2" t="s">
        <v>200</v>
      </c>
      <c r="CE1252" s="4">
        <v>78</v>
      </c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  <c r="DL1252" s="4"/>
      <c r="DM1252" s="4"/>
      <c r="DN1252" s="4"/>
      <c r="DO1252" s="4"/>
      <c r="DP1252" s="4"/>
      <c r="DQ1252" s="4"/>
      <c r="DR1252" s="4"/>
      <c r="DS1252" s="4"/>
      <c r="DT1252" s="4"/>
      <c r="DU1252" s="4"/>
      <c r="DV1252" s="4"/>
      <c r="DW1252" s="4"/>
      <c r="DX1252" s="4"/>
      <c r="DY1252" s="4"/>
      <c r="DZ1252" s="4"/>
      <c r="EA1252" s="4"/>
      <c r="EB1252" s="4"/>
      <c r="EC1252" s="4"/>
      <c r="ED1252" s="4"/>
      <c r="EE1252" s="4"/>
      <c r="EF1252" s="4"/>
      <c r="EG1252" s="4"/>
      <c r="EH1252" s="4"/>
      <c r="EI1252" s="4"/>
      <c r="EJ1252" s="4"/>
      <c r="EK1252" s="4"/>
      <c r="EL1252" s="4"/>
      <c r="EM1252" s="4"/>
      <c r="EN1252" s="4"/>
      <c r="EO1252" s="4"/>
      <c r="EP1252" s="4"/>
      <c r="EQ1252" s="4"/>
      <c r="ER1252" s="4"/>
      <c r="ES1252" s="4"/>
      <c r="ET1252" s="4"/>
      <c r="EU1252" s="4"/>
      <c r="EV1252" s="4"/>
      <c r="EW1252" s="4"/>
      <c r="EX1252" s="4"/>
      <c r="EY1252" s="4"/>
      <c r="EZ1252" s="4"/>
      <c r="FA1252" s="4"/>
      <c r="FB1252" s="4"/>
      <c r="FC1252" s="4"/>
      <c r="FD1252" s="4"/>
      <c r="FE1252" s="4"/>
      <c r="FF1252" s="4"/>
      <c r="FG1252" s="4"/>
      <c r="FH1252" s="4"/>
      <c r="FI1252" s="4"/>
      <c r="FJ1252" s="4"/>
      <c r="FK1252" s="4"/>
      <c r="FL1252" s="4"/>
      <c r="FM1252" s="4"/>
      <c r="FN1252" s="4"/>
      <c r="FO1252" s="4"/>
      <c r="FP1252" s="4"/>
      <c r="FQ1252" s="4"/>
      <c r="FR1252" s="4"/>
      <c r="FS1252" s="4"/>
      <c r="FT1252" s="4"/>
      <c r="FU1252" s="4"/>
      <c r="FV1252" s="4"/>
      <c r="FW1252" s="4"/>
      <c r="FX1252" s="4"/>
      <c r="FY1252" s="4"/>
      <c r="FZ1252" s="4"/>
      <c r="GA1252" s="4"/>
      <c r="GB1252" s="4"/>
      <c r="GC1252" s="4"/>
      <c r="GD1252" s="4"/>
      <c r="GE1252" s="4"/>
      <c r="GF1252" s="4"/>
      <c r="GG1252" s="4"/>
      <c r="GH1252" s="4"/>
    </row>
    <row r="1253">
      <c r="A1253" s="2" t="s">
        <v>6917</v>
      </c>
      <c r="B1253" s="2" t="s">
        <v>903</v>
      </c>
      <c r="C1253" s="2" t="s">
        <v>231</v>
      </c>
      <c r="D1253" s="2" t="s">
        <v>918</v>
      </c>
      <c r="E1253" s="2" t="s">
        <v>919</v>
      </c>
      <c r="F1253" s="2" t="s">
        <v>6906</v>
      </c>
      <c r="G1253" s="2" t="s">
        <v>6907</v>
      </c>
      <c r="H1253" s="2" t="s">
        <v>1397</v>
      </c>
      <c r="I1253" s="2" t="s">
        <v>6908</v>
      </c>
      <c r="J1253" s="2" t="s">
        <v>924</v>
      </c>
      <c r="K1253" s="2" t="s">
        <v>2485</v>
      </c>
      <c r="L1253" s="3">
        <v>32</v>
      </c>
      <c r="M1253" s="3">
        <v>33.6</v>
      </c>
      <c r="N1253" s="3">
        <v>69.99</v>
      </c>
      <c r="O1253" s="2" t="s">
        <v>212</v>
      </c>
      <c r="P1253" s="2" t="s">
        <v>205</v>
      </c>
      <c r="Q1253" s="2" t="s">
        <v>206</v>
      </c>
      <c r="R1253" s="2" t="s">
        <v>200</v>
      </c>
      <c r="S1253" s="2" t="s">
        <v>6909</v>
      </c>
      <c r="T1253" s="2" t="s">
        <v>3640</v>
      </c>
      <c r="U1253" s="2" t="s">
        <v>454</v>
      </c>
      <c r="V1253" s="2" t="s">
        <v>940</v>
      </c>
      <c r="W1253" s="2" t="s">
        <v>910</v>
      </c>
      <c r="X1253" s="2" t="s">
        <v>379</v>
      </c>
      <c r="Y1253" s="2" t="s">
        <v>4956</v>
      </c>
      <c r="Z1253" s="4">
        <v>82</v>
      </c>
      <c r="AA1253" s="4">
        <f>=ROUNDDOWN(41,0)</f>
      </c>
      <c r="AB1253" s="5">
        <v>2</v>
      </c>
      <c r="AC1253" s="2" t="s">
        <v>200</v>
      </c>
      <c r="AD1253" s="4"/>
      <c r="AE1253" s="4"/>
      <c r="AF1253" s="6">
        <v>65</v>
      </c>
      <c r="AG1253" s="6"/>
      <c r="AH1253" s="7">
        <v>1</v>
      </c>
      <c r="AI1253" s="4"/>
      <c r="AJ1253" s="4">
        <f>=ROUNDDOWN({0},0)</f>
      </c>
      <c r="AK1253" s="5"/>
      <c r="AL1253" s="2" t="s">
        <v>200</v>
      </c>
      <c r="AM1253" s="4"/>
      <c r="AN1253" s="4"/>
      <c r="AO1253" s="7"/>
      <c r="AP1253" s="4"/>
      <c r="AQ1253" s="8"/>
      <c r="AR1253" s="4"/>
      <c r="AS1253" s="8"/>
      <c r="AT1253" s="7"/>
      <c r="AU1253" s="7"/>
      <c r="AV1253" s="4" t="s">
        <v>200</v>
      </c>
      <c r="AW1253" s="8" t="s">
        <v>200</v>
      </c>
      <c r="AX1253" s="4" t="s">
        <v>200</v>
      </c>
      <c r="AY1253" s="8" t="s">
        <v>200</v>
      </c>
      <c r="AZ1253" s="7" t="s">
        <v>200</v>
      </c>
      <c r="BA1253" s="7" t="s">
        <v>200</v>
      </c>
      <c r="BB1253" s="7" t="s">
        <v>200</v>
      </c>
      <c r="BC1253" s="4" t="s">
        <v>200</v>
      </c>
      <c r="BD1253" s="8" t="s">
        <v>200</v>
      </c>
      <c r="BE1253" s="4" t="s">
        <v>200</v>
      </c>
      <c r="BF1253" s="8" t="s">
        <v>200</v>
      </c>
      <c r="BG1253" s="7" t="s">
        <v>200</v>
      </c>
      <c r="BH1253" s="7" t="s">
        <v>200</v>
      </c>
      <c r="BI1253" s="7"/>
      <c r="BJ1253" s="4">
        <v>18</v>
      </c>
      <c r="BK1253" s="8">
        <v>670.64</v>
      </c>
      <c r="BL1253" s="2" t="s">
        <v>2436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6918</v>
      </c>
      <c r="BV1253" s="2" t="s">
        <v>200</v>
      </c>
      <c r="BW1253" s="2" t="s">
        <v>200</v>
      </c>
      <c r="BX1253" s="2" t="s">
        <v>264</v>
      </c>
      <c r="BY1253" s="2" t="s">
        <v>247</v>
      </c>
      <c r="BZ1253" s="2" t="s">
        <v>212</v>
      </c>
      <c r="CA1253" s="2" t="s">
        <v>4811</v>
      </c>
      <c r="CB1253" s="2" t="s">
        <v>5182</v>
      </c>
      <c r="CC1253" s="2" t="s">
        <v>213</v>
      </c>
      <c r="CD1253" s="2" t="s">
        <v>200</v>
      </c>
      <c r="CE1253" s="4">
        <v>82</v>
      </c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E1253" s="4"/>
      <c r="DF1253" s="4"/>
      <c r="DG1253" s="4"/>
      <c r="DH1253" s="4"/>
      <c r="DI1253" s="4"/>
      <c r="DJ1253" s="4"/>
      <c r="DK1253" s="4"/>
      <c r="DL1253" s="4"/>
      <c r="DM1253" s="4"/>
      <c r="DN1253" s="4"/>
      <c r="DO1253" s="4"/>
      <c r="DP1253" s="4"/>
      <c r="DQ1253" s="4"/>
      <c r="DR1253" s="4"/>
      <c r="DS1253" s="4"/>
      <c r="DT1253" s="4"/>
      <c r="DU1253" s="4"/>
      <c r="DV1253" s="4"/>
      <c r="DW1253" s="4"/>
      <c r="DX1253" s="4"/>
      <c r="DY1253" s="4"/>
      <c r="DZ1253" s="4"/>
      <c r="EA1253" s="4"/>
      <c r="EB1253" s="4"/>
      <c r="EC1253" s="4"/>
      <c r="ED1253" s="4"/>
      <c r="EE1253" s="4"/>
      <c r="EF1253" s="4"/>
      <c r="EG1253" s="4"/>
      <c r="EH1253" s="4"/>
      <c r="EI1253" s="4"/>
      <c r="EJ1253" s="4"/>
      <c r="EK1253" s="4"/>
      <c r="EL1253" s="4"/>
      <c r="EM1253" s="4"/>
      <c r="EN1253" s="4"/>
      <c r="EO1253" s="4"/>
      <c r="EP1253" s="4"/>
      <c r="EQ1253" s="4"/>
      <c r="ER1253" s="4"/>
      <c r="ES1253" s="4"/>
      <c r="ET1253" s="4"/>
      <c r="EU1253" s="4"/>
      <c r="EV1253" s="4"/>
      <c r="EW1253" s="4"/>
      <c r="EX1253" s="4"/>
      <c r="EY1253" s="4"/>
      <c r="EZ1253" s="4"/>
      <c r="FA1253" s="4"/>
      <c r="FB1253" s="4"/>
      <c r="FC1253" s="4"/>
      <c r="FD1253" s="4"/>
      <c r="FE1253" s="4"/>
      <c r="FF1253" s="4"/>
      <c r="FG1253" s="4"/>
      <c r="FH1253" s="4"/>
      <c r="FI1253" s="4"/>
      <c r="FJ1253" s="4"/>
      <c r="FK1253" s="4"/>
      <c r="FL1253" s="4"/>
      <c r="FM1253" s="4"/>
      <c r="FN1253" s="4"/>
      <c r="FO1253" s="4"/>
      <c r="FP1253" s="4"/>
      <c r="FQ1253" s="4"/>
      <c r="FR1253" s="4"/>
      <c r="FS1253" s="4"/>
      <c r="FT1253" s="4"/>
      <c r="FU1253" s="4"/>
      <c r="FV1253" s="4"/>
      <c r="FW1253" s="4"/>
      <c r="FX1253" s="4"/>
      <c r="FY1253" s="4"/>
      <c r="FZ1253" s="4"/>
      <c r="GA1253" s="4"/>
      <c r="GB1253" s="4"/>
      <c r="GC1253" s="4"/>
      <c r="GD1253" s="4"/>
      <c r="GE1253" s="4"/>
      <c r="GF1253" s="4"/>
      <c r="GG1253" s="4"/>
      <c r="GH1253" s="4"/>
    </row>
    <row r="1254">
      <c r="A1254" s="2" t="s">
        <v>6919</v>
      </c>
      <c r="B1254" s="2" t="s">
        <v>705</v>
      </c>
      <c r="C1254" s="2" t="s">
        <v>745</v>
      </c>
      <c r="D1254" s="2" t="s">
        <v>817</v>
      </c>
      <c r="E1254" s="2" t="s">
        <v>818</v>
      </c>
      <c r="F1254" s="2" t="s">
        <v>6920</v>
      </c>
      <c r="G1254" s="2" t="s">
        <v>6920</v>
      </c>
      <c r="H1254" s="2" t="s">
        <v>6920</v>
      </c>
      <c r="I1254" s="2" t="s">
        <v>6921</v>
      </c>
      <c r="J1254" s="2" t="s">
        <v>711</v>
      </c>
      <c r="K1254" s="2" t="s">
        <v>257</v>
      </c>
      <c r="L1254" s="3">
        <v>14.85</v>
      </c>
      <c r="M1254" s="3">
        <v>15.59</v>
      </c>
      <c r="N1254" s="3">
        <v>34.99</v>
      </c>
      <c r="O1254" s="2" t="s">
        <v>212</v>
      </c>
      <c r="P1254" s="2" t="s">
        <v>285</v>
      </c>
      <c r="Q1254" s="2" t="s">
        <v>206</v>
      </c>
      <c r="R1254" s="2" t="s">
        <v>200</v>
      </c>
      <c r="S1254" s="2" t="s">
        <v>200</v>
      </c>
      <c r="T1254" s="2" t="s">
        <v>200</v>
      </c>
      <c r="U1254" s="2" t="s">
        <v>270</v>
      </c>
      <c r="V1254" s="2" t="s">
        <v>208</v>
      </c>
      <c r="W1254" s="2" t="s">
        <v>379</v>
      </c>
      <c r="X1254" s="2" t="s">
        <v>419</v>
      </c>
      <c r="Y1254" s="2" t="s">
        <v>6922</v>
      </c>
      <c r="Z1254" s="4">
        <v>62</v>
      </c>
      <c r="AA1254" s="4">
        <f>=ROUNDDOWN(51.6666666666667,0)</f>
      </c>
      <c r="AB1254" s="5">
        <v>1.2</v>
      </c>
      <c r="AC1254" s="2" t="s">
        <v>200</v>
      </c>
      <c r="AD1254" s="4"/>
      <c r="AE1254" s="4"/>
      <c r="AF1254" s="6">
        <v>63</v>
      </c>
      <c r="AG1254" s="6"/>
      <c r="AH1254" s="7">
        <v>1</v>
      </c>
      <c r="AI1254" s="4"/>
      <c r="AJ1254" s="4">
        <f>=ROUNDDOWN({0},0)</f>
      </c>
      <c r="AK1254" s="5"/>
      <c r="AL1254" s="2" t="s">
        <v>200</v>
      </c>
      <c r="AM1254" s="4"/>
      <c r="AN1254" s="4"/>
      <c r="AO1254" s="7"/>
      <c r="AP1254" s="4"/>
      <c r="AQ1254" s="8"/>
      <c r="AR1254" s="4"/>
      <c r="AS1254" s="8"/>
      <c r="AT1254" s="7"/>
      <c r="AU1254" s="7"/>
      <c r="AV1254" s="4"/>
      <c r="AW1254" s="8"/>
      <c r="AX1254" s="4"/>
      <c r="AY1254" s="8"/>
      <c r="AZ1254" s="7"/>
      <c r="BA1254" s="7"/>
      <c r="BB1254" s="7"/>
      <c r="BC1254" s="4"/>
      <c r="BD1254" s="8"/>
      <c r="BE1254" s="4"/>
      <c r="BF1254" s="8"/>
      <c r="BG1254" s="7"/>
      <c r="BH1254" s="7"/>
      <c r="BI1254" s="7"/>
      <c r="BJ1254" s="4">
        <v>9</v>
      </c>
      <c r="BK1254" s="8">
        <v>147.99</v>
      </c>
      <c r="BL1254" s="2" t="s">
        <v>6923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6924</v>
      </c>
      <c r="BV1254" s="2" t="s">
        <v>200</v>
      </c>
      <c r="BW1254" s="2" t="s">
        <v>200</v>
      </c>
      <c r="BX1254" s="2" t="s">
        <v>289</v>
      </c>
      <c r="BY1254" s="2" t="s">
        <v>247</v>
      </c>
      <c r="BZ1254" s="2" t="s">
        <v>212</v>
      </c>
      <c r="CA1254" s="2" t="s">
        <v>4099</v>
      </c>
      <c r="CB1254" s="2" t="s">
        <v>5543</v>
      </c>
      <c r="CC1254" s="2" t="s">
        <v>213</v>
      </c>
      <c r="CD1254" s="2" t="s">
        <v>200</v>
      </c>
      <c r="CE1254" s="4"/>
      <c r="CF1254" s="4">
        <v>62</v>
      </c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E1254" s="4"/>
      <c r="DF1254" s="4"/>
      <c r="DG1254" s="4"/>
      <c r="DH1254" s="4"/>
      <c r="DI1254" s="4"/>
      <c r="DJ1254" s="4"/>
      <c r="DK1254" s="4"/>
      <c r="DL1254" s="4"/>
      <c r="DM1254" s="4"/>
      <c r="DN1254" s="4"/>
      <c r="DO1254" s="4"/>
      <c r="DP1254" s="4"/>
      <c r="DQ1254" s="4"/>
      <c r="DR1254" s="4"/>
      <c r="DS1254" s="4"/>
      <c r="DT1254" s="4"/>
      <c r="DU1254" s="4"/>
      <c r="DV1254" s="4"/>
      <c r="DW1254" s="4"/>
      <c r="DX1254" s="4"/>
      <c r="DY1254" s="4"/>
      <c r="DZ1254" s="4"/>
      <c r="EA1254" s="4"/>
      <c r="EB1254" s="4"/>
      <c r="EC1254" s="4"/>
      <c r="ED1254" s="4"/>
      <c r="EE1254" s="4"/>
      <c r="EF1254" s="4"/>
      <c r="EG1254" s="4"/>
      <c r="EH1254" s="4"/>
      <c r="EI1254" s="4"/>
      <c r="EJ1254" s="4"/>
      <c r="EK1254" s="4"/>
      <c r="EL1254" s="4"/>
      <c r="EM1254" s="4"/>
      <c r="EN1254" s="4"/>
      <c r="EO1254" s="4"/>
      <c r="EP1254" s="4"/>
      <c r="EQ1254" s="4"/>
      <c r="ER1254" s="4"/>
      <c r="ES1254" s="4"/>
      <c r="ET1254" s="4"/>
      <c r="EU1254" s="4"/>
      <c r="EV1254" s="4"/>
      <c r="EW1254" s="4"/>
      <c r="EX1254" s="4"/>
      <c r="EY1254" s="4"/>
      <c r="EZ1254" s="4"/>
      <c r="FA1254" s="4"/>
      <c r="FB1254" s="4"/>
      <c r="FC1254" s="4"/>
      <c r="FD1254" s="4"/>
      <c r="FE1254" s="4"/>
      <c r="FF1254" s="4"/>
      <c r="FG1254" s="4"/>
      <c r="FH1254" s="4"/>
      <c r="FI1254" s="4"/>
      <c r="FJ1254" s="4"/>
      <c r="FK1254" s="4"/>
      <c r="FL1254" s="4"/>
      <c r="FM1254" s="4"/>
      <c r="FN1254" s="4"/>
      <c r="FO1254" s="4"/>
      <c r="FP1254" s="4"/>
      <c r="FQ1254" s="4"/>
      <c r="FR1254" s="4"/>
      <c r="FS1254" s="4"/>
      <c r="FT1254" s="4"/>
      <c r="FU1254" s="4"/>
      <c r="FV1254" s="4"/>
      <c r="FW1254" s="4"/>
      <c r="FX1254" s="4"/>
      <c r="FY1254" s="4"/>
      <c r="FZ1254" s="4"/>
      <c r="GA1254" s="4"/>
      <c r="GB1254" s="4"/>
      <c r="GC1254" s="4"/>
      <c r="GD1254" s="4"/>
      <c r="GE1254" s="4"/>
      <c r="GF1254" s="4"/>
      <c r="GG1254" s="4"/>
      <c r="GH1254" s="4"/>
    </row>
    <row r="1255">
      <c r="A1255" s="2" t="s">
        <v>6925</v>
      </c>
      <c r="B1255" s="2" t="s">
        <v>705</v>
      </c>
      <c r="C1255" s="2" t="s">
        <v>1375</v>
      </c>
      <c r="D1255" s="2" t="s">
        <v>817</v>
      </c>
      <c r="E1255" s="2" t="s">
        <v>818</v>
      </c>
      <c r="F1255" s="2" t="s">
        <v>6926</v>
      </c>
      <c r="G1255" s="2" t="s">
        <v>6926</v>
      </c>
      <c r="H1255" s="2" t="s">
        <v>6926</v>
      </c>
      <c r="I1255" s="2" t="s">
        <v>6161</v>
      </c>
      <c r="J1255" s="2" t="s">
        <v>711</v>
      </c>
      <c r="K1255" s="2" t="s">
        <v>387</v>
      </c>
      <c r="L1255" s="3">
        <v>34</v>
      </c>
      <c r="M1255" s="3">
        <v>35.7</v>
      </c>
      <c r="N1255" s="3">
        <v>69.99</v>
      </c>
      <c r="O1255" s="2" t="s">
        <v>212</v>
      </c>
      <c r="P1255" s="2" t="s">
        <v>205</v>
      </c>
      <c r="Q1255" s="2" t="s">
        <v>206</v>
      </c>
      <c r="R1255" s="2" t="s">
        <v>200</v>
      </c>
      <c r="S1255" s="2" t="s">
        <v>200</v>
      </c>
      <c r="T1255" s="2" t="s">
        <v>200</v>
      </c>
      <c r="U1255" s="2" t="s">
        <v>270</v>
      </c>
      <c r="V1255" s="2" t="s">
        <v>616</v>
      </c>
      <c r="W1255" s="2" t="s">
        <v>419</v>
      </c>
      <c r="X1255" s="2" t="s">
        <v>241</v>
      </c>
      <c r="Y1255" s="2" t="s">
        <v>2615</v>
      </c>
      <c r="Z1255" s="4">
        <v>91</v>
      </c>
      <c r="AA1255" s="4">
        <f>=ROUNDDOWN(91,0)</f>
      </c>
      <c r="AB1255" s="5">
        <v>1</v>
      </c>
      <c r="AC1255" s="2" t="s">
        <v>200</v>
      </c>
      <c r="AD1255" s="4"/>
      <c r="AE1255" s="4"/>
      <c r="AF1255" s="6">
        <v>65</v>
      </c>
      <c r="AG1255" s="6"/>
      <c r="AH1255" s="7">
        <v>1</v>
      </c>
      <c r="AI1255" s="4"/>
      <c r="AJ1255" s="4">
        <f>=ROUNDDOWN({0},0)</f>
      </c>
      <c r="AK1255" s="5"/>
      <c r="AL1255" s="2" t="s">
        <v>200</v>
      </c>
      <c r="AM1255" s="4"/>
      <c r="AN1255" s="4"/>
      <c r="AO1255" s="7"/>
      <c r="AP1255" s="4"/>
      <c r="AQ1255" s="8"/>
      <c r="AR1255" s="4"/>
      <c r="AS1255" s="8"/>
      <c r="AT1255" s="7"/>
      <c r="AU1255" s="7"/>
      <c r="AV1255" s="4"/>
      <c r="AW1255" s="8"/>
      <c r="AX1255" s="4"/>
      <c r="AY1255" s="8"/>
      <c r="AZ1255" s="7"/>
      <c r="BA1255" s="7"/>
      <c r="BB1255" s="7"/>
      <c r="BC1255" s="4"/>
      <c r="BD1255" s="8"/>
      <c r="BE1255" s="4"/>
      <c r="BF1255" s="8"/>
      <c r="BG1255" s="7"/>
      <c r="BH1255" s="7"/>
      <c r="BI1255" s="7"/>
      <c r="BJ1255" s="4">
        <v>3</v>
      </c>
      <c r="BK1255" s="8">
        <v>111.38</v>
      </c>
      <c r="BL1255" s="2" t="s">
        <v>2183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6927</v>
      </c>
      <c r="BV1255" s="2" t="s">
        <v>200</v>
      </c>
      <c r="BW1255" s="2" t="s">
        <v>200</v>
      </c>
      <c r="BX1255" s="2" t="s">
        <v>264</v>
      </c>
      <c r="BY1255" s="2" t="s">
        <v>247</v>
      </c>
      <c r="BZ1255" s="2" t="s">
        <v>212</v>
      </c>
      <c r="CA1255" s="2" t="s">
        <v>861</v>
      </c>
      <c r="CB1255" s="2" t="s">
        <v>1677</v>
      </c>
      <c r="CC1255" s="2" t="s">
        <v>213</v>
      </c>
      <c r="CD1255" s="2" t="s">
        <v>200</v>
      </c>
      <c r="CE1255" s="4"/>
      <c r="CF1255" s="4">
        <v>91</v>
      </c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E1255" s="4"/>
      <c r="DF1255" s="4"/>
      <c r="DG1255" s="4"/>
      <c r="DH1255" s="4"/>
      <c r="DI1255" s="4"/>
      <c r="DJ1255" s="4"/>
      <c r="DK1255" s="4"/>
      <c r="DL1255" s="4"/>
      <c r="DM1255" s="4"/>
      <c r="DN1255" s="4"/>
      <c r="DO1255" s="4"/>
      <c r="DP1255" s="4"/>
      <c r="DQ1255" s="4"/>
      <c r="DR1255" s="4"/>
      <c r="DS1255" s="4"/>
      <c r="DT1255" s="4"/>
      <c r="DU1255" s="4"/>
      <c r="DV1255" s="4"/>
      <c r="DW1255" s="4"/>
      <c r="DX1255" s="4"/>
      <c r="DY1255" s="4"/>
      <c r="DZ1255" s="4"/>
      <c r="EA1255" s="4"/>
      <c r="EB1255" s="4"/>
      <c r="EC1255" s="4"/>
      <c r="ED1255" s="4"/>
      <c r="EE1255" s="4"/>
      <c r="EF1255" s="4"/>
      <c r="EG1255" s="4"/>
      <c r="EH1255" s="4"/>
      <c r="EI1255" s="4"/>
      <c r="EJ1255" s="4"/>
      <c r="EK1255" s="4"/>
      <c r="EL1255" s="4"/>
      <c r="EM1255" s="4"/>
      <c r="EN1255" s="4"/>
      <c r="EO1255" s="4"/>
      <c r="EP1255" s="4"/>
      <c r="EQ1255" s="4"/>
      <c r="ER1255" s="4"/>
      <c r="ES1255" s="4"/>
      <c r="ET1255" s="4"/>
      <c r="EU1255" s="4"/>
      <c r="EV1255" s="4"/>
      <c r="EW1255" s="4"/>
      <c r="EX1255" s="4"/>
      <c r="EY1255" s="4"/>
      <c r="EZ1255" s="4"/>
      <c r="FA1255" s="4"/>
      <c r="FB1255" s="4"/>
      <c r="FC1255" s="4"/>
      <c r="FD1255" s="4"/>
      <c r="FE1255" s="4"/>
      <c r="FF1255" s="4"/>
      <c r="FG1255" s="4"/>
      <c r="FH1255" s="4"/>
      <c r="FI1255" s="4"/>
      <c r="FJ1255" s="4"/>
      <c r="FK1255" s="4"/>
      <c r="FL1255" s="4"/>
      <c r="FM1255" s="4"/>
      <c r="FN1255" s="4"/>
      <c r="FO1255" s="4"/>
      <c r="FP1255" s="4"/>
      <c r="FQ1255" s="4"/>
      <c r="FR1255" s="4"/>
      <c r="FS1255" s="4"/>
      <c r="FT1255" s="4"/>
      <c r="FU1255" s="4"/>
      <c r="FV1255" s="4"/>
      <c r="FW1255" s="4"/>
      <c r="FX1255" s="4"/>
      <c r="FY1255" s="4"/>
      <c r="FZ1255" s="4"/>
      <c r="GA1255" s="4"/>
      <c r="GB1255" s="4"/>
      <c r="GC1255" s="4"/>
      <c r="GD1255" s="4"/>
      <c r="GE1255" s="4"/>
      <c r="GF1255" s="4"/>
      <c r="GG1255" s="4"/>
      <c r="GH1255" s="4"/>
    </row>
    <row r="1256">
      <c r="A1256" s="2" t="s">
        <v>6928</v>
      </c>
      <c r="B1256" s="2" t="s">
        <v>744</v>
      </c>
      <c r="C1256" s="2" t="s">
        <v>745</v>
      </c>
      <c r="D1256" s="2" t="s">
        <v>1275</v>
      </c>
      <c r="E1256" s="2" t="s">
        <v>1276</v>
      </c>
      <c r="F1256" s="2" t="s">
        <v>6929</v>
      </c>
      <c r="G1256" s="2" t="s">
        <v>6929</v>
      </c>
      <c r="H1256" s="2" t="s">
        <v>6929</v>
      </c>
      <c r="I1256" s="2" t="s">
        <v>6930</v>
      </c>
      <c r="J1256" s="2" t="s">
        <v>711</v>
      </c>
      <c r="K1256" s="2" t="s">
        <v>1928</v>
      </c>
      <c r="L1256" s="3">
        <v>353.78</v>
      </c>
      <c r="M1256" s="3">
        <v>371.47</v>
      </c>
      <c r="N1256" s="3">
        <v>739</v>
      </c>
      <c r="O1256" s="2" t="s">
        <v>212</v>
      </c>
      <c r="P1256" s="2" t="s">
        <v>802</v>
      </c>
      <c r="Q1256" s="2" t="s">
        <v>206</v>
      </c>
      <c r="R1256" s="2" t="s">
        <v>200</v>
      </c>
      <c r="S1256" s="2" t="s">
        <v>200</v>
      </c>
      <c r="T1256" s="2" t="s">
        <v>200</v>
      </c>
      <c r="U1256" s="2" t="s">
        <v>677</v>
      </c>
      <c r="V1256" s="2" t="s">
        <v>208</v>
      </c>
      <c r="W1256" s="2" t="s">
        <v>712</v>
      </c>
      <c r="X1256" s="2" t="s">
        <v>200</v>
      </c>
      <c r="Y1256" s="2" t="s">
        <v>4649</v>
      </c>
      <c r="Z1256" s="4">
        <v>98</v>
      </c>
      <c r="AA1256" s="4">
        <f>=ROUNDDOWN(196,0)</f>
      </c>
      <c r="AB1256" s="5">
        <v>0.5</v>
      </c>
      <c r="AC1256" s="2" t="s">
        <v>114</v>
      </c>
      <c r="AD1256" s="4">
        <v>50</v>
      </c>
      <c r="AE1256" s="4">
        <v>180</v>
      </c>
      <c r="AF1256" s="6"/>
      <c r="AG1256" s="6"/>
      <c r="AH1256" s="7">
        <v>1</v>
      </c>
      <c r="AI1256" s="4"/>
      <c r="AJ1256" s="4">
        <f>=ROUNDDOWN({0},0)</f>
      </c>
      <c r="AK1256" s="5"/>
      <c r="AL1256" s="2" t="s">
        <v>200</v>
      </c>
      <c r="AM1256" s="4"/>
      <c r="AN1256" s="4"/>
      <c r="AO1256" s="7"/>
      <c r="AP1256" s="4"/>
      <c r="AQ1256" s="8"/>
      <c r="AR1256" s="4"/>
      <c r="AS1256" s="8"/>
      <c r="AT1256" s="7"/>
      <c r="AU1256" s="7"/>
      <c r="AV1256" s="4"/>
      <c r="AW1256" s="8"/>
      <c r="AX1256" s="4"/>
      <c r="AY1256" s="8"/>
      <c r="AZ1256" s="7"/>
      <c r="BA1256" s="7"/>
      <c r="BB1256" s="7"/>
      <c r="BC1256" s="4" t="s">
        <v>200</v>
      </c>
      <c r="BD1256" s="8" t="s">
        <v>200</v>
      </c>
      <c r="BE1256" s="4" t="s">
        <v>200</v>
      </c>
      <c r="BF1256" s="8" t="s">
        <v>200</v>
      </c>
      <c r="BG1256" s="7" t="s">
        <v>200</v>
      </c>
      <c r="BH1256" s="7" t="s">
        <v>200</v>
      </c>
      <c r="BI1256" s="7"/>
      <c r="BJ1256" s="4">
        <v>2</v>
      </c>
      <c r="BK1256" s="8">
        <v>580.7</v>
      </c>
      <c r="BL1256" s="2" t="s">
        <v>303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6931</v>
      </c>
      <c r="BV1256" s="2" t="s">
        <v>200</v>
      </c>
      <c r="BW1256" s="2" t="s">
        <v>200</v>
      </c>
      <c r="BX1256" s="2" t="s">
        <v>629</v>
      </c>
      <c r="BY1256" s="2" t="s">
        <v>247</v>
      </c>
      <c r="BZ1256" s="2" t="s">
        <v>212</v>
      </c>
      <c r="CA1256" s="2" t="s">
        <v>5706</v>
      </c>
      <c r="CB1256" s="2" t="s">
        <v>200</v>
      </c>
      <c r="CC1256" s="2" t="s">
        <v>213</v>
      </c>
      <c r="CD1256" s="2" t="s">
        <v>200</v>
      </c>
      <c r="CE1256" s="4"/>
      <c r="CF1256" s="4">
        <v>97</v>
      </c>
      <c r="CG1256" s="4"/>
      <c r="CH1256" s="4">
        <v>1</v>
      </c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>
        <v>50</v>
      </c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/>
      <c r="DQ1256" s="4"/>
      <c r="DR1256" s="4"/>
      <c r="DS1256" s="4"/>
      <c r="DT1256" s="4"/>
      <c r="DU1256" s="4"/>
      <c r="DV1256" s="4"/>
      <c r="DW1256" s="4"/>
      <c r="DX1256" s="4"/>
      <c r="DY1256" s="4"/>
      <c r="DZ1256" s="4"/>
      <c r="EA1256" s="4"/>
      <c r="EB1256" s="4"/>
      <c r="EC1256" s="4"/>
      <c r="ED1256" s="4"/>
      <c r="EE1256" s="4"/>
      <c r="EF1256" s="4">
        <v>55</v>
      </c>
      <c r="EG1256" s="4"/>
      <c r="EH1256" s="4"/>
      <c r="EI1256" s="4"/>
      <c r="EJ1256" s="4"/>
      <c r="EK1256" s="4"/>
      <c r="EL1256" s="4"/>
      <c r="EM1256" s="4"/>
      <c r="EN1256" s="4"/>
      <c r="EO1256" s="4"/>
      <c r="EP1256" s="4"/>
      <c r="EQ1256" s="4"/>
      <c r="ER1256" s="4"/>
      <c r="ES1256" s="4">
        <v>25</v>
      </c>
      <c r="ET1256" s="4"/>
      <c r="EU1256" s="4"/>
      <c r="EV1256" s="4"/>
      <c r="EW1256" s="4"/>
      <c r="EX1256" s="4"/>
      <c r="EY1256" s="4"/>
      <c r="EZ1256" s="4"/>
      <c r="FA1256" s="4"/>
      <c r="FB1256" s="4"/>
      <c r="FC1256" s="4"/>
      <c r="FD1256" s="4"/>
      <c r="FE1256" s="4"/>
      <c r="FF1256" s="4"/>
      <c r="FG1256" s="4"/>
      <c r="FH1256" s="4"/>
      <c r="FI1256" s="4"/>
      <c r="FJ1256" s="4"/>
      <c r="FK1256" s="4"/>
      <c r="FL1256" s="4"/>
      <c r="FM1256" s="4">
        <v>50</v>
      </c>
      <c r="FN1256" s="4"/>
      <c r="FO1256" s="4"/>
      <c r="FP1256" s="4"/>
      <c r="FQ1256" s="4"/>
      <c r="FR1256" s="4"/>
      <c r="FS1256" s="4"/>
      <c r="FT1256" s="4"/>
      <c r="FU1256" s="4"/>
      <c r="FV1256" s="4"/>
      <c r="FW1256" s="4"/>
      <c r="FX1256" s="4"/>
      <c r="FY1256" s="4"/>
      <c r="FZ1256" s="4"/>
      <c r="GA1256" s="4"/>
      <c r="GB1256" s="4"/>
      <c r="GC1256" s="4"/>
      <c r="GD1256" s="4"/>
      <c r="GE1256" s="4"/>
      <c r="GF1256" s="4"/>
      <c r="GG1256" s="4"/>
      <c r="GH1256" s="4"/>
    </row>
    <row r="1257">
      <c r="A1257" s="2" t="s">
        <v>6932</v>
      </c>
      <c r="B1257" s="2" t="s">
        <v>744</v>
      </c>
      <c r="C1257" s="2" t="s">
        <v>745</v>
      </c>
      <c r="D1257" s="2" t="s">
        <v>1275</v>
      </c>
      <c r="E1257" s="2" t="s">
        <v>1276</v>
      </c>
      <c r="F1257" s="2" t="s">
        <v>6929</v>
      </c>
      <c r="G1257" s="2" t="s">
        <v>6929</v>
      </c>
      <c r="H1257" s="2" t="s">
        <v>6929</v>
      </c>
      <c r="I1257" s="2" t="s">
        <v>6933</v>
      </c>
      <c r="J1257" s="2" t="s">
        <v>711</v>
      </c>
      <c r="K1257" s="2" t="s">
        <v>850</v>
      </c>
      <c r="L1257" s="3">
        <v>180.5</v>
      </c>
      <c r="M1257" s="3">
        <v>189.52</v>
      </c>
      <c r="N1257" s="3">
        <v>379</v>
      </c>
      <c r="O1257" s="2" t="s">
        <v>212</v>
      </c>
      <c r="P1257" s="2" t="s">
        <v>258</v>
      </c>
      <c r="Q1257" s="2" t="s">
        <v>206</v>
      </c>
      <c r="R1257" s="2" t="s">
        <v>200</v>
      </c>
      <c r="S1257" s="2" t="s">
        <v>200</v>
      </c>
      <c r="T1257" s="2" t="s">
        <v>200</v>
      </c>
      <c r="U1257" s="2" t="s">
        <v>270</v>
      </c>
      <c r="V1257" s="2" t="s">
        <v>208</v>
      </c>
      <c r="W1257" s="2" t="s">
        <v>712</v>
      </c>
      <c r="X1257" s="2" t="s">
        <v>200</v>
      </c>
      <c r="Y1257" s="2" t="s">
        <v>6934</v>
      </c>
      <c r="Z1257" s="4">
        <v>242</v>
      </c>
      <c r="AA1257" s="4">
        <f>=ROUNDDOWN(96.8,0)</f>
      </c>
      <c r="AB1257" s="5">
        <v>2.5</v>
      </c>
      <c r="AC1257" s="2" t="s">
        <v>114</v>
      </c>
      <c r="AD1257" s="4">
        <v>170</v>
      </c>
      <c r="AE1257" s="4">
        <v>267</v>
      </c>
      <c r="AF1257" s="6">
        <v>74</v>
      </c>
      <c r="AG1257" s="6">
        <v>60</v>
      </c>
      <c r="AH1257" s="7">
        <v>1</v>
      </c>
      <c r="AI1257" s="4"/>
      <c r="AJ1257" s="4">
        <f>=ROUNDDOWN({0},0)</f>
      </c>
      <c r="AK1257" s="5"/>
      <c r="AL1257" s="2" t="s">
        <v>113</v>
      </c>
      <c r="AM1257" s="4">
        <v>7</v>
      </c>
      <c r="AN1257" s="4">
        <v>121</v>
      </c>
      <c r="AO1257" s="7">
        <v>0</v>
      </c>
      <c r="AP1257" s="4"/>
      <c r="AQ1257" s="8"/>
      <c r="AR1257" s="4"/>
      <c r="AS1257" s="8"/>
      <c r="AT1257" s="7"/>
      <c r="AU1257" s="7"/>
      <c r="AV1257" s="4" t="s">
        <v>200</v>
      </c>
      <c r="AW1257" s="8" t="s">
        <v>200</v>
      </c>
      <c r="AX1257" s="4" t="s">
        <v>200</v>
      </c>
      <c r="AY1257" s="8" t="s">
        <v>200</v>
      </c>
      <c r="AZ1257" s="7" t="s">
        <v>200</v>
      </c>
      <c r="BA1257" s="7" t="s">
        <v>200</v>
      </c>
      <c r="BB1257" s="7" t="s">
        <v>200</v>
      </c>
      <c r="BC1257" s="4" t="s">
        <v>200</v>
      </c>
      <c r="BD1257" s="8" t="s">
        <v>200</v>
      </c>
      <c r="BE1257" s="4" t="s">
        <v>200</v>
      </c>
      <c r="BF1257" s="8" t="s">
        <v>200</v>
      </c>
      <c r="BG1257" s="7" t="s">
        <v>200</v>
      </c>
      <c r="BH1257" s="7" t="s">
        <v>200</v>
      </c>
      <c r="BI1257" s="7"/>
      <c r="BJ1257" s="4">
        <v>48</v>
      </c>
      <c r="BK1257" s="8">
        <v>7287.56</v>
      </c>
      <c r="BL1257" s="2" t="s">
        <v>6935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6936</v>
      </c>
      <c r="BV1257" s="2" t="s">
        <v>200</v>
      </c>
      <c r="BW1257" s="2" t="s">
        <v>200</v>
      </c>
      <c r="BX1257" s="2" t="s">
        <v>6304</v>
      </c>
      <c r="BY1257" s="2" t="s">
        <v>247</v>
      </c>
      <c r="BZ1257" s="2" t="s">
        <v>212</v>
      </c>
      <c r="CA1257" s="2" t="s">
        <v>6937</v>
      </c>
      <c r="CB1257" s="2" t="s">
        <v>6938</v>
      </c>
      <c r="CC1257" s="2" t="s">
        <v>213</v>
      </c>
      <c r="CD1257" s="2" t="s">
        <v>200</v>
      </c>
      <c r="CE1257" s="4"/>
      <c r="CF1257" s="4">
        <v>242</v>
      </c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>
        <v>170</v>
      </c>
      <c r="DB1257" s="4"/>
      <c r="DC1257" s="4"/>
      <c r="DD1257" s="4"/>
      <c r="DE1257" s="4"/>
      <c r="DF1257" s="4"/>
      <c r="DG1257" s="4"/>
      <c r="DH1257" s="4"/>
      <c r="DI1257" s="4"/>
      <c r="DJ1257" s="4"/>
      <c r="DK1257" s="4"/>
      <c r="DL1257" s="4"/>
      <c r="DM1257" s="4"/>
      <c r="DN1257" s="4"/>
      <c r="DO1257" s="4"/>
      <c r="DP1257" s="4"/>
      <c r="DQ1257" s="4"/>
      <c r="DR1257" s="4"/>
      <c r="DS1257" s="4"/>
      <c r="DT1257" s="4"/>
      <c r="DU1257" s="4"/>
      <c r="DV1257" s="4"/>
      <c r="DW1257" s="4"/>
      <c r="DX1257" s="4"/>
      <c r="DY1257" s="4"/>
      <c r="DZ1257" s="4"/>
      <c r="EA1257" s="4"/>
      <c r="EB1257" s="4"/>
      <c r="EC1257" s="4"/>
      <c r="ED1257" s="4"/>
      <c r="EE1257" s="4"/>
      <c r="EF1257" s="4">
        <v>47</v>
      </c>
      <c r="EG1257" s="4"/>
      <c r="EH1257" s="4"/>
      <c r="EI1257" s="4"/>
      <c r="EJ1257" s="4"/>
      <c r="EK1257" s="4"/>
      <c r="EL1257" s="4"/>
      <c r="EM1257" s="4"/>
      <c r="EN1257" s="4"/>
      <c r="EO1257" s="4"/>
      <c r="EP1257" s="4"/>
      <c r="EQ1257" s="4"/>
      <c r="ER1257" s="4"/>
      <c r="ES1257" s="4"/>
      <c r="ET1257" s="4"/>
      <c r="EU1257" s="4"/>
      <c r="EV1257" s="4"/>
      <c r="EW1257" s="4"/>
      <c r="EX1257" s="4"/>
      <c r="EY1257" s="4"/>
      <c r="EZ1257" s="4"/>
      <c r="FA1257" s="4"/>
      <c r="FB1257" s="4"/>
      <c r="FC1257" s="4"/>
      <c r="FD1257" s="4"/>
      <c r="FE1257" s="4"/>
      <c r="FF1257" s="4"/>
      <c r="FG1257" s="4"/>
      <c r="FH1257" s="4"/>
      <c r="FI1257" s="4"/>
      <c r="FJ1257" s="4"/>
      <c r="FK1257" s="4"/>
      <c r="FL1257" s="4"/>
      <c r="FM1257" s="4">
        <v>50</v>
      </c>
      <c r="FN1257" s="4"/>
      <c r="FO1257" s="4"/>
      <c r="FP1257" s="4"/>
      <c r="FQ1257" s="4"/>
      <c r="FR1257" s="4"/>
      <c r="FS1257" s="4"/>
      <c r="FT1257" s="4"/>
      <c r="FU1257" s="4"/>
      <c r="FV1257" s="4"/>
      <c r="FW1257" s="4"/>
      <c r="FX1257" s="4"/>
      <c r="FY1257" s="4"/>
      <c r="FZ1257" s="4"/>
      <c r="GA1257" s="4"/>
      <c r="GB1257" s="4"/>
      <c r="GC1257" s="4">
        <v>7</v>
      </c>
      <c r="GD1257" s="4">
        <v>64</v>
      </c>
      <c r="GE1257" s="4"/>
      <c r="GF1257" s="4"/>
      <c r="GG1257" s="4">
        <v>44</v>
      </c>
      <c r="GH1257" s="4">
        <v>6</v>
      </c>
    </row>
    <row r="1258">
      <c r="A1258" s="2" t="s">
        <v>6939</v>
      </c>
      <c r="B1258" s="2" t="s">
        <v>744</v>
      </c>
      <c r="C1258" s="2" t="s">
        <v>745</v>
      </c>
      <c r="D1258" s="2" t="s">
        <v>1275</v>
      </c>
      <c r="E1258" s="2" t="s">
        <v>1276</v>
      </c>
      <c r="F1258" s="2" t="s">
        <v>6929</v>
      </c>
      <c r="G1258" s="2" t="s">
        <v>6929</v>
      </c>
      <c r="H1258" s="2" t="s">
        <v>6929</v>
      </c>
      <c r="I1258" s="2" t="s">
        <v>6930</v>
      </c>
      <c r="J1258" s="2" t="s">
        <v>711</v>
      </c>
      <c r="K1258" s="2" t="s">
        <v>850</v>
      </c>
      <c r="L1258" s="3">
        <v>353.78</v>
      </c>
      <c r="M1258" s="3">
        <v>371.47</v>
      </c>
      <c r="N1258" s="3">
        <v>739</v>
      </c>
      <c r="O1258" s="2" t="s">
        <v>212</v>
      </c>
      <c r="P1258" s="2" t="s">
        <v>802</v>
      </c>
      <c r="Q1258" s="2" t="s">
        <v>206</v>
      </c>
      <c r="R1258" s="2" t="s">
        <v>200</v>
      </c>
      <c r="S1258" s="2" t="s">
        <v>200</v>
      </c>
      <c r="T1258" s="2" t="s">
        <v>200</v>
      </c>
      <c r="U1258" s="2" t="s">
        <v>677</v>
      </c>
      <c r="V1258" s="2" t="s">
        <v>208</v>
      </c>
      <c r="W1258" s="2" t="s">
        <v>712</v>
      </c>
      <c r="X1258" s="2" t="s">
        <v>200</v>
      </c>
      <c r="Y1258" s="2" t="s">
        <v>6940</v>
      </c>
      <c r="Z1258" s="4">
        <v>121</v>
      </c>
      <c r="AA1258" s="4">
        <f>=ROUNDDOWN(151.25,0)</f>
      </c>
      <c r="AB1258" s="5">
        <v>0.8</v>
      </c>
      <c r="AC1258" s="2" t="s">
        <v>114</v>
      </c>
      <c r="AD1258" s="4">
        <v>85</v>
      </c>
      <c r="AE1258" s="4">
        <v>133</v>
      </c>
      <c r="AF1258" s="6"/>
      <c r="AG1258" s="6"/>
      <c r="AH1258" s="7">
        <v>1</v>
      </c>
      <c r="AI1258" s="4"/>
      <c r="AJ1258" s="4">
        <f>=ROUNDDOWN({0},0)</f>
      </c>
      <c r="AK1258" s="5"/>
      <c r="AL1258" s="2" t="s">
        <v>113</v>
      </c>
      <c r="AM1258" s="4">
        <v>3</v>
      </c>
      <c r="AN1258" s="4">
        <v>60</v>
      </c>
      <c r="AO1258" s="7"/>
      <c r="AP1258" s="4"/>
      <c r="AQ1258" s="8"/>
      <c r="AR1258" s="4"/>
      <c r="AS1258" s="8"/>
      <c r="AT1258" s="7"/>
      <c r="AU1258" s="7"/>
      <c r="AV1258" s="4" t="s">
        <v>200</v>
      </c>
      <c r="AW1258" s="8" t="s">
        <v>200</v>
      </c>
      <c r="AX1258" s="4" t="s">
        <v>200</v>
      </c>
      <c r="AY1258" s="8" t="s">
        <v>200</v>
      </c>
      <c r="AZ1258" s="7" t="s">
        <v>200</v>
      </c>
      <c r="BA1258" s="7" t="s">
        <v>200</v>
      </c>
      <c r="BB1258" s="7" t="s">
        <v>200</v>
      </c>
      <c r="BC1258" s="4" t="s">
        <v>200</v>
      </c>
      <c r="BD1258" s="8" t="s">
        <v>200</v>
      </c>
      <c r="BE1258" s="4" t="s">
        <v>200</v>
      </c>
      <c r="BF1258" s="8" t="s">
        <v>200</v>
      </c>
      <c r="BG1258" s="7" t="s">
        <v>200</v>
      </c>
      <c r="BH1258" s="7" t="s">
        <v>200</v>
      </c>
      <c r="BI1258" s="7"/>
      <c r="BJ1258" s="4">
        <v>4</v>
      </c>
      <c r="BK1258" s="8">
        <v>1227.77</v>
      </c>
      <c r="BL1258" s="2" t="s">
        <v>303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6941</v>
      </c>
      <c r="BV1258" s="2" t="s">
        <v>200</v>
      </c>
      <c r="BW1258" s="2" t="s">
        <v>200</v>
      </c>
      <c r="BX1258" s="2" t="s">
        <v>629</v>
      </c>
      <c r="BY1258" s="2" t="s">
        <v>247</v>
      </c>
      <c r="BZ1258" s="2" t="s">
        <v>212</v>
      </c>
      <c r="CA1258" s="2" t="s">
        <v>5706</v>
      </c>
      <c r="CB1258" s="2" t="s">
        <v>200</v>
      </c>
      <c r="CC1258" s="2" t="s">
        <v>213</v>
      </c>
      <c r="CD1258" s="2" t="s">
        <v>200</v>
      </c>
      <c r="CE1258" s="4"/>
      <c r="CF1258" s="4">
        <v>121</v>
      </c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>
        <v>85</v>
      </c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  <c r="DP1258" s="4"/>
      <c r="DQ1258" s="4"/>
      <c r="DR1258" s="4"/>
      <c r="DS1258" s="4"/>
      <c r="DT1258" s="4"/>
      <c r="DU1258" s="4"/>
      <c r="DV1258" s="4"/>
      <c r="DW1258" s="4"/>
      <c r="DX1258" s="4"/>
      <c r="DY1258" s="4"/>
      <c r="DZ1258" s="4"/>
      <c r="EA1258" s="4"/>
      <c r="EB1258" s="4"/>
      <c r="EC1258" s="4"/>
      <c r="ED1258" s="4"/>
      <c r="EE1258" s="4"/>
      <c r="EF1258" s="4">
        <v>23</v>
      </c>
      <c r="EG1258" s="4"/>
      <c r="EH1258" s="4"/>
      <c r="EI1258" s="4"/>
      <c r="EJ1258" s="4"/>
      <c r="EK1258" s="4"/>
      <c r="EL1258" s="4"/>
      <c r="EM1258" s="4"/>
      <c r="EN1258" s="4"/>
      <c r="EO1258" s="4"/>
      <c r="EP1258" s="4"/>
      <c r="EQ1258" s="4"/>
      <c r="ER1258" s="4"/>
      <c r="ES1258" s="4"/>
      <c r="ET1258" s="4"/>
      <c r="EU1258" s="4"/>
      <c r="EV1258" s="4"/>
      <c r="EW1258" s="4"/>
      <c r="EX1258" s="4"/>
      <c r="EY1258" s="4"/>
      <c r="EZ1258" s="4"/>
      <c r="FA1258" s="4"/>
      <c r="FB1258" s="4"/>
      <c r="FC1258" s="4"/>
      <c r="FD1258" s="4"/>
      <c r="FE1258" s="4"/>
      <c r="FF1258" s="4"/>
      <c r="FG1258" s="4"/>
      <c r="FH1258" s="4"/>
      <c r="FI1258" s="4"/>
      <c r="FJ1258" s="4"/>
      <c r="FK1258" s="4"/>
      <c r="FL1258" s="4"/>
      <c r="FM1258" s="4">
        <v>25</v>
      </c>
      <c r="FN1258" s="4"/>
      <c r="FO1258" s="4"/>
      <c r="FP1258" s="4"/>
      <c r="FQ1258" s="4"/>
      <c r="FR1258" s="4"/>
      <c r="FS1258" s="4"/>
      <c r="FT1258" s="4"/>
      <c r="FU1258" s="4"/>
      <c r="FV1258" s="4"/>
      <c r="FW1258" s="4"/>
      <c r="FX1258" s="4"/>
      <c r="FY1258" s="4"/>
      <c r="FZ1258" s="4"/>
      <c r="GA1258" s="4"/>
      <c r="GB1258" s="4"/>
      <c r="GC1258" s="4">
        <v>3</v>
      </c>
      <c r="GD1258" s="4">
        <v>32</v>
      </c>
      <c r="GE1258" s="4"/>
      <c r="GF1258" s="4"/>
      <c r="GG1258" s="4">
        <v>22</v>
      </c>
      <c r="GH1258" s="4">
        <v>3</v>
      </c>
    </row>
    <row r="1259">
      <c r="A1259" s="2" t="s">
        <v>6942</v>
      </c>
      <c r="B1259" s="2" t="s">
        <v>744</v>
      </c>
      <c r="C1259" s="2" t="s">
        <v>745</v>
      </c>
      <c r="D1259" s="2" t="s">
        <v>1275</v>
      </c>
      <c r="E1259" s="2" t="s">
        <v>1276</v>
      </c>
      <c r="F1259" s="2" t="s">
        <v>6929</v>
      </c>
      <c r="G1259" s="2" t="s">
        <v>6929</v>
      </c>
      <c r="H1259" s="2" t="s">
        <v>6929</v>
      </c>
      <c r="I1259" s="2" t="s">
        <v>6930</v>
      </c>
      <c r="J1259" s="2" t="s">
        <v>711</v>
      </c>
      <c r="K1259" s="2" t="s">
        <v>2589</v>
      </c>
      <c r="L1259" s="3">
        <v>353.78</v>
      </c>
      <c r="M1259" s="3">
        <v>371.47</v>
      </c>
      <c r="N1259" s="3">
        <v>739</v>
      </c>
      <c r="O1259" s="2" t="s">
        <v>212</v>
      </c>
      <c r="P1259" s="2" t="s">
        <v>802</v>
      </c>
      <c r="Q1259" s="2" t="s">
        <v>206</v>
      </c>
      <c r="R1259" s="2" t="s">
        <v>200</v>
      </c>
      <c r="S1259" s="2" t="s">
        <v>200</v>
      </c>
      <c r="T1259" s="2" t="s">
        <v>200</v>
      </c>
      <c r="U1259" s="2" t="s">
        <v>677</v>
      </c>
      <c r="V1259" s="2" t="s">
        <v>208</v>
      </c>
      <c r="W1259" s="2" t="s">
        <v>712</v>
      </c>
      <c r="X1259" s="2" t="s">
        <v>200</v>
      </c>
      <c r="Y1259" s="2" t="s">
        <v>6943</v>
      </c>
      <c r="Z1259" s="4">
        <v>191</v>
      </c>
      <c r="AA1259" s="4">
        <f>=ROUNDDOWN(191,0)</f>
      </c>
      <c r="AB1259" s="5">
        <v>1</v>
      </c>
      <c r="AC1259" s="2" t="s">
        <v>3787</v>
      </c>
      <c r="AD1259" s="4">
        <v>20</v>
      </c>
      <c r="AE1259" s="4">
        <v>45</v>
      </c>
      <c r="AF1259" s="6"/>
      <c r="AG1259" s="6"/>
      <c r="AH1259" s="7">
        <v>1</v>
      </c>
      <c r="AI1259" s="4"/>
      <c r="AJ1259" s="4">
        <f>=ROUNDDOWN({0},0)</f>
      </c>
      <c r="AK1259" s="5"/>
      <c r="AL1259" s="2" t="s">
        <v>121</v>
      </c>
      <c r="AM1259" s="4">
        <v>30</v>
      </c>
      <c r="AN1259" s="4">
        <v>55</v>
      </c>
      <c r="AO1259" s="7">
        <v>1</v>
      </c>
      <c r="AP1259" s="4"/>
      <c r="AQ1259" s="8"/>
      <c r="AR1259" s="4"/>
      <c r="AS1259" s="8"/>
      <c r="AT1259" s="7"/>
      <c r="AU1259" s="7"/>
      <c r="AV1259" s="4"/>
      <c r="AW1259" s="8"/>
      <c r="AX1259" s="4"/>
      <c r="AY1259" s="8"/>
      <c r="AZ1259" s="7"/>
      <c r="BA1259" s="7"/>
      <c r="BB1259" s="7"/>
      <c r="BC1259" s="4" t="s">
        <v>200</v>
      </c>
      <c r="BD1259" s="8" t="s">
        <v>200</v>
      </c>
      <c r="BE1259" s="4" t="s">
        <v>200</v>
      </c>
      <c r="BF1259" s="8" t="s">
        <v>200</v>
      </c>
      <c r="BG1259" s="7" t="s">
        <v>200</v>
      </c>
      <c r="BH1259" s="7" t="s">
        <v>200</v>
      </c>
      <c r="BI1259" s="7"/>
      <c r="BJ1259" s="4">
        <v>1</v>
      </c>
      <c r="BK1259" s="8">
        <v>215.69</v>
      </c>
      <c r="BL1259" s="2" t="s">
        <v>303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6944</v>
      </c>
      <c r="BV1259" s="2" t="s">
        <v>200</v>
      </c>
      <c r="BW1259" s="2" t="s">
        <v>200</v>
      </c>
      <c r="BX1259" s="2" t="s">
        <v>629</v>
      </c>
      <c r="BY1259" s="2" t="s">
        <v>247</v>
      </c>
      <c r="BZ1259" s="2" t="s">
        <v>212</v>
      </c>
      <c r="CA1259" s="2" t="s">
        <v>5706</v>
      </c>
      <c r="CB1259" s="2" t="s">
        <v>200</v>
      </c>
      <c r="CC1259" s="2" t="s">
        <v>213</v>
      </c>
      <c r="CD1259" s="2" t="s">
        <v>200</v>
      </c>
      <c r="CE1259" s="4"/>
      <c r="CF1259" s="4">
        <v>142</v>
      </c>
      <c r="CG1259" s="4"/>
      <c r="CH1259" s="4">
        <v>49</v>
      </c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  <c r="DE1259" s="4"/>
      <c r="DF1259" s="4"/>
      <c r="DG1259" s="4"/>
      <c r="DH1259" s="4"/>
      <c r="DI1259" s="4"/>
      <c r="DJ1259" s="4"/>
      <c r="DK1259" s="4"/>
      <c r="DL1259" s="4"/>
      <c r="DM1259" s="4"/>
      <c r="DN1259" s="4"/>
      <c r="DO1259" s="4"/>
      <c r="DP1259" s="4"/>
      <c r="DQ1259" s="4"/>
      <c r="DR1259" s="4"/>
      <c r="DS1259" s="4"/>
      <c r="DT1259" s="4"/>
      <c r="DU1259" s="4"/>
      <c r="DV1259" s="4"/>
      <c r="DW1259" s="4"/>
      <c r="DX1259" s="4"/>
      <c r="DY1259" s="4"/>
      <c r="DZ1259" s="4"/>
      <c r="EA1259" s="4"/>
      <c r="EB1259" s="4"/>
      <c r="EC1259" s="4"/>
      <c r="ED1259" s="4"/>
      <c r="EE1259" s="4"/>
      <c r="EF1259" s="4">
        <v>20</v>
      </c>
      <c r="EG1259" s="4"/>
      <c r="EH1259" s="4"/>
      <c r="EI1259" s="4"/>
      <c r="EJ1259" s="4"/>
      <c r="EK1259" s="4"/>
      <c r="EL1259" s="4"/>
      <c r="EM1259" s="4"/>
      <c r="EN1259" s="4"/>
      <c r="EO1259" s="4"/>
      <c r="EP1259" s="4"/>
      <c r="EQ1259" s="4"/>
      <c r="ER1259" s="4"/>
      <c r="ES1259" s="4">
        <v>25</v>
      </c>
      <c r="ET1259" s="4"/>
      <c r="EU1259" s="4"/>
      <c r="EV1259" s="4"/>
      <c r="EW1259" s="4"/>
      <c r="EX1259" s="4"/>
      <c r="EY1259" s="4"/>
      <c r="EZ1259" s="4"/>
      <c r="FA1259" s="4"/>
      <c r="FB1259" s="4"/>
      <c r="FC1259" s="4"/>
      <c r="FD1259" s="4"/>
      <c r="FE1259" s="4"/>
      <c r="FF1259" s="4"/>
      <c r="FG1259" s="4"/>
      <c r="FH1259" s="4"/>
      <c r="FI1259" s="4"/>
      <c r="FJ1259" s="4"/>
      <c r="FK1259" s="4"/>
      <c r="FL1259" s="4"/>
      <c r="FM1259" s="4"/>
      <c r="FN1259" s="4"/>
      <c r="FO1259" s="4"/>
      <c r="FP1259" s="4"/>
      <c r="FQ1259" s="4"/>
      <c r="FR1259" s="4"/>
      <c r="FS1259" s="4"/>
      <c r="FT1259" s="4"/>
      <c r="FU1259" s="4"/>
      <c r="FV1259" s="4"/>
      <c r="FW1259" s="4"/>
      <c r="FX1259" s="4"/>
      <c r="FY1259" s="4"/>
      <c r="FZ1259" s="4"/>
      <c r="GA1259" s="4"/>
      <c r="GB1259" s="4"/>
      <c r="GC1259" s="4"/>
      <c r="GD1259" s="4">
        <v>30</v>
      </c>
      <c r="GE1259" s="4"/>
      <c r="GF1259" s="4"/>
      <c r="GG1259" s="4">
        <v>25</v>
      </c>
      <c r="GH1259" s="4"/>
    </row>
    <row r="1260">
      <c r="A1260" s="2" t="s">
        <v>6945</v>
      </c>
      <c r="B1260" s="2" t="s">
        <v>992</v>
      </c>
      <c r="C1260" s="2" t="s">
        <v>231</v>
      </c>
      <c r="D1260" s="2" t="s">
        <v>992</v>
      </c>
      <c r="E1260" s="2" t="s">
        <v>992</v>
      </c>
      <c r="F1260" s="2" t="s">
        <v>6929</v>
      </c>
      <c r="G1260" s="2" t="s">
        <v>1012</v>
      </c>
      <c r="H1260" s="2" t="s">
        <v>6946</v>
      </c>
      <c r="I1260" s="2" t="s">
        <v>6947</v>
      </c>
      <c r="J1260" s="2" t="s">
        <v>997</v>
      </c>
      <c r="K1260" s="2" t="s">
        <v>733</v>
      </c>
      <c r="L1260" s="3">
        <v>57.32</v>
      </c>
      <c r="M1260" s="3">
        <v>60.19</v>
      </c>
      <c r="N1260" s="3">
        <v>129.99</v>
      </c>
      <c r="O1260" s="2" t="s">
        <v>460</v>
      </c>
      <c r="P1260" s="2" t="s">
        <v>285</v>
      </c>
      <c r="Q1260" s="2" t="s">
        <v>206</v>
      </c>
      <c r="R1260" s="2" t="s">
        <v>200</v>
      </c>
      <c r="S1260" s="2" t="s">
        <v>200</v>
      </c>
      <c r="T1260" s="2" t="s">
        <v>200</v>
      </c>
      <c r="U1260" s="2" t="s">
        <v>270</v>
      </c>
      <c r="V1260" s="2" t="s">
        <v>724</v>
      </c>
      <c r="W1260" s="2" t="s">
        <v>379</v>
      </c>
      <c r="X1260" s="2" t="s">
        <v>200</v>
      </c>
      <c r="Y1260" s="2" t="s">
        <v>4820</v>
      </c>
      <c r="Z1260" s="4">
        <v>152</v>
      </c>
      <c r="AA1260" s="4">
        <f>=ROUNDDOWN(152,0)</f>
      </c>
      <c r="AB1260" s="5">
        <v>1</v>
      </c>
      <c r="AC1260" s="2" t="s">
        <v>200</v>
      </c>
      <c r="AD1260" s="4"/>
      <c r="AE1260" s="4"/>
      <c r="AF1260" s="6">
        <v>63</v>
      </c>
      <c r="AG1260" s="6"/>
      <c r="AH1260" s="7">
        <v>1</v>
      </c>
      <c r="AI1260" s="4"/>
      <c r="AJ1260" s="4">
        <f>=ROUNDDOWN({0},0)</f>
      </c>
      <c r="AK1260" s="5"/>
      <c r="AL1260" s="2" t="s">
        <v>200</v>
      </c>
      <c r="AM1260" s="4"/>
      <c r="AN1260" s="4"/>
      <c r="AO1260" s="7"/>
      <c r="AP1260" s="4"/>
      <c r="AQ1260" s="8"/>
      <c r="AR1260" s="4"/>
      <c r="AS1260" s="8"/>
      <c r="AT1260" s="7"/>
      <c r="AU1260" s="7"/>
      <c r="AV1260" s="4" t="s">
        <v>200</v>
      </c>
      <c r="AW1260" s="8" t="s">
        <v>200</v>
      </c>
      <c r="AX1260" s="4" t="s">
        <v>200</v>
      </c>
      <c r="AY1260" s="8" t="s">
        <v>200</v>
      </c>
      <c r="AZ1260" s="7" t="s">
        <v>200</v>
      </c>
      <c r="BA1260" s="7" t="s">
        <v>200</v>
      </c>
      <c r="BB1260" s="7"/>
      <c r="BC1260" s="4" t="s">
        <v>200</v>
      </c>
      <c r="BD1260" s="8" t="s">
        <v>200</v>
      </c>
      <c r="BE1260" s="4" t="s">
        <v>200</v>
      </c>
      <c r="BF1260" s="8" t="s">
        <v>200</v>
      </c>
      <c r="BG1260" s="7" t="s">
        <v>200</v>
      </c>
      <c r="BH1260" s="7" t="s">
        <v>200</v>
      </c>
      <c r="BI1260" s="7"/>
      <c r="BJ1260" s="4">
        <v>3</v>
      </c>
      <c r="BK1260" s="8">
        <v>94.8</v>
      </c>
      <c r="BL1260" s="2" t="s">
        <v>6948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6949</v>
      </c>
      <c r="BV1260" s="2" t="s">
        <v>200</v>
      </c>
      <c r="BW1260" s="2" t="s">
        <v>200</v>
      </c>
      <c r="BX1260" s="2" t="s">
        <v>289</v>
      </c>
      <c r="BY1260" s="2" t="s">
        <v>247</v>
      </c>
      <c r="BZ1260" s="2" t="s">
        <v>212</v>
      </c>
      <c r="CA1260" s="2" t="s">
        <v>1008</v>
      </c>
      <c r="CB1260" s="2" t="s">
        <v>5796</v>
      </c>
      <c r="CC1260" s="2" t="s">
        <v>213</v>
      </c>
      <c r="CD1260" s="2" t="s">
        <v>200</v>
      </c>
      <c r="CE1260" s="4"/>
      <c r="CF1260" s="4">
        <v>152</v>
      </c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/>
      <c r="DT1260" s="4"/>
      <c r="DU1260" s="4"/>
      <c r="DV1260" s="4"/>
      <c r="DW1260" s="4"/>
      <c r="DX1260" s="4"/>
      <c r="DY1260" s="4"/>
      <c r="DZ1260" s="4"/>
      <c r="EA1260" s="4"/>
      <c r="EB1260" s="4"/>
      <c r="EC1260" s="4"/>
      <c r="ED1260" s="4"/>
      <c r="EE1260" s="4"/>
      <c r="EF1260" s="4"/>
      <c r="EG1260" s="4"/>
      <c r="EH1260" s="4"/>
      <c r="EI1260" s="4"/>
      <c r="EJ1260" s="4"/>
      <c r="EK1260" s="4"/>
      <c r="EL1260" s="4"/>
      <c r="EM1260" s="4"/>
      <c r="EN1260" s="4"/>
      <c r="EO1260" s="4"/>
      <c r="EP1260" s="4"/>
      <c r="EQ1260" s="4"/>
      <c r="ER1260" s="4"/>
      <c r="ES1260" s="4"/>
      <c r="ET1260" s="4"/>
      <c r="EU1260" s="4"/>
      <c r="EV1260" s="4"/>
      <c r="EW1260" s="4"/>
      <c r="EX1260" s="4"/>
      <c r="EY1260" s="4"/>
      <c r="EZ1260" s="4"/>
      <c r="FA1260" s="4"/>
      <c r="FB1260" s="4"/>
      <c r="FC1260" s="4"/>
      <c r="FD1260" s="4"/>
      <c r="FE1260" s="4"/>
      <c r="FF1260" s="4"/>
      <c r="FG1260" s="4"/>
      <c r="FH1260" s="4"/>
      <c r="FI1260" s="4"/>
      <c r="FJ1260" s="4"/>
      <c r="FK1260" s="4"/>
      <c r="FL1260" s="4"/>
      <c r="FM1260" s="4"/>
      <c r="FN1260" s="4"/>
      <c r="FO1260" s="4"/>
      <c r="FP1260" s="4"/>
      <c r="FQ1260" s="4"/>
      <c r="FR1260" s="4"/>
      <c r="FS1260" s="4"/>
      <c r="FT1260" s="4"/>
      <c r="FU1260" s="4"/>
      <c r="FV1260" s="4"/>
      <c r="FW1260" s="4"/>
      <c r="FX1260" s="4"/>
      <c r="FY1260" s="4"/>
      <c r="FZ1260" s="4"/>
      <c r="GA1260" s="4"/>
      <c r="GB1260" s="4"/>
      <c r="GC1260" s="4"/>
      <c r="GD1260" s="4"/>
      <c r="GE1260" s="4"/>
      <c r="GF1260" s="4"/>
      <c r="GG1260" s="4"/>
      <c r="GH1260" s="4"/>
    </row>
    <row r="1261">
      <c r="A1261" s="2" t="s">
        <v>6950</v>
      </c>
      <c r="B1261" s="2" t="s">
        <v>992</v>
      </c>
      <c r="C1261" s="2" t="s">
        <v>231</v>
      </c>
      <c r="D1261" s="2" t="s">
        <v>992</v>
      </c>
      <c r="E1261" s="2" t="s">
        <v>992</v>
      </c>
      <c r="F1261" s="2" t="s">
        <v>6929</v>
      </c>
      <c r="G1261" s="2" t="s">
        <v>1012</v>
      </c>
      <c r="H1261" s="2" t="s">
        <v>6946</v>
      </c>
      <c r="I1261" s="2" t="s">
        <v>6947</v>
      </c>
      <c r="J1261" s="2" t="s">
        <v>1005</v>
      </c>
      <c r="K1261" s="2" t="s">
        <v>733</v>
      </c>
      <c r="L1261" s="3">
        <v>93.71</v>
      </c>
      <c r="M1261" s="3">
        <v>98.4</v>
      </c>
      <c r="N1261" s="3">
        <v>209.99</v>
      </c>
      <c r="O1261" s="2" t="s">
        <v>460</v>
      </c>
      <c r="P1261" s="2" t="s">
        <v>285</v>
      </c>
      <c r="Q1261" s="2" t="s">
        <v>206</v>
      </c>
      <c r="R1261" s="2" t="s">
        <v>200</v>
      </c>
      <c r="S1261" s="2" t="s">
        <v>200</v>
      </c>
      <c r="T1261" s="2" t="s">
        <v>200</v>
      </c>
      <c r="U1261" s="2" t="s">
        <v>270</v>
      </c>
      <c r="V1261" s="2" t="s">
        <v>724</v>
      </c>
      <c r="W1261" s="2" t="s">
        <v>379</v>
      </c>
      <c r="X1261" s="2" t="s">
        <v>200</v>
      </c>
      <c r="Y1261" s="2" t="s">
        <v>4820</v>
      </c>
      <c r="Z1261" s="4">
        <v>69</v>
      </c>
      <c r="AA1261" s="4">
        <f>=ROUNDDOWN(345,0)</f>
      </c>
      <c r="AB1261" s="5">
        <v>0.2</v>
      </c>
      <c r="AC1261" s="2" t="s">
        <v>200</v>
      </c>
      <c r="AD1261" s="4"/>
      <c r="AE1261" s="4"/>
      <c r="AF1261" s="6">
        <v>63</v>
      </c>
      <c r="AG1261" s="6"/>
      <c r="AH1261" s="7">
        <v>1</v>
      </c>
      <c r="AI1261" s="4"/>
      <c r="AJ1261" s="4">
        <f>=ROUNDDOWN({0},0)</f>
      </c>
      <c r="AK1261" s="5"/>
      <c r="AL1261" s="2" t="s">
        <v>200</v>
      </c>
      <c r="AM1261" s="4"/>
      <c r="AN1261" s="4"/>
      <c r="AO1261" s="7"/>
      <c r="AP1261" s="4"/>
      <c r="AQ1261" s="8"/>
      <c r="AR1261" s="4"/>
      <c r="AS1261" s="8"/>
      <c r="AT1261" s="7"/>
      <c r="AU1261" s="7"/>
      <c r="AV1261" s="4" t="s">
        <v>200</v>
      </c>
      <c r="AW1261" s="8" t="s">
        <v>200</v>
      </c>
      <c r="AX1261" s="4" t="s">
        <v>200</v>
      </c>
      <c r="AY1261" s="8" t="s">
        <v>200</v>
      </c>
      <c r="AZ1261" s="7" t="s">
        <v>200</v>
      </c>
      <c r="BA1261" s="7" t="s">
        <v>200</v>
      </c>
      <c r="BB1261" s="7"/>
      <c r="BC1261" s="4" t="s">
        <v>200</v>
      </c>
      <c r="BD1261" s="8" t="s">
        <v>200</v>
      </c>
      <c r="BE1261" s="4" t="s">
        <v>200</v>
      </c>
      <c r="BF1261" s="8" t="s">
        <v>200</v>
      </c>
      <c r="BG1261" s="7" t="s">
        <v>200</v>
      </c>
      <c r="BH1261" s="7" t="s">
        <v>200</v>
      </c>
      <c r="BI1261" s="7"/>
      <c r="BJ1261" s="4"/>
      <c r="BK1261" s="8"/>
      <c r="BL1261" s="2" t="s">
        <v>6951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6952</v>
      </c>
      <c r="BV1261" s="2" t="s">
        <v>200</v>
      </c>
      <c r="BW1261" s="2" t="s">
        <v>200</v>
      </c>
      <c r="BX1261" s="2" t="s">
        <v>289</v>
      </c>
      <c r="BY1261" s="2" t="s">
        <v>247</v>
      </c>
      <c r="BZ1261" s="2" t="s">
        <v>212</v>
      </c>
      <c r="CA1261" s="2" t="s">
        <v>1008</v>
      </c>
      <c r="CB1261" s="2" t="s">
        <v>6953</v>
      </c>
      <c r="CC1261" s="2" t="s">
        <v>213</v>
      </c>
      <c r="CD1261" s="2" t="s">
        <v>200</v>
      </c>
      <c r="CE1261" s="4"/>
      <c r="CF1261" s="4">
        <v>69</v>
      </c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/>
      <c r="DO1261" s="4"/>
      <c r="DP1261" s="4"/>
      <c r="DQ1261" s="4"/>
      <c r="DR1261" s="4"/>
      <c r="DS1261" s="4"/>
      <c r="DT1261" s="4"/>
      <c r="DU1261" s="4"/>
      <c r="DV1261" s="4"/>
      <c r="DW1261" s="4"/>
      <c r="DX1261" s="4"/>
      <c r="DY1261" s="4"/>
      <c r="DZ1261" s="4"/>
      <c r="EA1261" s="4"/>
      <c r="EB1261" s="4"/>
      <c r="EC1261" s="4"/>
      <c r="ED1261" s="4"/>
      <c r="EE1261" s="4"/>
      <c r="EF1261" s="4"/>
      <c r="EG1261" s="4"/>
      <c r="EH1261" s="4"/>
      <c r="EI1261" s="4"/>
      <c r="EJ1261" s="4"/>
      <c r="EK1261" s="4"/>
      <c r="EL1261" s="4"/>
      <c r="EM1261" s="4"/>
      <c r="EN1261" s="4"/>
      <c r="EO1261" s="4"/>
      <c r="EP1261" s="4"/>
      <c r="EQ1261" s="4"/>
      <c r="ER1261" s="4"/>
      <c r="ES1261" s="4"/>
      <c r="ET1261" s="4"/>
      <c r="EU1261" s="4"/>
      <c r="EV1261" s="4"/>
      <c r="EW1261" s="4"/>
      <c r="EX1261" s="4"/>
      <c r="EY1261" s="4"/>
      <c r="EZ1261" s="4"/>
      <c r="FA1261" s="4"/>
      <c r="FB1261" s="4"/>
      <c r="FC1261" s="4"/>
      <c r="FD1261" s="4"/>
      <c r="FE1261" s="4"/>
      <c r="FF1261" s="4"/>
      <c r="FG1261" s="4"/>
      <c r="FH1261" s="4"/>
      <c r="FI1261" s="4"/>
      <c r="FJ1261" s="4"/>
      <c r="FK1261" s="4"/>
      <c r="FL1261" s="4"/>
      <c r="FM1261" s="4"/>
      <c r="FN1261" s="4"/>
      <c r="FO1261" s="4"/>
      <c r="FP1261" s="4"/>
      <c r="FQ1261" s="4"/>
      <c r="FR1261" s="4"/>
      <c r="FS1261" s="4"/>
      <c r="FT1261" s="4"/>
      <c r="FU1261" s="4"/>
      <c r="FV1261" s="4"/>
      <c r="FW1261" s="4"/>
      <c r="FX1261" s="4"/>
      <c r="FY1261" s="4"/>
      <c r="FZ1261" s="4"/>
      <c r="GA1261" s="4"/>
      <c r="GB1261" s="4"/>
      <c r="GC1261" s="4"/>
      <c r="GD1261" s="4"/>
      <c r="GE1261" s="4"/>
      <c r="GF1261" s="4"/>
      <c r="GG1261" s="4"/>
      <c r="GH1261" s="4"/>
    </row>
    <row r="1262">
      <c r="A1262" s="2" t="s">
        <v>6954</v>
      </c>
      <c r="B1262" s="2" t="s">
        <v>992</v>
      </c>
      <c r="C1262" s="2" t="s">
        <v>231</v>
      </c>
      <c r="D1262" s="2" t="s">
        <v>992</v>
      </c>
      <c r="E1262" s="2" t="s">
        <v>992</v>
      </c>
      <c r="F1262" s="2" t="s">
        <v>6929</v>
      </c>
      <c r="G1262" s="2" t="s">
        <v>1012</v>
      </c>
      <c r="H1262" s="2" t="s">
        <v>6946</v>
      </c>
      <c r="I1262" s="2" t="s">
        <v>6947</v>
      </c>
      <c r="J1262" s="2" t="s">
        <v>1585</v>
      </c>
      <c r="K1262" s="2" t="s">
        <v>733</v>
      </c>
      <c r="L1262" s="3">
        <v>124.04</v>
      </c>
      <c r="M1262" s="3">
        <v>130.24</v>
      </c>
      <c r="N1262" s="3">
        <v>279.99</v>
      </c>
      <c r="O1262" s="2" t="s">
        <v>460</v>
      </c>
      <c r="P1262" s="2" t="s">
        <v>285</v>
      </c>
      <c r="Q1262" s="2" t="s">
        <v>206</v>
      </c>
      <c r="R1262" s="2" t="s">
        <v>200</v>
      </c>
      <c r="S1262" s="2" t="s">
        <v>200</v>
      </c>
      <c r="T1262" s="2" t="s">
        <v>200</v>
      </c>
      <c r="U1262" s="2" t="s">
        <v>270</v>
      </c>
      <c r="V1262" s="2" t="s">
        <v>724</v>
      </c>
      <c r="W1262" s="2" t="s">
        <v>379</v>
      </c>
      <c r="X1262" s="2" t="s">
        <v>200</v>
      </c>
      <c r="Y1262" s="2" t="s">
        <v>4820</v>
      </c>
      <c r="Z1262" s="4">
        <v>20</v>
      </c>
      <c r="AA1262" s="4">
        <f>=ROUNDDOWN(14.2857142857143,0)</f>
      </c>
      <c r="AB1262" s="5">
        <v>1.4</v>
      </c>
      <c r="AC1262" s="2" t="s">
        <v>200</v>
      </c>
      <c r="AD1262" s="4"/>
      <c r="AE1262" s="4"/>
      <c r="AF1262" s="6">
        <v>63</v>
      </c>
      <c r="AG1262" s="6"/>
      <c r="AH1262" s="7">
        <v>1</v>
      </c>
      <c r="AI1262" s="4"/>
      <c r="AJ1262" s="4">
        <f>=ROUNDDOWN({0},0)</f>
      </c>
      <c r="AK1262" s="5"/>
      <c r="AL1262" s="2" t="s">
        <v>200</v>
      </c>
      <c r="AM1262" s="4"/>
      <c r="AN1262" s="4"/>
      <c r="AO1262" s="7"/>
      <c r="AP1262" s="4"/>
      <c r="AQ1262" s="8"/>
      <c r="AR1262" s="4"/>
      <c r="AS1262" s="8"/>
      <c r="AT1262" s="7"/>
      <c r="AU1262" s="7"/>
      <c r="AV1262" s="4" t="s">
        <v>200</v>
      </c>
      <c r="AW1262" s="8" t="s">
        <v>200</v>
      </c>
      <c r="AX1262" s="4" t="s">
        <v>200</v>
      </c>
      <c r="AY1262" s="8" t="s">
        <v>200</v>
      </c>
      <c r="AZ1262" s="7" t="s">
        <v>200</v>
      </c>
      <c r="BA1262" s="7" t="s">
        <v>200</v>
      </c>
      <c r="BB1262" s="7"/>
      <c r="BC1262" s="4" t="s">
        <v>200</v>
      </c>
      <c r="BD1262" s="8" t="s">
        <v>200</v>
      </c>
      <c r="BE1262" s="4" t="s">
        <v>200</v>
      </c>
      <c r="BF1262" s="8" t="s">
        <v>200</v>
      </c>
      <c r="BG1262" s="7" t="s">
        <v>200</v>
      </c>
      <c r="BH1262" s="7" t="s">
        <v>200</v>
      </c>
      <c r="BI1262" s="7"/>
      <c r="BJ1262" s="4"/>
      <c r="BK1262" s="8"/>
      <c r="BL1262" s="2" t="s">
        <v>6955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6956</v>
      </c>
      <c r="BV1262" s="2" t="s">
        <v>200</v>
      </c>
      <c r="BW1262" s="2" t="s">
        <v>200</v>
      </c>
      <c r="BX1262" s="2" t="s">
        <v>289</v>
      </c>
      <c r="BY1262" s="2" t="s">
        <v>247</v>
      </c>
      <c r="BZ1262" s="2" t="s">
        <v>212</v>
      </c>
      <c r="CA1262" s="2" t="s">
        <v>1008</v>
      </c>
      <c r="CB1262" s="2" t="s">
        <v>6957</v>
      </c>
      <c r="CC1262" s="2" t="s">
        <v>213</v>
      </c>
      <c r="CD1262" s="2" t="s">
        <v>200</v>
      </c>
      <c r="CE1262" s="4"/>
      <c r="CF1262" s="4">
        <v>20</v>
      </c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/>
      <c r="DT1262" s="4"/>
      <c r="DU1262" s="4"/>
      <c r="DV1262" s="4"/>
      <c r="DW1262" s="4"/>
      <c r="DX1262" s="4"/>
      <c r="DY1262" s="4"/>
      <c r="DZ1262" s="4"/>
      <c r="EA1262" s="4"/>
      <c r="EB1262" s="4"/>
      <c r="EC1262" s="4"/>
      <c r="ED1262" s="4"/>
      <c r="EE1262" s="4"/>
      <c r="EF1262" s="4"/>
      <c r="EG1262" s="4"/>
      <c r="EH1262" s="4"/>
      <c r="EI1262" s="4"/>
      <c r="EJ1262" s="4"/>
      <c r="EK1262" s="4"/>
      <c r="EL1262" s="4"/>
      <c r="EM1262" s="4"/>
      <c r="EN1262" s="4"/>
      <c r="EO1262" s="4"/>
      <c r="EP1262" s="4"/>
      <c r="EQ1262" s="4"/>
      <c r="ER1262" s="4"/>
      <c r="ES1262" s="4"/>
      <c r="ET1262" s="4"/>
      <c r="EU1262" s="4"/>
      <c r="EV1262" s="4"/>
      <c r="EW1262" s="4"/>
      <c r="EX1262" s="4"/>
      <c r="EY1262" s="4"/>
      <c r="EZ1262" s="4"/>
      <c r="FA1262" s="4"/>
      <c r="FB1262" s="4"/>
      <c r="FC1262" s="4"/>
      <c r="FD1262" s="4"/>
      <c r="FE1262" s="4"/>
      <c r="FF1262" s="4"/>
      <c r="FG1262" s="4"/>
      <c r="FH1262" s="4"/>
      <c r="FI1262" s="4"/>
      <c r="FJ1262" s="4"/>
      <c r="FK1262" s="4"/>
      <c r="FL1262" s="4"/>
      <c r="FM1262" s="4"/>
      <c r="FN1262" s="4"/>
      <c r="FO1262" s="4"/>
      <c r="FP1262" s="4"/>
      <c r="FQ1262" s="4"/>
      <c r="FR1262" s="4"/>
      <c r="FS1262" s="4"/>
      <c r="FT1262" s="4"/>
      <c r="FU1262" s="4"/>
      <c r="FV1262" s="4"/>
      <c r="FW1262" s="4"/>
      <c r="FX1262" s="4"/>
      <c r="FY1262" s="4"/>
      <c r="FZ1262" s="4"/>
      <c r="GA1262" s="4"/>
      <c r="GB1262" s="4"/>
      <c r="GC1262" s="4"/>
      <c r="GD1262" s="4"/>
      <c r="GE1262" s="4"/>
      <c r="GF1262" s="4"/>
      <c r="GG1262" s="4"/>
      <c r="GH1262" s="4"/>
    </row>
    <row r="1263">
      <c r="A1263" s="2" t="s">
        <v>6958</v>
      </c>
      <c r="B1263" s="2" t="s">
        <v>744</v>
      </c>
      <c r="C1263" s="2" t="s">
        <v>745</v>
      </c>
      <c r="D1263" s="2" t="s">
        <v>1275</v>
      </c>
      <c r="E1263" s="2" t="s">
        <v>1276</v>
      </c>
      <c r="F1263" s="2" t="s">
        <v>6929</v>
      </c>
      <c r="G1263" s="2" t="s">
        <v>6929</v>
      </c>
      <c r="H1263" s="2" t="s">
        <v>6929</v>
      </c>
      <c r="I1263" s="2" t="s">
        <v>6930</v>
      </c>
      <c r="J1263" s="2" t="s">
        <v>711</v>
      </c>
      <c r="K1263" s="2" t="s">
        <v>6959</v>
      </c>
      <c r="L1263" s="3">
        <v>353.78</v>
      </c>
      <c r="M1263" s="3">
        <v>371.47</v>
      </c>
      <c r="N1263" s="3">
        <v>739</v>
      </c>
      <c r="O1263" s="2" t="s">
        <v>212</v>
      </c>
      <c r="P1263" s="2" t="s">
        <v>802</v>
      </c>
      <c r="Q1263" s="2" t="s">
        <v>206</v>
      </c>
      <c r="R1263" s="2" t="s">
        <v>200</v>
      </c>
      <c r="S1263" s="2" t="s">
        <v>6960</v>
      </c>
      <c r="T1263" s="2" t="s">
        <v>378</v>
      </c>
      <c r="U1263" s="2" t="s">
        <v>677</v>
      </c>
      <c r="V1263" s="2" t="s">
        <v>208</v>
      </c>
      <c r="W1263" s="2" t="s">
        <v>712</v>
      </c>
      <c r="X1263" s="2" t="s">
        <v>200</v>
      </c>
      <c r="Y1263" s="2" t="s">
        <v>261</v>
      </c>
      <c r="Z1263" s="4">
        <v>99</v>
      </c>
      <c r="AA1263" s="4">
        <f>=ROUNDDOWN({0},0)</f>
      </c>
      <c r="AB1263" s="5"/>
      <c r="AC1263" s="2" t="s">
        <v>3787</v>
      </c>
      <c r="AD1263" s="4">
        <v>50</v>
      </c>
      <c r="AE1263" s="4">
        <v>100</v>
      </c>
      <c r="AF1263" s="6"/>
      <c r="AG1263" s="6"/>
      <c r="AH1263" s="7">
        <v>1</v>
      </c>
      <c r="AI1263" s="4"/>
      <c r="AJ1263" s="4">
        <f>=ROUNDDOWN({0},0)</f>
      </c>
      <c r="AK1263" s="5"/>
      <c r="AL1263" s="2" t="s">
        <v>200</v>
      </c>
      <c r="AM1263" s="4"/>
      <c r="AN1263" s="4"/>
      <c r="AO1263" s="7"/>
      <c r="AP1263" s="4"/>
      <c r="AQ1263" s="8"/>
      <c r="AR1263" s="4"/>
      <c r="AS1263" s="8"/>
      <c r="AT1263" s="7"/>
      <c r="AU1263" s="7"/>
      <c r="AV1263" s="4" t="s">
        <v>200</v>
      </c>
      <c r="AW1263" s="8" t="s">
        <v>200</v>
      </c>
      <c r="AX1263" s="4" t="s">
        <v>200</v>
      </c>
      <c r="AY1263" s="8" t="s">
        <v>200</v>
      </c>
      <c r="AZ1263" s="7" t="s">
        <v>200</v>
      </c>
      <c r="BA1263" s="7" t="s">
        <v>200</v>
      </c>
      <c r="BB1263" s="7" t="s">
        <v>200</v>
      </c>
      <c r="BC1263" s="4" t="s">
        <v>200</v>
      </c>
      <c r="BD1263" s="8" t="s">
        <v>200</v>
      </c>
      <c r="BE1263" s="4" t="s">
        <v>200</v>
      </c>
      <c r="BF1263" s="8" t="s">
        <v>200</v>
      </c>
      <c r="BG1263" s="7" t="s">
        <v>200</v>
      </c>
      <c r="BH1263" s="7" t="s">
        <v>200</v>
      </c>
      <c r="BI1263" s="7"/>
      <c r="BJ1263" s="4"/>
      <c r="BK1263" s="8"/>
      <c r="BL1263" s="2" t="s">
        <v>200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6961</v>
      </c>
      <c r="BV1263" s="2" t="s">
        <v>200</v>
      </c>
      <c r="BW1263" s="2" t="s">
        <v>200</v>
      </c>
      <c r="BX1263" s="2" t="s">
        <v>629</v>
      </c>
      <c r="BY1263" s="2" t="s">
        <v>247</v>
      </c>
      <c r="BZ1263" s="2" t="s">
        <v>212</v>
      </c>
      <c r="CA1263" s="2" t="s">
        <v>5706</v>
      </c>
      <c r="CB1263" s="2" t="s">
        <v>200</v>
      </c>
      <c r="CC1263" s="2" t="s">
        <v>213</v>
      </c>
      <c r="CD1263" s="2" t="s">
        <v>200</v>
      </c>
      <c r="CE1263" s="4"/>
      <c r="CF1263" s="4">
        <v>99</v>
      </c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  <c r="DE1263" s="4"/>
      <c r="DF1263" s="4"/>
      <c r="DG1263" s="4"/>
      <c r="DH1263" s="4"/>
      <c r="DI1263" s="4"/>
      <c r="DJ1263" s="4"/>
      <c r="DK1263" s="4"/>
      <c r="DL1263" s="4"/>
      <c r="DM1263" s="4"/>
      <c r="DN1263" s="4"/>
      <c r="DO1263" s="4"/>
      <c r="DP1263" s="4"/>
      <c r="DQ1263" s="4"/>
      <c r="DR1263" s="4"/>
      <c r="DS1263" s="4"/>
      <c r="DT1263" s="4"/>
      <c r="DU1263" s="4"/>
      <c r="DV1263" s="4"/>
      <c r="DW1263" s="4"/>
      <c r="DX1263" s="4"/>
      <c r="DY1263" s="4"/>
      <c r="DZ1263" s="4"/>
      <c r="EA1263" s="4"/>
      <c r="EB1263" s="4"/>
      <c r="EC1263" s="4"/>
      <c r="ED1263" s="4"/>
      <c r="EE1263" s="4"/>
      <c r="EF1263" s="4">
        <v>50</v>
      </c>
      <c r="EG1263" s="4"/>
      <c r="EH1263" s="4"/>
      <c r="EI1263" s="4"/>
      <c r="EJ1263" s="4"/>
      <c r="EK1263" s="4"/>
      <c r="EL1263" s="4"/>
      <c r="EM1263" s="4"/>
      <c r="EN1263" s="4"/>
      <c r="EO1263" s="4"/>
      <c r="EP1263" s="4"/>
      <c r="EQ1263" s="4"/>
      <c r="ER1263" s="4"/>
      <c r="ES1263" s="4"/>
      <c r="ET1263" s="4"/>
      <c r="EU1263" s="4"/>
      <c r="EV1263" s="4"/>
      <c r="EW1263" s="4"/>
      <c r="EX1263" s="4"/>
      <c r="EY1263" s="4"/>
      <c r="EZ1263" s="4"/>
      <c r="FA1263" s="4"/>
      <c r="FB1263" s="4"/>
      <c r="FC1263" s="4"/>
      <c r="FD1263" s="4"/>
      <c r="FE1263" s="4"/>
      <c r="FF1263" s="4"/>
      <c r="FG1263" s="4"/>
      <c r="FH1263" s="4"/>
      <c r="FI1263" s="4"/>
      <c r="FJ1263" s="4"/>
      <c r="FK1263" s="4"/>
      <c r="FL1263" s="4"/>
      <c r="FM1263" s="4">
        <v>50</v>
      </c>
      <c r="FN1263" s="4"/>
      <c r="FO1263" s="4"/>
      <c r="FP1263" s="4"/>
      <c r="FQ1263" s="4"/>
      <c r="FR1263" s="4"/>
      <c r="FS1263" s="4"/>
      <c r="FT1263" s="4"/>
      <c r="FU1263" s="4"/>
      <c r="FV1263" s="4"/>
      <c r="FW1263" s="4"/>
      <c r="FX1263" s="4"/>
      <c r="FY1263" s="4"/>
      <c r="FZ1263" s="4"/>
      <c r="GA1263" s="4"/>
      <c r="GB1263" s="4"/>
      <c r="GC1263" s="4"/>
      <c r="GD1263" s="4"/>
      <c r="GE1263" s="4"/>
      <c r="GF1263" s="4"/>
      <c r="GG1263" s="4"/>
      <c r="GH1263" s="4"/>
    </row>
    <row r="1264">
      <c r="A1264" s="2" t="s">
        <v>6962</v>
      </c>
      <c r="B1264" s="2" t="s">
        <v>744</v>
      </c>
      <c r="C1264" s="2" t="s">
        <v>745</v>
      </c>
      <c r="D1264" s="2" t="s">
        <v>1275</v>
      </c>
      <c r="E1264" s="2" t="s">
        <v>1276</v>
      </c>
      <c r="F1264" s="2" t="s">
        <v>6929</v>
      </c>
      <c r="G1264" s="2" t="s">
        <v>6929</v>
      </c>
      <c r="H1264" s="2" t="s">
        <v>6929</v>
      </c>
      <c r="I1264" s="2" t="s">
        <v>6933</v>
      </c>
      <c r="J1264" s="2" t="s">
        <v>711</v>
      </c>
      <c r="K1264" s="2" t="s">
        <v>6959</v>
      </c>
      <c r="L1264" s="3">
        <v>180.5</v>
      </c>
      <c r="M1264" s="3">
        <v>189.52</v>
      </c>
      <c r="N1264" s="3">
        <v>379</v>
      </c>
      <c r="O1264" s="2" t="s">
        <v>212</v>
      </c>
      <c r="P1264" s="2" t="s">
        <v>258</v>
      </c>
      <c r="Q1264" s="2" t="s">
        <v>206</v>
      </c>
      <c r="R1264" s="2" t="s">
        <v>200</v>
      </c>
      <c r="S1264" s="2" t="s">
        <v>6960</v>
      </c>
      <c r="T1264" s="2" t="s">
        <v>378</v>
      </c>
      <c r="U1264" s="2" t="s">
        <v>200</v>
      </c>
      <c r="V1264" s="2" t="s">
        <v>208</v>
      </c>
      <c r="W1264" s="2" t="s">
        <v>712</v>
      </c>
      <c r="X1264" s="2" t="s">
        <v>200</v>
      </c>
      <c r="Y1264" s="2" t="s">
        <v>261</v>
      </c>
      <c r="Z1264" s="4">
        <v>198</v>
      </c>
      <c r="AA1264" s="4">
        <f>=ROUNDDOWN(28.2857142857143,0)</f>
      </c>
      <c r="AB1264" s="5">
        <v>7</v>
      </c>
      <c r="AC1264" s="2" t="s">
        <v>3787</v>
      </c>
      <c r="AD1264" s="4">
        <v>100</v>
      </c>
      <c r="AE1264" s="4">
        <v>200</v>
      </c>
      <c r="AF1264" s="6">
        <v>74</v>
      </c>
      <c r="AG1264" s="6">
        <v>60</v>
      </c>
      <c r="AH1264" s="7">
        <v>1</v>
      </c>
      <c r="AI1264" s="4"/>
      <c r="AJ1264" s="4">
        <f>=ROUNDDOWN({0},0)</f>
      </c>
      <c r="AK1264" s="5"/>
      <c r="AL1264" s="2" t="s">
        <v>200</v>
      </c>
      <c r="AM1264" s="4"/>
      <c r="AN1264" s="4"/>
      <c r="AO1264" s="7"/>
      <c r="AP1264" s="4"/>
      <c r="AQ1264" s="8"/>
      <c r="AR1264" s="4"/>
      <c r="AS1264" s="8"/>
      <c r="AT1264" s="7"/>
      <c r="AU1264" s="7"/>
      <c r="AV1264" s="4" t="s">
        <v>200</v>
      </c>
      <c r="AW1264" s="8" t="s">
        <v>200</v>
      </c>
      <c r="AX1264" s="4" t="s">
        <v>200</v>
      </c>
      <c r="AY1264" s="8" t="s">
        <v>200</v>
      </c>
      <c r="AZ1264" s="7" t="s">
        <v>200</v>
      </c>
      <c r="BA1264" s="7" t="s">
        <v>200</v>
      </c>
      <c r="BB1264" s="7" t="s">
        <v>200</v>
      </c>
      <c r="BC1264" s="4" t="s">
        <v>200</v>
      </c>
      <c r="BD1264" s="8" t="s">
        <v>200</v>
      </c>
      <c r="BE1264" s="4" t="s">
        <v>200</v>
      </c>
      <c r="BF1264" s="8" t="s">
        <v>200</v>
      </c>
      <c r="BG1264" s="7" t="s">
        <v>200</v>
      </c>
      <c r="BH1264" s="7" t="s">
        <v>200</v>
      </c>
      <c r="BI1264" s="7"/>
      <c r="BJ1264" s="4">
        <v>28</v>
      </c>
      <c r="BK1264" s="8">
        <v>4115.03</v>
      </c>
      <c r="BL1264" s="2" t="s">
        <v>752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6963</v>
      </c>
      <c r="BV1264" s="2" t="s">
        <v>200</v>
      </c>
      <c r="BW1264" s="2" t="s">
        <v>200</v>
      </c>
      <c r="BX1264" s="2" t="s">
        <v>6304</v>
      </c>
      <c r="BY1264" s="2" t="s">
        <v>247</v>
      </c>
      <c r="BZ1264" s="2" t="s">
        <v>212</v>
      </c>
      <c r="CA1264" s="2" t="s">
        <v>2846</v>
      </c>
      <c r="CB1264" s="2" t="s">
        <v>6964</v>
      </c>
      <c r="CC1264" s="2" t="s">
        <v>213</v>
      </c>
      <c r="CD1264" s="2" t="s">
        <v>200</v>
      </c>
      <c r="CE1264" s="4"/>
      <c r="CF1264" s="4">
        <v>197</v>
      </c>
      <c r="CG1264" s="4"/>
      <c r="CH1264" s="4">
        <v>1</v>
      </c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/>
      <c r="DP1264" s="4"/>
      <c r="DQ1264" s="4"/>
      <c r="DR1264" s="4"/>
      <c r="DS1264" s="4"/>
      <c r="DT1264" s="4"/>
      <c r="DU1264" s="4"/>
      <c r="DV1264" s="4"/>
      <c r="DW1264" s="4"/>
      <c r="DX1264" s="4"/>
      <c r="DY1264" s="4"/>
      <c r="DZ1264" s="4"/>
      <c r="EA1264" s="4"/>
      <c r="EB1264" s="4"/>
      <c r="EC1264" s="4"/>
      <c r="ED1264" s="4"/>
      <c r="EE1264" s="4"/>
      <c r="EF1264" s="4">
        <v>100</v>
      </c>
      <c r="EG1264" s="4"/>
      <c r="EH1264" s="4"/>
      <c r="EI1264" s="4"/>
      <c r="EJ1264" s="4"/>
      <c r="EK1264" s="4"/>
      <c r="EL1264" s="4"/>
      <c r="EM1264" s="4"/>
      <c r="EN1264" s="4"/>
      <c r="EO1264" s="4"/>
      <c r="EP1264" s="4"/>
      <c r="EQ1264" s="4"/>
      <c r="ER1264" s="4"/>
      <c r="ES1264" s="4"/>
      <c r="ET1264" s="4"/>
      <c r="EU1264" s="4"/>
      <c r="EV1264" s="4"/>
      <c r="EW1264" s="4"/>
      <c r="EX1264" s="4"/>
      <c r="EY1264" s="4"/>
      <c r="EZ1264" s="4"/>
      <c r="FA1264" s="4"/>
      <c r="FB1264" s="4"/>
      <c r="FC1264" s="4"/>
      <c r="FD1264" s="4"/>
      <c r="FE1264" s="4"/>
      <c r="FF1264" s="4"/>
      <c r="FG1264" s="4"/>
      <c r="FH1264" s="4"/>
      <c r="FI1264" s="4"/>
      <c r="FJ1264" s="4"/>
      <c r="FK1264" s="4"/>
      <c r="FL1264" s="4"/>
      <c r="FM1264" s="4">
        <v>100</v>
      </c>
      <c r="FN1264" s="4"/>
      <c r="FO1264" s="4"/>
      <c r="FP1264" s="4"/>
      <c r="FQ1264" s="4"/>
      <c r="FR1264" s="4"/>
      <c r="FS1264" s="4"/>
      <c r="FT1264" s="4"/>
      <c r="FU1264" s="4"/>
      <c r="FV1264" s="4"/>
      <c r="FW1264" s="4"/>
      <c r="FX1264" s="4"/>
      <c r="FY1264" s="4"/>
      <c r="FZ1264" s="4"/>
      <c r="GA1264" s="4"/>
      <c r="GB1264" s="4"/>
      <c r="GC1264" s="4"/>
      <c r="GD1264" s="4"/>
      <c r="GE1264" s="4"/>
      <c r="GF1264" s="4"/>
      <c r="GG1264" s="4"/>
      <c r="GH1264" s="4"/>
    </row>
    <row r="1265">
      <c r="A1265" s="2" t="s">
        <v>6965</v>
      </c>
      <c r="B1265" s="2" t="s">
        <v>744</v>
      </c>
      <c r="C1265" s="2" t="s">
        <v>745</v>
      </c>
      <c r="D1265" s="2" t="s">
        <v>1275</v>
      </c>
      <c r="E1265" s="2" t="s">
        <v>1276</v>
      </c>
      <c r="F1265" s="2" t="s">
        <v>6929</v>
      </c>
      <c r="G1265" s="2" t="s">
        <v>6929</v>
      </c>
      <c r="H1265" s="2" t="s">
        <v>6929</v>
      </c>
      <c r="I1265" s="2" t="s">
        <v>6933</v>
      </c>
      <c r="J1265" s="2" t="s">
        <v>711</v>
      </c>
      <c r="K1265" s="2" t="s">
        <v>801</v>
      </c>
      <c r="L1265" s="3">
        <v>180.5</v>
      </c>
      <c r="M1265" s="3">
        <v>189.52</v>
      </c>
      <c r="N1265" s="3">
        <v>379</v>
      </c>
      <c r="O1265" s="2" t="s">
        <v>212</v>
      </c>
      <c r="P1265" s="2" t="s">
        <v>1075</v>
      </c>
      <c r="Q1265" s="2" t="s">
        <v>206</v>
      </c>
      <c r="R1265" s="2" t="s">
        <v>200</v>
      </c>
      <c r="S1265" s="2" t="s">
        <v>200</v>
      </c>
      <c r="T1265" s="2" t="s">
        <v>200</v>
      </c>
      <c r="U1265" s="2" t="s">
        <v>270</v>
      </c>
      <c r="V1265" s="2" t="s">
        <v>208</v>
      </c>
      <c r="W1265" s="2" t="s">
        <v>712</v>
      </c>
      <c r="X1265" s="2" t="s">
        <v>200</v>
      </c>
      <c r="Y1265" s="2" t="s">
        <v>6966</v>
      </c>
      <c r="Z1265" s="4">
        <v>268</v>
      </c>
      <c r="AA1265" s="4">
        <f>=ROUNDDOWN(12.3502304147465,0)</f>
      </c>
      <c r="AB1265" s="5">
        <v>21.7</v>
      </c>
      <c r="AC1265" s="2" t="s">
        <v>122</v>
      </c>
      <c r="AD1265" s="4">
        <v>126</v>
      </c>
      <c r="AE1265" s="4">
        <v>210</v>
      </c>
      <c r="AF1265" s="6">
        <v>74</v>
      </c>
      <c r="AG1265" s="6">
        <v>60</v>
      </c>
      <c r="AH1265" s="7">
        <v>1</v>
      </c>
      <c r="AI1265" s="4"/>
      <c r="AJ1265" s="4">
        <f>=ROUNDDOWN({0},0)</f>
      </c>
      <c r="AK1265" s="5"/>
      <c r="AL1265" s="2" t="s">
        <v>113</v>
      </c>
      <c r="AM1265" s="4">
        <v>57</v>
      </c>
      <c r="AN1265" s="4">
        <v>200</v>
      </c>
      <c r="AO1265" s="7">
        <v>1</v>
      </c>
      <c r="AP1265" s="4"/>
      <c r="AQ1265" s="8"/>
      <c r="AR1265" s="4"/>
      <c r="AS1265" s="8"/>
      <c r="AT1265" s="7"/>
      <c r="AU1265" s="7"/>
      <c r="AV1265" s="4" t="s">
        <v>200</v>
      </c>
      <c r="AW1265" s="8" t="s">
        <v>200</v>
      </c>
      <c r="AX1265" s="4" t="s">
        <v>200</v>
      </c>
      <c r="AY1265" s="8" t="s">
        <v>200</v>
      </c>
      <c r="AZ1265" s="7" t="s">
        <v>200</v>
      </c>
      <c r="BA1265" s="7" t="s">
        <v>200</v>
      </c>
      <c r="BB1265" s="7" t="s">
        <v>200</v>
      </c>
      <c r="BC1265" s="4" t="s">
        <v>200</v>
      </c>
      <c r="BD1265" s="8" t="s">
        <v>200</v>
      </c>
      <c r="BE1265" s="4" t="s">
        <v>200</v>
      </c>
      <c r="BF1265" s="8" t="s">
        <v>200</v>
      </c>
      <c r="BG1265" s="7" t="s">
        <v>200</v>
      </c>
      <c r="BH1265" s="7" t="s">
        <v>200</v>
      </c>
      <c r="BI1265" s="7"/>
      <c r="BJ1265" s="4">
        <v>74</v>
      </c>
      <c r="BK1265" s="8">
        <v>12734.01</v>
      </c>
      <c r="BL1265" s="2" t="s">
        <v>6967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6968</v>
      </c>
      <c r="BV1265" s="2" t="s">
        <v>200</v>
      </c>
      <c r="BW1265" s="2" t="s">
        <v>200</v>
      </c>
      <c r="BX1265" s="2" t="s">
        <v>6304</v>
      </c>
      <c r="BY1265" s="2" t="s">
        <v>247</v>
      </c>
      <c r="BZ1265" s="2" t="s">
        <v>212</v>
      </c>
      <c r="CA1265" s="2" t="s">
        <v>5972</v>
      </c>
      <c r="CB1265" s="2" t="s">
        <v>1552</v>
      </c>
      <c r="CC1265" s="2" t="s">
        <v>213</v>
      </c>
      <c r="CD1265" s="2" t="s">
        <v>200</v>
      </c>
      <c r="CE1265" s="4"/>
      <c r="CF1265" s="4">
        <v>232</v>
      </c>
      <c r="CG1265" s="4"/>
      <c r="CH1265" s="4">
        <v>36</v>
      </c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E1265" s="4"/>
      <c r="DF1265" s="4"/>
      <c r="DG1265" s="4"/>
      <c r="DH1265" s="4"/>
      <c r="DI1265" s="4">
        <v>126</v>
      </c>
      <c r="DJ1265" s="4"/>
      <c r="DK1265" s="4"/>
      <c r="DL1265" s="4"/>
      <c r="DM1265" s="4"/>
      <c r="DN1265" s="4"/>
      <c r="DO1265" s="4"/>
      <c r="DP1265" s="4"/>
      <c r="DQ1265" s="4"/>
      <c r="DR1265" s="4"/>
      <c r="DS1265" s="4"/>
      <c r="DT1265" s="4"/>
      <c r="DU1265" s="4"/>
      <c r="DV1265" s="4"/>
      <c r="DW1265" s="4"/>
      <c r="DX1265" s="4"/>
      <c r="DY1265" s="4"/>
      <c r="DZ1265" s="4"/>
      <c r="EA1265" s="4"/>
      <c r="EB1265" s="4"/>
      <c r="EC1265" s="4"/>
      <c r="ED1265" s="4"/>
      <c r="EE1265" s="4"/>
      <c r="EF1265" s="4"/>
      <c r="EG1265" s="4"/>
      <c r="EH1265" s="4"/>
      <c r="EI1265" s="4"/>
      <c r="EJ1265" s="4"/>
      <c r="EK1265" s="4"/>
      <c r="EL1265" s="4"/>
      <c r="EM1265" s="4"/>
      <c r="EN1265" s="4"/>
      <c r="EO1265" s="4"/>
      <c r="EP1265" s="4"/>
      <c r="EQ1265" s="4"/>
      <c r="ER1265" s="4"/>
      <c r="ES1265" s="4"/>
      <c r="ET1265" s="4"/>
      <c r="EU1265" s="4"/>
      <c r="EV1265" s="4"/>
      <c r="EW1265" s="4"/>
      <c r="EX1265" s="4"/>
      <c r="EY1265" s="4"/>
      <c r="EZ1265" s="4"/>
      <c r="FA1265" s="4"/>
      <c r="FB1265" s="4"/>
      <c r="FC1265" s="4"/>
      <c r="FD1265" s="4"/>
      <c r="FE1265" s="4"/>
      <c r="FF1265" s="4">
        <v>54</v>
      </c>
      <c r="FG1265" s="4"/>
      <c r="FH1265" s="4"/>
      <c r="FI1265" s="4"/>
      <c r="FJ1265" s="4"/>
      <c r="FK1265" s="4"/>
      <c r="FL1265" s="4"/>
      <c r="FM1265" s="4">
        <v>30</v>
      </c>
      <c r="FN1265" s="4"/>
      <c r="FO1265" s="4"/>
      <c r="FP1265" s="4"/>
      <c r="FQ1265" s="4"/>
      <c r="FR1265" s="4"/>
      <c r="FS1265" s="4"/>
      <c r="FT1265" s="4"/>
      <c r="FU1265" s="4"/>
      <c r="FV1265" s="4"/>
      <c r="FW1265" s="4"/>
      <c r="FX1265" s="4"/>
      <c r="FY1265" s="4"/>
      <c r="FZ1265" s="4"/>
      <c r="GA1265" s="4"/>
      <c r="GB1265" s="4"/>
      <c r="GC1265" s="4">
        <v>57</v>
      </c>
      <c r="GD1265" s="4">
        <v>63</v>
      </c>
      <c r="GE1265" s="4"/>
      <c r="GF1265" s="4"/>
      <c r="GG1265" s="4">
        <v>80</v>
      </c>
      <c r="GH1265" s="4"/>
    </row>
    <row r="1266">
      <c r="A1266" s="2" t="s">
        <v>6969</v>
      </c>
      <c r="B1266" s="2" t="s">
        <v>744</v>
      </c>
      <c r="C1266" s="2" t="s">
        <v>745</v>
      </c>
      <c r="D1266" s="2" t="s">
        <v>1275</v>
      </c>
      <c r="E1266" s="2" t="s">
        <v>1276</v>
      </c>
      <c r="F1266" s="2" t="s">
        <v>6929</v>
      </c>
      <c r="G1266" s="2" t="s">
        <v>6929</v>
      </c>
      <c r="H1266" s="2" t="s">
        <v>6929</v>
      </c>
      <c r="I1266" s="2" t="s">
        <v>6930</v>
      </c>
      <c r="J1266" s="2" t="s">
        <v>711</v>
      </c>
      <c r="K1266" s="2" t="s">
        <v>801</v>
      </c>
      <c r="L1266" s="3">
        <v>353.78</v>
      </c>
      <c r="M1266" s="3">
        <v>371.47</v>
      </c>
      <c r="N1266" s="3">
        <v>739</v>
      </c>
      <c r="O1266" s="2" t="s">
        <v>212</v>
      </c>
      <c r="P1266" s="2" t="s">
        <v>802</v>
      </c>
      <c r="Q1266" s="2" t="s">
        <v>206</v>
      </c>
      <c r="R1266" s="2" t="s">
        <v>200</v>
      </c>
      <c r="S1266" s="2" t="s">
        <v>200</v>
      </c>
      <c r="T1266" s="2" t="s">
        <v>200</v>
      </c>
      <c r="U1266" s="2" t="s">
        <v>677</v>
      </c>
      <c r="V1266" s="2" t="s">
        <v>208</v>
      </c>
      <c r="W1266" s="2" t="s">
        <v>712</v>
      </c>
      <c r="X1266" s="2" t="s">
        <v>200</v>
      </c>
      <c r="Y1266" s="2" t="s">
        <v>6970</v>
      </c>
      <c r="Z1266" s="4">
        <v>139</v>
      </c>
      <c r="AA1266" s="4">
        <f>=ROUNDDOWN(695,0)</f>
      </c>
      <c r="AB1266" s="5">
        <v>0.2</v>
      </c>
      <c r="AC1266" s="2" t="s">
        <v>122</v>
      </c>
      <c r="AD1266" s="4">
        <v>63</v>
      </c>
      <c r="AE1266" s="4">
        <v>105</v>
      </c>
      <c r="AF1266" s="6"/>
      <c r="AG1266" s="6"/>
      <c r="AH1266" s="7">
        <v>1</v>
      </c>
      <c r="AI1266" s="4"/>
      <c r="AJ1266" s="4">
        <f>=ROUNDDOWN({0},0)</f>
      </c>
      <c r="AK1266" s="5"/>
      <c r="AL1266" s="2" t="s">
        <v>113</v>
      </c>
      <c r="AM1266" s="4">
        <v>28</v>
      </c>
      <c r="AN1266" s="4">
        <v>99</v>
      </c>
      <c r="AO1266" s="7"/>
      <c r="AP1266" s="4"/>
      <c r="AQ1266" s="8"/>
      <c r="AR1266" s="4"/>
      <c r="AS1266" s="8"/>
      <c r="AT1266" s="7"/>
      <c r="AU1266" s="7"/>
      <c r="AV1266" s="4" t="s">
        <v>200</v>
      </c>
      <c r="AW1266" s="8" t="s">
        <v>200</v>
      </c>
      <c r="AX1266" s="4" t="s">
        <v>200</v>
      </c>
      <c r="AY1266" s="8" t="s">
        <v>200</v>
      </c>
      <c r="AZ1266" s="7" t="s">
        <v>200</v>
      </c>
      <c r="BA1266" s="7" t="s">
        <v>200</v>
      </c>
      <c r="BB1266" s="7" t="s">
        <v>200</v>
      </c>
      <c r="BC1266" s="4" t="s">
        <v>200</v>
      </c>
      <c r="BD1266" s="8" t="s">
        <v>200</v>
      </c>
      <c r="BE1266" s="4" t="s">
        <v>200</v>
      </c>
      <c r="BF1266" s="8" t="s">
        <v>200</v>
      </c>
      <c r="BG1266" s="7" t="s">
        <v>200</v>
      </c>
      <c r="BH1266" s="7" t="s">
        <v>200</v>
      </c>
      <c r="BI1266" s="7"/>
      <c r="BJ1266" s="4">
        <v>2</v>
      </c>
      <c r="BK1266" s="8">
        <v>564.11</v>
      </c>
      <c r="BL1266" s="2" t="s">
        <v>303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6971</v>
      </c>
      <c r="BV1266" s="2" t="s">
        <v>200</v>
      </c>
      <c r="BW1266" s="2" t="s">
        <v>200</v>
      </c>
      <c r="BX1266" s="2" t="s">
        <v>629</v>
      </c>
      <c r="BY1266" s="2" t="s">
        <v>247</v>
      </c>
      <c r="BZ1266" s="2" t="s">
        <v>212</v>
      </c>
      <c r="CA1266" s="2" t="s">
        <v>5706</v>
      </c>
      <c r="CB1266" s="2" t="s">
        <v>200</v>
      </c>
      <c r="CC1266" s="2" t="s">
        <v>213</v>
      </c>
      <c r="CD1266" s="2" t="s">
        <v>200</v>
      </c>
      <c r="CE1266" s="4"/>
      <c r="CF1266" s="4">
        <v>119</v>
      </c>
      <c r="CG1266" s="4"/>
      <c r="CH1266" s="4">
        <v>20</v>
      </c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>
        <v>63</v>
      </c>
      <c r="DJ1266" s="4"/>
      <c r="DK1266" s="4"/>
      <c r="DL1266" s="4"/>
      <c r="DM1266" s="4"/>
      <c r="DN1266" s="4"/>
      <c r="DO1266" s="4"/>
      <c r="DP1266" s="4"/>
      <c r="DQ1266" s="4"/>
      <c r="DR1266" s="4"/>
      <c r="DS1266" s="4"/>
      <c r="DT1266" s="4"/>
      <c r="DU1266" s="4"/>
      <c r="DV1266" s="4"/>
      <c r="DW1266" s="4"/>
      <c r="DX1266" s="4"/>
      <c r="DY1266" s="4"/>
      <c r="DZ1266" s="4"/>
      <c r="EA1266" s="4"/>
      <c r="EB1266" s="4"/>
      <c r="EC1266" s="4"/>
      <c r="ED1266" s="4"/>
      <c r="EE1266" s="4"/>
      <c r="EF1266" s="4"/>
      <c r="EG1266" s="4"/>
      <c r="EH1266" s="4"/>
      <c r="EI1266" s="4"/>
      <c r="EJ1266" s="4"/>
      <c r="EK1266" s="4"/>
      <c r="EL1266" s="4"/>
      <c r="EM1266" s="4"/>
      <c r="EN1266" s="4"/>
      <c r="EO1266" s="4"/>
      <c r="EP1266" s="4"/>
      <c r="EQ1266" s="4"/>
      <c r="ER1266" s="4"/>
      <c r="ES1266" s="4"/>
      <c r="ET1266" s="4"/>
      <c r="EU1266" s="4"/>
      <c r="EV1266" s="4"/>
      <c r="EW1266" s="4"/>
      <c r="EX1266" s="4"/>
      <c r="EY1266" s="4"/>
      <c r="EZ1266" s="4"/>
      <c r="FA1266" s="4"/>
      <c r="FB1266" s="4"/>
      <c r="FC1266" s="4"/>
      <c r="FD1266" s="4"/>
      <c r="FE1266" s="4"/>
      <c r="FF1266" s="4">
        <v>27</v>
      </c>
      <c r="FG1266" s="4"/>
      <c r="FH1266" s="4"/>
      <c r="FI1266" s="4"/>
      <c r="FJ1266" s="4"/>
      <c r="FK1266" s="4"/>
      <c r="FL1266" s="4"/>
      <c r="FM1266" s="4">
        <v>15</v>
      </c>
      <c r="FN1266" s="4"/>
      <c r="FO1266" s="4"/>
      <c r="FP1266" s="4"/>
      <c r="FQ1266" s="4"/>
      <c r="FR1266" s="4"/>
      <c r="FS1266" s="4"/>
      <c r="FT1266" s="4"/>
      <c r="FU1266" s="4"/>
      <c r="FV1266" s="4"/>
      <c r="FW1266" s="4"/>
      <c r="FX1266" s="4"/>
      <c r="FY1266" s="4"/>
      <c r="FZ1266" s="4"/>
      <c r="GA1266" s="4"/>
      <c r="GB1266" s="4"/>
      <c r="GC1266" s="4">
        <v>28</v>
      </c>
      <c r="GD1266" s="4">
        <v>31</v>
      </c>
      <c r="GE1266" s="4"/>
      <c r="GF1266" s="4"/>
      <c r="GG1266" s="4">
        <v>40</v>
      </c>
      <c r="GH1266" s="4"/>
    </row>
    <row r="1267">
      <c r="A1267" s="2" t="s">
        <v>6972</v>
      </c>
      <c r="B1267" s="2" t="s">
        <v>705</v>
      </c>
      <c r="C1267" s="2" t="s">
        <v>1375</v>
      </c>
      <c r="D1267" s="2" t="s">
        <v>817</v>
      </c>
      <c r="E1267" s="2" t="s">
        <v>818</v>
      </c>
      <c r="F1267" s="2" t="s">
        <v>6973</v>
      </c>
      <c r="G1267" s="2" t="s">
        <v>6973</v>
      </c>
      <c r="H1267" s="2" t="s">
        <v>6973</v>
      </c>
      <c r="I1267" s="2" t="s">
        <v>6974</v>
      </c>
      <c r="J1267" s="2" t="s">
        <v>711</v>
      </c>
      <c r="K1267" s="2" t="s">
        <v>237</v>
      </c>
      <c r="L1267" s="3">
        <v>26.78</v>
      </c>
      <c r="M1267" s="3">
        <v>28.12</v>
      </c>
      <c r="N1267" s="3">
        <v>59.99</v>
      </c>
      <c r="O1267" s="2" t="s">
        <v>212</v>
      </c>
      <c r="P1267" s="2" t="s">
        <v>258</v>
      </c>
      <c r="Q1267" s="2" t="s">
        <v>206</v>
      </c>
      <c r="R1267" s="2" t="s">
        <v>200</v>
      </c>
      <c r="S1267" s="2" t="s">
        <v>200</v>
      </c>
      <c r="T1267" s="2" t="s">
        <v>200</v>
      </c>
      <c r="U1267" s="2" t="s">
        <v>270</v>
      </c>
      <c r="V1267" s="2" t="s">
        <v>616</v>
      </c>
      <c r="W1267" s="2" t="s">
        <v>379</v>
      </c>
      <c r="X1267" s="2" t="s">
        <v>200</v>
      </c>
      <c r="Y1267" s="2" t="s">
        <v>1708</v>
      </c>
      <c r="Z1267" s="4">
        <v>79</v>
      </c>
      <c r="AA1267" s="4">
        <f>=ROUNDDOWN(19.75,0)</f>
      </c>
      <c r="AB1267" s="5">
        <v>4</v>
      </c>
      <c r="AC1267" s="2" t="s">
        <v>200</v>
      </c>
      <c r="AD1267" s="4"/>
      <c r="AE1267" s="4"/>
      <c r="AF1267" s="6">
        <v>65</v>
      </c>
      <c r="AG1267" s="6"/>
      <c r="AH1267" s="7">
        <v>1</v>
      </c>
      <c r="AI1267" s="4"/>
      <c r="AJ1267" s="4">
        <f>=ROUNDDOWN({0},0)</f>
      </c>
      <c r="AK1267" s="5"/>
      <c r="AL1267" s="2" t="s">
        <v>200</v>
      </c>
      <c r="AM1267" s="4"/>
      <c r="AN1267" s="4"/>
      <c r="AO1267" s="7"/>
      <c r="AP1267" s="4"/>
      <c r="AQ1267" s="8"/>
      <c r="AR1267" s="4"/>
      <c r="AS1267" s="8"/>
      <c r="AT1267" s="7"/>
      <c r="AU1267" s="7"/>
      <c r="AV1267" s="4"/>
      <c r="AW1267" s="8"/>
      <c r="AX1267" s="4"/>
      <c r="AY1267" s="8"/>
      <c r="AZ1267" s="7"/>
      <c r="BA1267" s="7"/>
      <c r="BB1267" s="7"/>
      <c r="BC1267" s="4" t="s">
        <v>200</v>
      </c>
      <c r="BD1267" s="8" t="s">
        <v>200</v>
      </c>
      <c r="BE1267" s="4" t="s">
        <v>200</v>
      </c>
      <c r="BF1267" s="8" t="s">
        <v>200</v>
      </c>
      <c r="BG1267" s="7" t="s">
        <v>200</v>
      </c>
      <c r="BH1267" s="7" t="s">
        <v>200</v>
      </c>
      <c r="BI1267" s="7"/>
      <c r="BJ1267" s="4">
        <v>21</v>
      </c>
      <c r="BK1267" s="8">
        <v>607.43</v>
      </c>
      <c r="BL1267" s="2" t="s">
        <v>6975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6976</v>
      </c>
      <c r="BV1267" s="2" t="s">
        <v>200</v>
      </c>
      <c r="BW1267" s="2" t="s">
        <v>200</v>
      </c>
      <c r="BX1267" s="2" t="s">
        <v>264</v>
      </c>
      <c r="BY1267" s="2" t="s">
        <v>247</v>
      </c>
      <c r="BZ1267" s="2" t="s">
        <v>212</v>
      </c>
      <c r="CA1267" s="2" t="s">
        <v>1710</v>
      </c>
      <c r="CB1267" s="2" t="s">
        <v>1552</v>
      </c>
      <c r="CC1267" s="2" t="s">
        <v>213</v>
      </c>
      <c r="CD1267" s="2" t="s">
        <v>200</v>
      </c>
      <c r="CE1267" s="4"/>
      <c r="CF1267" s="4">
        <v>79</v>
      </c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  <c r="DE1267" s="4"/>
      <c r="DF1267" s="4"/>
      <c r="DG1267" s="4"/>
      <c r="DH1267" s="4"/>
      <c r="DI1267" s="4"/>
      <c r="DJ1267" s="4"/>
      <c r="DK1267" s="4"/>
      <c r="DL1267" s="4"/>
      <c r="DM1267" s="4"/>
      <c r="DN1267" s="4"/>
      <c r="DO1267" s="4"/>
      <c r="DP1267" s="4"/>
      <c r="DQ1267" s="4"/>
      <c r="DR1267" s="4"/>
      <c r="DS1267" s="4"/>
      <c r="DT1267" s="4"/>
      <c r="DU1267" s="4"/>
      <c r="DV1267" s="4"/>
      <c r="DW1267" s="4"/>
      <c r="DX1267" s="4"/>
      <c r="DY1267" s="4"/>
      <c r="DZ1267" s="4"/>
      <c r="EA1267" s="4"/>
      <c r="EB1267" s="4"/>
      <c r="EC1267" s="4"/>
      <c r="ED1267" s="4"/>
      <c r="EE1267" s="4"/>
      <c r="EF1267" s="4"/>
      <c r="EG1267" s="4"/>
      <c r="EH1267" s="4"/>
      <c r="EI1267" s="4"/>
      <c r="EJ1267" s="4"/>
      <c r="EK1267" s="4"/>
      <c r="EL1267" s="4"/>
      <c r="EM1267" s="4"/>
      <c r="EN1267" s="4"/>
      <c r="EO1267" s="4"/>
      <c r="EP1267" s="4"/>
      <c r="EQ1267" s="4"/>
      <c r="ER1267" s="4"/>
      <c r="ES1267" s="4"/>
      <c r="ET1267" s="4"/>
      <c r="EU1267" s="4"/>
      <c r="EV1267" s="4"/>
      <c r="EW1267" s="4"/>
      <c r="EX1267" s="4"/>
      <c r="EY1267" s="4"/>
      <c r="EZ1267" s="4"/>
      <c r="FA1267" s="4"/>
      <c r="FB1267" s="4"/>
      <c r="FC1267" s="4"/>
      <c r="FD1267" s="4"/>
      <c r="FE1267" s="4"/>
      <c r="FF1267" s="4"/>
      <c r="FG1267" s="4"/>
      <c r="FH1267" s="4"/>
      <c r="FI1267" s="4"/>
      <c r="FJ1267" s="4"/>
      <c r="FK1267" s="4"/>
      <c r="FL1267" s="4"/>
      <c r="FM1267" s="4"/>
      <c r="FN1267" s="4"/>
      <c r="FO1267" s="4"/>
      <c r="FP1267" s="4"/>
      <c r="FQ1267" s="4"/>
      <c r="FR1267" s="4"/>
      <c r="FS1267" s="4"/>
      <c r="FT1267" s="4"/>
      <c r="FU1267" s="4"/>
      <c r="FV1267" s="4"/>
      <c r="FW1267" s="4"/>
      <c r="FX1267" s="4"/>
      <c r="FY1267" s="4"/>
      <c r="FZ1267" s="4"/>
      <c r="GA1267" s="4"/>
      <c r="GB1267" s="4"/>
      <c r="GC1267" s="4"/>
      <c r="GD1267" s="4"/>
      <c r="GE1267" s="4"/>
      <c r="GF1267" s="4"/>
      <c r="GG1267" s="4"/>
      <c r="GH1267" s="4"/>
    </row>
    <row r="1268">
      <c r="A1268" s="2" t="s">
        <v>6977</v>
      </c>
      <c r="B1268" s="2" t="s">
        <v>705</v>
      </c>
      <c r="C1268" s="2" t="s">
        <v>1375</v>
      </c>
      <c r="D1268" s="2" t="s">
        <v>817</v>
      </c>
      <c r="E1268" s="2" t="s">
        <v>818</v>
      </c>
      <c r="F1268" s="2" t="s">
        <v>6973</v>
      </c>
      <c r="G1268" s="2" t="s">
        <v>6973</v>
      </c>
      <c r="H1268" s="2" t="s">
        <v>6973</v>
      </c>
      <c r="I1268" s="2" t="s">
        <v>6974</v>
      </c>
      <c r="J1268" s="2" t="s">
        <v>711</v>
      </c>
      <c r="K1268" s="2" t="s">
        <v>257</v>
      </c>
      <c r="L1268" s="3">
        <v>28.19</v>
      </c>
      <c r="M1268" s="3">
        <v>29.6</v>
      </c>
      <c r="N1268" s="3">
        <v>59.99</v>
      </c>
      <c r="O1268" s="2" t="s">
        <v>212</v>
      </c>
      <c r="P1268" s="2" t="s">
        <v>750</v>
      </c>
      <c r="Q1268" s="2" t="s">
        <v>206</v>
      </c>
      <c r="R1268" s="2" t="s">
        <v>200</v>
      </c>
      <c r="S1268" s="2" t="s">
        <v>200</v>
      </c>
      <c r="T1268" s="2" t="s">
        <v>200</v>
      </c>
      <c r="U1268" s="2" t="s">
        <v>270</v>
      </c>
      <c r="V1268" s="2" t="s">
        <v>616</v>
      </c>
      <c r="W1268" s="2" t="s">
        <v>379</v>
      </c>
      <c r="X1268" s="2" t="s">
        <v>200</v>
      </c>
      <c r="Y1268" s="2" t="s">
        <v>1708</v>
      </c>
      <c r="Z1268" s="4">
        <v>92</v>
      </c>
      <c r="AA1268" s="4">
        <f>=ROUNDDOWN(25.5555555555556,0)</f>
      </c>
      <c r="AB1268" s="5">
        <v>3.6</v>
      </c>
      <c r="AC1268" s="2" t="s">
        <v>200</v>
      </c>
      <c r="AD1268" s="4"/>
      <c r="AE1268" s="4"/>
      <c r="AF1268" s="6">
        <v>65</v>
      </c>
      <c r="AG1268" s="6"/>
      <c r="AH1268" s="7">
        <v>1</v>
      </c>
      <c r="AI1268" s="4"/>
      <c r="AJ1268" s="4">
        <f>=ROUNDDOWN({0},0)</f>
      </c>
      <c r="AK1268" s="5"/>
      <c r="AL1268" s="2" t="s">
        <v>200</v>
      </c>
      <c r="AM1268" s="4"/>
      <c r="AN1268" s="4"/>
      <c r="AO1268" s="7"/>
      <c r="AP1268" s="4"/>
      <c r="AQ1268" s="8"/>
      <c r="AR1268" s="4"/>
      <c r="AS1268" s="8"/>
      <c r="AT1268" s="7"/>
      <c r="AU1268" s="7"/>
      <c r="AV1268" s="4"/>
      <c r="AW1268" s="8"/>
      <c r="AX1268" s="4"/>
      <c r="AY1268" s="8"/>
      <c r="AZ1268" s="7"/>
      <c r="BA1268" s="7"/>
      <c r="BB1268" s="7"/>
      <c r="BC1268" s="4" t="s">
        <v>200</v>
      </c>
      <c r="BD1268" s="8" t="s">
        <v>200</v>
      </c>
      <c r="BE1268" s="4" t="s">
        <v>200</v>
      </c>
      <c r="BF1268" s="8" t="s">
        <v>200</v>
      </c>
      <c r="BG1268" s="7" t="s">
        <v>200</v>
      </c>
      <c r="BH1268" s="7" t="s">
        <v>200</v>
      </c>
      <c r="BI1268" s="7"/>
      <c r="BJ1268" s="4">
        <v>18</v>
      </c>
      <c r="BK1268" s="8">
        <v>530.64</v>
      </c>
      <c r="BL1268" s="2" t="s">
        <v>6978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6979</v>
      </c>
      <c r="BV1268" s="2" t="s">
        <v>200</v>
      </c>
      <c r="BW1268" s="2" t="s">
        <v>200</v>
      </c>
      <c r="BX1268" s="2" t="s">
        <v>264</v>
      </c>
      <c r="BY1268" s="2" t="s">
        <v>247</v>
      </c>
      <c r="BZ1268" s="2" t="s">
        <v>212</v>
      </c>
      <c r="CA1268" s="2" t="s">
        <v>1710</v>
      </c>
      <c r="CB1268" s="2" t="s">
        <v>6980</v>
      </c>
      <c r="CC1268" s="2" t="s">
        <v>213</v>
      </c>
      <c r="CD1268" s="2" t="s">
        <v>200</v>
      </c>
      <c r="CE1268" s="4"/>
      <c r="CF1268" s="4">
        <v>92</v>
      </c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  <c r="DL1268" s="4"/>
      <c r="DM1268" s="4"/>
      <c r="DN1268" s="4"/>
      <c r="DO1268" s="4"/>
      <c r="DP1268" s="4"/>
      <c r="DQ1268" s="4"/>
      <c r="DR1268" s="4"/>
      <c r="DS1268" s="4"/>
      <c r="DT1268" s="4"/>
      <c r="DU1268" s="4"/>
      <c r="DV1268" s="4"/>
      <c r="DW1268" s="4"/>
      <c r="DX1268" s="4"/>
      <c r="DY1268" s="4"/>
      <c r="DZ1268" s="4"/>
      <c r="EA1268" s="4"/>
      <c r="EB1268" s="4"/>
      <c r="EC1268" s="4"/>
      <c r="ED1268" s="4"/>
      <c r="EE1268" s="4"/>
      <c r="EF1268" s="4"/>
      <c r="EG1268" s="4"/>
      <c r="EH1268" s="4"/>
      <c r="EI1268" s="4"/>
      <c r="EJ1268" s="4"/>
      <c r="EK1268" s="4"/>
      <c r="EL1268" s="4"/>
      <c r="EM1268" s="4"/>
      <c r="EN1268" s="4"/>
      <c r="EO1268" s="4"/>
      <c r="EP1268" s="4"/>
      <c r="EQ1268" s="4"/>
      <c r="ER1268" s="4"/>
      <c r="ES1268" s="4"/>
      <c r="ET1268" s="4"/>
      <c r="EU1268" s="4"/>
      <c r="EV1268" s="4"/>
      <c r="EW1268" s="4"/>
      <c r="EX1268" s="4"/>
      <c r="EY1268" s="4"/>
      <c r="EZ1268" s="4"/>
      <c r="FA1268" s="4"/>
      <c r="FB1268" s="4"/>
      <c r="FC1268" s="4"/>
      <c r="FD1268" s="4"/>
      <c r="FE1268" s="4"/>
      <c r="FF1268" s="4"/>
      <c r="FG1268" s="4"/>
      <c r="FH1268" s="4"/>
      <c r="FI1268" s="4"/>
      <c r="FJ1268" s="4"/>
      <c r="FK1268" s="4"/>
      <c r="FL1268" s="4"/>
      <c r="FM1268" s="4"/>
      <c r="FN1268" s="4"/>
      <c r="FO1268" s="4"/>
      <c r="FP1268" s="4"/>
      <c r="FQ1268" s="4"/>
      <c r="FR1268" s="4"/>
      <c r="FS1268" s="4"/>
      <c r="FT1268" s="4"/>
      <c r="FU1268" s="4"/>
      <c r="FV1268" s="4"/>
      <c r="FW1268" s="4"/>
      <c r="FX1268" s="4"/>
      <c r="FY1268" s="4"/>
      <c r="FZ1268" s="4"/>
      <c r="GA1268" s="4"/>
      <c r="GB1268" s="4"/>
      <c r="GC1268" s="4"/>
      <c r="GD1268" s="4"/>
      <c r="GE1268" s="4"/>
      <c r="GF1268" s="4"/>
      <c r="GG1268" s="4"/>
      <c r="GH1268" s="4"/>
    </row>
    <row r="1269">
      <c r="A1269" s="2" t="s">
        <v>6981</v>
      </c>
      <c r="B1269" s="2" t="s">
        <v>903</v>
      </c>
      <c r="C1269" s="2" t="s">
        <v>1759</v>
      </c>
      <c r="D1269" s="2" t="s">
        <v>918</v>
      </c>
      <c r="E1269" s="2" t="s">
        <v>919</v>
      </c>
      <c r="F1269" s="2" t="s">
        <v>6982</v>
      </c>
      <c r="G1269" s="2" t="s">
        <v>6982</v>
      </c>
      <c r="H1269" s="2" t="s">
        <v>6982</v>
      </c>
      <c r="I1269" s="2" t="s">
        <v>6983</v>
      </c>
      <c r="J1269" s="2" t="s">
        <v>612</v>
      </c>
      <c r="K1269" s="2" t="s">
        <v>733</v>
      </c>
      <c r="L1269" s="3">
        <v>59.42</v>
      </c>
      <c r="M1269" s="3">
        <v>62.4</v>
      </c>
      <c r="N1269" s="3">
        <v>129.99</v>
      </c>
      <c r="O1269" s="2" t="s">
        <v>212</v>
      </c>
      <c r="P1269" s="2" t="s">
        <v>205</v>
      </c>
      <c r="Q1269" s="2" t="s">
        <v>206</v>
      </c>
      <c r="R1269" s="2" t="s">
        <v>200</v>
      </c>
      <c r="S1269" s="2" t="s">
        <v>200</v>
      </c>
      <c r="T1269" s="2" t="s">
        <v>312</v>
      </c>
      <c r="U1269" s="2" t="s">
        <v>454</v>
      </c>
      <c r="V1269" s="2" t="s">
        <v>208</v>
      </c>
      <c r="W1269" s="2" t="s">
        <v>200</v>
      </c>
      <c r="X1269" s="2" t="s">
        <v>200</v>
      </c>
      <c r="Y1269" s="2" t="s">
        <v>200</v>
      </c>
      <c r="Z1269" s="4"/>
      <c r="AA1269" s="4">
        <f>=ROUNDDOWN({0},0)</f>
      </c>
      <c r="AB1269" s="5"/>
      <c r="AC1269" s="2" t="s">
        <v>5090</v>
      </c>
      <c r="AD1269" s="4">
        <v>112</v>
      </c>
      <c r="AE1269" s="4">
        <v>112</v>
      </c>
      <c r="AF1269" s="6">
        <v>69</v>
      </c>
      <c r="AG1269" s="6"/>
      <c r="AH1269" s="7"/>
      <c r="AI1269" s="4"/>
      <c r="AJ1269" s="4">
        <f>=ROUNDDOWN({0},0)</f>
      </c>
      <c r="AK1269" s="5"/>
      <c r="AL1269" s="2" t="s">
        <v>200</v>
      </c>
      <c r="AM1269" s="4"/>
      <c r="AN1269" s="4"/>
      <c r="AO1269" s="7"/>
      <c r="AP1269" s="4"/>
      <c r="AQ1269" s="8"/>
      <c r="AR1269" s="4"/>
      <c r="AS1269" s="8"/>
      <c r="AT1269" s="7"/>
      <c r="AU1269" s="7"/>
      <c r="AV1269" s="4" t="s">
        <v>200</v>
      </c>
      <c r="AW1269" s="8" t="s">
        <v>200</v>
      </c>
      <c r="AX1269" s="4" t="s">
        <v>200</v>
      </c>
      <c r="AY1269" s="8" t="s">
        <v>200</v>
      </c>
      <c r="AZ1269" s="7" t="s">
        <v>200</v>
      </c>
      <c r="BA1269" s="7" t="s">
        <v>200</v>
      </c>
      <c r="BB1269" s="7"/>
      <c r="BC1269" s="4" t="s">
        <v>200</v>
      </c>
      <c r="BD1269" s="8" t="s">
        <v>200</v>
      </c>
      <c r="BE1269" s="4" t="s">
        <v>200</v>
      </c>
      <c r="BF1269" s="8" t="s">
        <v>200</v>
      </c>
      <c r="BG1269" s="7" t="s">
        <v>200</v>
      </c>
      <c r="BH1269" s="7" t="s">
        <v>200</v>
      </c>
      <c r="BI1269" s="7"/>
      <c r="BJ1269" s="4"/>
      <c r="BK1269" s="8"/>
      <c r="BL1269" s="2" t="s">
        <v>200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210</v>
      </c>
      <c r="BV1269" s="2" t="s">
        <v>200</v>
      </c>
      <c r="BW1269" s="2" t="s">
        <v>200</v>
      </c>
      <c r="BX1269" s="2" t="s">
        <v>210</v>
      </c>
      <c r="BY1269" s="2" t="s">
        <v>211</v>
      </c>
      <c r="BZ1269" s="2" t="s">
        <v>212</v>
      </c>
      <c r="CA1269" s="2" t="s">
        <v>200</v>
      </c>
      <c r="CB1269" s="2" t="s">
        <v>200</v>
      </c>
      <c r="CC1269" s="2" t="s">
        <v>213</v>
      </c>
      <c r="CD1269" s="2" t="s">
        <v>200</v>
      </c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E1269" s="4"/>
      <c r="DF1269" s="4"/>
      <c r="DG1269" s="4"/>
      <c r="DH1269" s="4"/>
      <c r="DI1269" s="4"/>
      <c r="DJ1269" s="4"/>
      <c r="DK1269" s="4"/>
      <c r="DL1269" s="4"/>
      <c r="DM1269" s="4"/>
      <c r="DN1269" s="4"/>
      <c r="DO1269" s="4"/>
      <c r="DP1269" s="4"/>
      <c r="DQ1269" s="4"/>
      <c r="DR1269" s="4"/>
      <c r="DS1269" s="4"/>
      <c r="DT1269" s="4"/>
      <c r="DU1269" s="4"/>
      <c r="DV1269" s="4"/>
      <c r="DW1269" s="4"/>
      <c r="DX1269" s="4"/>
      <c r="DY1269" s="4"/>
      <c r="DZ1269" s="4"/>
      <c r="EA1269" s="4"/>
      <c r="EB1269" s="4"/>
      <c r="EC1269" s="4"/>
      <c r="ED1269" s="4"/>
      <c r="EE1269" s="4"/>
      <c r="EF1269" s="4"/>
      <c r="EG1269" s="4"/>
      <c r="EH1269" s="4"/>
      <c r="EI1269" s="4"/>
      <c r="EJ1269" s="4"/>
      <c r="EK1269" s="4"/>
      <c r="EL1269" s="4"/>
      <c r="EM1269" s="4"/>
      <c r="EN1269" s="4"/>
      <c r="EO1269" s="4"/>
      <c r="EP1269" s="4"/>
      <c r="EQ1269" s="4"/>
      <c r="ER1269" s="4"/>
      <c r="ES1269" s="4"/>
      <c r="ET1269" s="4"/>
      <c r="EU1269" s="4"/>
      <c r="EV1269" s="4"/>
      <c r="EW1269" s="4"/>
      <c r="EX1269" s="4"/>
      <c r="EY1269" s="4"/>
      <c r="EZ1269" s="4"/>
      <c r="FA1269" s="4"/>
      <c r="FB1269" s="4"/>
      <c r="FC1269" s="4"/>
      <c r="FD1269" s="4"/>
      <c r="FE1269" s="4"/>
      <c r="FF1269" s="4"/>
      <c r="FG1269" s="4"/>
      <c r="FH1269" s="4"/>
      <c r="FI1269" s="4"/>
      <c r="FJ1269" s="4"/>
      <c r="FK1269" s="4"/>
      <c r="FL1269" s="4"/>
      <c r="FM1269" s="4"/>
      <c r="FN1269" s="4"/>
      <c r="FO1269" s="4"/>
      <c r="FP1269" s="4"/>
      <c r="FQ1269" s="4"/>
      <c r="FR1269" s="4"/>
      <c r="FS1269" s="4"/>
      <c r="FT1269" s="4">
        <v>112</v>
      </c>
      <c r="FU1269" s="4"/>
      <c r="FV1269" s="4"/>
      <c r="FW1269" s="4"/>
      <c r="FX1269" s="4"/>
      <c r="FY1269" s="4"/>
      <c r="FZ1269" s="4"/>
      <c r="GA1269" s="4"/>
      <c r="GB1269" s="4"/>
      <c r="GC1269" s="4"/>
      <c r="GD1269" s="4"/>
      <c r="GE1269" s="4"/>
      <c r="GF1269" s="4"/>
      <c r="GG1269" s="4"/>
      <c r="GH1269" s="4"/>
    </row>
    <row r="1270">
      <c r="A1270" s="2" t="s">
        <v>6984</v>
      </c>
      <c r="B1270" s="2" t="s">
        <v>903</v>
      </c>
      <c r="C1270" s="2" t="s">
        <v>1759</v>
      </c>
      <c r="D1270" s="2" t="s">
        <v>608</v>
      </c>
      <c r="E1270" s="2" t="s">
        <v>609</v>
      </c>
      <c r="F1270" s="2" t="s">
        <v>6982</v>
      </c>
      <c r="G1270" s="2" t="s">
        <v>6982</v>
      </c>
      <c r="H1270" s="2" t="s">
        <v>6982</v>
      </c>
      <c r="I1270" s="2" t="s">
        <v>6985</v>
      </c>
      <c r="J1270" s="2" t="s">
        <v>297</v>
      </c>
      <c r="K1270" s="2" t="s">
        <v>733</v>
      </c>
      <c r="L1270" s="3">
        <v>86.85</v>
      </c>
      <c r="M1270" s="3">
        <v>91.2</v>
      </c>
      <c r="N1270" s="3">
        <v>189.99</v>
      </c>
      <c r="O1270" s="2" t="s">
        <v>212</v>
      </c>
      <c r="P1270" s="2" t="s">
        <v>205</v>
      </c>
      <c r="Q1270" s="2" t="s">
        <v>206</v>
      </c>
      <c r="R1270" s="2" t="s">
        <v>200</v>
      </c>
      <c r="S1270" s="2" t="s">
        <v>200</v>
      </c>
      <c r="T1270" s="2" t="s">
        <v>312</v>
      </c>
      <c r="U1270" s="2" t="s">
        <v>240</v>
      </c>
      <c r="V1270" s="2" t="s">
        <v>208</v>
      </c>
      <c r="W1270" s="2" t="s">
        <v>200</v>
      </c>
      <c r="X1270" s="2" t="s">
        <v>200</v>
      </c>
      <c r="Y1270" s="2" t="s">
        <v>200</v>
      </c>
      <c r="Z1270" s="4"/>
      <c r="AA1270" s="4">
        <f>=ROUNDDOWN({0},0)</f>
      </c>
      <c r="AB1270" s="5"/>
      <c r="AC1270" s="2" t="s">
        <v>5090</v>
      </c>
      <c r="AD1270" s="4">
        <v>184</v>
      </c>
      <c r="AE1270" s="4">
        <v>184</v>
      </c>
      <c r="AF1270" s="6">
        <v>69</v>
      </c>
      <c r="AG1270" s="6"/>
      <c r="AH1270" s="7"/>
      <c r="AI1270" s="4"/>
      <c r="AJ1270" s="4">
        <f>=ROUNDDOWN({0},0)</f>
      </c>
      <c r="AK1270" s="5"/>
      <c r="AL1270" s="2" t="s">
        <v>200</v>
      </c>
      <c r="AM1270" s="4"/>
      <c r="AN1270" s="4"/>
      <c r="AO1270" s="7"/>
      <c r="AP1270" s="4"/>
      <c r="AQ1270" s="8"/>
      <c r="AR1270" s="4"/>
      <c r="AS1270" s="8"/>
      <c r="AT1270" s="7"/>
      <c r="AU1270" s="7"/>
      <c r="AV1270" s="4" t="s">
        <v>200</v>
      </c>
      <c r="AW1270" s="8" t="s">
        <v>200</v>
      </c>
      <c r="AX1270" s="4" t="s">
        <v>200</v>
      </c>
      <c r="AY1270" s="8" t="s">
        <v>200</v>
      </c>
      <c r="AZ1270" s="7" t="s">
        <v>200</v>
      </c>
      <c r="BA1270" s="7" t="s">
        <v>200</v>
      </c>
      <c r="BB1270" s="7"/>
      <c r="BC1270" s="4" t="s">
        <v>200</v>
      </c>
      <c r="BD1270" s="8" t="s">
        <v>200</v>
      </c>
      <c r="BE1270" s="4" t="s">
        <v>200</v>
      </c>
      <c r="BF1270" s="8" t="s">
        <v>200</v>
      </c>
      <c r="BG1270" s="7" t="s">
        <v>200</v>
      </c>
      <c r="BH1270" s="7" t="s">
        <v>200</v>
      </c>
      <c r="BI1270" s="7"/>
      <c r="BJ1270" s="4"/>
      <c r="BK1270" s="8"/>
      <c r="BL1270" s="2" t="s">
        <v>200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210</v>
      </c>
      <c r="BV1270" s="2" t="s">
        <v>200</v>
      </c>
      <c r="BW1270" s="2" t="s">
        <v>200</v>
      </c>
      <c r="BX1270" s="2" t="s">
        <v>210</v>
      </c>
      <c r="BY1270" s="2" t="s">
        <v>211</v>
      </c>
      <c r="BZ1270" s="2" t="s">
        <v>212</v>
      </c>
      <c r="CA1270" s="2" t="s">
        <v>200</v>
      </c>
      <c r="CB1270" s="2" t="s">
        <v>200</v>
      </c>
      <c r="CC1270" s="2" t="s">
        <v>213</v>
      </c>
      <c r="CD1270" s="2" t="s">
        <v>200</v>
      </c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/>
      <c r="DL1270" s="4"/>
      <c r="DM1270" s="4"/>
      <c r="DN1270" s="4"/>
      <c r="DO1270" s="4"/>
      <c r="DP1270" s="4"/>
      <c r="DQ1270" s="4"/>
      <c r="DR1270" s="4"/>
      <c r="DS1270" s="4"/>
      <c r="DT1270" s="4"/>
      <c r="DU1270" s="4"/>
      <c r="DV1270" s="4"/>
      <c r="DW1270" s="4"/>
      <c r="DX1270" s="4"/>
      <c r="DY1270" s="4"/>
      <c r="DZ1270" s="4"/>
      <c r="EA1270" s="4"/>
      <c r="EB1270" s="4"/>
      <c r="EC1270" s="4"/>
      <c r="ED1270" s="4"/>
      <c r="EE1270" s="4"/>
      <c r="EF1270" s="4"/>
      <c r="EG1270" s="4"/>
      <c r="EH1270" s="4"/>
      <c r="EI1270" s="4"/>
      <c r="EJ1270" s="4"/>
      <c r="EK1270" s="4"/>
      <c r="EL1270" s="4"/>
      <c r="EM1270" s="4"/>
      <c r="EN1270" s="4"/>
      <c r="EO1270" s="4"/>
      <c r="EP1270" s="4"/>
      <c r="EQ1270" s="4"/>
      <c r="ER1270" s="4"/>
      <c r="ES1270" s="4"/>
      <c r="ET1270" s="4"/>
      <c r="EU1270" s="4"/>
      <c r="EV1270" s="4"/>
      <c r="EW1270" s="4"/>
      <c r="EX1270" s="4"/>
      <c r="EY1270" s="4"/>
      <c r="EZ1270" s="4"/>
      <c r="FA1270" s="4"/>
      <c r="FB1270" s="4"/>
      <c r="FC1270" s="4"/>
      <c r="FD1270" s="4"/>
      <c r="FE1270" s="4"/>
      <c r="FF1270" s="4"/>
      <c r="FG1270" s="4"/>
      <c r="FH1270" s="4"/>
      <c r="FI1270" s="4"/>
      <c r="FJ1270" s="4"/>
      <c r="FK1270" s="4"/>
      <c r="FL1270" s="4"/>
      <c r="FM1270" s="4"/>
      <c r="FN1270" s="4"/>
      <c r="FO1270" s="4"/>
      <c r="FP1270" s="4"/>
      <c r="FQ1270" s="4"/>
      <c r="FR1270" s="4"/>
      <c r="FS1270" s="4"/>
      <c r="FT1270" s="4">
        <v>184</v>
      </c>
      <c r="FU1270" s="4"/>
      <c r="FV1270" s="4"/>
      <c r="FW1270" s="4"/>
      <c r="FX1270" s="4"/>
      <c r="FY1270" s="4"/>
      <c r="FZ1270" s="4"/>
      <c r="GA1270" s="4"/>
      <c r="GB1270" s="4"/>
      <c r="GC1270" s="4"/>
      <c r="GD1270" s="4"/>
      <c r="GE1270" s="4"/>
      <c r="GF1270" s="4"/>
      <c r="GG1270" s="4"/>
      <c r="GH1270" s="4"/>
    </row>
    <row r="1271">
      <c r="A1271" s="2" t="s">
        <v>6986</v>
      </c>
      <c r="B1271" s="2" t="s">
        <v>903</v>
      </c>
      <c r="C1271" s="2" t="s">
        <v>1759</v>
      </c>
      <c r="D1271" s="2" t="s">
        <v>608</v>
      </c>
      <c r="E1271" s="2" t="s">
        <v>609</v>
      </c>
      <c r="F1271" s="2" t="s">
        <v>6982</v>
      </c>
      <c r="G1271" s="2" t="s">
        <v>6982</v>
      </c>
      <c r="H1271" s="2" t="s">
        <v>6982</v>
      </c>
      <c r="I1271" s="2" t="s">
        <v>6985</v>
      </c>
      <c r="J1271" s="2" t="s">
        <v>302</v>
      </c>
      <c r="K1271" s="2" t="s">
        <v>733</v>
      </c>
      <c r="L1271" s="3">
        <v>96</v>
      </c>
      <c r="M1271" s="3">
        <v>100.8</v>
      </c>
      <c r="N1271" s="3">
        <v>209.99</v>
      </c>
      <c r="O1271" s="2" t="s">
        <v>212</v>
      </c>
      <c r="P1271" s="2" t="s">
        <v>205</v>
      </c>
      <c r="Q1271" s="2" t="s">
        <v>206</v>
      </c>
      <c r="R1271" s="2" t="s">
        <v>200</v>
      </c>
      <c r="S1271" s="2" t="s">
        <v>200</v>
      </c>
      <c r="T1271" s="2" t="s">
        <v>312</v>
      </c>
      <c r="U1271" s="2" t="s">
        <v>240</v>
      </c>
      <c r="V1271" s="2" t="s">
        <v>208</v>
      </c>
      <c r="W1271" s="2" t="s">
        <v>200</v>
      </c>
      <c r="X1271" s="2" t="s">
        <v>200</v>
      </c>
      <c r="Y1271" s="2" t="s">
        <v>200</v>
      </c>
      <c r="Z1271" s="4"/>
      <c r="AA1271" s="4">
        <f>=ROUNDDOWN({0},0)</f>
      </c>
      <c r="AB1271" s="5"/>
      <c r="AC1271" s="2" t="s">
        <v>5090</v>
      </c>
      <c r="AD1271" s="4">
        <v>186</v>
      </c>
      <c r="AE1271" s="4">
        <v>186</v>
      </c>
      <c r="AF1271" s="6">
        <v>69</v>
      </c>
      <c r="AG1271" s="6"/>
      <c r="AH1271" s="7"/>
      <c r="AI1271" s="4"/>
      <c r="AJ1271" s="4">
        <f>=ROUNDDOWN({0},0)</f>
      </c>
      <c r="AK1271" s="5"/>
      <c r="AL1271" s="2" t="s">
        <v>200</v>
      </c>
      <c r="AM1271" s="4"/>
      <c r="AN1271" s="4"/>
      <c r="AO1271" s="7"/>
      <c r="AP1271" s="4"/>
      <c r="AQ1271" s="8"/>
      <c r="AR1271" s="4"/>
      <c r="AS1271" s="8"/>
      <c r="AT1271" s="7"/>
      <c r="AU1271" s="7"/>
      <c r="AV1271" s="4" t="s">
        <v>200</v>
      </c>
      <c r="AW1271" s="8" t="s">
        <v>200</v>
      </c>
      <c r="AX1271" s="4" t="s">
        <v>200</v>
      </c>
      <c r="AY1271" s="8" t="s">
        <v>200</v>
      </c>
      <c r="AZ1271" s="7" t="s">
        <v>200</v>
      </c>
      <c r="BA1271" s="7" t="s">
        <v>200</v>
      </c>
      <c r="BB1271" s="7"/>
      <c r="BC1271" s="4" t="s">
        <v>200</v>
      </c>
      <c r="BD1271" s="8" t="s">
        <v>200</v>
      </c>
      <c r="BE1271" s="4" t="s">
        <v>200</v>
      </c>
      <c r="BF1271" s="8" t="s">
        <v>200</v>
      </c>
      <c r="BG1271" s="7" t="s">
        <v>200</v>
      </c>
      <c r="BH1271" s="7" t="s">
        <v>200</v>
      </c>
      <c r="BI1271" s="7"/>
      <c r="BJ1271" s="4"/>
      <c r="BK1271" s="8"/>
      <c r="BL1271" s="2" t="s">
        <v>200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210</v>
      </c>
      <c r="BV1271" s="2" t="s">
        <v>200</v>
      </c>
      <c r="BW1271" s="2" t="s">
        <v>200</v>
      </c>
      <c r="BX1271" s="2" t="s">
        <v>210</v>
      </c>
      <c r="BY1271" s="2" t="s">
        <v>211</v>
      </c>
      <c r="BZ1271" s="2" t="s">
        <v>212</v>
      </c>
      <c r="CA1271" s="2" t="s">
        <v>200</v>
      </c>
      <c r="CB1271" s="2" t="s">
        <v>200</v>
      </c>
      <c r="CC1271" s="2" t="s">
        <v>213</v>
      </c>
      <c r="CD1271" s="2" t="s">
        <v>200</v>
      </c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  <c r="DL1271" s="4"/>
      <c r="DM1271" s="4"/>
      <c r="DN1271" s="4"/>
      <c r="DO1271" s="4"/>
      <c r="DP1271" s="4"/>
      <c r="DQ1271" s="4"/>
      <c r="DR1271" s="4"/>
      <c r="DS1271" s="4"/>
      <c r="DT1271" s="4"/>
      <c r="DU1271" s="4"/>
      <c r="DV1271" s="4"/>
      <c r="DW1271" s="4"/>
      <c r="DX1271" s="4"/>
      <c r="DY1271" s="4"/>
      <c r="DZ1271" s="4"/>
      <c r="EA1271" s="4"/>
      <c r="EB1271" s="4"/>
      <c r="EC1271" s="4"/>
      <c r="ED1271" s="4"/>
      <c r="EE1271" s="4"/>
      <c r="EF1271" s="4"/>
      <c r="EG1271" s="4"/>
      <c r="EH1271" s="4"/>
      <c r="EI1271" s="4"/>
      <c r="EJ1271" s="4"/>
      <c r="EK1271" s="4"/>
      <c r="EL1271" s="4"/>
      <c r="EM1271" s="4"/>
      <c r="EN1271" s="4"/>
      <c r="EO1271" s="4"/>
      <c r="EP1271" s="4"/>
      <c r="EQ1271" s="4"/>
      <c r="ER1271" s="4"/>
      <c r="ES1271" s="4"/>
      <c r="ET1271" s="4"/>
      <c r="EU1271" s="4"/>
      <c r="EV1271" s="4"/>
      <c r="EW1271" s="4"/>
      <c r="EX1271" s="4"/>
      <c r="EY1271" s="4"/>
      <c r="EZ1271" s="4"/>
      <c r="FA1271" s="4"/>
      <c r="FB1271" s="4"/>
      <c r="FC1271" s="4"/>
      <c r="FD1271" s="4"/>
      <c r="FE1271" s="4"/>
      <c r="FF1271" s="4"/>
      <c r="FG1271" s="4"/>
      <c r="FH1271" s="4"/>
      <c r="FI1271" s="4"/>
      <c r="FJ1271" s="4"/>
      <c r="FK1271" s="4"/>
      <c r="FL1271" s="4"/>
      <c r="FM1271" s="4"/>
      <c r="FN1271" s="4"/>
      <c r="FO1271" s="4"/>
      <c r="FP1271" s="4"/>
      <c r="FQ1271" s="4"/>
      <c r="FR1271" s="4"/>
      <c r="FS1271" s="4"/>
      <c r="FT1271" s="4">
        <v>186</v>
      </c>
      <c r="FU1271" s="4"/>
      <c r="FV1271" s="4"/>
      <c r="FW1271" s="4"/>
      <c r="FX1271" s="4"/>
      <c r="FY1271" s="4"/>
      <c r="FZ1271" s="4"/>
      <c r="GA1271" s="4"/>
      <c r="GB1271" s="4"/>
      <c r="GC1271" s="4"/>
      <c r="GD1271" s="4"/>
      <c r="GE1271" s="4"/>
      <c r="GF1271" s="4"/>
      <c r="GG1271" s="4"/>
      <c r="GH1271" s="4"/>
    </row>
    <row r="1272">
      <c r="A1272" s="2" t="s">
        <v>6987</v>
      </c>
      <c r="B1272" s="2" t="s">
        <v>903</v>
      </c>
      <c r="C1272" s="2" t="s">
        <v>1759</v>
      </c>
      <c r="D1272" s="2" t="s">
        <v>918</v>
      </c>
      <c r="E1272" s="2" t="s">
        <v>919</v>
      </c>
      <c r="F1272" s="2" t="s">
        <v>6982</v>
      </c>
      <c r="G1272" s="2" t="s">
        <v>6982</v>
      </c>
      <c r="H1272" s="2" t="s">
        <v>6982</v>
      </c>
      <c r="I1272" s="2" t="s">
        <v>6983</v>
      </c>
      <c r="J1272" s="2" t="s">
        <v>924</v>
      </c>
      <c r="K1272" s="2" t="s">
        <v>733</v>
      </c>
      <c r="L1272" s="3">
        <v>68.57</v>
      </c>
      <c r="M1272" s="3">
        <v>72</v>
      </c>
      <c r="N1272" s="3">
        <v>149.99</v>
      </c>
      <c r="O1272" s="2" t="s">
        <v>212</v>
      </c>
      <c r="P1272" s="2" t="s">
        <v>205</v>
      </c>
      <c r="Q1272" s="2" t="s">
        <v>206</v>
      </c>
      <c r="R1272" s="2" t="s">
        <v>200</v>
      </c>
      <c r="S1272" s="2" t="s">
        <v>200</v>
      </c>
      <c r="T1272" s="2" t="s">
        <v>312</v>
      </c>
      <c r="U1272" s="2" t="s">
        <v>454</v>
      </c>
      <c r="V1272" s="2" t="s">
        <v>208</v>
      </c>
      <c r="W1272" s="2" t="s">
        <v>200</v>
      </c>
      <c r="X1272" s="2" t="s">
        <v>200</v>
      </c>
      <c r="Y1272" s="2" t="s">
        <v>200</v>
      </c>
      <c r="Z1272" s="4"/>
      <c r="AA1272" s="4">
        <f>=ROUNDDOWN({0},0)</f>
      </c>
      <c r="AB1272" s="5"/>
      <c r="AC1272" s="2" t="s">
        <v>5090</v>
      </c>
      <c r="AD1272" s="4">
        <v>132</v>
      </c>
      <c r="AE1272" s="4">
        <v>132</v>
      </c>
      <c r="AF1272" s="6">
        <v>69</v>
      </c>
      <c r="AG1272" s="6"/>
      <c r="AH1272" s="7"/>
      <c r="AI1272" s="4"/>
      <c r="AJ1272" s="4">
        <f>=ROUNDDOWN({0},0)</f>
      </c>
      <c r="AK1272" s="5"/>
      <c r="AL1272" s="2" t="s">
        <v>200</v>
      </c>
      <c r="AM1272" s="4"/>
      <c r="AN1272" s="4"/>
      <c r="AO1272" s="7"/>
      <c r="AP1272" s="4"/>
      <c r="AQ1272" s="8"/>
      <c r="AR1272" s="4"/>
      <c r="AS1272" s="8"/>
      <c r="AT1272" s="7"/>
      <c r="AU1272" s="7"/>
      <c r="AV1272" s="4" t="s">
        <v>200</v>
      </c>
      <c r="AW1272" s="8" t="s">
        <v>200</v>
      </c>
      <c r="AX1272" s="4" t="s">
        <v>200</v>
      </c>
      <c r="AY1272" s="8" t="s">
        <v>200</v>
      </c>
      <c r="AZ1272" s="7" t="s">
        <v>200</v>
      </c>
      <c r="BA1272" s="7" t="s">
        <v>200</v>
      </c>
      <c r="BB1272" s="7"/>
      <c r="BC1272" s="4" t="s">
        <v>200</v>
      </c>
      <c r="BD1272" s="8" t="s">
        <v>200</v>
      </c>
      <c r="BE1272" s="4" t="s">
        <v>200</v>
      </c>
      <c r="BF1272" s="8" t="s">
        <v>200</v>
      </c>
      <c r="BG1272" s="7" t="s">
        <v>200</v>
      </c>
      <c r="BH1272" s="7" t="s">
        <v>200</v>
      </c>
      <c r="BI1272" s="7"/>
      <c r="BJ1272" s="4"/>
      <c r="BK1272" s="8"/>
      <c r="BL1272" s="2" t="s">
        <v>200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210</v>
      </c>
      <c r="BV1272" s="2" t="s">
        <v>200</v>
      </c>
      <c r="BW1272" s="2" t="s">
        <v>200</v>
      </c>
      <c r="BX1272" s="2" t="s">
        <v>210</v>
      </c>
      <c r="BY1272" s="2" t="s">
        <v>211</v>
      </c>
      <c r="BZ1272" s="2" t="s">
        <v>212</v>
      </c>
      <c r="CA1272" s="2" t="s">
        <v>200</v>
      </c>
      <c r="CB1272" s="2" t="s">
        <v>200</v>
      </c>
      <c r="CC1272" s="2" t="s">
        <v>213</v>
      </c>
      <c r="CD1272" s="2" t="s">
        <v>200</v>
      </c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E1272" s="4"/>
      <c r="DF1272" s="4"/>
      <c r="DG1272" s="4"/>
      <c r="DH1272" s="4"/>
      <c r="DI1272" s="4"/>
      <c r="DJ1272" s="4"/>
      <c r="DK1272" s="4"/>
      <c r="DL1272" s="4"/>
      <c r="DM1272" s="4"/>
      <c r="DN1272" s="4"/>
      <c r="DO1272" s="4"/>
      <c r="DP1272" s="4"/>
      <c r="DQ1272" s="4"/>
      <c r="DR1272" s="4"/>
      <c r="DS1272" s="4"/>
      <c r="DT1272" s="4"/>
      <c r="DU1272" s="4"/>
      <c r="DV1272" s="4"/>
      <c r="DW1272" s="4"/>
      <c r="DX1272" s="4"/>
      <c r="DY1272" s="4"/>
      <c r="DZ1272" s="4"/>
      <c r="EA1272" s="4"/>
      <c r="EB1272" s="4"/>
      <c r="EC1272" s="4"/>
      <c r="ED1272" s="4"/>
      <c r="EE1272" s="4"/>
      <c r="EF1272" s="4"/>
      <c r="EG1272" s="4"/>
      <c r="EH1272" s="4"/>
      <c r="EI1272" s="4"/>
      <c r="EJ1272" s="4"/>
      <c r="EK1272" s="4"/>
      <c r="EL1272" s="4"/>
      <c r="EM1272" s="4"/>
      <c r="EN1272" s="4"/>
      <c r="EO1272" s="4"/>
      <c r="EP1272" s="4"/>
      <c r="EQ1272" s="4"/>
      <c r="ER1272" s="4"/>
      <c r="ES1272" s="4"/>
      <c r="ET1272" s="4"/>
      <c r="EU1272" s="4"/>
      <c r="EV1272" s="4"/>
      <c r="EW1272" s="4"/>
      <c r="EX1272" s="4"/>
      <c r="EY1272" s="4"/>
      <c r="EZ1272" s="4"/>
      <c r="FA1272" s="4"/>
      <c r="FB1272" s="4"/>
      <c r="FC1272" s="4"/>
      <c r="FD1272" s="4"/>
      <c r="FE1272" s="4"/>
      <c r="FF1272" s="4"/>
      <c r="FG1272" s="4"/>
      <c r="FH1272" s="4"/>
      <c r="FI1272" s="4"/>
      <c r="FJ1272" s="4"/>
      <c r="FK1272" s="4"/>
      <c r="FL1272" s="4"/>
      <c r="FM1272" s="4"/>
      <c r="FN1272" s="4"/>
      <c r="FO1272" s="4"/>
      <c r="FP1272" s="4"/>
      <c r="FQ1272" s="4"/>
      <c r="FR1272" s="4"/>
      <c r="FS1272" s="4"/>
      <c r="FT1272" s="4">
        <v>132</v>
      </c>
      <c r="FU1272" s="4"/>
      <c r="FV1272" s="4"/>
      <c r="FW1272" s="4"/>
      <c r="FX1272" s="4"/>
      <c r="FY1272" s="4"/>
      <c r="FZ1272" s="4"/>
      <c r="GA1272" s="4"/>
      <c r="GB1272" s="4"/>
      <c r="GC1272" s="4"/>
      <c r="GD1272" s="4"/>
      <c r="GE1272" s="4"/>
      <c r="GF1272" s="4"/>
      <c r="GG1272" s="4"/>
      <c r="GH1272" s="4"/>
    </row>
    <row r="1273">
      <c r="A1273" s="2" t="s">
        <v>6988</v>
      </c>
      <c r="B1273" s="2" t="s">
        <v>903</v>
      </c>
      <c r="C1273" s="2" t="s">
        <v>1759</v>
      </c>
      <c r="D1273" s="2" t="s">
        <v>608</v>
      </c>
      <c r="E1273" s="2" t="s">
        <v>609</v>
      </c>
      <c r="F1273" s="2" t="s">
        <v>6982</v>
      </c>
      <c r="G1273" s="2" t="s">
        <v>6982</v>
      </c>
      <c r="H1273" s="2" t="s">
        <v>6982</v>
      </c>
      <c r="I1273" s="2" t="s">
        <v>6985</v>
      </c>
      <c r="J1273" s="2" t="s">
        <v>236</v>
      </c>
      <c r="K1273" s="2" t="s">
        <v>733</v>
      </c>
      <c r="L1273" s="3">
        <v>96</v>
      </c>
      <c r="M1273" s="3">
        <v>100.8</v>
      </c>
      <c r="N1273" s="3">
        <v>209.99</v>
      </c>
      <c r="O1273" s="2" t="s">
        <v>212</v>
      </c>
      <c r="P1273" s="2" t="s">
        <v>205</v>
      </c>
      <c r="Q1273" s="2" t="s">
        <v>206</v>
      </c>
      <c r="R1273" s="2" t="s">
        <v>200</v>
      </c>
      <c r="S1273" s="2" t="s">
        <v>200</v>
      </c>
      <c r="T1273" s="2" t="s">
        <v>312</v>
      </c>
      <c r="U1273" s="2" t="s">
        <v>240</v>
      </c>
      <c r="V1273" s="2" t="s">
        <v>208</v>
      </c>
      <c r="W1273" s="2" t="s">
        <v>200</v>
      </c>
      <c r="X1273" s="2" t="s">
        <v>200</v>
      </c>
      <c r="Y1273" s="2" t="s">
        <v>200</v>
      </c>
      <c r="Z1273" s="4"/>
      <c r="AA1273" s="4">
        <f>=ROUNDDOWN({0},0)</f>
      </c>
      <c r="AB1273" s="5"/>
      <c r="AC1273" s="2" t="s">
        <v>5090</v>
      </c>
      <c r="AD1273" s="4">
        <v>70</v>
      </c>
      <c r="AE1273" s="4">
        <v>70</v>
      </c>
      <c r="AF1273" s="6">
        <v>69</v>
      </c>
      <c r="AG1273" s="6"/>
      <c r="AH1273" s="7"/>
      <c r="AI1273" s="4"/>
      <c r="AJ1273" s="4">
        <f>=ROUNDDOWN({0},0)</f>
      </c>
      <c r="AK1273" s="5"/>
      <c r="AL1273" s="2" t="s">
        <v>200</v>
      </c>
      <c r="AM1273" s="4"/>
      <c r="AN1273" s="4"/>
      <c r="AO1273" s="7"/>
      <c r="AP1273" s="4"/>
      <c r="AQ1273" s="8"/>
      <c r="AR1273" s="4"/>
      <c r="AS1273" s="8"/>
      <c r="AT1273" s="7"/>
      <c r="AU1273" s="7"/>
      <c r="AV1273" s="4" t="s">
        <v>200</v>
      </c>
      <c r="AW1273" s="8" t="s">
        <v>200</v>
      </c>
      <c r="AX1273" s="4" t="s">
        <v>200</v>
      </c>
      <c r="AY1273" s="8" t="s">
        <v>200</v>
      </c>
      <c r="AZ1273" s="7" t="s">
        <v>200</v>
      </c>
      <c r="BA1273" s="7" t="s">
        <v>200</v>
      </c>
      <c r="BB1273" s="7"/>
      <c r="BC1273" s="4" t="s">
        <v>200</v>
      </c>
      <c r="BD1273" s="8" t="s">
        <v>200</v>
      </c>
      <c r="BE1273" s="4" t="s">
        <v>200</v>
      </c>
      <c r="BF1273" s="8" t="s">
        <v>200</v>
      </c>
      <c r="BG1273" s="7" t="s">
        <v>200</v>
      </c>
      <c r="BH1273" s="7" t="s">
        <v>200</v>
      </c>
      <c r="BI1273" s="7"/>
      <c r="BJ1273" s="4"/>
      <c r="BK1273" s="8"/>
      <c r="BL1273" s="2" t="s">
        <v>200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210</v>
      </c>
      <c r="BV1273" s="2" t="s">
        <v>200</v>
      </c>
      <c r="BW1273" s="2" t="s">
        <v>200</v>
      </c>
      <c r="BX1273" s="2" t="s">
        <v>210</v>
      </c>
      <c r="BY1273" s="2" t="s">
        <v>211</v>
      </c>
      <c r="BZ1273" s="2" t="s">
        <v>212</v>
      </c>
      <c r="CA1273" s="2" t="s">
        <v>200</v>
      </c>
      <c r="CB1273" s="2" t="s">
        <v>200</v>
      </c>
      <c r="CC1273" s="2" t="s">
        <v>213</v>
      </c>
      <c r="CD1273" s="2" t="s">
        <v>200</v>
      </c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E1273" s="4"/>
      <c r="DF1273" s="4"/>
      <c r="DG1273" s="4"/>
      <c r="DH1273" s="4"/>
      <c r="DI1273" s="4"/>
      <c r="DJ1273" s="4"/>
      <c r="DK1273" s="4"/>
      <c r="DL1273" s="4"/>
      <c r="DM1273" s="4"/>
      <c r="DN1273" s="4"/>
      <c r="DO1273" s="4"/>
      <c r="DP1273" s="4"/>
      <c r="DQ1273" s="4"/>
      <c r="DR1273" s="4"/>
      <c r="DS1273" s="4"/>
      <c r="DT1273" s="4"/>
      <c r="DU1273" s="4"/>
      <c r="DV1273" s="4"/>
      <c r="DW1273" s="4"/>
      <c r="DX1273" s="4"/>
      <c r="DY1273" s="4"/>
      <c r="DZ1273" s="4"/>
      <c r="EA1273" s="4"/>
      <c r="EB1273" s="4"/>
      <c r="EC1273" s="4"/>
      <c r="ED1273" s="4"/>
      <c r="EE1273" s="4"/>
      <c r="EF1273" s="4"/>
      <c r="EG1273" s="4"/>
      <c r="EH1273" s="4"/>
      <c r="EI1273" s="4"/>
      <c r="EJ1273" s="4"/>
      <c r="EK1273" s="4"/>
      <c r="EL1273" s="4"/>
      <c r="EM1273" s="4"/>
      <c r="EN1273" s="4"/>
      <c r="EO1273" s="4"/>
      <c r="EP1273" s="4"/>
      <c r="EQ1273" s="4"/>
      <c r="ER1273" s="4"/>
      <c r="ES1273" s="4"/>
      <c r="ET1273" s="4"/>
      <c r="EU1273" s="4"/>
      <c r="EV1273" s="4"/>
      <c r="EW1273" s="4"/>
      <c r="EX1273" s="4"/>
      <c r="EY1273" s="4"/>
      <c r="EZ1273" s="4"/>
      <c r="FA1273" s="4"/>
      <c r="FB1273" s="4"/>
      <c r="FC1273" s="4"/>
      <c r="FD1273" s="4"/>
      <c r="FE1273" s="4"/>
      <c r="FF1273" s="4"/>
      <c r="FG1273" s="4"/>
      <c r="FH1273" s="4"/>
      <c r="FI1273" s="4"/>
      <c r="FJ1273" s="4"/>
      <c r="FK1273" s="4"/>
      <c r="FL1273" s="4"/>
      <c r="FM1273" s="4"/>
      <c r="FN1273" s="4"/>
      <c r="FO1273" s="4"/>
      <c r="FP1273" s="4"/>
      <c r="FQ1273" s="4"/>
      <c r="FR1273" s="4"/>
      <c r="FS1273" s="4"/>
      <c r="FT1273" s="4">
        <v>70</v>
      </c>
      <c r="FU1273" s="4"/>
      <c r="FV1273" s="4"/>
      <c r="FW1273" s="4"/>
      <c r="FX1273" s="4"/>
      <c r="FY1273" s="4"/>
      <c r="FZ1273" s="4"/>
      <c r="GA1273" s="4"/>
      <c r="GB1273" s="4"/>
      <c r="GC1273" s="4"/>
      <c r="GD1273" s="4"/>
      <c r="GE1273" s="4"/>
      <c r="GF1273" s="4"/>
      <c r="GG1273" s="4"/>
      <c r="GH1273" s="4"/>
    </row>
    <row r="1274">
      <c r="A1274" s="2" t="s">
        <v>6989</v>
      </c>
      <c r="B1274" s="2" t="s">
        <v>903</v>
      </c>
      <c r="C1274" s="2" t="s">
        <v>307</v>
      </c>
      <c r="D1274" s="2" t="s">
        <v>608</v>
      </c>
      <c r="E1274" s="2" t="s">
        <v>904</v>
      </c>
      <c r="F1274" s="2" t="s">
        <v>6990</v>
      </c>
      <c r="G1274" s="2" t="s">
        <v>6991</v>
      </c>
      <c r="H1274" s="2" t="s">
        <v>6992</v>
      </c>
      <c r="I1274" s="2" t="s">
        <v>6993</v>
      </c>
      <c r="J1274" s="2" t="s">
        <v>256</v>
      </c>
      <c r="K1274" s="2" t="s">
        <v>221</v>
      </c>
      <c r="L1274" s="3">
        <v>38.09</v>
      </c>
      <c r="M1274" s="3">
        <v>39.99</v>
      </c>
      <c r="N1274" s="3">
        <v>79.99</v>
      </c>
      <c r="O1274" s="2" t="s">
        <v>460</v>
      </c>
      <c r="P1274" s="2" t="s">
        <v>285</v>
      </c>
      <c r="Q1274" s="2" t="s">
        <v>206</v>
      </c>
      <c r="R1274" s="2" t="s">
        <v>200</v>
      </c>
      <c r="S1274" s="2" t="s">
        <v>6994</v>
      </c>
      <c r="T1274" s="2" t="s">
        <v>200</v>
      </c>
      <c r="U1274" s="2" t="s">
        <v>615</v>
      </c>
      <c r="V1274" s="2" t="s">
        <v>208</v>
      </c>
      <c r="W1274" s="2" t="s">
        <v>241</v>
      </c>
      <c r="X1274" s="2" t="s">
        <v>379</v>
      </c>
      <c r="Y1274" s="2" t="s">
        <v>1559</v>
      </c>
      <c r="Z1274" s="4">
        <v>53</v>
      </c>
      <c r="AA1274" s="4">
        <f>=ROUNDDOWN(53,0)</f>
      </c>
      <c r="AB1274" s="5">
        <v>1</v>
      </c>
      <c r="AC1274" s="2" t="s">
        <v>200</v>
      </c>
      <c r="AD1274" s="4"/>
      <c r="AE1274" s="4"/>
      <c r="AF1274" s="6">
        <v>64</v>
      </c>
      <c r="AG1274" s="6"/>
      <c r="AH1274" s="7">
        <v>1</v>
      </c>
      <c r="AI1274" s="4"/>
      <c r="AJ1274" s="4">
        <f>=ROUNDDOWN({0},0)</f>
      </c>
      <c r="AK1274" s="5"/>
      <c r="AL1274" s="2" t="s">
        <v>200</v>
      </c>
      <c r="AM1274" s="4"/>
      <c r="AN1274" s="4"/>
      <c r="AO1274" s="7"/>
      <c r="AP1274" s="4"/>
      <c r="AQ1274" s="8"/>
      <c r="AR1274" s="4"/>
      <c r="AS1274" s="8"/>
      <c r="AT1274" s="7"/>
      <c r="AU1274" s="7"/>
      <c r="AV1274" s="4"/>
      <c r="AW1274" s="8"/>
      <c r="AX1274" s="4"/>
      <c r="AY1274" s="8"/>
      <c r="AZ1274" s="7"/>
      <c r="BA1274" s="7"/>
      <c r="BB1274" s="7"/>
      <c r="BC1274" s="4"/>
      <c r="BD1274" s="8"/>
      <c r="BE1274" s="4"/>
      <c r="BF1274" s="8"/>
      <c r="BG1274" s="7"/>
      <c r="BH1274" s="7"/>
      <c r="BI1274" s="7"/>
      <c r="BJ1274" s="4">
        <v>7</v>
      </c>
      <c r="BK1274" s="8">
        <v>265.13</v>
      </c>
      <c r="BL1274" s="2" t="s">
        <v>6995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6996</v>
      </c>
      <c r="BV1274" s="2" t="s">
        <v>200</v>
      </c>
      <c r="BW1274" s="2" t="s">
        <v>200</v>
      </c>
      <c r="BX1274" s="2" t="s">
        <v>289</v>
      </c>
      <c r="BY1274" s="2" t="s">
        <v>247</v>
      </c>
      <c r="BZ1274" s="2" t="s">
        <v>212</v>
      </c>
      <c r="CA1274" s="2" t="s">
        <v>4670</v>
      </c>
      <c r="CB1274" s="2" t="s">
        <v>6997</v>
      </c>
      <c r="CC1274" s="2" t="s">
        <v>213</v>
      </c>
      <c r="CD1274" s="2" t="s">
        <v>200</v>
      </c>
      <c r="CE1274" s="4">
        <v>53</v>
      </c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E1274" s="4"/>
      <c r="DF1274" s="4"/>
      <c r="DG1274" s="4"/>
      <c r="DH1274" s="4"/>
      <c r="DI1274" s="4"/>
      <c r="DJ1274" s="4"/>
      <c r="DK1274" s="4"/>
      <c r="DL1274" s="4"/>
      <c r="DM1274" s="4"/>
      <c r="DN1274" s="4"/>
      <c r="DO1274" s="4"/>
      <c r="DP1274" s="4"/>
      <c r="DQ1274" s="4"/>
      <c r="DR1274" s="4"/>
      <c r="DS1274" s="4"/>
      <c r="DT1274" s="4"/>
      <c r="DU1274" s="4"/>
      <c r="DV1274" s="4"/>
      <c r="DW1274" s="4"/>
      <c r="DX1274" s="4"/>
      <c r="DY1274" s="4"/>
      <c r="DZ1274" s="4"/>
      <c r="EA1274" s="4"/>
      <c r="EB1274" s="4"/>
      <c r="EC1274" s="4"/>
      <c r="ED1274" s="4"/>
      <c r="EE1274" s="4"/>
      <c r="EF1274" s="4"/>
      <c r="EG1274" s="4"/>
      <c r="EH1274" s="4"/>
      <c r="EI1274" s="4"/>
      <c r="EJ1274" s="4"/>
      <c r="EK1274" s="4"/>
      <c r="EL1274" s="4"/>
      <c r="EM1274" s="4"/>
      <c r="EN1274" s="4"/>
      <c r="EO1274" s="4"/>
      <c r="EP1274" s="4"/>
      <c r="EQ1274" s="4"/>
      <c r="ER1274" s="4"/>
      <c r="ES1274" s="4"/>
      <c r="ET1274" s="4"/>
      <c r="EU1274" s="4"/>
      <c r="EV1274" s="4"/>
      <c r="EW1274" s="4"/>
      <c r="EX1274" s="4"/>
      <c r="EY1274" s="4"/>
      <c r="EZ1274" s="4"/>
      <c r="FA1274" s="4"/>
      <c r="FB1274" s="4"/>
      <c r="FC1274" s="4"/>
      <c r="FD1274" s="4"/>
      <c r="FE1274" s="4"/>
      <c r="FF1274" s="4"/>
      <c r="FG1274" s="4"/>
      <c r="FH1274" s="4"/>
      <c r="FI1274" s="4"/>
      <c r="FJ1274" s="4"/>
      <c r="FK1274" s="4"/>
      <c r="FL1274" s="4"/>
      <c r="FM1274" s="4"/>
      <c r="FN1274" s="4"/>
      <c r="FO1274" s="4"/>
      <c r="FP1274" s="4"/>
      <c r="FQ1274" s="4"/>
      <c r="FR1274" s="4"/>
      <c r="FS1274" s="4"/>
      <c r="FT1274" s="4"/>
      <c r="FU1274" s="4"/>
      <c r="FV1274" s="4"/>
      <c r="FW1274" s="4"/>
      <c r="FX1274" s="4"/>
      <c r="FY1274" s="4"/>
      <c r="FZ1274" s="4"/>
      <c r="GA1274" s="4"/>
      <c r="GB1274" s="4"/>
      <c r="GC1274" s="4"/>
      <c r="GD1274" s="4"/>
      <c r="GE1274" s="4"/>
      <c r="GF1274" s="4"/>
      <c r="GG1274" s="4"/>
      <c r="GH1274" s="4"/>
    </row>
    <row r="1275">
      <c r="A1275" s="2" t="s">
        <v>6998</v>
      </c>
      <c r="B1275" s="2" t="s">
        <v>744</v>
      </c>
      <c r="C1275" s="2" t="s">
        <v>745</v>
      </c>
      <c r="D1275" s="2" t="s">
        <v>1275</v>
      </c>
      <c r="E1275" s="2" t="s">
        <v>2091</v>
      </c>
      <c r="F1275" s="2" t="s">
        <v>6999</v>
      </c>
      <c r="G1275" s="2" t="s">
        <v>6999</v>
      </c>
      <c r="H1275" s="2" t="s">
        <v>6999</v>
      </c>
      <c r="I1275" s="2" t="s">
        <v>2093</v>
      </c>
      <c r="J1275" s="2" t="s">
        <v>711</v>
      </c>
      <c r="K1275" s="2" t="s">
        <v>2163</v>
      </c>
      <c r="L1275" s="3">
        <v>174.8</v>
      </c>
      <c r="M1275" s="3">
        <v>183.54</v>
      </c>
      <c r="N1275" s="3">
        <v>369</v>
      </c>
      <c r="O1275" s="2" t="s">
        <v>212</v>
      </c>
      <c r="P1275" s="2" t="s">
        <v>258</v>
      </c>
      <c r="Q1275" s="2" t="s">
        <v>206</v>
      </c>
      <c r="R1275" s="2" t="s">
        <v>200</v>
      </c>
      <c r="S1275" s="2" t="s">
        <v>200</v>
      </c>
      <c r="T1275" s="2" t="s">
        <v>200</v>
      </c>
      <c r="U1275" s="2" t="s">
        <v>270</v>
      </c>
      <c r="V1275" s="2" t="s">
        <v>208</v>
      </c>
      <c r="W1275" s="2" t="s">
        <v>712</v>
      </c>
      <c r="X1275" s="2" t="s">
        <v>200</v>
      </c>
      <c r="Y1275" s="2" t="s">
        <v>7000</v>
      </c>
      <c r="Z1275" s="4">
        <v>192</v>
      </c>
      <c r="AA1275" s="4">
        <f>=ROUNDDOWN(32,0)</f>
      </c>
      <c r="AB1275" s="5">
        <v>6</v>
      </c>
      <c r="AC1275" s="2" t="s">
        <v>1141</v>
      </c>
      <c r="AD1275" s="4">
        <v>100</v>
      </c>
      <c r="AE1275" s="4">
        <v>200</v>
      </c>
      <c r="AF1275" s="6">
        <v>66</v>
      </c>
      <c r="AG1275" s="6"/>
      <c r="AH1275" s="7">
        <v>1</v>
      </c>
      <c r="AI1275" s="4"/>
      <c r="AJ1275" s="4">
        <f>=ROUNDDOWN({0},0)</f>
      </c>
      <c r="AK1275" s="5"/>
      <c r="AL1275" s="2" t="s">
        <v>200</v>
      </c>
      <c r="AM1275" s="4"/>
      <c r="AN1275" s="4"/>
      <c r="AO1275" s="7"/>
      <c r="AP1275" s="4"/>
      <c r="AQ1275" s="8"/>
      <c r="AR1275" s="4"/>
      <c r="AS1275" s="8"/>
      <c r="AT1275" s="7"/>
      <c r="AU1275" s="7"/>
      <c r="AV1275" s="4"/>
      <c r="AW1275" s="8"/>
      <c r="AX1275" s="4"/>
      <c r="AY1275" s="8"/>
      <c r="AZ1275" s="7"/>
      <c r="BA1275" s="7"/>
      <c r="BB1275" s="7"/>
      <c r="BC1275" s="4"/>
      <c r="BD1275" s="8"/>
      <c r="BE1275" s="4"/>
      <c r="BF1275" s="8"/>
      <c r="BG1275" s="7"/>
      <c r="BH1275" s="7"/>
      <c r="BI1275" s="7"/>
      <c r="BJ1275" s="4">
        <v>8</v>
      </c>
      <c r="BK1275" s="8">
        <v>1309.01</v>
      </c>
      <c r="BL1275" s="2" t="s">
        <v>7001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7002</v>
      </c>
      <c r="BV1275" s="2" t="s">
        <v>200</v>
      </c>
      <c r="BW1275" s="2" t="s">
        <v>200</v>
      </c>
      <c r="BX1275" s="2" t="s">
        <v>264</v>
      </c>
      <c r="BY1275" s="2" t="s">
        <v>247</v>
      </c>
      <c r="BZ1275" s="2" t="s">
        <v>212</v>
      </c>
      <c r="CA1275" s="2" t="s">
        <v>2310</v>
      </c>
      <c r="CB1275" s="2" t="s">
        <v>7003</v>
      </c>
      <c r="CC1275" s="2" t="s">
        <v>213</v>
      </c>
      <c r="CD1275" s="2" t="s">
        <v>200</v>
      </c>
      <c r="CE1275" s="4"/>
      <c r="CF1275" s="4">
        <v>192</v>
      </c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E1275" s="4"/>
      <c r="DF1275" s="4"/>
      <c r="DG1275" s="4"/>
      <c r="DH1275" s="4"/>
      <c r="DI1275" s="4"/>
      <c r="DJ1275" s="4"/>
      <c r="DK1275" s="4"/>
      <c r="DL1275" s="4"/>
      <c r="DM1275" s="4"/>
      <c r="DN1275" s="4"/>
      <c r="DO1275" s="4"/>
      <c r="DP1275" s="4"/>
      <c r="DQ1275" s="4"/>
      <c r="DR1275" s="4"/>
      <c r="DS1275" s="4"/>
      <c r="DT1275" s="4"/>
      <c r="DU1275" s="4">
        <v>100</v>
      </c>
      <c r="DV1275" s="4"/>
      <c r="DW1275" s="4"/>
      <c r="DX1275" s="4"/>
      <c r="DY1275" s="4"/>
      <c r="DZ1275" s="4"/>
      <c r="EA1275" s="4"/>
      <c r="EB1275" s="4"/>
      <c r="EC1275" s="4"/>
      <c r="ED1275" s="4"/>
      <c r="EE1275" s="4"/>
      <c r="EF1275" s="4"/>
      <c r="EG1275" s="4"/>
      <c r="EH1275" s="4"/>
      <c r="EI1275" s="4"/>
      <c r="EJ1275" s="4"/>
      <c r="EK1275" s="4"/>
      <c r="EL1275" s="4"/>
      <c r="EM1275" s="4"/>
      <c r="EN1275" s="4"/>
      <c r="EO1275" s="4"/>
      <c r="EP1275" s="4"/>
      <c r="EQ1275" s="4"/>
      <c r="ER1275" s="4"/>
      <c r="ES1275" s="4"/>
      <c r="ET1275" s="4"/>
      <c r="EU1275" s="4"/>
      <c r="EV1275" s="4"/>
      <c r="EW1275" s="4"/>
      <c r="EX1275" s="4"/>
      <c r="EY1275" s="4"/>
      <c r="EZ1275" s="4"/>
      <c r="FA1275" s="4"/>
      <c r="FB1275" s="4"/>
      <c r="FC1275" s="4"/>
      <c r="FD1275" s="4"/>
      <c r="FE1275" s="4"/>
      <c r="FF1275" s="4"/>
      <c r="FG1275" s="4"/>
      <c r="FH1275" s="4"/>
      <c r="FI1275" s="4">
        <v>100</v>
      </c>
      <c r="FJ1275" s="4"/>
      <c r="FK1275" s="4"/>
      <c r="FL1275" s="4"/>
      <c r="FM1275" s="4"/>
      <c r="FN1275" s="4"/>
      <c r="FO1275" s="4"/>
      <c r="FP1275" s="4"/>
      <c r="FQ1275" s="4"/>
      <c r="FR1275" s="4"/>
      <c r="FS1275" s="4"/>
      <c r="FT1275" s="4"/>
      <c r="FU1275" s="4"/>
      <c r="FV1275" s="4"/>
      <c r="FW1275" s="4"/>
      <c r="FX1275" s="4"/>
      <c r="FY1275" s="4"/>
      <c r="FZ1275" s="4"/>
      <c r="GA1275" s="4"/>
      <c r="GB1275" s="4"/>
      <c r="GC1275" s="4"/>
      <c r="GD1275" s="4"/>
      <c r="GE1275" s="4"/>
      <c r="GF1275" s="4"/>
      <c r="GG1275" s="4"/>
      <c r="GH1275" s="4"/>
    </row>
    <row r="1276">
      <c r="A1276" s="2" t="s">
        <v>7004</v>
      </c>
      <c r="B1276" s="2" t="s">
        <v>669</v>
      </c>
      <c r="C1276" s="2" t="s">
        <v>745</v>
      </c>
      <c r="D1276" s="2" t="s">
        <v>670</v>
      </c>
      <c r="E1276" s="2" t="s">
        <v>671</v>
      </c>
      <c r="F1276" s="2" t="s">
        <v>1387</v>
      </c>
      <c r="G1276" s="2" t="s">
        <v>1841</v>
      </c>
      <c r="H1276" s="2" t="s">
        <v>7005</v>
      </c>
      <c r="I1276" s="2" t="s">
        <v>7006</v>
      </c>
      <c r="J1276" s="2" t="s">
        <v>7007</v>
      </c>
      <c r="K1276" s="2" t="s">
        <v>1214</v>
      </c>
      <c r="L1276" s="3">
        <v>26.65</v>
      </c>
      <c r="M1276" s="3">
        <v>27.98</v>
      </c>
      <c r="N1276" s="3">
        <v>59.99</v>
      </c>
      <c r="O1276" s="2" t="s">
        <v>212</v>
      </c>
      <c r="P1276" s="2" t="s">
        <v>285</v>
      </c>
      <c r="Q1276" s="2" t="s">
        <v>206</v>
      </c>
      <c r="R1276" s="2" t="s">
        <v>200</v>
      </c>
      <c r="S1276" s="2" t="s">
        <v>7008</v>
      </c>
      <c r="T1276" s="2" t="s">
        <v>312</v>
      </c>
      <c r="U1276" s="2" t="s">
        <v>662</v>
      </c>
      <c r="V1276" s="2" t="s">
        <v>208</v>
      </c>
      <c r="W1276" s="2" t="s">
        <v>1975</v>
      </c>
      <c r="X1276" s="2" t="s">
        <v>241</v>
      </c>
      <c r="Y1276" s="2" t="s">
        <v>4308</v>
      </c>
      <c r="Z1276" s="4">
        <v>195</v>
      </c>
      <c r="AA1276" s="4">
        <f>=ROUNDDOWN(39,0)</f>
      </c>
      <c r="AB1276" s="5">
        <v>5</v>
      </c>
      <c r="AC1276" s="2" t="s">
        <v>200</v>
      </c>
      <c r="AD1276" s="4"/>
      <c r="AE1276" s="4"/>
      <c r="AF1276" s="6">
        <v>67</v>
      </c>
      <c r="AG1276" s="6"/>
      <c r="AH1276" s="7">
        <v>1</v>
      </c>
      <c r="AI1276" s="4"/>
      <c r="AJ1276" s="4">
        <f>=ROUNDDOWN({0},0)</f>
      </c>
      <c r="AK1276" s="5"/>
      <c r="AL1276" s="2" t="s">
        <v>200</v>
      </c>
      <c r="AM1276" s="4"/>
      <c r="AN1276" s="4"/>
      <c r="AO1276" s="7"/>
      <c r="AP1276" s="4"/>
      <c r="AQ1276" s="8"/>
      <c r="AR1276" s="4"/>
      <c r="AS1276" s="8"/>
      <c r="AT1276" s="7"/>
      <c r="AU1276" s="7"/>
      <c r="AV1276" s="4"/>
      <c r="AW1276" s="8"/>
      <c r="AX1276" s="4"/>
      <c r="AY1276" s="8"/>
      <c r="AZ1276" s="7"/>
      <c r="BA1276" s="7"/>
      <c r="BB1276" s="7"/>
      <c r="BC1276" s="4" t="s">
        <v>200</v>
      </c>
      <c r="BD1276" s="8" t="s">
        <v>200</v>
      </c>
      <c r="BE1276" s="4" t="s">
        <v>200</v>
      </c>
      <c r="BF1276" s="8" t="s">
        <v>200</v>
      </c>
      <c r="BG1276" s="7" t="s">
        <v>200</v>
      </c>
      <c r="BH1276" s="7" t="s">
        <v>200</v>
      </c>
      <c r="BI1276" s="7"/>
      <c r="BJ1276" s="4">
        <v>13</v>
      </c>
      <c r="BK1276" s="8">
        <v>302.6</v>
      </c>
      <c r="BL1276" s="2" t="s">
        <v>7009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7010</v>
      </c>
      <c r="BV1276" s="2" t="s">
        <v>200</v>
      </c>
      <c r="BW1276" s="2" t="s">
        <v>200</v>
      </c>
      <c r="BX1276" s="2" t="s">
        <v>289</v>
      </c>
      <c r="BY1276" s="2" t="s">
        <v>247</v>
      </c>
      <c r="BZ1276" s="2" t="s">
        <v>212</v>
      </c>
      <c r="CA1276" s="2" t="s">
        <v>4668</v>
      </c>
      <c r="CB1276" s="2" t="s">
        <v>1607</v>
      </c>
      <c r="CC1276" s="2" t="s">
        <v>213</v>
      </c>
      <c r="CD1276" s="2" t="s">
        <v>200</v>
      </c>
      <c r="CE1276" s="4">
        <v>195</v>
      </c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  <c r="DL1276" s="4"/>
      <c r="DM1276" s="4"/>
      <c r="DN1276" s="4"/>
      <c r="DO1276" s="4"/>
      <c r="DP1276" s="4"/>
      <c r="DQ1276" s="4"/>
      <c r="DR1276" s="4"/>
      <c r="DS1276" s="4"/>
      <c r="DT1276" s="4"/>
      <c r="DU1276" s="4"/>
      <c r="DV1276" s="4"/>
      <c r="DW1276" s="4"/>
      <c r="DX1276" s="4"/>
      <c r="DY1276" s="4"/>
      <c r="DZ1276" s="4"/>
      <c r="EA1276" s="4"/>
      <c r="EB1276" s="4"/>
      <c r="EC1276" s="4"/>
      <c r="ED1276" s="4"/>
      <c r="EE1276" s="4"/>
      <c r="EF1276" s="4"/>
      <c r="EG1276" s="4"/>
      <c r="EH1276" s="4"/>
      <c r="EI1276" s="4"/>
      <c r="EJ1276" s="4"/>
      <c r="EK1276" s="4"/>
      <c r="EL1276" s="4"/>
      <c r="EM1276" s="4"/>
      <c r="EN1276" s="4"/>
      <c r="EO1276" s="4"/>
      <c r="EP1276" s="4"/>
      <c r="EQ1276" s="4"/>
      <c r="ER1276" s="4"/>
      <c r="ES1276" s="4"/>
      <c r="ET1276" s="4"/>
      <c r="EU1276" s="4"/>
      <c r="EV1276" s="4"/>
      <c r="EW1276" s="4"/>
      <c r="EX1276" s="4"/>
      <c r="EY1276" s="4"/>
      <c r="EZ1276" s="4"/>
      <c r="FA1276" s="4"/>
      <c r="FB1276" s="4"/>
      <c r="FC1276" s="4"/>
      <c r="FD1276" s="4"/>
      <c r="FE1276" s="4"/>
      <c r="FF1276" s="4"/>
      <c r="FG1276" s="4"/>
      <c r="FH1276" s="4"/>
      <c r="FI1276" s="4"/>
      <c r="FJ1276" s="4"/>
      <c r="FK1276" s="4"/>
      <c r="FL1276" s="4"/>
      <c r="FM1276" s="4"/>
      <c r="FN1276" s="4"/>
      <c r="FO1276" s="4"/>
      <c r="FP1276" s="4"/>
      <c r="FQ1276" s="4"/>
      <c r="FR1276" s="4"/>
      <c r="FS1276" s="4"/>
      <c r="FT1276" s="4"/>
      <c r="FU1276" s="4"/>
      <c r="FV1276" s="4"/>
      <c r="FW1276" s="4"/>
      <c r="FX1276" s="4"/>
      <c r="FY1276" s="4"/>
      <c r="FZ1276" s="4"/>
      <c r="GA1276" s="4"/>
      <c r="GB1276" s="4"/>
      <c r="GC1276" s="4"/>
      <c r="GD1276" s="4"/>
      <c r="GE1276" s="4"/>
      <c r="GF1276" s="4"/>
      <c r="GG1276" s="4"/>
      <c r="GH1276" s="4"/>
    </row>
    <row r="1277">
      <c r="A1277" s="2" t="s">
        <v>7011</v>
      </c>
      <c r="B1277" s="2" t="s">
        <v>945</v>
      </c>
      <c r="C1277" s="2" t="s">
        <v>946</v>
      </c>
      <c r="D1277" s="2" t="s">
        <v>947</v>
      </c>
      <c r="E1277" s="2" t="s">
        <v>948</v>
      </c>
      <c r="F1277" s="2" t="s">
        <v>1387</v>
      </c>
      <c r="G1277" s="2" t="s">
        <v>1387</v>
      </c>
      <c r="H1277" s="2" t="s">
        <v>1387</v>
      </c>
      <c r="I1277" s="2" t="s">
        <v>7012</v>
      </c>
      <c r="J1277" s="2" t="s">
        <v>2128</v>
      </c>
      <c r="K1277" s="2" t="s">
        <v>221</v>
      </c>
      <c r="L1277" s="3">
        <v>8.66</v>
      </c>
      <c r="M1277" s="3">
        <v>9.09</v>
      </c>
      <c r="N1277" s="3">
        <v>19.99</v>
      </c>
      <c r="O1277" s="2" t="s">
        <v>212</v>
      </c>
      <c r="P1277" s="2" t="s">
        <v>1075</v>
      </c>
      <c r="Q1277" s="2" t="s">
        <v>206</v>
      </c>
      <c r="R1277" s="2" t="s">
        <v>200</v>
      </c>
      <c r="S1277" s="2" t="s">
        <v>200</v>
      </c>
      <c r="T1277" s="2" t="s">
        <v>200</v>
      </c>
      <c r="U1277" s="2" t="s">
        <v>270</v>
      </c>
      <c r="V1277" s="2" t="s">
        <v>616</v>
      </c>
      <c r="W1277" s="2" t="s">
        <v>241</v>
      </c>
      <c r="X1277" s="2" t="s">
        <v>200</v>
      </c>
      <c r="Y1277" s="2" t="s">
        <v>2400</v>
      </c>
      <c r="Z1277" s="4">
        <v>1206</v>
      </c>
      <c r="AA1277" s="4">
        <f>=ROUNDDOWN(21.5357142857143,0)</f>
      </c>
      <c r="AB1277" s="5">
        <v>56</v>
      </c>
      <c r="AC1277" s="2" t="s">
        <v>115</v>
      </c>
      <c r="AD1277" s="4">
        <v>804</v>
      </c>
      <c r="AE1277" s="4">
        <v>804</v>
      </c>
      <c r="AF1277" s="6">
        <v>65</v>
      </c>
      <c r="AG1277" s="6"/>
      <c r="AH1277" s="7">
        <v>0.8</v>
      </c>
      <c r="AI1277" s="4"/>
      <c r="AJ1277" s="4">
        <f>=ROUNDDOWN({0},0)</f>
      </c>
      <c r="AK1277" s="5"/>
      <c r="AL1277" s="2" t="s">
        <v>200</v>
      </c>
      <c r="AM1277" s="4"/>
      <c r="AN1277" s="4"/>
      <c r="AO1277" s="7"/>
      <c r="AP1277" s="4"/>
      <c r="AQ1277" s="8"/>
      <c r="AR1277" s="4"/>
      <c r="AS1277" s="8"/>
      <c r="AT1277" s="7"/>
      <c r="AU1277" s="7"/>
      <c r="AV1277" s="4" t="s">
        <v>200</v>
      </c>
      <c r="AW1277" s="8" t="s">
        <v>200</v>
      </c>
      <c r="AX1277" s="4" t="s">
        <v>200</v>
      </c>
      <c r="AY1277" s="8" t="s">
        <v>200</v>
      </c>
      <c r="AZ1277" s="7" t="s">
        <v>200</v>
      </c>
      <c r="BA1277" s="7" t="s">
        <v>200</v>
      </c>
      <c r="BB1277" s="7"/>
      <c r="BC1277" s="4" t="s">
        <v>200</v>
      </c>
      <c r="BD1277" s="8" t="s">
        <v>200</v>
      </c>
      <c r="BE1277" s="4" t="s">
        <v>200</v>
      </c>
      <c r="BF1277" s="8" t="s">
        <v>200</v>
      </c>
      <c r="BG1277" s="7" t="s">
        <v>200</v>
      </c>
      <c r="BH1277" s="7" t="s">
        <v>200</v>
      </c>
      <c r="BI1277" s="7"/>
      <c r="BJ1277" s="4"/>
      <c r="BK1277" s="8"/>
      <c r="BL1277" s="2" t="s">
        <v>303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7013</v>
      </c>
      <c r="BV1277" s="2" t="s">
        <v>200</v>
      </c>
      <c r="BW1277" s="2" t="s">
        <v>200</v>
      </c>
      <c r="BX1277" s="2" t="s">
        <v>264</v>
      </c>
      <c r="BY1277" s="2" t="s">
        <v>247</v>
      </c>
      <c r="BZ1277" s="2" t="s">
        <v>212</v>
      </c>
      <c r="CA1277" s="2" t="s">
        <v>6144</v>
      </c>
      <c r="CB1277" s="2" t="s">
        <v>200</v>
      </c>
      <c r="CC1277" s="2" t="s">
        <v>213</v>
      </c>
      <c r="CD1277" s="2" t="s">
        <v>200</v>
      </c>
      <c r="CE1277" s="4">
        <v>1200</v>
      </c>
      <c r="CF1277" s="4">
        <v>3</v>
      </c>
      <c r="CG1277" s="4"/>
      <c r="CH1277" s="4">
        <v>3</v>
      </c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>
        <v>804</v>
      </c>
      <c r="DC1277" s="4"/>
      <c r="DD1277" s="4"/>
      <c r="DE1277" s="4"/>
      <c r="DF1277" s="4"/>
      <c r="DG1277" s="4"/>
      <c r="DH1277" s="4"/>
      <c r="DI1277" s="4"/>
      <c r="DJ1277" s="4"/>
      <c r="DK1277" s="4"/>
      <c r="DL1277" s="4"/>
      <c r="DM1277" s="4"/>
      <c r="DN1277" s="4"/>
      <c r="DO1277" s="4"/>
      <c r="DP1277" s="4"/>
      <c r="DQ1277" s="4"/>
      <c r="DR1277" s="4"/>
      <c r="DS1277" s="4"/>
      <c r="DT1277" s="4"/>
      <c r="DU1277" s="4"/>
      <c r="DV1277" s="4"/>
      <c r="DW1277" s="4"/>
      <c r="DX1277" s="4"/>
      <c r="DY1277" s="4"/>
      <c r="DZ1277" s="4"/>
      <c r="EA1277" s="4"/>
      <c r="EB1277" s="4"/>
      <c r="EC1277" s="4"/>
      <c r="ED1277" s="4"/>
      <c r="EE1277" s="4"/>
      <c r="EF1277" s="4"/>
      <c r="EG1277" s="4"/>
      <c r="EH1277" s="4"/>
      <c r="EI1277" s="4"/>
      <c r="EJ1277" s="4"/>
      <c r="EK1277" s="4"/>
      <c r="EL1277" s="4"/>
      <c r="EM1277" s="4"/>
      <c r="EN1277" s="4"/>
      <c r="EO1277" s="4"/>
      <c r="EP1277" s="4"/>
      <c r="EQ1277" s="4"/>
      <c r="ER1277" s="4"/>
      <c r="ES1277" s="4"/>
      <c r="ET1277" s="4"/>
      <c r="EU1277" s="4"/>
      <c r="EV1277" s="4"/>
      <c r="EW1277" s="4"/>
      <c r="EX1277" s="4"/>
      <c r="EY1277" s="4"/>
      <c r="EZ1277" s="4"/>
      <c r="FA1277" s="4"/>
      <c r="FB1277" s="4"/>
      <c r="FC1277" s="4"/>
      <c r="FD1277" s="4"/>
      <c r="FE1277" s="4"/>
      <c r="FF1277" s="4"/>
      <c r="FG1277" s="4"/>
      <c r="FH1277" s="4"/>
      <c r="FI1277" s="4"/>
      <c r="FJ1277" s="4"/>
      <c r="FK1277" s="4"/>
      <c r="FL1277" s="4"/>
      <c r="FM1277" s="4"/>
      <c r="FN1277" s="4"/>
      <c r="FO1277" s="4"/>
      <c r="FP1277" s="4"/>
      <c r="FQ1277" s="4"/>
      <c r="FR1277" s="4"/>
      <c r="FS1277" s="4"/>
      <c r="FT1277" s="4"/>
      <c r="FU1277" s="4"/>
      <c r="FV1277" s="4"/>
      <c r="FW1277" s="4"/>
      <c r="FX1277" s="4"/>
      <c r="FY1277" s="4"/>
      <c r="FZ1277" s="4"/>
      <c r="GA1277" s="4"/>
      <c r="GB1277" s="4"/>
      <c r="GC1277" s="4"/>
      <c r="GD1277" s="4"/>
      <c r="GE1277" s="4"/>
      <c r="GF1277" s="4"/>
      <c r="GG1277" s="4"/>
      <c r="GH1277" s="4"/>
    </row>
    <row r="1278">
      <c r="A1278" s="2" t="s">
        <v>7014</v>
      </c>
      <c r="B1278" s="2" t="s">
        <v>945</v>
      </c>
      <c r="C1278" s="2" t="s">
        <v>946</v>
      </c>
      <c r="D1278" s="2" t="s">
        <v>947</v>
      </c>
      <c r="E1278" s="2" t="s">
        <v>948</v>
      </c>
      <c r="F1278" s="2" t="s">
        <v>1387</v>
      </c>
      <c r="G1278" s="2" t="s">
        <v>1387</v>
      </c>
      <c r="H1278" s="2" t="s">
        <v>1387</v>
      </c>
      <c r="I1278" s="2" t="s">
        <v>7012</v>
      </c>
      <c r="J1278" s="2" t="s">
        <v>951</v>
      </c>
      <c r="K1278" s="2" t="s">
        <v>221</v>
      </c>
      <c r="L1278" s="3">
        <v>10.57</v>
      </c>
      <c r="M1278" s="3">
        <v>11.1</v>
      </c>
      <c r="N1278" s="3">
        <v>23.99</v>
      </c>
      <c r="O1278" s="2" t="s">
        <v>212</v>
      </c>
      <c r="P1278" s="2" t="s">
        <v>1075</v>
      </c>
      <c r="Q1278" s="2" t="s">
        <v>206</v>
      </c>
      <c r="R1278" s="2" t="s">
        <v>200</v>
      </c>
      <c r="S1278" s="2" t="s">
        <v>200</v>
      </c>
      <c r="T1278" s="2" t="s">
        <v>200</v>
      </c>
      <c r="U1278" s="2" t="s">
        <v>270</v>
      </c>
      <c r="V1278" s="2" t="s">
        <v>616</v>
      </c>
      <c r="W1278" s="2" t="s">
        <v>241</v>
      </c>
      <c r="X1278" s="2" t="s">
        <v>200</v>
      </c>
      <c r="Y1278" s="2" t="s">
        <v>2400</v>
      </c>
      <c r="Z1278" s="4">
        <v>1355</v>
      </c>
      <c r="AA1278" s="4">
        <f>=ROUNDDOWN(112.916666666667,0)</f>
      </c>
      <c r="AB1278" s="5">
        <v>12</v>
      </c>
      <c r="AC1278" s="2" t="s">
        <v>200</v>
      </c>
      <c r="AD1278" s="4"/>
      <c r="AE1278" s="4"/>
      <c r="AF1278" s="6">
        <v>65</v>
      </c>
      <c r="AG1278" s="6"/>
      <c r="AH1278" s="7">
        <v>1</v>
      </c>
      <c r="AI1278" s="4"/>
      <c r="AJ1278" s="4">
        <f>=ROUNDDOWN({0},0)</f>
      </c>
      <c r="AK1278" s="5"/>
      <c r="AL1278" s="2" t="s">
        <v>200</v>
      </c>
      <c r="AM1278" s="4"/>
      <c r="AN1278" s="4"/>
      <c r="AO1278" s="7"/>
      <c r="AP1278" s="4"/>
      <c r="AQ1278" s="8"/>
      <c r="AR1278" s="4"/>
      <c r="AS1278" s="8"/>
      <c r="AT1278" s="7"/>
      <c r="AU1278" s="7"/>
      <c r="AV1278" s="4" t="s">
        <v>200</v>
      </c>
      <c r="AW1278" s="8" t="s">
        <v>200</v>
      </c>
      <c r="AX1278" s="4" t="s">
        <v>200</v>
      </c>
      <c r="AY1278" s="8" t="s">
        <v>200</v>
      </c>
      <c r="AZ1278" s="7" t="s">
        <v>200</v>
      </c>
      <c r="BA1278" s="7" t="s">
        <v>200</v>
      </c>
      <c r="BB1278" s="7"/>
      <c r="BC1278" s="4" t="s">
        <v>200</v>
      </c>
      <c r="BD1278" s="8" t="s">
        <v>200</v>
      </c>
      <c r="BE1278" s="4" t="s">
        <v>200</v>
      </c>
      <c r="BF1278" s="8" t="s">
        <v>200</v>
      </c>
      <c r="BG1278" s="7" t="s">
        <v>200</v>
      </c>
      <c r="BH1278" s="7" t="s">
        <v>200</v>
      </c>
      <c r="BI1278" s="7"/>
      <c r="BJ1278" s="4">
        <v>6</v>
      </c>
      <c r="BK1278" s="8">
        <v>72.96</v>
      </c>
      <c r="BL1278" s="2" t="s">
        <v>1491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7015</v>
      </c>
      <c r="BV1278" s="2" t="s">
        <v>200</v>
      </c>
      <c r="BW1278" s="2" t="s">
        <v>200</v>
      </c>
      <c r="BX1278" s="2" t="s">
        <v>264</v>
      </c>
      <c r="BY1278" s="2" t="s">
        <v>247</v>
      </c>
      <c r="BZ1278" s="2" t="s">
        <v>212</v>
      </c>
      <c r="CA1278" s="2" t="s">
        <v>6144</v>
      </c>
      <c r="CB1278" s="2" t="s">
        <v>200</v>
      </c>
      <c r="CC1278" s="2" t="s">
        <v>213</v>
      </c>
      <c r="CD1278" s="2" t="s">
        <v>200</v>
      </c>
      <c r="CE1278" s="4"/>
      <c r="CF1278" s="4">
        <v>44</v>
      </c>
      <c r="CG1278" s="4"/>
      <c r="CH1278" s="4">
        <v>1311</v>
      </c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E1278" s="4"/>
      <c r="DF1278" s="4"/>
      <c r="DG1278" s="4"/>
      <c r="DH1278" s="4"/>
      <c r="DI1278" s="4"/>
      <c r="DJ1278" s="4"/>
      <c r="DK1278" s="4"/>
      <c r="DL1278" s="4"/>
      <c r="DM1278" s="4"/>
      <c r="DN1278" s="4"/>
      <c r="DO1278" s="4"/>
      <c r="DP1278" s="4"/>
      <c r="DQ1278" s="4"/>
      <c r="DR1278" s="4"/>
      <c r="DS1278" s="4"/>
      <c r="DT1278" s="4"/>
      <c r="DU1278" s="4"/>
      <c r="DV1278" s="4"/>
      <c r="DW1278" s="4"/>
      <c r="DX1278" s="4"/>
      <c r="DY1278" s="4"/>
      <c r="DZ1278" s="4"/>
      <c r="EA1278" s="4"/>
      <c r="EB1278" s="4"/>
      <c r="EC1278" s="4"/>
      <c r="ED1278" s="4"/>
      <c r="EE1278" s="4"/>
      <c r="EF1278" s="4"/>
      <c r="EG1278" s="4"/>
      <c r="EH1278" s="4"/>
      <c r="EI1278" s="4"/>
      <c r="EJ1278" s="4"/>
      <c r="EK1278" s="4"/>
      <c r="EL1278" s="4"/>
      <c r="EM1278" s="4"/>
      <c r="EN1278" s="4"/>
      <c r="EO1278" s="4"/>
      <c r="EP1278" s="4"/>
      <c r="EQ1278" s="4"/>
      <c r="ER1278" s="4"/>
      <c r="ES1278" s="4"/>
      <c r="ET1278" s="4"/>
      <c r="EU1278" s="4"/>
      <c r="EV1278" s="4"/>
      <c r="EW1278" s="4"/>
      <c r="EX1278" s="4"/>
      <c r="EY1278" s="4"/>
      <c r="EZ1278" s="4"/>
      <c r="FA1278" s="4"/>
      <c r="FB1278" s="4"/>
      <c r="FC1278" s="4"/>
      <c r="FD1278" s="4"/>
      <c r="FE1278" s="4"/>
      <c r="FF1278" s="4"/>
      <c r="FG1278" s="4"/>
      <c r="FH1278" s="4"/>
      <c r="FI1278" s="4"/>
      <c r="FJ1278" s="4"/>
      <c r="FK1278" s="4"/>
      <c r="FL1278" s="4"/>
      <c r="FM1278" s="4"/>
      <c r="FN1278" s="4"/>
      <c r="FO1278" s="4"/>
      <c r="FP1278" s="4"/>
      <c r="FQ1278" s="4"/>
      <c r="FR1278" s="4"/>
      <c r="FS1278" s="4"/>
      <c r="FT1278" s="4"/>
      <c r="FU1278" s="4"/>
      <c r="FV1278" s="4"/>
      <c r="FW1278" s="4"/>
      <c r="FX1278" s="4"/>
      <c r="FY1278" s="4"/>
      <c r="FZ1278" s="4"/>
      <c r="GA1278" s="4"/>
      <c r="GB1278" s="4"/>
      <c r="GC1278" s="4"/>
      <c r="GD1278" s="4"/>
      <c r="GE1278" s="4"/>
      <c r="GF1278" s="4"/>
      <c r="GG1278" s="4"/>
      <c r="GH1278" s="4"/>
    </row>
    <row r="1279">
      <c r="A1279" s="2" t="s">
        <v>7016</v>
      </c>
      <c r="B1279" s="2" t="s">
        <v>945</v>
      </c>
      <c r="C1279" s="2" t="s">
        <v>946</v>
      </c>
      <c r="D1279" s="2" t="s">
        <v>947</v>
      </c>
      <c r="E1279" s="2" t="s">
        <v>948</v>
      </c>
      <c r="F1279" s="2" t="s">
        <v>1387</v>
      </c>
      <c r="G1279" s="2" t="s">
        <v>1387</v>
      </c>
      <c r="H1279" s="2" t="s">
        <v>1387</v>
      </c>
      <c r="I1279" s="2" t="s">
        <v>7012</v>
      </c>
      <c r="J1279" s="2" t="s">
        <v>2136</v>
      </c>
      <c r="K1279" s="2" t="s">
        <v>221</v>
      </c>
      <c r="L1279" s="3">
        <v>13.42</v>
      </c>
      <c r="M1279" s="3">
        <v>14.09</v>
      </c>
      <c r="N1279" s="3">
        <v>29.99</v>
      </c>
      <c r="O1279" s="2" t="s">
        <v>212</v>
      </c>
      <c r="P1279" s="2" t="s">
        <v>1075</v>
      </c>
      <c r="Q1279" s="2" t="s">
        <v>206</v>
      </c>
      <c r="R1279" s="2" t="s">
        <v>200</v>
      </c>
      <c r="S1279" s="2" t="s">
        <v>200</v>
      </c>
      <c r="T1279" s="2" t="s">
        <v>200</v>
      </c>
      <c r="U1279" s="2" t="s">
        <v>270</v>
      </c>
      <c r="V1279" s="2" t="s">
        <v>616</v>
      </c>
      <c r="W1279" s="2" t="s">
        <v>241</v>
      </c>
      <c r="X1279" s="2" t="s">
        <v>200</v>
      </c>
      <c r="Y1279" s="2" t="s">
        <v>2400</v>
      </c>
      <c r="Z1279" s="4">
        <v>1339</v>
      </c>
      <c r="AA1279" s="4">
        <f>=ROUNDDOWN(83.6875,0)</f>
      </c>
      <c r="AB1279" s="5">
        <v>16</v>
      </c>
      <c r="AC1279" s="2" t="s">
        <v>200</v>
      </c>
      <c r="AD1279" s="4"/>
      <c r="AE1279" s="4"/>
      <c r="AF1279" s="6">
        <v>65</v>
      </c>
      <c r="AG1279" s="6"/>
      <c r="AH1279" s="7">
        <v>1</v>
      </c>
      <c r="AI1279" s="4"/>
      <c r="AJ1279" s="4">
        <f>=ROUNDDOWN({0},0)</f>
      </c>
      <c r="AK1279" s="5"/>
      <c r="AL1279" s="2" t="s">
        <v>200</v>
      </c>
      <c r="AM1279" s="4"/>
      <c r="AN1279" s="4"/>
      <c r="AO1279" s="7"/>
      <c r="AP1279" s="4"/>
      <c r="AQ1279" s="8"/>
      <c r="AR1279" s="4"/>
      <c r="AS1279" s="8"/>
      <c r="AT1279" s="7"/>
      <c r="AU1279" s="7"/>
      <c r="AV1279" s="4" t="s">
        <v>200</v>
      </c>
      <c r="AW1279" s="8" t="s">
        <v>200</v>
      </c>
      <c r="AX1279" s="4" t="s">
        <v>200</v>
      </c>
      <c r="AY1279" s="8" t="s">
        <v>200</v>
      </c>
      <c r="AZ1279" s="7" t="s">
        <v>200</v>
      </c>
      <c r="BA1279" s="7" t="s">
        <v>200</v>
      </c>
      <c r="BB1279" s="7"/>
      <c r="BC1279" s="4" t="s">
        <v>200</v>
      </c>
      <c r="BD1279" s="8" t="s">
        <v>200</v>
      </c>
      <c r="BE1279" s="4" t="s">
        <v>200</v>
      </c>
      <c r="BF1279" s="8" t="s">
        <v>200</v>
      </c>
      <c r="BG1279" s="7" t="s">
        <v>200</v>
      </c>
      <c r="BH1279" s="7" t="s">
        <v>200</v>
      </c>
      <c r="BI1279" s="7"/>
      <c r="BJ1279" s="4">
        <v>6</v>
      </c>
      <c r="BK1279" s="8">
        <v>92.64</v>
      </c>
      <c r="BL1279" s="2" t="s">
        <v>7017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7018</v>
      </c>
      <c r="BV1279" s="2" t="s">
        <v>200</v>
      </c>
      <c r="BW1279" s="2" t="s">
        <v>200</v>
      </c>
      <c r="BX1279" s="2" t="s">
        <v>264</v>
      </c>
      <c r="BY1279" s="2" t="s">
        <v>247</v>
      </c>
      <c r="BZ1279" s="2" t="s">
        <v>212</v>
      </c>
      <c r="CA1279" s="2" t="s">
        <v>6144</v>
      </c>
      <c r="CB1279" s="2" t="s">
        <v>200</v>
      </c>
      <c r="CC1279" s="2" t="s">
        <v>213</v>
      </c>
      <c r="CD1279" s="2" t="s">
        <v>200</v>
      </c>
      <c r="CE1279" s="4"/>
      <c r="CF1279" s="4">
        <v>38</v>
      </c>
      <c r="CG1279" s="4"/>
      <c r="CH1279" s="4">
        <v>1301</v>
      </c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E1279" s="4"/>
      <c r="DF1279" s="4"/>
      <c r="DG1279" s="4"/>
      <c r="DH1279" s="4"/>
      <c r="DI1279" s="4"/>
      <c r="DJ1279" s="4"/>
      <c r="DK1279" s="4"/>
      <c r="DL1279" s="4"/>
      <c r="DM1279" s="4"/>
      <c r="DN1279" s="4"/>
      <c r="DO1279" s="4"/>
      <c r="DP1279" s="4"/>
      <c r="DQ1279" s="4"/>
      <c r="DR1279" s="4"/>
      <c r="DS1279" s="4"/>
      <c r="DT1279" s="4"/>
      <c r="DU1279" s="4"/>
      <c r="DV1279" s="4"/>
      <c r="DW1279" s="4"/>
      <c r="DX1279" s="4"/>
      <c r="DY1279" s="4"/>
      <c r="DZ1279" s="4"/>
      <c r="EA1279" s="4"/>
      <c r="EB1279" s="4"/>
      <c r="EC1279" s="4"/>
      <c r="ED1279" s="4"/>
      <c r="EE1279" s="4"/>
      <c r="EF1279" s="4"/>
      <c r="EG1279" s="4"/>
      <c r="EH1279" s="4"/>
      <c r="EI1279" s="4"/>
      <c r="EJ1279" s="4"/>
      <c r="EK1279" s="4"/>
      <c r="EL1279" s="4"/>
      <c r="EM1279" s="4"/>
      <c r="EN1279" s="4"/>
      <c r="EO1279" s="4"/>
      <c r="EP1279" s="4"/>
      <c r="EQ1279" s="4"/>
      <c r="ER1279" s="4"/>
      <c r="ES1279" s="4"/>
      <c r="ET1279" s="4"/>
      <c r="EU1279" s="4"/>
      <c r="EV1279" s="4"/>
      <c r="EW1279" s="4"/>
      <c r="EX1279" s="4"/>
      <c r="EY1279" s="4"/>
      <c r="EZ1279" s="4"/>
      <c r="FA1279" s="4"/>
      <c r="FB1279" s="4"/>
      <c r="FC1279" s="4"/>
      <c r="FD1279" s="4"/>
      <c r="FE1279" s="4"/>
      <c r="FF1279" s="4"/>
      <c r="FG1279" s="4"/>
      <c r="FH1279" s="4"/>
      <c r="FI1279" s="4"/>
      <c r="FJ1279" s="4"/>
      <c r="FK1279" s="4"/>
      <c r="FL1279" s="4"/>
      <c r="FM1279" s="4"/>
      <c r="FN1279" s="4"/>
      <c r="FO1279" s="4"/>
      <c r="FP1279" s="4"/>
      <c r="FQ1279" s="4"/>
      <c r="FR1279" s="4"/>
      <c r="FS1279" s="4"/>
      <c r="FT1279" s="4"/>
      <c r="FU1279" s="4"/>
      <c r="FV1279" s="4"/>
      <c r="FW1279" s="4"/>
      <c r="FX1279" s="4"/>
      <c r="FY1279" s="4"/>
      <c r="FZ1279" s="4"/>
      <c r="GA1279" s="4"/>
      <c r="GB1279" s="4"/>
      <c r="GC1279" s="4"/>
      <c r="GD1279" s="4"/>
      <c r="GE1279" s="4"/>
      <c r="GF1279" s="4"/>
      <c r="GG1279" s="4"/>
      <c r="GH1279" s="4"/>
    </row>
    <row r="1280">
      <c r="A1280" s="2" t="s">
        <v>7019</v>
      </c>
      <c r="B1280" s="2" t="s">
        <v>945</v>
      </c>
      <c r="C1280" s="2" t="s">
        <v>946</v>
      </c>
      <c r="D1280" s="2" t="s">
        <v>947</v>
      </c>
      <c r="E1280" s="2" t="s">
        <v>948</v>
      </c>
      <c r="F1280" s="2" t="s">
        <v>1387</v>
      </c>
      <c r="G1280" s="2" t="s">
        <v>1387</v>
      </c>
      <c r="H1280" s="2" t="s">
        <v>1387</v>
      </c>
      <c r="I1280" s="2" t="s">
        <v>7012</v>
      </c>
      <c r="J1280" s="2" t="s">
        <v>2139</v>
      </c>
      <c r="K1280" s="2" t="s">
        <v>221</v>
      </c>
      <c r="L1280" s="3">
        <v>15.03</v>
      </c>
      <c r="M1280" s="3">
        <v>15.78</v>
      </c>
      <c r="N1280" s="3">
        <v>34.99</v>
      </c>
      <c r="O1280" s="2" t="s">
        <v>212</v>
      </c>
      <c r="P1280" s="2" t="s">
        <v>1075</v>
      </c>
      <c r="Q1280" s="2" t="s">
        <v>206</v>
      </c>
      <c r="R1280" s="2" t="s">
        <v>200</v>
      </c>
      <c r="S1280" s="2" t="s">
        <v>200</v>
      </c>
      <c r="T1280" s="2" t="s">
        <v>200</v>
      </c>
      <c r="U1280" s="2" t="s">
        <v>270</v>
      </c>
      <c r="V1280" s="2" t="s">
        <v>616</v>
      </c>
      <c r="W1280" s="2" t="s">
        <v>241</v>
      </c>
      <c r="X1280" s="2" t="s">
        <v>200</v>
      </c>
      <c r="Y1280" s="2" t="s">
        <v>2400</v>
      </c>
      <c r="Z1280" s="4">
        <v>1737</v>
      </c>
      <c r="AA1280" s="4">
        <f>=ROUNDDOWN(173.7,0)</f>
      </c>
      <c r="AB1280" s="5">
        <v>10</v>
      </c>
      <c r="AC1280" s="2" t="s">
        <v>200</v>
      </c>
      <c r="AD1280" s="4"/>
      <c r="AE1280" s="4"/>
      <c r="AF1280" s="6">
        <v>65</v>
      </c>
      <c r="AG1280" s="6"/>
      <c r="AH1280" s="7">
        <v>1</v>
      </c>
      <c r="AI1280" s="4"/>
      <c r="AJ1280" s="4">
        <f>=ROUNDDOWN({0},0)</f>
      </c>
      <c r="AK1280" s="5"/>
      <c r="AL1280" s="2" t="s">
        <v>200</v>
      </c>
      <c r="AM1280" s="4"/>
      <c r="AN1280" s="4"/>
      <c r="AO1280" s="7"/>
      <c r="AP1280" s="4"/>
      <c r="AQ1280" s="8"/>
      <c r="AR1280" s="4"/>
      <c r="AS1280" s="8"/>
      <c r="AT1280" s="7"/>
      <c r="AU1280" s="7"/>
      <c r="AV1280" s="4" t="s">
        <v>200</v>
      </c>
      <c r="AW1280" s="8" t="s">
        <v>200</v>
      </c>
      <c r="AX1280" s="4" t="s">
        <v>200</v>
      </c>
      <c r="AY1280" s="8" t="s">
        <v>200</v>
      </c>
      <c r="AZ1280" s="7" t="s">
        <v>200</v>
      </c>
      <c r="BA1280" s="7" t="s">
        <v>200</v>
      </c>
      <c r="BB1280" s="7"/>
      <c r="BC1280" s="4" t="s">
        <v>200</v>
      </c>
      <c r="BD1280" s="8" t="s">
        <v>200</v>
      </c>
      <c r="BE1280" s="4" t="s">
        <v>200</v>
      </c>
      <c r="BF1280" s="8" t="s">
        <v>200</v>
      </c>
      <c r="BG1280" s="7" t="s">
        <v>200</v>
      </c>
      <c r="BH1280" s="7" t="s">
        <v>200</v>
      </c>
      <c r="BI1280" s="7"/>
      <c r="BJ1280" s="4">
        <v>12</v>
      </c>
      <c r="BK1280" s="8">
        <v>207.48</v>
      </c>
      <c r="BL1280" s="2" t="s">
        <v>1491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7020</v>
      </c>
      <c r="BV1280" s="2" t="s">
        <v>200</v>
      </c>
      <c r="BW1280" s="2" t="s">
        <v>200</v>
      </c>
      <c r="BX1280" s="2" t="s">
        <v>264</v>
      </c>
      <c r="BY1280" s="2" t="s">
        <v>247</v>
      </c>
      <c r="BZ1280" s="2" t="s">
        <v>212</v>
      </c>
      <c r="CA1280" s="2" t="s">
        <v>6144</v>
      </c>
      <c r="CB1280" s="2" t="s">
        <v>200</v>
      </c>
      <c r="CC1280" s="2" t="s">
        <v>213</v>
      </c>
      <c r="CD1280" s="2" t="s">
        <v>200</v>
      </c>
      <c r="CE1280" s="4"/>
      <c r="CF1280" s="4">
        <v>348</v>
      </c>
      <c r="CG1280" s="4"/>
      <c r="CH1280" s="4">
        <v>1389</v>
      </c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E1280" s="4"/>
      <c r="DF1280" s="4"/>
      <c r="DG1280" s="4"/>
      <c r="DH1280" s="4"/>
      <c r="DI1280" s="4"/>
      <c r="DJ1280" s="4"/>
      <c r="DK1280" s="4"/>
      <c r="DL1280" s="4"/>
      <c r="DM1280" s="4"/>
      <c r="DN1280" s="4"/>
      <c r="DO1280" s="4"/>
      <c r="DP1280" s="4"/>
      <c r="DQ1280" s="4"/>
      <c r="DR1280" s="4"/>
      <c r="DS1280" s="4"/>
      <c r="DT1280" s="4"/>
      <c r="DU1280" s="4"/>
      <c r="DV1280" s="4"/>
      <c r="DW1280" s="4"/>
      <c r="DX1280" s="4"/>
      <c r="DY1280" s="4"/>
      <c r="DZ1280" s="4"/>
      <c r="EA1280" s="4"/>
      <c r="EB1280" s="4"/>
      <c r="EC1280" s="4"/>
      <c r="ED1280" s="4"/>
      <c r="EE1280" s="4"/>
      <c r="EF1280" s="4"/>
      <c r="EG1280" s="4"/>
      <c r="EH1280" s="4"/>
      <c r="EI1280" s="4"/>
      <c r="EJ1280" s="4"/>
      <c r="EK1280" s="4"/>
      <c r="EL1280" s="4"/>
      <c r="EM1280" s="4"/>
      <c r="EN1280" s="4"/>
      <c r="EO1280" s="4"/>
      <c r="EP1280" s="4"/>
      <c r="EQ1280" s="4"/>
      <c r="ER1280" s="4"/>
      <c r="ES1280" s="4"/>
      <c r="ET1280" s="4"/>
      <c r="EU1280" s="4"/>
      <c r="EV1280" s="4"/>
      <c r="EW1280" s="4"/>
      <c r="EX1280" s="4"/>
      <c r="EY1280" s="4"/>
      <c r="EZ1280" s="4"/>
      <c r="FA1280" s="4"/>
      <c r="FB1280" s="4"/>
      <c r="FC1280" s="4"/>
      <c r="FD1280" s="4"/>
      <c r="FE1280" s="4"/>
      <c r="FF1280" s="4"/>
      <c r="FG1280" s="4"/>
      <c r="FH1280" s="4"/>
      <c r="FI1280" s="4"/>
      <c r="FJ1280" s="4"/>
      <c r="FK1280" s="4"/>
      <c r="FL1280" s="4"/>
      <c r="FM1280" s="4"/>
      <c r="FN1280" s="4"/>
      <c r="FO1280" s="4"/>
      <c r="FP1280" s="4"/>
      <c r="FQ1280" s="4"/>
      <c r="FR1280" s="4"/>
      <c r="FS1280" s="4"/>
      <c r="FT1280" s="4"/>
      <c r="FU1280" s="4"/>
      <c r="FV1280" s="4"/>
      <c r="FW1280" s="4"/>
      <c r="FX1280" s="4"/>
      <c r="FY1280" s="4"/>
      <c r="FZ1280" s="4"/>
      <c r="GA1280" s="4"/>
      <c r="GB1280" s="4"/>
      <c r="GC1280" s="4"/>
      <c r="GD1280" s="4"/>
      <c r="GE1280" s="4"/>
      <c r="GF1280" s="4"/>
      <c r="GG1280" s="4"/>
      <c r="GH1280" s="4"/>
    </row>
    <row r="1281">
      <c r="A1281" s="2" t="s">
        <v>7021</v>
      </c>
      <c r="B1281" s="2" t="s">
        <v>945</v>
      </c>
      <c r="C1281" s="2" t="s">
        <v>946</v>
      </c>
      <c r="D1281" s="2" t="s">
        <v>947</v>
      </c>
      <c r="E1281" s="2" t="s">
        <v>948</v>
      </c>
      <c r="F1281" s="2" t="s">
        <v>1387</v>
      </c>
      <c r="G1281" s="2" t="s">
        <v>1387</v>
      </c>
      <c r="H1281" s="2" t="s">
        <v>1387</v>
      </c>
      <c r="I1281" s="2" t="s">
        <v>7022</v>
      </c>
      <c r="J1281" s="2" t="s">
        <v>2128</v>
      </c>
      <c r="K1281" s="2" t="s">
        <v>7023</v>
      </c>
      <c r="L1281" s="3">
        <v>11.19</v>
      </c>
      <c r="M1281" s="3">
        <v>11.75</v>
      </c>
      <c r="N1281" s="3">
        <v>21.99</v>
      </c>
      <c r="O1281" s="2" t="s">
        <v>212</v>
      </c>
      <c r="P1281" s="2" t="s">
        <v>1075</v>
      </c>
      <c r="Q1281" s="2" t="s">
        <v>206</v>
      </c>
      <c r="R1281" s="2" t="s">
        <v>200</v>
      </c>
      <c r="S1281" s="2" t="s">
        <v>200</v>
      </c>
      <c r="T1281" s="2" t="s">
        <v>200</v>
      </c>
      <c r="U1281" s="2" t="s">
        <v>270</v>
      </c>
      <c r="V1281" s="2" t="s">
        <v>616</v>
      </c>
      <c r="W1281" s="2" t="s">
        <v>241</v>
      </c>
      <c r="X1281" s="2" t="s">
        <v>200</v>
      </c>
      <c r="Y1281" s="2" t="s">
        <v>7024</v>
      </c>
      <c r="Z1281" s="4">
        <v>1544</v>
      </c>
      <c r="AA1281" s="4">
        <f>=ROUNDDOWN(233.939393939394,0)</f>
      </c>
      <c r="AB1281" s="5">
        <v>6.6</v>
      </c>
      <c r="AC1281" s="2" t="s">
        <v>200</v>
      </c>
      <c r="AD1281" s="4"/>
      <c r="AE1281" s="4"/>
      <c r="AF1281" s="6">
        <v>65</v>
      </c>
      <c r="AG1281" s="6"/>
      <c r="AH1281" s="7">
        <v>1</v>
      </c>
      <c r="AI1281" s="4"/>
      <c r="AJ1281" s="4">
        <f>=ROUNDDOWN({0},0)</f>
      </c>
      <c r="AK1281" s="5"/>
      <c r="AL1281" s="2" t="s">
        <v>200</v>
      </c>
      <c r="AM1281" s="4"/>
      <c r="AN1281" s="4"/>
      <c r="AO1281" s="7"/>
      <c r="AP1281" s="4"/>
      <c r="AQ1281" s="8"/>
      <c r="AR1281" s="4"/>
      <c r="AS1281" s="8"/>
      <c r="AT1281" s="7"/>
      <c r="AU1281" s="7"/>
      <c r="AV1281" s="4" t="s">
        <v>200</v>
      </c>
      <c r="AW1281" s="8" t="s">
        <v>200</v>
      </c>
      <c r="AX1281" s="4" t="s">
        <v>200</v>
      </c>
      <c r="AY1281" s="8" t="s">
        <v>200</v>
      </c>
      <c r="AZ1281" s="7" t="s">
        <v>200</v>
      </c>
      <c r="BA1281" s="7" t="s">
        <v>200</v>
      </c>
      <c r="BB1281" s="7"/>
      <c r="BC1281" s="4" t="s">
        <v>200</v>
      </c>
      <c r="BD1281" s="8" t="s">
        <v>200</v>
      </c>
      <c r="BE1281" s="4" t="s">
        <v>200</v>
      </c>
      <c r="BF1281" s="8" t="s">
        <v>200</v>
      </c>
      <c r="BG1281" s="7" t="s">
        <v>200</v>
      </c>
      <c r="BH1281" s="7" t="s">
        <v>200</v>
      </c>
      <c r="BI1281" s="7"/>
      <c r="BJ1281" s="4">
        <v>8</v>
      </c>
      <c r="BK1281" s="8">
        <v>102.96</v>
      </c>
      <c r="BL1281" s="2" t="s">
        <v>1261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7025</v>
      </c>
      <c r="BV1281" s="2" t="s">
        <v>200</v>
      </c>
      <c r="BW1281" s="2" t="s">
        <v>200</v>
      </c>
      <c r="BX1281" s="2" t="s">
        <v>264</v>
      </c>
      <c r="BY1281" s="2" t="s">
        <v>247</v>
      </c>
      <c r="BZ1281" s="2" t="s">
        <v>212</v>
      </c>
      <c r="CA1281" s="2" t="s">
        <v>6144</v>
      </c>
      <c r="CB1281" s="2" t="s">
        <v>200</v>
      </c>
      <c r="CC1281" s="2" t="s">
        <v>213</v>
      </c>
      <c r="CD1281" s="2" t="s">
        <v>200</v>
      </c>
      <c r="CE1281" s="4"/>
      <c r="CF1281" s="4">
        <v>276</v>
      </c>
      <c r="CG1281" s="4"/>
      <c r="CH1281" s="4">
        <v>1268</v>
      </c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  <c r="DP1281" s="4"/>
      <c r="DQ1281" s="4"/>
      <c r="DR1281" s="4"/>
      <c r="DS1281" s="4"/>
      <c r="DT1281" s="4"/>
      <c r="DU1281" s="4"/>
      <c r="DV1281" s="4"/>
      <c r="DW1281" s="4"/>
      <c r="DX1281" s="4"/>
      <c r="DY1281" s="4"/>
      <c r="DZ1281" s="4"/>
      <c r="EA1281" s="4"/>
      <c r="EB1281" s="4"/>
      <c r="EC1281" s="4"/>
      <c r="ED1281" s="4"/>
      <c r="EE1281" s="4"/>
      <c r="EF1281" s="4"/>
      <c r="EG1281" s="4"/>
      <c r="EH1281" s="4"/>
      <c r="EI1281" s="4"/>
      <c r="EJ1281" s="4"/>
      <c r="EK1281" s="4"/>
      <c r="EL1281" s="4"/>
      <c r="EM1281" s="4"/>
      <c r="EN1281" s="4"/>
      <c r="EO1281" s="4"/>
      <c r="EP1281" s="4"/>
      <c r="EQ1281" s="4"/>
      <c r="ER1281" s="4"/>
      <c r="ES1281" s="4"/>
      <c r="ET1281" s="4"/>
      <c r="EU1281" s="4"/>
      <c r="EV1281" s="4"/>
      <c r="EW1281" s="4"/>
      <c r="EX1281" s="4"/>
      <c r="EY1281" s="4"/>
      <c r="EZ1281" s="4"/>
      <c r="FA1281" s="4"/>
      <c r="FB1281" s="4"/>
      <c r="FC1281" s="4"/>
      <c r="FD1281" s="4"/>
      <c r="FE1281" s="4"/>
      <c r="FF1281" s="4"/>
      <c r="FG1281" s="4"/>
      <c r="FH1281" s="4"/>
      <c r="FI1281" s="4"/>
      <c r="FJ1281" s="4"/>
      <c r="FK1281" s="4"/>
      <c r="FL1281" s="4"/>
      <c r="FM1281" s="4"/>
      <c r="FN1281" s="4"/>
      <c r="FO1281" s="4"/>
      <c r="FP1281" s="4"/>
      <c r="FQ1281" s="4"/>
      <c r="FR1281" s="4"/>
      <c r="FS1281" s="4"/>
      <c r="FT1281" s="4"/>
      <c r="FU1281" s="4"/>
      <c r="FV1281" s="4"/>
      <c r="FW1281" s="4"/>
      <c r="FX1281" s="4"/>
      <c r="FY1281" s="4"/>
      <c r="FZ1281" s="4"/>
      <c r="GA1281" s="4"/>
      <c r="GB1281" s="4"/>
      <c r="GC1281" s="4"/>
      <c r="GD1281" s="4"/>
      <c r="GE1281" s="4"/>
      <c r="GF1281" s="4"/>
      <c r="GG1281" s="4"/>
      <c r="GH1281" s="4"/>
    </row>
    <row r="1282">
      <c r="A1282" s="2" t="s">
        <v>7026</v>
      </c>
      <c r="B1282" s="2" t="s">
        <v>945</v>
      </c>
      <c r="C1282" s="2" t="s">
        <v>946</v>
      </c>
      <c r="D1282" s="2" t="s">
        <v>947</v>
      </c>
      <c r="E1282" s="2" t="s">
        <v>948</v>
      </c>
      <c r="F1282" s="2" t="s">
        <v>1387</v>
      </c>
      <c r="G1282" s="2" t="s">
        <v>1387</v>
      </c>
      <c r="H1282" s="2" t="s">
        <v>1387</v>
      </c>
      <c r="I1282" s="2" t="s">
        <v>7022</v>
      </c>
      <c r="J1282" s="2" t="s">
        <v>951</v>
      </c>
      <c r="K1282" s="2" t="s">
        <v>7023</v>
      </c>
      <c r="L1282" s="3">
        <v>13.49</v>
      </c>
      <c r="M1282" s="3">
        <v>14.16</v>
      </c>
      <c r="N1282" s="3">
        <v>24.99</v>
      </c>
      <c r="O1282" s="2" t="s">
        <v>212</v>
      </c>
      <c r="P1282" s="2" t="s">
        <v>1075</v>
      </c>
      <c r="Q1282" s="2" t="s">
        <v>206</v>
      </c>
      <c r="R1282" s="2" t="s">
        <v>200</v>
      </c>
      <c r="S1282" s="2" t="s">
        <v>200</v>
      </c>
      <c r="T1282" s="2" t="s">
        <v>200</v>
      </c>
      <c r="U1282" s="2" t="s">
        <v>270</v>
      </c>
      <c r="V1282" s="2" t="s">
        <v>616</v>
      </c>
      <c r="W1282" s="2" t="s">
        <v>241</v>
      </c>
      <c r="X1282" s="2" t="s">
        <v>200</v>
      </c>
      <c r="Y1282" s="2" t="s">
        <v>7024</v>
      </c>
      <c r="Z1282" s="4">
        <v>1227</v>
      </c>
      <c r="AA1282" s="4">
        <f>=ROUNDDOWN(49.08,0)</f>
      </c>
      <c r="AB1282" s="5">
        <v>25</v>
      </c>
      <c r="AC1282" s="2" t="s">
        <v>200</v>
      </c>
      <c r="AD1282" s="4"/>
      <c r="AE1282" s="4"/>
      <c r="AF1282" s="6">
        <v>65</v>
      </c>
      <c r="AG1282" s="6"/>
      <c r="AH1282" s="7">
        <v>1</v>
      </c>
      <c r="AI1282" s="4"/>
      <c r="AJ1282" s="4">
        <f>=ROUNDDOWN({0},0)</f>
      </c>
      <c r="AK1282" s="5"/>
      <c r="AL1282" s="2" t="s">
        <v>200</v>
      </c>
      <c r="AM1282" s="4"/>
      <c r="AN1282" s="4"/>
      <c r="AO1282" s="7"/>
      <c r="AP1282" s="4"/>
      <c r="AQ1282" s="8"/>
      <c r="AR1282" s="4"/>
      <c r="AS1282" s="8"/>
      <c r="AT1282" s="7"/>
      <c r="AU1282" s="7"/>
      <c r="AV1282" s="4" t="s">
        <v>200</v>
      </c>
      <c r="AW1282" s="8" t="s">
        <v>200</v>
      </c>
      <c r="AX1282" s="4" t="s">
        <v>200</v>
      </c>
      <c r="AY1282" s="8" t="s">
        <v>200</v>
      </c>
      <c r="AZ1282" s="7" t="s">
        <v>200</v>
      </c>
      <c r="BA1282" s="7" t="s">
        <v>200</v>
      </c>
      <c r="BB1282" s="7"/>
      <c r="BC1282" s="4" t="s">
        <v>200</v>
      </c>
      <c r="BD1282" s="8" t="s">
        <v>200</v>
      </c>
      <c r="BE1282" s="4" t="s">
        <v>200</v>
      </c>
      <c r="BF1282" s="8" t="s">
        <v>200</v>
      </c>
      <c r="BG1282" s="7" t="s">
        <v>200</v>
      </c>
      <c r="BH1282" s="7" t="s">
        <v>200</v>
      </c>
      <c r="BI1282" s="7"/>
      <c r="BJ1282" s="4"/>
      <c r="BK1282" s="8"/>
      <c r="BL1282" s="2" t="s">
        <v>303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7027</v>
      </c>
      <c r="BV1282" s="2" t="s">
        <v>200</v>
      </c>
      <c r="BW1282" s="2" t="s">
        <v>200</v>
      </c>
      <c r="BX1282" s="2" t="s">
        <v>264</v>
      </c>
      <c r="BY1282" s="2" t="s">
        <v>247</v>
      </c>
      <c r="BZ1282" s="2" t="s">
        <v>212</v>
      </c>
      <c r="CA1282" s="2" t="s">
        <v>6144</v>
      </c>
      <c r="CB1282" s="2" t="s">
        <v>200</v>
      </c>
      <c r="CC1282" s="2" t="s">
        <v>213</v>
      </c>
      <c r="CD1282" s="2" t="s">
        <v>200</v>
      </c>
      <c r="CE1282" s="4"/>
      <c r="CF1282" s="4">
        <v>2</v>
      </c>
      <c r="CG1282" s="4"/>
      <c r="CH1282" s="4">
        <v>1225</v>
      </c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E1282" s="4"/>
      <c r="DF1282" s="4"/>
      <c r="DG1282" s="4"/>
      <c r="DH1282" s="4"/>
      <c r="DI1282" s="4"/>
      <c r="DJ1282" s="4"/>
      <c r="DK1282" s="4"/>
      <c r="DL1282" s="4"/>
      <c r="DM1282" s="4"/>
      <c r="DN1282" s="4"/>
      <c r="DO1282" s="4"/>
      <c r="DP1282" s="4"/>
      <c r="DQ1282" s="4"/>
      <c r="DR1282" s="4"/>
      <c r="DS1282" s="4"/>
      <c r="DT1282" s="4"/>
      <c r="DU1282" s="4"/>
      <c r="DV1282" s="4"/>
      <c r="DW1282" s="4"/>
      <c r="DX1282" s="4"/>
      <c r="DY1282" s="4"/>
      <c r="DZ1282" s="4"/>
      <c r="EA1282" s="4"/>
      <c r="EB1282" s="4"/>
      <c r="EC1282" s="4"/>
      <c r="ED1282" s="4"/>
      <c r="EE1282" s="4"/>
      <c r="EF1282" s="4"/>
      <c r="EG1282" s="4"/>
      <c r="EH1282" s="4"/>
      <c r="EI1282" s="4"/>
      <c r="EJ1282" s="4"/>
      <c r="EK1282" s="4"/>
      <c r="EL1282" s="4"/>
      <c r="EM1282" s="4"/>
      <c r="EN1282" s="4"/>
      <c r="EO1282" s="4"/>
      <c r="EP1282" s="4"/>
      <c r="EQ1282" s="4"/>
      <c r="ER1282" s="4"/>
      <c r="ES1282" s="4"/>
      <c r="ET1282" s="4"/>
      <c r="EU1282" s="4"/>
      <c r="EV1282" s="4"/>
      <c r="EW1282" s="4"/>
      <c r="EX1282" s="4"/>
      <c r="EY1282" s="4"/>
      <c r="EZ1282" s="4"/>
      <c r="FA1282" s="4"/>
      <c r="FB1282" s="4"/>
      <c r="FC1282" s="4"/>
      <c r="FD1282" s="4"/>
      <c r="FE1282" s="4"/>
      <c r="FF1282" s="4"/>
      <c r="FG1282" s="4"/>
      <c r="FH1282" s="4"/>
      <c r="FI1282" s="4"/>
      <c r="FJ1282" s="4"/>
      <c r="FK1282" s="4"/>
      <c r="FL1282" s="4"/>
      <c r="FM1282" s="4"/>
      <c r="FN1282" s="4"/>
      <c r="FO1282" s="4"/>
      <c r="FP1282" s="4"/>
      <c r="FQ1282" s="4"/>
      <c r="FR1282" s="4"/>
      <c r="FS1282" s="4"/>
      <c r="FT1282" s="4"/>
      <c r="FU1282" s="4"/>
      <c r="FV1282" s="4"/>
      <c r="FW1282" s="4"/>
      <c r="FX1282" s="4"/>
      <c r="FY1282" s="4"/>
      <c r="FZ1282" s="4"/>
      <c r="GA1282" s="4"/>
      <c r="GB1282" s="4"/>
      <c r="GC1282" s="4"/>
      <c r="GD1282" s="4"/>
      <c r="GE1282" s="4"/>
      <c r="GF1282" s="4"/>
      <c r="GG1282" s="4"/>
      <c r="GH1282" s="4"/>
    </row>
    <row r="1283">
      <c r="A1283" s="2" t="s">
        <v>7028</v>
      </c>
      <c r="B1283" s="2" t="s">
        <v>945</v>
      </c>
      <c r="C1283" s="2" t="s">
        <v>946</v>
      </c>
      <c r="D1283" s="2" t="s">
        <v>947</v>
      </c>
      <c r="E1283" s="2" t="s">
        <v>948</v>
      </c>
      <c r="F1283" s="2" t="s">
        <v>1387</v>
      </c>
      <c r="G1283" s="2" t="s">
        <v>1387</v>
      </c>
      <c r="H1283" s="2" t="s">
        <v>1387</v>
      </c>
      <c r="I1283" s="2" t="s">
        <v>7022</v>
      </c>
      <c r="J1283" s="2" t="s">
        <v>2136</v>
      </c>
      <c r="K1283" s="2" t="s">
        <v>7023</v>
      </c>
      <c r="L1283" s="3">
        <v>18.65</v>
      </c>
      <c r="M1283" s="3">
        <v>19.58</v>
      </c>
      <c r="N1283" s="3">
        <v>26.99</v>
      </c>
      <c r="O1283" s="2" t="s">
        <v>212</v>
      </c>
      <c r="P1283" s="2" t="s">
        <v>1075</v>
      </c>
      <c r="Q1283" s="2" t="s">
        <v>206</v>
      </c>
      <c r="R1283" s="2" t="s">
        <v>200</v>
      </c>
      <c r="S1283" s="2" t="s">
        <v>200</v>
      </c>
      <c r="T1283" s="2" t="s">
        <v>200</v>
      </c>
      <c r="U1283" s="2" t="s">
        <v>270</v>
      </c>
      <c r="V1283" s="2" t="s">
        <v>616</v>
      </c>
      <c r="W1283" s="2" t="s">
        <v>241</v>
      </c>
      <c r="X1283" s="2" t="s">
        <v>200</v>
      </c>
      <c r="Y1283" s="2" t="s">
        <v>7024</v>
      </c>
      <c r="Z1283" s="4">
        <v>1534</v>
      </c>
      <c r="AA1283" s="4">
        <f>=ROUNDDOWN(278.909090909091,0)</f>
      </c>
      <c r="AB1283" s="5">
        <v>5.5</v>
      </c>
      <c r="AC1283" s="2" t="s">
        <v>200</v>
      </c>
      <c r="AD1283" s="4"/>
      <c r="AE1283" s="4"/>
      <c r="AF1283" s="6">
        <v>65</v>
      </c>
      <c r="AG1283" s="6"/>
      <c r="AH1283" s="7">
        <v>1</v>
      </c>
      <c r="AI1283" s="4"/>
      <c r="AJ1283" s="4">
        <f>=ROUNDDOWN({0},0)</f>
      </c>
      <c r="AK1283" s="5"/>
      <c r="AL1283" s="2" t="s">
        <v>200</v>
      </c>
      <c r="AM1283" s="4"/>
      <c r="AN1283" s="4"/>
      <c r="AO1283" s="7"/>
      <c r="AP1283" s="4"/>
      <c r="AQ1283" s="8"/>
      <c r="AR1283" s="4"/>
      <c r="AS1283" s="8"/>
      <c r="AT1283" s="7"/>
      <c r="AU1283" s="7"/>
      <c r="AV1283" s="4" t="s">
        <v>200</v>
      </c>
      <c r="AW1283" s="8" t="s">
        <v>200</v>
      </c>
      <c r="AX1283" s="4" t="s">
        <v>200</v>
      </c>
      <c r="AY1283" s="8" t="s">
        <v>200</v>
      </c>
      <c r="AZ1283" s="7" t="s">
        <v>200</v>
      </c>
      <c r="BA1283" s="7" t="s">
        <v>200</v>
      </c>
      <c r="BB1283" s="7"/>
      <c r="BC1283" s="4" t="s">
        <v>200</v>
      </c>
      <c r="BD1283" s="8" t="s">
        <v>200</v>
      </c>
      <c r="BE1283" s="4" t="s">
        <v>200</v>
      </c>
      <c r="BF1283" s="8" t="s">
        <v>200</v>
      </c>
      <c r="BG1283" s="7" t="s">
        <v>200</v>
      </c>
      <c r="BH1283" s="7" t="s">
        <v>200</v>
      </c>
      <c r="BI1283" s="7"/>
      <c r="BJ1283" s="4"/>
      <c r="BK1283" s="8"/>
      <c r="BL1283" s="2" t="s">
        <v>7017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7029</v>
      </c>
      <c r="BV1283" s="2" t="s">
        <v>200</v>
      </c>
      <c r="BW1283" s="2" t="s">
        <v>200</v>
      </c>
      <c r="BX1283" s="2" t="s">
        <v>264</v>
      </c>
      <c r="BY1283" s="2" t="s">
        <v>247</v>
      </c>
      <c r="BZ1283" s="2" t="s">
        <v>212</v>
      </c>
      <c r="CA1283" s="2" t="s">
        <v>6144</v>
      </c>
      <c r="CB1283" s="2" t="s">
        <v>200</v>
      </c>
      <c r="CC1283" s="2" t="s">
        <v>213</v>
      </c>
      <c r="CD1283" s="2" t="s">
        <v>200</v>
      </c>
      <c r="CE1283" s="4"/>
      <c r="CF1283" s="4">
        <v>167</v>
      </c>
      <c r="CG1283" s="4"/>
      <c r="CH1283" s="4">
        <v>1367</v>
      </c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  <c r="DT1283" s="4"/>
      <c r="DU1283" s="4"/>
      <c r="DV1283" s="4"/>
      <c r="DW1283" s="4"/>
      <c r="DX1283" s="4"/>
      <c r="DY1283" s="4"/>
      <c r="DZ1283" s="4"/>
      <c r="EA1283" s="4"/>
      <c r="EB1283" s="4"/>
      <c r="EC1283" s="4"/>
      <c r="ED1283" s="4"/>
      <c r="EE1283" s="4"/>
      <c r="EF1283" s="4"/>
      <c r="EG1283" s="4"/>
      <c r="EH1283" s="4"/>
      <c r="EI1283" s="4"/>
      <c r="EJ1283" s="4"/>
      <c r="EK1283" s="4"/>
      <c r="EL1283" s="4"/>
      <c r="EM1283" s="4"/>
      <c r="EN1283" s="4"/>
      <c r="EO1283" s="4"/>
      <c r="EP1283" s="4"/>
      <c r="EQ1283" s="4"/>
      <c r="ER1283" s="4"/>
      <c r="ES1283" s="4"/>
      <c r="ET1283" s="4"/>
      <c r="EU1283" s="4"/>
      <c r="EV1283" s="4"/>
      <c r="EW1283" s="4"/>
      <c r="EX1283" s="4"/>
      <c r="EY1283" s="4"/>
      <c r="EZ1283" s="4"/>
      <c r="FA1283" s="4"/>
      <c r="FB1283" s="4"/>
      <c r="FC1283" s="4"/>
      <c r="FD1283" s="4"/>
      <c r="FE1283" s="4"/>
      <c r="FF1283" s="4"/>
      <c r="FG1283" s="4"/>
      <c r="FH1283" s="4"/>
      <c r="FI1283" s="4"/>
      <c r="FJ1283" s="4"/>
      <c r="FK1283" s="4"/>
      <c r="FL1283" s="4"/>
      <c r="FM1283" s="4"/>
      <c r="FN1283" s="4"/>
      <c r="FO1283" s="4"/>
      <c r="FP1283" s="4"/>
      <c r="FQ1283" s="4"/>
      <c r="FR1283" s="4"/>
      <c r="FS1283" s="4"/>
      <c r="FT1283" s="4"/>
      <c r="FU1283" s="4"/>
      <c r="FV1283" s="4"/>
      <c r="FW1283" s="4"/>
      <c r="FX1283" s="4"/>
      <c r="FY1283" s="4"/>
      <c r="FZ1283" s="4"/>
      <c r="GA1283" s="4"/>
      <c r="GB1283" s="4"/>
      <c r="GC1283" s="4"/>
      <c r="GD1283" s="4"/>
      <c r="GE1283" s="4"/>
      <c r="GF1283" s="4"/>
      <c r="GG1283" s="4"/>
      <c r="GH1283" s="4"/>
    </row>
    <row r="1284">
      <c r="A1284" s="2" t="s">
        <v>7030</v>
      </c>
      <c r="B1284" s="2" t="s">
        <v>945</v>
      </c>
      <c r="C1284" s="2" t="s">
        <v>946</v>
      </c>
      <c r="D1284" s="2" t="s">
        <v>947</v>
      </c>
      <c r="E1284" s="2" t="s">
        <v>948</v>
      </c>
      <c r="F1284" s="2" t="s">
        <v>1387</v>
      </c>
      <c r="G1284" s="2" t="s">
        <v>1387</v>
      </c>
      <c r="H1284" s="2" t="s">
        <v>1387</v>
      </c>
      <c r="I1284" s="2" t="s">
        <v>7022</v>
      </c>
      <c r="J1284" s="2" t="s">
        <v>2139</v>
      </c>
      <c r="K1284" s="2" t="s">
        <v>7023</v>
      </c>
      <c r="L1284" s="3">
        <v>20.9</v>
      </c>
      <c r="M1284" s="3">
        <v>21.95</v>
      </c>
      <c r="N1284" s="3">
        <v>29.99</v>
      </c>
      <c r="O1284" s="2" t="s">
        <v>212</v>
      </c>
      <c r="P1284" s="2" t="s">
        <v>1075</v>
      </c>
      <c r="Q1284" s="2" t="s">
        <v>206</v>
      </c>
      <c r="R1284" s="2" t="s">
        <v>200</v>
      </c>
      <c r="S1284" s="2" t="s">
        <v>200</v>
      </c>
      <c r="T1284" s="2" t="s">
        <v>200</v>
      </c>
      <c r="U1284" s="2" t="s">
        <v>270</v>
      </c>
      <c r="V1284" s="2" t="s">
        <v>616</v>
      </c>
      <c r="W1284" s="2" t="s">
        <v>241</v>
      </c>
      <c r="X1284" s="2" t="s">
        <v>200</v>
      </c>
      <c r="Y1284" s="2" t="s">
        <v>7024</v>
      </c>
      <c r="Z1284" s="4">
        <v>1311</v>
      </c>
      <c r="AA1284" s="4">
        <f>=ROUNDDOWN(52.44,0)</f>
      </c>
      <c r="AB1284" s="5">
        <v>25</v>
      </c>
      <c r="AC1284" s="2" t="s">
        <v>200</v>
      </c>
      <c r="AD1284" s="4"/>
      <c r="AE1284" s="4"/>
      <c r="AF1284" s="6">
        <v>65</v>
      </c>
      <c r="AG1284" s="6"/>
      <c r="AH1284" s="7">
        <v>1</v>
      </c>
      <c r="AI1284" s="4"/>
      <c r="AJ1284" s="4">
        <f>=ROUNDDOWN({0},0)</f>
      </c>
      <c r="AK1284" s="5"/>
      <c r="AL1284" s="2" t="s">
        <v>200</v>
      </c>
      <c r="AM1284" s="4"/>
      <c r="AN1284" s="4"/>
      <c r="AO1284" s="7"/>
      <c r="AP1284" s="4"/>
      <c r="AQ1284" s="8"/>
      <c r="AR1284" s="4"/>
      <c r="AS1284" s="8"/>
      <c r="AT1284" s="7"/>
      <c r="AU1284" s="7"/>
      <c r="AV1284" s="4" t="s">
        <v>200</v>
      </c>
      <c r="AW1284" s="8" t="s">
        <v>200</v>
      </c>
      <c r="AX1284" s="4" t="s">
        <v>200</v>
      </c>
      <c r="AY1284" s="8" t="s">
        <v>200</v>
      </c>
      <c r="AZ1284" s="7" t="s">
        <v>200</v>
      </c>
      <c r="BA1284" s="7" t="s">
        <v>200</v>
      </c>
      <c r="BB1284" s="7"/>
      <c r="BC1284" s="4" t="s">
        <v>200</v>
      </c>
      <c r="BD1284" s="8" t="s">
        <v>200</v>
      </c>
      <c r="BE1284" s="4" t="s">
        <v>200</v>
      </c>
      <c r="BF1284" s="8" t="s">
        <v>200</v>
      </c>
      <c r="BG1284" s="7" t="s">
        <v>200</v>
      </c>
      <c r="BH1284" s="7" t="s">
        <v>200</v>
      </c>
      <c r="BI1284" s="7"/>
      <c r="BJ1284" s="4"/>
      <c r="BK1284" s="8"/>
      <c r="BL1284" s="2" t="s">
        <v>1261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7031</v>
      </c>
      <c r="BV1284" s="2" t="s">
        <v>200</v>
      </c>
      <c r="BW1284" s="2" t="s">
        <v>200</v>
      </c>
      <c r="BX1284" s="2" t="s">
        <v>264</v>
      </c>
      <c r="BY1284" s="2" t="s">
        <v>247</v>
      </c>
      <c r="BZ1284" s="2" t="s">
        <v>212</v>
      </c>
      <c r="CA1284" s="2" t="s">
        <v>6144</v>
      </c>
      <c r="CB1284" s="2" t="s">
        <v>200</v>
      </c>
      <c r="CC1284" s="2" t="s">
        <v>213</v>
      </c>
      <c r="CD1284" s="2" t="s">
        <v>200</v>
      </c>
      <c r="CE1284" s="4"/>
      <c r="CF1284" s="4">
        <v>11</v>
      </c>
      <c r="CG1284" s="4"/>
      <c r="CH1284" s="4">
        <v>1300</v>
      </c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  <c r="DP1284" s="4"/>
      <c r="DQ1284" s="4"/>
      <c r="DR1284" s="4"/>
      <c r="DS1284" s="4"/>
      <c r="DT1284" s="4"/>
      <c r="DU1284" s="4"/>
      <c r="DV1284" s="4"/>
      <c r="DW1284" s="4"/>
      <c r="DX1284" s="4"/>
      <c r="DY1284" s="4"/>
      <c r="DZ1284" s="4"/>
      <c r="EA1284" s="4"/>
      <c r="EB1284" s="4"/>
      <c r="EC1284" s="4"/>
      <c r="ED1284" s="4"/>
      <c r="EE1284" s="4"/>
      <c r="EF1284" s="4"/>
      <c r="EG1284" s="4"/>
      <c r="EH1284" s="4"/>
      <c r="EI1284" s="4"/>
      <c r="EJ1284" s="4"/>
      <c r="EK1284" s="4"/>
      <c r="EL1284" s="4"/>
      <c r="EM1284" s="4"/>
      <c r="EN1284" s="4"/>
      <c r="EO1284" s="4"/>
      <c r="EP1284" s="4"/>
      <c r="EQ1284" s="4"/>
      <c r="ER1284" s="4"/>
      <c r="ES1284" s="4"/>
      <c r="ET1284" s="4"/>
      <c r="EU1284" s="4"/>
      <c r="EV1284" s="4"/>
      <c r="EW1284" s="4"/>
      <c r="EX1284" s="4"/>
      <c r="EY1284" s="4"/>
      <c r="EZ1284" s="4"/>
      <c r="FA1284" s="4"/>
      <c r="FB1284" s="4"/>
      <c r="FC1284" s="4"/>
      <c r="FD1284" s="4"/>
      <c r="FE1284" s="4"/>
      <c r="FF1284" s="4"/>
      <c r="FG1284" s="4"/>
      <c r="FH1284" s="4"/>
      <c r="FI1284" s="4"/>
      <c r="FJ1284" s="4"/>
      <c r="FK1284" s="4"/>
      <c r="FL1284" s="4"/>
      <c r="FM1284" s="4"/>
      <c r="FN1284" s="4"/>
      <c r="FO1284" s="4"/>
      <c r="FP1284" s="4"/>
      <c r="FQ1284" s="4"/>
      <c r="FR1284" s="4"/>
      <c r="FS1284" s="4"/>
      <c r="FT1284" s="4"/>
      <c r="FU1284" s="4"/>
      <c r="FV1284" s="4"/>
      <c r="FW1284" s="4"/>
      <c r="FX1284" s="4"/>
      <c r="FY1284" s="4"/>
      <c r="FZ1284" s="4"/>
      <c r="GA1284" s="4"/>
      <c r="GB1284" s="4"/>
      <c r="GC1284" s="4"/>
      <c r="GD1284" s="4"/>
      <c r="GE1284" s="4"/>
      <c r="GF1284" s="4"/>
      <c r="GG1284" s="4"/>
      <c r="GH1284" s="4"/>
    </row>
    <row r="1285">
      <c r="A1285" s="2" t="s">
        <v>7032</v>
      </c>
      <c r="B1285" s="2" t="s">
        <v>744</v>
      </c>
      <c r="C1285" s="2" t="s">
        <v>745</v>
      </c>
      <c r="D1285" s="2" t="s">
        <v>1275</v>
      </c>
      <c r="E1285" s="2" t="s">
        <v>1276</v>
      </c>
      <c r="F1285" s="2" t="s">
        <v>7033</v>
      </c>
      <c r="G1285" s="2" t="s">
        <v>7033</v>
      </c>
      <c r="H1285" s="2" t="s">
        <v>7033</v>
      </c>
      <c r="I1285" s="2" t="s">
        <v>6930</v>
      </c>
      <c r="J1285" s="2" t="s">
        <v>711</v>
      </c>
      <c r="K1285" s="2" t="s">
        <v>801</v>
      </c>
      <c r="L1285" s="3">
        <v>316.54</v>
      </c>
      <c r="M1285" s="3">
        <v>332.37</v>
      </c>
      <c r="N1285" s="3">
        <v>659</v>
      </c>
      <c r="O1285" s="2" t="s">
        <v>212</v>
      </c>
      <c r="P1285" s="2" t="s">
        <v>802</v>
      </c>
      <c r="Q1285" s="2" t="s">
        <v>206</v>
      </c>
      <c r="R1285" s="2" t="s">
        <v>200</v>
      </c>
      <c r="S1285" s="2" t="s">
        <v>200</v>
      </c>
      <c r="T1285" s="2" t="s">
        <v>200</v>
      </c>
      <c r="U1285" s="2" t="s">
        <v>677</v>
      </c>
      <c r="V1285" s="2" t="s">
        <v>208</v>
      </c>
      <c r="W1285" s="2" t="s">
        <v>712</v>
      </c>
      <c r="X1285" s="2" t="s">
        <v>379</v>
      </c>
      <c r="Y1285" s="2" t="s">
        <v>7034</v>
      </c>
      <c r="Z1285" s="4">
        <v>85</v>
      </c>
      <c r="AA1285" s="4">
        <f>=ROUNDDOWN(283.333333333333,0)</f>
      </c>
      <c r="AB1285" s="5">
        <v>0.3</v>
      </c>
      <c r="AC1285" s="2" t="s">
        <v>7035</v>
      </c>
      <c r="AD1285" s="4">
        <v>23</v>
      </c>
      <c r="AE1285" s="4">
        <v>23</v>
      </c>
      <c r="AF1285" s="6"/>
      <c r="AG1285" s="6"/>
      <c r="AH1285" s="7">
        <v>1</v>
      </c>
      <c r="AI1285" s="4"/>
      <c r="AJ1285" s="4">
        <f>=ROUNDDOWN({0},0)</f>
      </c>
      <c r="AK1285" s="5"/>
      <c r="AL1285" s="2" t="s">
        <v>200</v>
      </c>
      <c r="AM1285" s="4"/>
      <c r="AN1285" s="4"/>
      <c r="AO1285" s="7"/>
      <c r="AP1285" s="4"/>
      <c r="AQ1285" s="8"/>
      <c r="AR1285" s="4"/>
      <c r="AS1285" s="8"/>
      <c r="AT1285" s="7"/>
      <c r="AU1285" s="7"/>
      <c r="AV1285" s="4"/>
      <c r="AW1285" s="8"/>
      <c r="AX1285" s="4"/>
      <c r="AY1285" s="8"/>
      <c r="AZ1285" s="7"/>
      <c r="BA1285" s="7"/>
      <c r="BB1285" s="7"/>
      <c r="BC1285" s="4"/>
      <c r="BD1285" s="8"/>
      <c r="BE1285" s="4"/>
      <c r="BF1285" s="8"/>
      <c r="BG1285" s="7"/>
      <c r="BH1285" s="7"/>
      <c r="BI1285" s="7"/>
      <c r="BJ1285" s="4">
        <v>1</v>
      </c>
      <c r="BK1285" s="8">
        <v>443.16</v>
      </c>
      <c r="BL1285" s="2" t="s">
        <v>813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7036</v>
      </c>
      <c r="BV1285" s="2" t="s">
        <v>200</v>
      </c>
      <c r="BW1285" s="2" t="s">
        <v>200</v>
      </c>
      <c r="BX1285" s="2" t="s">
        <v>629</v>
      </c>
      <c r="BY1285" s="2" t="s">
        <v>247</v>
      </c>
      <c r="BZ1285" s="2" t="s">
        <v>212</v>
      </c>
      <c r="CA1285" s="2" t="s">
        <v>7037</v>
      </c>
      <c r="CB1285" s="2" t="s">
        <v>7038</v>
      </c>
      <c r="CC1285" s="2" t="s">
        <v>213</v>
      </c>
      <c r="CD1285" s="2" t="s">
        <v>200</v>
      </c>
      <c r="CE1285" s="4"/>
      <c r="CF1285" s="4">
        <v>43</v>
      </c>
      <c r="CG1285" s="4"/>
      <c r="CH1285" s="4">
        <v>42</v>
      </c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E1285" s="4"/>
      <c r="DF1285" s="4"/>
      <c r="DG1285" s="4"/>
      <c r="DH1285" s="4"/>
      <c r="DI1285" s="4"/>
      <c r="DJ1285" s="4"/>
      <c r="DK1285" s="4"/>
      <c r="DL1285" s="4"/>
      <c r="DM1285" s="4"/>
      <c r="DN1285" s="4"/>
      <c r="DO1285" s="4"/>
      <c r="DP1285" s="4"/>
      <c r="DQ1285" s="4"/>
      <c r="DR1285" s="4"/>
      <c r="DS1285" s="4"/>
      <c r="DT1285" s="4"/>
      <c r="DU1285" s="4"/>
      <c r="DV1285" s="4"/>
      <c r="DW1285" s="4"/>
      <c r="DX1285" s="4"/>
      <c r="DY1285" s="4"/>
      <c r="DZ1285" s="4"/>
      <c r="EA1285" s="4"/>
      <c r="EB1285" s="4"/>
      <c r="EC1285" s="4"/>
      <c r="ED1285" s="4"/>
      <c r="EE1285" s="4"/>
      <c r="EF1285" s="4"/>
      <c r="EG1285" s="4"/>
      <c r="EH1285" s="4"/>
      <c r="EI1285" s="4"/>
      <c r="EJ1285" s="4"/>
      <c r="EK1285" s="4"/>
      <c r="EL1285" s="4"/>
      <c r="EM1285" s="4"/>
      <c r="EN1285" s="4"/>
      <c r="EO1285" s="4"/>
      <c r="EP1285" s="4"/>
      <c r="EQ1285" s="4"/>
      <c r="ER1285" s="4"/>
      <c r="ES1285" s="4"/>
      <c r="ET1285" s="4"/>
      <c r="EU1285" s="4"/>
      <c r="EV1285" s="4"/>
      <c r="EW1285" s="4"/>
      <c r="EX1285" s="4"/>
      <c r="EY1285" s="4"/>
      <c r="EZ1285" s="4">
        <v>23</v>
      </c>
      <c r="FA1285" s="4"/>
      <c r="FB1285" s="4"/>
      <c r="FC1285" s="4"/>
      <c r="FD1285" s="4"/>
      <c r="FE1285" s="4"/>
      <c r="FF1285" s="4"/>
      <c r="FG1285" s="4"/>
      <c r="FH1285" s="4"/>
      <c r="FI1285" s="4"/>
      <c r="FJ1285" s="4"/>
      <c r="FK1285" s="4"/>
      <c r="FL1285" s="4"/>
      <c r="FM1285" s="4"/>
      <c r="FN1285" s="4"/>
      <c r="FO1285" s="4"/>
      <c r="FP1285" s="4"/>
      <c r="FQ1285" s="4"/>
      <c r="FR1285" s="4"/>
      <c r="FS1285" s="4"/>
      <c r="FT1285" s="4"/>
      <c r="FU1285" s="4"/>
      <c r="FV1285" s="4"/>
      <c r="FW1285" s="4"/>
      <c r="FX1285" s="4"/>
      <c r="FY1285" s="4"/>
      <c r="FZ1285" s="4"/>
      <c r="GA1285" s="4"/>
      <c r="GB1285" s="4"/>
      <c r="GC1285" s="4"/>
      <c r="GD1285" s="4"/>
      <c r="GE1285" s="4"/>
      <c r="GF1285" s="4"/>
      <c r="GG1285" s="4"/>
      <c r="GH1285" s="4"/>
    </row>
    <row r="1286">
      <c r="A1286" s="2" t="s">
        <v>7039</v>
      </c>
      <c r="B1286" s="2" t="s">
        <v>230</v>
      </c>
      <c r="C1286" s="2" t="s">
        <v>877</v>
      </c>
      <c r="D1286" s="2" t="s">
        <v>232</v>
      </c>
      <c r="E1286" s="2" t="s">
        <v>233</v>
      </c>
      <c r="F1286" s="2" t="s">
        <v>3270</v>
      </c>
      <c r="G1286" s="2" t="s">
        <v>3270</v>
      </c>
      <c r="H1286" s="2" t="s">
        <v>3270</v>
      </c>
      <c r="I1286" s="2" t="s">
        <v>7040</v>
      </c>
      <c r="J1286" s="2" t="s">
        <v>7041</v>
      </c>
      <c r="K1286" s="2" t="s">
        <v>7042</v>
      </c>
      <c r="L1286" s="3">
        <v>12.6</v>
      </c>
      <c r="M1286" s="3">
        <v>13.23</v>
      </c>
      <c r="N1286" s="3">
        <v>27.99</v>
      </c>
      <c r="O1286" s="2" t="s">
        <v>212</v>
      </c>
      <c r="P1286" s="2" t="s">
        <v>258</v>
      </c>
      <c r="Q1286" s="2" t="s">
        <v>206</v>
      </c>
      <c r="R1286" s="2" t="s">
        <v>200</v>
      </c>
      <c r="S1286" s="2" t="s">
        <v>7043</v>
      </c>
      <c r="T1286" s="2" t="s">
        <v>378</v>
      </c>
      <c r="U1286" s="2" t="s">
        <v>200</v>
      </c>
      <c r="V1286" s="2" t="s">
        <v>3270</v>
      </c>
      <c r="W1286" s="2" t="s">
        <v>241</v>
      </c>
      <c r="X1286" s="2" t="s">
        <v>200</v>
      </c>
      <c r="Y1286" s="2" t="s">
        <v>7044</v>
      </c>
      <c r="Z1286" s="4">
        <v>2</v>
      </c>
      <c r="AA1286" s="4">
        <f>=ROUNDDOWN(0.4,0)</f>
      </c>
      <c r="AB1286" s="5">
        <v>5</v>
      </c>
      <c r="AC1286" s="2" t="s">
        <v>118</v>
      </c>
      <c r="AD1286" s="4">
        <v>150</v>
      </c>
      <c r="AE1286" s="4">
        <v>170</v>
      </c>
      <c r="AF1286" s="6">
        <v>65</v>
      </c>
      <c r="AG1286" s="6"/>
      <c r="AH1286" s="7">
        <v>0.8333</v>
      </c>
      <c r="AI1286" s="4"/>
      <c r="AJ1286" s="4">
        <f>=ROUNDDOWN({0},0)</f>
      </c>
      <c r="AK1286" s="5"/>
      <c r="AL1286" s="2" t="s">
        <v>200</v>
      </c>
      <c r="AM1286" s="4"/>
      <c r="AN1286" s="4"/>
      <c r="AO1286" s="7"/>
      <c r="AP1286" s="4"/>
      <c r="AQ1286" s="8"/>
      <c r="AR1286" s="4"/>
      <c r="AS1286" s="8"/>
      <c r="AT1286" s="7"/>
      <c r="AU1286" s="7"/>
      <c r="AV1286" s="4" t="s">
        <v>200</v>
      </c>
      <c r="AW1286" s="8" t="s">
        <v>200</v>
      </c>
      <c r="AX1286" s="4" t="s">
        <v>200</v>
      </c>
      <c r="AY1286" s="8" t="s">
        <v>200</v>
      </c>
      <c r="AZ1286" s="7" t="s">
        <v>200</v>
      </c>
      <c r="BA1286" s="7" t="s">
        <v>200</v>
      </c>
      <c r="BB1286" s="7"/>
      <c r="BC1286" s="4" t="s">
        <v>200</v>
      </c>
      <c r="BD1286" s="8" t="s">
        <v>200</v>
      </c>
      <c r="BE1286" s="4" t="s">
        <v>200</v>
      </c>
      <c r="BF1286" s="8" t="s">
        <v>200</v>
      </c>
      <c r="BG1286" s="7" t="s">
        <v>200</v>
      </c>
      <c r="BH1286" s="7" t="s">
        <v>200</v>
      </c>
      <c r="BI1286" s="7"/>
      <c r="BJ1286" s="4">
        <v>31</v>
      </c>
      <c r="BK1286" s="8">
        <v>432.33</v>
      </c>
      <c r="BL1286" s="2" t="s">
        <v>7045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7046</v>
      </c>
      <c r="BV1286" s="2" t="s">
        <v>200</v>
      </c>
      <c r="BW1286" s="2" t="s">
        <v>200</v>
      </c>
      <c r="BX1286" s="2" t="s">
        <v>264</v>
      </c>
      <c r="BY1286" s="2" t="s">
        <v>247</v>
      </c>
      <c r="BZ1286" s="2" t="s">
        <v>212</v>
      </c>
      <c r="CA1286" s="2" t="s">
        <v>7047</v>
      </c>
      <c r="CB1286" s="2" t="s">
        <v>7003</v>
      </c>
      <c r="CC1286" s="2" t="s">
        <v>213</v>
      </c>
      <c r="CD1286" s="2" t="s">
        <v>200</v>
      </c>
      <c r="CE1286" s="4">
        <v>2</v>
      </c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>
        <v>150</v>
      </c>
      <c r="DF1286" s="4"/>
      <c r="DG1286" s="4"/>
      <c r="DH1286" s="4"/>
      <c r="DI1286" s="4"/>
      <c r="DJ1286" s="4"/>
      <c r="DK1286" s="4"/>
      <c r="DL1286" s="4"/>
      <c r="DM1286" s="4"/>
      <c r="DN1286" s="4"/>
      <c r="DO1286" s="4"/>
      <c r="DP1286" s="4"/>
      <c r="DQ1286" s="4"/>
      <c r="DR1286" s="4"/>
      <c r="DS1286" s="4"/>
      <c r="DT1286" s="4"/>
      <c r="DU1286" s="4"/>
      <c r="DV1286" s="4"/>
      <c r="DW1286" s="4"/>
      <c r="DX1286" s="4"/>
      <c r="DY1286" s="4"/>
      <c r="DZ1286" s="4"/>
      <c r="EA1286" s="4"/>
      <c r="EB1286" s="4"/>
      <c r="EC1286" s="4"/>
      <c r="ED1286" s="4"/>
      <c r="EE1286" s="4"/>
      <c r="EF1286" s="4"/>
      <c r="EG1286" s="4"/>
      <c r="EH1286" s="4"/>
      <c r="EI1286" s="4"/>
      <c r="EJ1286" s="4"/>
      <c r="EK1286" s="4"/>
      <c r="EL1286" s="4"/>
      <c r="EM1286" s="4"/>
      <c r="EN1286" s="4"/>
      <c r="EO1286" s="4"/>
      <c r="EP1286" s="4"/>
      <c r="EQ1286" s="4"/>
      <c r="ER1286" s="4"/>
      <c r="ES1286" s="4"/>
      <c r="ET1286" s="4"/>
      <c r="EU1286" s="4"/>
      <c r="EV1286" s="4"/>
      <c r="EW1286" s="4"/>
      <c r="EX1286" s="4"/>
      <c r="EY1286" s="4"/>
      <c r="EZ1286" s="4"/>
      <c r="FA1286" s="4"/>
      <c r="FB1286" s="4"/>
      <c r="FC1286" s="4"/>
      <c r="FD1286" s="4"/>
      <c r="FE1286" s="4"/>
      <c r="FF1286" s="4"/>
      <c r="FG1286" s="4"/>
      <c r="FH1286" s="4"/>
      <c r="FI1286" s="4">
        <v>20</v>
      </c>
      <c r="FJ1286" s="4"/>
      <c r="FK1286" s="4"/>
      <c r="FL1286" s="4"/>
      <c r="FM1286" s="4"/>
      <c r="FN1286" s="4"/>
      <c r="FO1286" s="4"/>
      <c r="FP1286" s="4"/>
      <c r="FQ1286" s="4"/>
      <c r="FR1286" s="4"/>
      <c r="FS1286" s="4"/>
      <c r="FT1286" s="4"/>
      <c r="FU1286" s="4"/>
      <c r="FV1286" s="4"/>
      <c r="FW1286" s="4"/>
      <c r="FX1286" s="4"/>
      <c r="FY1286" s="4"/>
      <c r="FZ1286" s="4"/>
      <c r="GA1286" s="4"/>
      <c r="GB1286" s="4"/>
      <c r="GC1286" s="4"/>
      <c r="GD1286" s="4"/>
      <c r="GE1286" s="4"/>
      <c r="GF1286" s="4"/>
      <c r="GG1286" s="4"/>
      <c r="GH1286" s="4"/>
    </row>
    <row r="1287">
      <c r="A1287" s="2" t="s">
        <v>7048</v>
      </c>
      <c r="B1287" s="2" t="s">
        <v>230</v>
      </c>
      <c r="C1287" s="2" t="s">
        <v>877</v>
      </c>
      <c r="D1287" s="2" t="s">
        <v>232</v>
      </c>
      <c r="E1287" s="2" t="s">
        <v>233</v>
      </c>
      <c r="F1287" s="2" t="s">
        <v>3270</v>
      </c>
      <c r="G1287" s="2" t="s">
        <v>3270</v>
      </c>
      <c r="H1287" s="2" t="s">
        <v>3270</v>
      </c>
      <c r="I1287" s="2" t="s">
        <v>7040</v>
      </c>
      <c r="J1287" s="2" t="s">
        <v>277</v>
      </c>
      <c r="K1287" s="2" t="s">
        <v>7042</v>
      </c>
      <c r="L1287" s="3">
        <v>13.95</v>
      </c>
      <c r="M1287" s="3">
        <v>14.65</v>
      </c>
      <c r="N1287" s="3">
        <v>30.99</v>
      </c>
      <c r="O1287" s="2" t="s">
        <v>212</v>
      </c>
      <c r="P1287" s="2" t="s">
        <v>258</v>
      </c>
      <c r="Q1287" s="2" t="s">
        <v>206</v>
      </c>
      <c r="R1287" s="2" t="s">
        <v>200</v>
      </c>
      <c r="S1287" s="2" t="s">
        <v>7043</v>
      </c>
      <c r="T1287" s="2" t="s">
        <v>378</v>
      </c>
      <c r="U1287" s="2" t="s">
        <v>200</v>
      </c>
      <c r="V1287" s="2" t="s">
        <v>3270</v>
      </c>
      <c r="W1287" s="2" t="s">
        <v>241</v>
      </c>
      <c r="X1287" s="2" t="s">
        <v>200</v>
      </c>
      <c r="Y1287" s="2" t="s">
        <v>7044</v>
      </c>
      <c r="Z1287" s="4">
        <v>144</v>
      </c>
      <c r="AA1287" s="4">
        <f>=ROUNDDOWN(18,0)</f>
      </c>
      <c r="AB1287" s="5">
        <v>8</v>
      </c>
      <c r="AC1287" s="2" t="s">
        <v>118</v>
      </c>
      <c r="AD1287" s="4">
        <v>70</v>
      </c>
      <c r="AE1287" s="4">
        <v>220</v>
      </c>
      <c r="AF1287" s="6">
        <v>65</v>
      </c>
      <c r="AG1287" s="6"/>
      <c r="AH1287" s="7">
        <v>1</v>
      </c>
      <c r="AI1287" s="4"/>
      <c r="AJ1287" s="4">
        <f>=ROUNDDOWN({0},0)</f>
      </c>
      <c r="AK1287" s="5"/>
      <c r="AL1287" s="2" t="s">
        <v>200</v>
      </c>
      <c r="AM1287" s="4"/>
      <c r="AN1287" s="4"/>
      <c r="AO1287" s="7"/>
      <c r="AP1287" s="4"/>
      <c r="AQ1287" s="8"/>
      <c r="AR1287" s="4"/>
      <c r="AS1287" s="8"/>
      <c r="AT1287" s="7"/>
      <c r="AU1287" s="7"/>
      <c r="AV1287" s="4" t="s">
        <v>200</v>
      </c>
      <c r="AW1287" s="8" t="s">
        <v>200</v>
      </c>
      <c r="AX1287" s="4" t="s">
        <v>200</v>
      </c>
      <c r="AY1287" s="8" t="s">
        <v>200</v>
      </c>
      <c r="AZ1287" s="7" t="s">
        <v>200</v>
      </c>
      <c r="BA1287" s="7" t="s">
        <v>200</v>
      </c>
      <c r="BB1287" s="7"/>
      <c r="BC1287" s="4" t="s">
        <v>200</v>
      </c>
      <c r="BD1287" s="8" t="s">
        <v>200</v>
      </c>
      <c r="BE1287" s="4" t="s">
        <v>200</v>
      </c>
      <c r="BF1287" s="8" t="s">
        <v>200</v>
      </c>
      <c r="BG1287" s="7" t="s">
        <v>200</v>
      </c>
      <c r="BH1287" s="7" t="s">
        <v>200</v>
      </c>
      <c r="BI1287" s="7"/>
      <c r="BJ1287" s="4">
        <v>29</v>
      </c>
      <c r="BK1287" s="8">
        <v>456.12</v>
      </c>
      <c r="BL1287" s="2" t="s">
        <v>913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7049</v>
      </c>
      <c r="BV1287" s="2" t="s">
        <v>200</v>
      </c>
      <c r="BW1287" s="2" t="s">
        <v>200</v>
      </c>
      <c r="BX1287" s="2" t="s">
        <v>264</v>
      </c>
      <c r="BY1287" s="2" t="s">
        <v>247</v>
      </c>
      <c r="BZ1287" s="2" t="s">
        <v>212</v>
      </c>
      <c r="CA1287" s="2" t="s">
        <v>7047</v>
      </c>
      <c r="CB1287" s="2" t="s">
        <v>7050</v>
      </c>
      <c r="CC1287" s="2" t="s">
        <v>213</v>
      </c>
      <c r="CD1287" s="2" t="s">
        <v>200</v>
      </c>
      <c r="CE1287" s="4">
        <v>144</v>
      </c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>
        <v>70</v>
      </c>
      <c r="DF1287" s="4"/>
      <c r="DG1287" s="4"/>
      <c r="DH1287" s="4"/>
      <c r="DI1287" s="4"/>
      <c r="DJ1287" s="4"/>
      <c r="DK1287" s="4"/>
      <c r="DL1287" s="4"/>
      <c r="DM1287" s="4"/>
      <c r="DN1287" s="4"/>
      <c r="DO1287" s="4"/>
      <c r="DP1287" s="4"/>
      <c r="DQ1287" s="4"/>
      <c r="DR1287" s="4"/>
      <c r="DS1287" s="4"/>
      <c r="DT1287" s="4"/>
      <c r="DU1287" s="4"/>
      <c r="DV1287" s="4"/>
      <c r="DW1287" s="4"/>
      <c r="DX1287" s="4"/>
      <c r="DY1287" s="4"/>
      <c r="DZ1287" s="4"/>
      <c r="EA1287" s="4"/>
      <c r="EB1287" s="4"/>
      <c r="EC1287" s="4"/>
      <c r="ED1287" s="4"/>
      <c r="EE1287" s="4"/>
      <c r="EF1287" s="4"/>
      <c r="EG1287" s="4"/>
      <c r="EH1287" s="4"/>
      <c r="EI1287" s="4"/>
      <c r="EJ1287" s="4"/>
      <c r="EK1287" s="4"/>
      <c r="EL1287" s="4"/>
      <c r="EM1287" s="4"/>
      <c r="EN1287" s="4"/>
      <c r="EO1287" s="4"/>
      <c r="EP1287" s="4"/>
      <c r="EQ1287" s="4"/>
      <c r="ER1287" s="4"/>
      <c r="ES1287" s="4"/>
      <c r="ET1287" s="4"/>
      <c r="EU1287" s="4"/>
      <c r="EV1287" s="4"/>
      <c r="EW1287" s="4"/>
      <c r="EX1287" s="4"/>
      <c r="EY1287" s="4"/>
      <c r="EZ1287" s="4"/>
      <c r="FA1287" s="4"/>
      <c r="FB1287" s="4"/>
      <c r="FC1287" s="4"/>
      <c r="FD1287" s="4"/>
      <c r="FE1287" s="4"/>
      <c r="FF1287" s="4"/>
      <c r="FG1287" s="4"/>
      <c r="FH1287" s="4"/>
      <c r="FI1287" s="4">
        <v>150</v>
      </c>
      <c r="FJ1287" s="4"/>
      <c r="FK1287" s="4"/>
      <c r="FL1287" s="4"/>
      <c r="FM1287" s="4"/>
      <c r="FN1287" s="4"/>
      <c r="FO1287" s="4"/>
      <c r="FP1287" s="4"/>
      <c r="FQ1287" s="4"/>
      <c r="FR1287" s="4"/>
      <c r="FS1287" s="4"/>
      <c r="FT1287" s="4"/>
      <c r="FU1287" s="4"/>
      <c r="FV1287" s="4"/>
      <c r="FW1287" s="4"/>
      <c r="FX1287" s="4"/>
      <c r="FY1287" s="4"/>
      <c r="FZ1287" s="4"/>
      <c r="GA1287" s="4"/>
      <c r="GB1287" s="4"/>
      <c r="GC1287" s="4"/>
      <c r="GD1287" s="4"/>
      <c r="GE1287" s="4"/>
      <c r="GF1287" s="4"/>
      <c r="GG1287" s="4"/>
      <c r="GH1287" s="4"/>
    </row>
    <row r="1288">
      <c r="A1288" s="2" t="s">
        <v>7051</v>
      </c>
      <c r="B1288" s="2" t="s">
        <v>230</v>
      </c>
      <c r="C1288" s="2" t="s">
        <v>877</v>
      </c>
      <c r="D1288" s="2" t="s">
        <v>232</v>
      </c>
      <c r="E1288" s="2" t="s">
        <v>233</v>
      </c>
      <c r="F1288" s="2" t="s">
        <v>3270</v>
      </c>
      <c r="G1288" s="2" t="s">
        <v>3270</v>
      </c>
      <c r="H1288" s="2" t="s">
        <v>3270</v>
      </c>
      <c r="I1288" s="2" t="s">
        <v>7040</v>
      </c>
      <c r="J1288" s="2" t="s">
        <v>256</v>
      </c>
      <c r="K1288" s="2" t="s">
        <v>7052</v>
      </c>
      <c r="L1288" s="3">
        <v>12.6</v>
      </c>
      <c r="M1288" s="3">
        <v>13.23</v>
      </c>
      <c r="N1288" s="3">
        <v>27.99</v>
      </c>
      <c r="O1288" s="2" t="s">
        <v>212</v>
      </c>
      <c r="P1288" s="2" t="s">
        <v>258</v>
      </c>
      <c r="Q1288" s="2" t="s">
        <v>206</v>
      </c>
      <c r="R1288" s="2" t="s">
        <v>200</v>
      </c>
      <c r="S1288" s="2" t="s">
        <v>7053</v>
      </c>
      <c r="T1288" s="2" t="s">
        <v>378</v>
      </c>
      <c r="U1288" s="2" t="s">
        <v>454</v>
      </c>
      <c r="V1288" s="2" t="s">
        <v>3270</v>
      </c>
      <c r="W1288" s="2" t="s">
        <v>241</v>
      </c>
      <c r="X1288" s="2" t="s">
        <v>200</v>
      </c>
      <c r="Y1288" s="2" t="s">
        <v>7044</v>
      </c>
      <c r="Z1288" s="4">
        <v>70</v>
      </c>
      <c r="AA1288" s="4">
        <f>=ROUNDDOWN(8.75,0)</f>
      </c>
      <c r="AB1288" s="5">
        <v>8</v>
      </c>
      <c r="AC1288" s="2" t="s">
        <v>7054</v>
      </c>
      <c r="AD1288" s="4">
        <v>150</v>
      </c>
      <c r="AE1288" s="4">
        <v>150</v>
      </c>
      <c r="AF1288" s="6">
        <v>65</v>
      </c>
      <c r="AG1288" s="6"/>
      <c r="AH1288" s="7">
        <v>1</v>
      </c>
      <c r="AI1288" s="4"/>
      <c r="AJ1288" s="4">
        <f>=ROUNDDOWN({0},0)</f>
      </c>
      <c r="AK1288" s="5"/>
      <c r="AL1288" s="2" t="s">
        <v>200</v>
      </c>
      <c r="AM1288" s="4"/>
      <c r="AN1288" s="4"/>
      <c r="AO1288" s="7"/>
      <c r="AP1288" s="4"/>
      <c r="AQ1288" s="8"/>
      <c r="AR1288" s="4"/>
      <c r="AS1288" s="8"/>
      <c r="AT1288" s="7"/>
      <c r="AU1288" s="7"/>
      <c r="AV1288" s="4" t="s">
        <v>200</v>
      </c>
      <c r="AW1288" s="8" t="s">
        <v>200</v>
      </c>
      <c r="AX1288" s="4" t="s">
        <v>200</v>
      </c>
      <c r="AY1288" s="8" t="s">
        <v>200</v>
      </c>
      <c r="AZ1288" s="7" t="s">
        <v>200</v>
      </c>
      <c r="BA1288" s="7" t="s">
        <v>200</v>
      </c>
      <c r="BB1288" s="7"/>
      <c r="BC1288" s="4" t="s">
        <v>200</v>
      </c>
      <c r="BD1288" s="8" t="s">
        <v>200</v>
      </c>
      <c r="BE1288" s="4" t="s">
        <v>200</v>
      </c>
      <c r="BF1288" s="8" t="s">
        <v>200</v>
      </c>
      <c r="BG1288" s="7" t="s">
        <v>200</v>
      </c>
      <c r="BH1288" s="7" t="s">
        <v>200</v>
      </c>
      <c r="BI1288" s="7"/>
      <c r="BJ1288" s="4">
        <v>40</v>
      </c>
      <c r="BK1288" s="8">
        <v>559.19</v>
      </c>
      <c r="BL1288" s="2" t="s">
        <v>7055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7056</v>
      </c>
      <c r="BV1288" s="2" t="s">
        <v>200</v>
      </c>
      <c r="BW1288" s="2" t="s">
        <v>200</v>
      </c>
      <c r="BX1288" s="2" t="s">
        <v>264</v>
      </c>
      <c r="BY1288" s="2" t="s">
        <v>247</v>
      </c>
      <c r="BZ1288" s="2" t="s">
        <v>212</v>
      </c>
      <c r="CA1288" s="2" t="s">
        <v>7047</v>
      </c>
      <c r="CB1288" s="2" t="s">
        <v>6576</v>
      </c>
      <c r="CC1288" s="2" t="s">
        <v>213</v>
      </c>
      <c r="CD1288" s="2" t="s">
        <v>200</v>
      </c>
      <c r="CE1288" s="4">
        <v>70</v>
      </c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/>
      <c r="DP1288" s="4"/>
      <c r="DQ1288" s="4"/>
      <c r="DR1288" s="4"/>
      <c r="DS1288" s="4"/>
      <c r="DT1288" s="4"/>
      <c r="DU1288" s="4"/>
      <c r="DV1288" s="4"/>
      <c r="DW1288" s="4"/>
      <c r="DX1288" s="4"/>
      <c r="DY1288" s="4"/>
      <c r="DZ1288" s="4"/>
      <c r="EA1288" s="4"/>
      <c r="EB1288" s="4"/>
      <c r="EC1288" s="4"/>
      <c r="ED1288" s="4"/>
      <c r="EE1288" s="4"/>
      <c r="EF1288" s="4"/>
      <c r="EG1288" s="4"/>
      <c r="EH1288" s="4"/>
      <c r="EI1288" s="4"/>
      <c r="EJ1288" s="4"/>
      <c r="EK1288" s="4"/>
      <c r="EL1288" s="4"/>
      <c r="EM1288" s="4"/>
      <c r="EN1288" s="4"/>
      <c r="EO1288" s="4"/>
      <c r="EP1288" s="4"/>
      <c r="EQ1288" s="4"/>
      <c r="ER1288" s="4"/>
      <c r="ES1288" s="4"/>
      <c r="ET1288" s="4"/>
      <c r="EU1288" s="4"/>
      <c r="EV1288" s="4"/>
      <c r="EW1288" s="4"/>
      <c r="EX1288" s="4"/>
      <c r="EY1288" s="4"/>
      <c r="EZ1288" s="4"/>
      <c r="FA1288" s="4"/>
      <c r="FB1288" s="4">
        <v>150</v>
      </c>
      <c r="FC1288" s="4"/>
      <c r="FD1288" s="4"/>
      <c r="FE1288" s="4"/>
      <c r="FF1288" s="4"/>
      <c r="FG1288" s="4"/>
      <c r="FH1288" s="4"/>
      <c r="FI1288" s="4"/>
      <c r="FJ1288" s="4"/>
      <c r="FK1288" s="4"/>
      <c r="FL1288" s="4"/>
      <c r="FM1288" s="4"/>
      <c r="FN1288" s="4"/>
      <c r="FO1288" s="4"/>
      <c r="FP1288" s="4"/>
      <c r="FQ1288" s="4"/>
      <c r="FR1288" s="4"/>
      <c r="FS1288" s="4"/>
      <c r="FT1288" s="4"/>
      <c r="FU1288" s="4"/>
      <c r="FV1288" s="4"/>
      <c r="FW1288" s="4"/>
      <c r="FX1288" s="4"/>
      <c r="FY1288" s="4"/>
      <c r="FZ1288" s="4"/>
      <c r="GA1288" s="4"/>
      <c r="GB1288" s="4"/>
      <c r="GC1288" s="4"/>
      <c r="GD1288" s="4"/>
      <c r="GE1288" s="4"/>
      <c r="GF1288" s="4"/>
      <c r="GG1288" s="4"/>
      <c r="GH1288" s="4"/>
    </row>
    <row r="1289">
      <c r="A1289" s="2" t="s">
        <v>7057</v>
      </c>
      <c r="B1289" s="2" t="s">
        <v>230</v>
      </c>
      <c r="C1289" s="2" t="s">
        <v>877</v>
      </c>
      <c r="D1289" s="2" t="s">
        <v>232</v>
      </c>
      <c r="E1289" s="2" t="s">
        <v>233</v>
      </c>
      <c r="F1289" s="2" t="s">
        <v>3270</v>
      </c>
      <c r="G1289" s="2" t="s">
        <v>3270</v>
      </c>
      <c r="H1289" s="2" t="s">
        <v>3270</v>
      </c>
      <c r="I1289" s="2" t="s">
        <v>7040</v>
      </c>
      <c r="J1289" s="2" t="s">
        <v>7041</v>
      </c>
      <c r="K1289" s="2" t="s">
        <v>7052</v>
      </c>
      <c r="L1289" s="3">
        <v>12.6</v>
      </c>
      <c r="M1289" s="3">
        <v>13.23</v>
      </c>
      <c r="N1289" s="3">
        <v>27.99</v>
      </c>
      <c r="O1289" s="2" t="s">
        <v>212</v>
      </c>
      <c r="P1289" s="2" t="s">
        <v>258</v>
      </c>
      <c r="Q1289" s="2" t="s">
        <v>206</v>
      </c>
      <c r="R1289" s="2" t="s">
        <v>200</v>
      </c>
      <c r="S1289" s="2" t="s">
        <v>7053</v>
      </c>
      <c r="T1289" s="2" t="s">
        <v>378</v>
      </c>
      <c r="U1289" s="2" t="s">
        <v>454</v>
      </c>
      <c r="V1289" s="2" t="s">
        <v>3270</v>
      </c>
      <c r="W1289" s="2" t="s">
        <v>241</v>
      </c>
      <c r="X1289" s="2" t="s">
        <v>200</v>
      </c>
      <c r="Y1289" s="2" t="s">
        <v>7044</v>
      </c>
      <c r="Z1289" s="4">
        <v>175</v>
      </c>
      <c r="AA1289" s="4">
        <f>=ROUNDDOWN(35,0)</f>
      </c>
      <c r="AB1289" s="5">
        <v>5</v>
      </c>
      <c r="AC1289" s="2" t="s">
        <v>200</v>
      </c>
      <c r="AD1289" s="4"/>
      <c r="AE1289" s="4"/>
      <c r="AF1289" s="6">
        <v>65</v>
      </c>
      <c r="AG1289" s="6"/>
      <c r="AH1289" s="7">
        <v>1</v>
      </c>
      <c r="AI1289" s="4"/>
      <c r="AJ1289" s="4">
        <f>=ROUNDDOWN({0},0)</f>
      </c>
      <c r="AK1289" s="5"/>
      <c r="AL1289" s="2" t="s">
        <v>200</v>
      </c>
      <c r="AM1289" s="4"/>
      <c r="AN1289" s="4"/>
      <c r="AO1289" s="7"/>
      <c r="AP1289" s="4"/>
      <c r="AQ1289" s="8"/>
      <c r="AR1289" s="4"/>
      <c r="AS1289" s="8"/>
      <c r="AT1289" s="7"/>
      <c r="AU1289" s="7"/>
      <c r="AV1289" s="4" t="s">
        <v>200</v>
      </c>
      <c r="AW1289" s="8" t="s">
        <v>200</v>
      </c>
      <c r="AX1289" s="4" t="s">
        <v>200</v>
      </c>
      <c r="AY1289" s="8" t="s">
        <v>200</v>
      </c>
      <c r="AZ1289" s="7" t="s">
        <v>200</v>
      </c>
      <c r="BA1289" s="7" t="s">
        <v>200</v>
      </c>
      <c r="BB1289" s="7"/>
      <c r="BC1289" s="4" t="s">
        <v>200</v>
      </c>
      <c r="BD1289" s="8" t="s">
        <v>200</v>
      </c>
      <c r="BE1289" s="4" t="s">
        <v>200</v>
      </c>
      <c r="BF1289" s="8" t="s">
        <v>200</v>
      </c>
      <c r="BG1289" s="7" t="s">
        <v>200</v>
      </c>
      <c r="BH1289" s="7" t="s">
        <v>200</v>
      </c>
      <c r="BI1289" s="7"/>
      <c r="BJ1289" s="4">
        <v>12</v>
      </c>
      <c r="BK1289" s="8">
        <v>167.8</v>
      </c>
      <c r="BL1289" s="2" t="s">
        <v>1184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7058</v>
      </c>
      <c r="BV1289" s="2" t="s">
        <v>200</v>
      </c>
      <c r="BW1289" s="2" t="s">
        <v>200</v>
      </c>
      <c r="BX1289" s="2" t="s">
        <v>264</v>
      </c>
      <c r="BY1289" s="2" t="s">
        <v>247</v>
      </c>
      <c r="BZ1289" s="2" t="s">
        <v>212</v>
      </c>
      <c r="CA1289" s="2" t="s">
        <v>7047</v>
      </c>
      <c r="CB1289" s="2" t="s">
        <v>7000</v>
      </c>
      <c r="CC1289" s="2" t="s">
        <v>213</v>
      </c>
      <c r="CD1289" s="2" t="s">
        <v>200</v>
      </c>
      <c r="CE1289" s="4">
        <v>175</v>
      </c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/>
      <c r="DH1289" s="4"/>
      <c r="DI1289" s="4"/>
      <c r="DJ1289" s="4"/>
      <c r="DK1289" s="4"/>
      <c r="DL1289" s="4"/>
      <c r="DM1289" s="4"/>
      <c r="DN1289" s="4"/>
      <c r="DO1289" s="4"/>
      <c r="DP1289" s="4"/>
      <c r="DQ1289" s="4"/>
      <c r="DR1289" s="4"/>
      <c r="DS1289" s="4"/>
      <c r="DT1289" s="4"/>
      <c r="DU1289" s="4"/>
      <c r="DV1289" s="4"/>
      <c r="DW1289" s="4"/>
      <c r="DX1289" s="4"/>
      <c r="DY1289" s="4"/>
      <c r="DZ1289" s="4"/>
      <c r="EA1289" s="4"/>
      <c r="EB1289" s="4"/>
      <c r="EC1289" s="4"/>
      <c r="ED1289" s="4"/>
      <c r="EE1289" s="4"/>
      <c r="EF1289" s="4"/>
      <c r="EG1289" s="4"/>
      <c r="EH1289" s="4"/>
      <c r="EI1289" s="4"/>
      <c r="EJ1289" s="4"/>
      <c r="EK1289" s="4"/>
      <c r="EL1289" s="4"/>
      <c r="EM1289" s="4"/>
      <c r="EN1289" s="4"/>
      <c r="EO1289" s="4"/>
      <c r="EP1289" s="4"/>
      <c r="EQ1289" s="4"/>
      <c r="ER1289" s="4"/>
      <c r="ES1289" s="4"/>
      <c r="ET1289" s="4"/>
      <c r="EU1289" s="4"/>
      <c r="EV1289" s="4"/>
      <c r="EW1289" s="4"/>
      <c r="EX1289" s="4"/>
      <c r="EY1289" s="4"/>
      <c r="EZ1289" s="4"/>
      <c r="FA1289" s="4"/>
      <c r="FB1289" s="4"/>
      <c r="FC1289" s="4"/>
      <c r="FD1289" s="4"/>
      <c r="FE1289" s="4"/>
      <c r="FF1289" s="4"/>
      <c r="FG1289" s="4"/>
      <c r="FH1289" s="4"/>
      <c r="FI1289" s="4"/>
      <c r="FJ1289" s="4"/>
      <c r="FK1289" s="4"/>
      <c r="FL1289" s="4"/>
      <c r="FM1289" s="4"/>
      <c r="FN1289" s="4"/>
      <c r="FO1289" s="4"/>
      <c r="FP1289" s="4"/>
      <c r="FQ1289" s="4"/>
      <c r="FR1289" s="4"/>
      <c r="FS1289" s="4"/>
      <c r="FT1289" s="4"/>
      <c r="FU1289" s="4"/>
      <c r="FV1289" s="4"/>
      <c r="FW1289" s="4"/>
      <c r="FX1289" s="4"/>
      <c r="FY1289" s="4"/>
      <c r="FZ1289" s="4"/>
      <c r="GA1289" s="4"/>
      <c r="GB1289" s="4"/>
      <c r="GC1289" s="4"/>
      <c r="GD1289" s="4"/>
      <c r="GE1289" s="4"/>
      <c r="GF1289" s="4"/>
      <c r="GG1289" s="4"/>
      <c r="GH1289" s="4"/>
    </row>
    <row r="1290">
      <c r="A1290" s="2" t="s">
        <v>7059</v>
      </c>
      <c r="B1290" s="2" t="s">
        <v>230</v>
      </c>
      <c r="C1290" s="2" t="s">
        <v>877</v>
      </c>
      <c r="D1290" s="2" t="s">
        <v>232</v>
      </c>
      <c r="E1290" s="2" t="s">
        <v>233</v>
      </c>
      <c r="F1290" s="2" t="s">
        <v>3270</v>
      </c>
      <c r="G1290" s="2" t="s">
        <v>3270</v>
      </c>
      <c r="H1290" s="2" t="s">
        <v>3270</v>
      </c>
      <c r="I1290" s="2" t="s">
        <v>7040</v>
      </c>
      <c r="J1290" s="2" t="s">
        <v>277</v>
      </c>
      <c r="K1290" s="2" t="s">
        <v>7052</v>
      </c>
      <c r="L1290" s="3">
        <v>13.95</v>
      </c>
      <c r="M1290" s="3">
        <v>14.65</v>
      </c>
      <c r="N1290" s="3">
        <v>30.99</v>
      </c>
      <c r="O1290" s="2" t="s">
        <v>212</v>
      </c>
      <c r="P1290" s="2" t="s">
        <v>258</v>
      </c>
      <c r="Q1290" s="2" t="s">
        <v>206</v>
      </c>
      <c r="R1290" s="2" t="s">
        <v>200</v>
      </c>
      <c r="S1290" s="2" t="s">
        <v>7053</v>
      </c>
      <c r="T1290" s="2" t="s">
        <v>378</v>
      </c>
      <c r="U1290" s="2" t="s">
        <v>240</v>
      </c>
      <c r="V1290" s="2" t="s">
        <v>3270</v>
      </c>
      <c r="W1290" s="2" t="s">
        <v>241</v>
      </c>
      <c r="X1290" s="2" t="s">
        <v>200</v>
      </c>
      <c r="Y1290" s="2" t="s">
        <v>7044</v>
      </c>
      <c r="Z1290" s="4">
        <v>176</v>
      </c>
      <c r="AA1290" s="4">
        <f>=ROUNDDOWN(29.3333333333333,0)</f>
      </c>
      <c r="AB1290" s="5">
        <v>6</v>
      </c>
      <c r="AC1290" s="2" t="s">
        <v>200</v>
      </c>
      <c r="AD1290" s="4"/>
      <c r="AE1290" s="4"/>
      <c r="AF1290" s="6">
        <v>65</v>
      </c>
      <c r="AG1290" s="6"/>
      <c r="AH1290" s="7">
        <v>1</v>
      </c>
      <c r="AI1290" s="4"/>
      <c r="AJ1290" s="4">
        <f>=ROUNDDOWN({0},0)</f>
      </c>
      <c r="AK1290" s="5"/>
      <c r="AL1290" s="2" t="s">
        <v>200</v>
      </c>
      <c r="AM1290" s="4"/>
      <c r="AN1290" s="4"/>
      <c r="AO1290" s="7"/>
      <c r="AP1290" s="4"/>
      <c r="AQ1290" s="8"/>
      <c r="AR1290" s="4"/>
      <c r="AS1290" s="8"/>
      <c r="AT1290" s="7"/>
      <c r="AU1290" s="7"/>
      <c r="AV1290" s="4" t="s">
        <v>200</v>
      </c>
      <c r="AW1290" s="8" t="s">
        <v>200</v>
      </c>
      <c r="AX1290" s="4" t="s">
        <v>200</v>
      </c>
      <c r="AY1290" s="8" t="s">
        <v>200</v>
      </c>
      <c r="AZ1290" s="7" t="s">
        <v>200</v>
      </c>
      <c r="BA1290" s="7" t="s">
        <v>200</v>
      </c>
      <c r="BB1290" s="7"/>
      <c r="BC1290" s="4" t="s">
        <v>200</v>
      </c>
      <c r="BD1290" s="8" t="s">
        <v>200</v>
      </c>
      <c r="BE1290" s="4" t="s">
        <v>200</v>
      </c>
      <c r="BF1290" s="8" t="s">
        <v>200</v>
      </c>
      <c r="BG1290" s="7" t="s">
        <v>200</v>
      </c>
      <c r="BH1290" s="7" t="s">
        <v>200</v>
      </c>
      <c r="BI1290" s="7"/>
      <c r="BJ1290" s="4">
        <v>16</v>
      </c>
      <c r="BK1290" s="8">
        <v>252.55</v>
      </c>
      <c r="BL1290" s="2" t="s">
        <v>2436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7060</v>
      </c>
      <c r="BV1290" s="2" t="s">
        <v>200</v>
      </c>
      <c r="BW1290" s="2" t="s">
        <v>200</v>
      </c>
      <c r="BX1290" s="2" t="s">
        <v>264</v>
      </c>
      <c r="BY1290" s="2" t="s">
        <v>247</v>
      </c>
      <c r="BZ1290" s="2" t="s">
        <v>212</v>
      </c>
      <c r="CA1290" s="2" t="s">
        <v>7047</v>
      </c>
      <c r="CB1290" s="2" t="s">
        <v>7061</v>
      </c>
      <c r="CC1290" s="2" t="s">
        <v>213</v>
      </c>
      <c r="CD1290" s="2" t="s">
        <v>200</v>
      </c>
      <c r="CE1290" s="4">
        <v>176</v>
      </c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E1290" s="4"/>
      <c r="DF1290" s="4"/>
      <c r="DG1290" s="4"/>
      <c r="DH1290" s="4"/>
      <c r="DI1290" s="4"/>
      <c r="DJ1290" s="4"/>
      <c r="DK1290" s="4"/>
      <c r="DL1290" s="4"/>
      <c r="DM1290" s="4"/>
      <c r="DN1290" s="4"/>
      <c r="DO1290" s="4"/>
      <c r="DP1290" s="4"/>
      <c r="DQ1290" s="4"/>
      <c r="DR1290" s="4"/>
      <c r="DS1290" s="4"/>
      <c r="DT1290" s="4"/>
      <c r="DU1290" s="4"/>
      <c r="DV1290" s="4"/>
      <c r="DW1290" s="4"/>
      <c r="DX1290" s="4"/>
      <c r="DY1290" s="4"/>
      <c r="DZ1290" s="4"/>
      <c r="EA1290" s="4"/>
      <c r="EB1290" s="4"/>
      <c r="EC1290" s="4"/>
      <c r="ED1290" s="4"/>
      <c r="EE1290" s="4"/>
      <c r="EF1290" s="4"/>
      <c r="EG1290" s="4"/>
      <c r="EH1290" s="4"/>
      <c r="EI1290" s="4"/>
      <c r="EJ1290" s="4"/>
      <c r="EK1290" s="4"/>
      <c r="EL1290" s="4"/>
      <c r="EM1290" s="4"/>
      <c r="EN1290" s="4"/>
      <c r="EO1290" s="4"/>
      <c r="EP1290" s="4"/>
      <c r="EQ1290" s="4"/>
      <c r="ER1290" s="4"/>
      <c r="ES1290" s="4"/>
      <c r="ET1290" s="4"/>
      <c r="EU1290" s="4"/>
      <c r="EV1290" s="4"/>
      <c r="EW1290" s="4"/>
      <c r="EX1290" s="4"/>
      <c r="EY1290" s="4"/>
      <c r="EZ1290" s="4"/>
      <c r="FA1290" s="4"/>
      <c r="FB1290" s="4"/>
      <c r="FC1290" s="4"/>
      <c r="FD1290" s="4"/>
      <c r="FE1290" s="4"/>
      <c r="FF1290" s="4"/>
      <c r="FG1290" s="4"/>
      <c r="FH1290" s="4"/>
      <c r="FI1290" s="4"/>
      <c r="FJ1290" s="4"/>
      <c r="FK1290" s="4"/>
      <c r="FL1290" s="4"/>
      <c r="FM1290" s="4"/>
      <c r="FN1290" s="4"/>
      <c r="FO1290" s="4"/>
      <c r="FP1290" s="4"/>
      <c r="FQ1290" s="4"/>
      <c r="FR1290" s="4"/>
      <c r="FS1290" s="4"/>
      <c r="FT1290" s="4"/>
      <c r="FU1290" s="4"/>
      <c r="FV1290" s="4"/>
      <c r="FW1290" s="4"/>
      <c r="FX1290" s="4"/>
      <c r="FY1290" s="4"/>
      <c r="FZ1290" s="4"/>
      <c r="GA1290" s="4"/>
      <c r="GB1290" s="4"/>
      <c r="GC1290" s="4"/>
      <c r="GD1290" s="4"/>
      <c r="GE1290" s="4"/>
      <c r="GF1290" s="4"/>
      <c r="GG1290" s="4"/>
      <c r="GH1290" s="4"/>
    </row>
    <row r="1291">
      <c r="A1291" s="2" t="s">
        <v>7062</v>
      </c>
      <c r="B1291" s="2" t="s">
        <v>230</v>
      </c>
      <c r="C1291" s="2" t="s">
        <v>877</v>
      </c>
      <c r="D1291" s="2" t="s">
        <v>232</v>
      </c>
      <c r="E1291" s="2" t="s">
        <v>233</v>
      </c>
      <c r="F1291" s="2" t="s">
        <v>3270</v>
      </c>
      <c r="G1291" s="2" t="s">
        <v>3270</v>
      </c>
      <c r="H1291" s="2" t="s">
        <v>3270</v>
      </c>
      <c r="I1291" s="2" t="s">
        <v>7040</v>
      </c>
      <c r="J1291" s="2" t="s">
        <v>7041</v>
      </c>
      <c r="K1291" s="2" t="s">
        <v>7063</v>
      </c>
      <c r="L1291" s="3">
        <v>12.6</v>
      </c>
      <c r="M1291" s="3">
        <v>13.23</v>
      </c>
      <c r="N1291" s="3">
        <v>27.99</v>
      </c>
      <c r="O1291" s="2" t="s">
        <v>212</v>
      </c>
      <c r="P1291" s="2" t="s">
        <v>750</v>
      </c>
      <c r="Q1291" s="2" t="s">
        <v>206</v>
      </c>
      <c r="R1291" s="2" t="s">
        <v>200</v>
      </c>
      <c r="S1291" s="2" t="s">
        <v>7064</v>
      </c>
      <c r="T1291" s="2" t="s">
        <v>378</v>
      </c>
      <c r="U1291" s="2" t="s">
        <v>200</v>
      </c>
      <c r="V1291" s="2" t="s">
        <v>3270</v>
      </c>
      <c r="W1291" s="2" t="s">
        <v>241</v>
      </c>
      <c r="X1291" s="2" t="s">
        <v>200</v>
      </c>
      <c r="Y1291" s="2" t="s">
        <v>7044</v>
      </c>
      <c r="Z1291" s="4">
        <v>75</v>
      </c>
      <c r="AA1291" s="4">
        <f>=ROUNDDOWN(18.75,0)</f>
      </c>
      <c r="AB1291" s="5">
        <v>4</v>
      </c>
      <c r="AC1291" s="2" t="s">
        <v>118</v>
      </c>
      <c r="AD1291" s="4">
        <v>90</v>
      </c>
      <c r="AE1291" s="4">
        <v>120</v>
      </c>
      <c r="AF1291" s="6">
        <v>65</v>
      </c>
      <c r="AG1291" s="6"/>
      <c r="AH1291" s="7">
        <v>1</v>
      </c>
      <c r="AI1291" s="4"/>
      <c r="AJ1291" s="4">
        <f>=ROUNDDOWN({0},0)</f>
      </c>
      <c r="AK1291" s="5"/>
      <c r="AL1291" s="2" t="s">
        <v>200</v>
      </c>
      <c r="AM1291" s="4"/>
      <c r="AN1291" s="4"/>
      <c r="AO1291" s="7"/>
      <c r="AP1291" s="4"/>
      <c r="AQ1291" s="8"/>
      <c r="AR1291" s="4"/>
      <c r="AS1291" s="8"/>
      <c r="AT1291" s="7"/>
      <c r="AU1291" s="7"/>
      <c r="AV1291" s="4"/>
      <c r="AW1291" s="8"/>
      <c r="AX1291" s="4"/>
      <c r="AY1291" s="8"/>
      <c r="AZ1291" s="7"/>
      <c r="BA1291" s="7"/>
      <c r="BB1291" s="7"/>
      <c r="BC1291" s="4" t="s">
        <v>200</v>
      </c>
      <c r="BD1291" s="8" t="s">
        <v>200</v>
      </c>
      <c r="BE1291" s="4" t="s">
        <v>200</v>
      </c>
      <c r="BF1291" s="8" t="s">
        <v>200</v>
      </c>
      <c r="BG1291" s="7" t="s">
        <v>200</v>
      </c>
      <c r="BH1291" s="7" t="s">
        <v>200</v>
      </c>
      <c r="BI1291" s="7"/>
      <c r="BJ1291" s="4">
        <v>15</v>
      </c>
      <c r="BK1291" s="8">
        <v>209.7</v>
      </c>
      <c r="BL1291" s="2" t="s">
        <v>3823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7065</v>
      </c>
      <c r="BV1291" s="2" t="s">
        <v>200</v>
      </c>
      <c r="BW1291" s="2" t="s">
        <v>200</v>
      </c>
      <c r="BX1291" s="2" t="s">
        <v>264</v>
      </c>
      <c r="BY1291" s="2" t="s">
        <v>247</v>
      </c>
      <c r="BZ1291" s="2" t="s">
        <v>212</v>
      </c>
      <c r="CA1291" s="2" t="s">
        <v>7047</v>
      </c>
      <c r="CB1291" s="2" t="s">
        <v>2310</v>
      </c>
      <c r="CC1291" s="2" t="s">
        <v>213</v>
      </c>
      <c r="CD1291" s="2" t="s">
        <v>200</v>
      </c>
      <c r="CE1291" s="4">
        <v>75</v>
      </c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E1291" s="4">
        <v>90</v>
      </c>
      <c r="DF1291" s="4"/>
      <c r="DG1291" s="4"/>
      <c r="DH1291" s="4"/>
      <c r="DI1291" s="4"/>
      <c r="DJ1291" s="4"/>
      <c r="DK1291" s="4"/>
      <c r="DL1291" s="4"/>
      <c r="DM1291" s="4"/>
      <c r="DN1291" s="4"/>
      <c r="DO1291" s="4"/>
      <c r="DP1291" s="4"/>
      <c r="DQ1291" s="4"/>
      <c r="DR1291" s="4"/>
      <c r="DS1291" s="4"/>
      <c r="DT1291" s="4"/>
      <c r="DU1291" s="4"/>
      <c r="DV1291" s="4"/>
      <c r="DW1291" s="4"/>
      <c r="DX1291" s="4"/>
      <c r="DY1291" s="4"/>
      <c r="DZ1291" s="4"/>
      <c r="EA1291" s="4"/>
      <c r="EB1291" s="4"/>
      <c r="EC1291" s="4"/>
      <c r="ED1291" s="4"/>
      <c r="EE1291" s="4"/>
      <c r="EF1291" s="4"/>
      <c r="EG1291" s="4"/>
      <c r="EH1291" s="4"/>
      <c r="EI1291" s="4"/>
      <c r="EJ1291" s="4"/>
      <c r="EK1291" s="4"/>
      <c r="EL1291" s="4"/>
      <c r="EM1291" s="4"/>
      <c r="EN1291" s="4"/>
      <c r="EO1291" s="4"/>
      <c r="EP1291" s="4"/>
      <c r="EQ1291" s="4"/>
      <c r="ER1291" s="4"/>
      <c r="ES1291" s="4"/>
      <c r="ET1291" s="4"/>
      <c r="EU1291" s="4"/>
      <c r="EV1291" s="4"/>
      <c r="EW1291" s="4"/>
      <c r="EX1291" s="4"/>
      <c r="EY1291" s="4"/>
      <c r="EZ1291" s="4"/>
      <c r="FA1291" s="4"/>
      <c r="FB1291" s="4"/>
      <c r="FC1291" s="4"/>
      <c r="FD1291" s="4"/>
      <c r="FE1291" s="4"/>
      <c r="FF1291" s="4"/>
      <c r="FG1291" s="4"/>
      <c r="FH1291" s="4"/>
      <c r="FI1291" s="4">
        <v>30</v>
      </c>
      <c r="FJ1291" s="4"/>
      <c r="FK1291" s="4"/>
      <c r="FL1291" s="4"/>
      <c r="FM1291" s="4"/>
      <c r="FN1291" s="4"/>
      <c r="FO1291" s="4"/>
      <c r="FP1291" s="4"/>
      <c r="FQ1291" s="4"/>
      <c r="FR1291" s="4"/>
      <c r="FS1291" s="4"/>
      <c r="FT1291" s="4"/>
      <c r="FU1291" s="4"/>
      <c r="FV1291" s="4"/>
      <c r="FW1291" s="4"/>
      <c r="FX1291" s="4"/>
      <c r="FY1291" s="4"/>
      <c r="FZ1291" s="4"/>
      <c r="GA1291" s="4"/>
      <c r="GB1291" s="4"/>
      <c r="GC1291" s="4"/>
      <c r="GD1291" s="4"/>
      <c r="GE1291" s="4"/>
      <c r="GF1291" s="4"/>
      <c r="GG1291" s="4"/>
      <c r="GH1291" s="4"/>
    </row>
    <row r="1292">
      <c r="A1292" s="2" t="s">
        <v>7066</v>
      </c>
      <c r="B1292" s="2" t="s">
        <v>669</v>
      </c>
      <c r="C1292" s="2" t="s">
        <v>413</v>
      </c>
      <c r="D1292" s="2" t="s">
        <v>670</v>
      </c>
      <c r="E1292" s="2" t="s">
        <v>671</v>
      </c>
      <c r="F1292" s="2" t="s">
        <v>7067</v>
      </c>
      <c r="G1292" s="2" t="s">
        <v>7067</v>
      </c>
      <c r="H1292" s="2" t="s">
        <v>7067</v>
      </c>
      <c r="I1292" s="2" t="s">
        <v>7068</v>
      </c>
      <c r="J1292" s="2" t="s">
        <v>7007</v>
      </c>
      <c r="K1292" s="2" t="s">
        <v>257</v>
      </c>
      <c r="L1292" s="3">
        <v>23.09</v>
      </c>
      <c r="M1292" s="3">
        <v>24.24</v>
      </c>
      <c r="N1292" s="3">
        <v>54.99</v>
      </c>
      <c r="O1292" s="2" t="s">
        <v>212</v>
      </c>
      <c r="P1292" s="2" t="s">
        <v>258</v>
      </c>
      <c r="Q1292" s="2" t="s">
        <v>206</v>
      </c>
      <c r="R1292" s="2" t="s">
        <v>200</v>
      </c>
      <c r="S1292" s="2" t="s">
        <v>7069</v>
      </c>
      <c r="T1292" s="2" t="s">
        <v>312</v>
      </c>
      <c r="U1292" s="2" t="s">
        <v>662</v>
      </c>
      <c r="V1292" s="2" t="s">
        <v>208</v>
      </c>
      <c r="W1292" s="2" t="s">
        <v>241</v>
      </c>
      <c r="X1292" s="2" t="s">
        <v>379</v>
      </c>
      <c r="Y1292" s="2" t="s">
        <v>7070</v>
      </c>
      <c r="Z1292" s="4">
        <v>330</v>
      </c>
      <c r="AA1292" s="4">
        <f>=ROUNDDOWN(30,0)</f>
      </c>
      <c r="AB1292" s="5">
        <v>11</v>
      </c>
      <c r="AC1292" s="2" t="s">
        <v>129</v>
      </c>
      <c r="AD1292" s="4">
        <v>190</v>
      </c>
      <c r="AE1292" s="4">
        <v>190</v>
      </c>
      <c r="AF1292" s="6">
        <v>73</v>
      </c>
      <c r="AG1292" s="6"/>
      <c r="AH1292" s="7">
        <v>1</v>
      </c>
      <c r="AI1292" s="4"/>
      <c r="AJ1292" s="4">
        <f>=ROUNDDOWN({0},0)</f>
      </c>
      <c r="AK1292" s="5"/>
      <c r="AL1292" s="2" t="s">
        <v>200</v>
      </c>
      <c r="AM1292" s="4"/>
      <c r="AN1292" s="4"/>
      <c r="AO1292" s="7"/>
      <c r="AP1292" s="4"/>
      <c r="AQ1292" s="8"/>
      <c r="AR1292" s="4"/>
      <c r="AS1292" s="8"/>
      <c r="AT1292" s="7"/>
      <c r="AU1292" s="7"/>
      <c r="AV1292" s="4"/>
      <c r="AW1292" s="8"/>
      <c r="AX1292" s="4"/>
      <c r="AY1292" s="8"/>
      <c r="AZ1292" s="7"/>
      <c r="BA1292" s="7"/>
      <c r="BB1292" s="7"/>
      <c r="BC1292" s="4"/>
      <c r="BD1292" s="8"/>
      <c r="BE1292" s="4"/>
      <c r="BF1292" s="8"/>
      <c r="BG1292" s="7"/>
      <c r="BH1292" s="7"/>
      <c r="BI1292" s="7"/>
      <c r="BJ1292" s="4">
        <v>53</v>
      </c>
      <c r="BK1292" s="8">
        <v>1337.07</v>
      </c>
      <c r="BL1292" s="2" t="s">
        <v>7071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7072</v>
      </c>
      <c r="BV1292" s="2" t="s">
        <v>200</v>
      </c>
      <c r="BW1292" s="2" t="s">
        <v>200</v>
      </c>
      <c r="BX1292" s="2" t="s">
        <v>264</v>
      </c>
      <c r="BY1292" s="2" t="s">
        <v>247</v>
      </c>
      <c r="BZ1292" s="2" t="s">
        <v>212</v>
      </c>
      <c r="CA1292" s="2" t="s">
        <v>7073</v>
      </c>
      <c r="CB1292" s="2" t="s">
        <v>4717</v>
      </c>
      <c r="CC1292" s="2" t="s">
        <v>213</v>
      </c>
      <c r="CD1292" s="2" t="s">
        <v>200</v>
      </c>
      <c r="CE1292" s="4">
        <v>330</v>
      </c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  <c r="DL1292" s="4"/>
      <c r="DM1292" s="4"/>
      <c r="DN1292" s="4"/>
      <c r="DO1292" s="4"/>
      <c r="DP1292" s="4">
        <v>190</v>
      </c>
      <c r="DQ1292" s="4"/>
      <c r="DR1292" s="4"/>
      <c r="DS1292" s="4"/>
      <c r="DT1292" s="4"/>
      <c r="DU1292" s="4"/>
      <c r="DV1292" s="4"/>
      <c r="DW1292" s="4"/>
      <c r="DX1292" s="4"/>
      <c r="DY1292" s="4"/>
      <c r="DZ1292" s="4"/>
      <c r="EA1292" s="4"/>
      <c r="EB1292" s="4"/>
      <c r="EC1292" s="4"/>
      <c r="ED1292" s="4"/>
      <c r="EE1292" s="4"/>
      <c r="EF1292" s="4"/>
      <c r="EG1292" s="4"/>
      <c r="EH1292" s="4"/>
      <c r="EI1292" s="4"/>
      <c r="EJ1292" s="4"/>
      <c r="EK1292" s="4"/>
      <c r="EL1292" s="4"/>
      <c r="EM1292" s="4"/>
      <c r="EN1292" s="4"/>
      <c r="EO1292" s="4"/>
      <c r="EP1292" s="4"/>
      <c r="EQ1292" s="4"/>
      <c r="ER1292" s="4"/>
      <c r="ES1292" s="4"/>
      <c r="ET1292" s="4"/>
      <c r="EU1292" s="4"/>
      <c r="EV1292" s="4"/>
      <c r="EW1292" s="4"/>
      <c r="EX1292" s="4"/>
      <c r="EY1292" s="4"/>
      <c r="EZ1292" s="4"/>
      <c r="FA1292" s="4"/>
      <c r="FB1292" s="4"/>
      <c r="FC1292" s="4"/>
      <c r="FD1292" s="4"/>
      <c r="FE1292" s="4"/>
      <c r="FF1292" s="4"/>
      <c r="FG1292" s="4"/>
      <c r="FH1292" s="4"/>
      <c r="FI1292" s="4"/>
      <c r="FJ1292" s="4"/>
      <c r="FK1292" s="4"/>
      <c r="FL1292" s="4"/>
      <c r="FM1292" s="4"/>
      <c r="FN1292" s="4"/>
      <c r="FO1292" s="4"/>
      <c r="FP1292" s="4"/>
      <c r="FQ1292" s="4"/>
      <c r="FR1292" s="4"/>
      <c r="FS1292" s="4"/>
      <c r="FT1292" s="4"/>
      <c r="FU1292" s="4"/>
      <c r="FV1292" s="4"/>
      <c r="FW1292" s="4"/>
      <c r="FX1292" s="4"/>
      <c r="FY1292" s="4"/>
      <c r="FZ1292" s="4"/>
      <c r="GA1292" s="4"/>
      <c r="GB1292" s="4"/>
      <c r="GC1292" s="4"/>
      <c r="GD1292" s="4"/>
      <c r="GE1292" s="4"/>
      <c r="GF1292" s="4"/>
      <c r="GG1292" s="4"/>
      <c r="GH1292" s="4"/>
    </row>
    <row r="1293">
      <c r="A1293" s="2" t="s">
        <v>7074</v>
      </c>
      <c r="B1293" s="2" t="s">
        <v>903</v>
      </c>
      <c r="C1293" s="2" t="s">
        <v>607</v>
      </c>
      <c r="D1293" s="2" t="s">
        <v>608</v>
      </c>
      <c r="E1293" s="2" t="s">
        <v>609</v>
      </c>
      <c r="F1293" s="2" t="s">
        <v>7075</v>
      </c>
      <c r="G1293" s="2" t="s">
        <v>7075</v>
      </c>
      <c r="H1293" s="2" t="s">
        <v>7075</v>
      </c>
      <c r="I1293" s="2" t="s">
        <v>7076</v>
      </c>
      <c r="J1293" s="2" t="s">
        <v>612</v>
      </c>
      <c r="K1293" s="2" t="s">
        <v>1214</v>
      </c>
      <c r="L1293" s="3">
        <v>150</v>
      </c>
      <c r="M1293" s="3">
        <v>157.5</v>
      </c>
      <c r="N1293" s="3">
        <v>299.99</v>
      </c>
      <c r="O1293" s="2" t="s">
        <v>212</v>
      </c>
      <c r="P1293" s="2" t="s">
        <v>205</v>
      </c>
      <c r="Q1293" s="2" t="s">
        <v>206</v>
      </c>
      <c r="R1293" s="2" t="s">
        <v>200</v>
      </c>
      <c r="S1293" s="2" t="s">
        <v>7077</v>
      </c>
      <c r="T1293" s="2" t="s">
        <v>1833</v>
      </c>
      <c r="U1293" s="2" t="s">
        <v>689</v>
      </c>
      <c r="V1293" s="2" t="s">
        <v>339</v>
      </c>
      <c r="W1293" s="2" t="s">
        <v>379</v>
      </c>
      <c r="X1293" s="2" t="s">
        <v>200</v>
      </c>
      <c r="Y1293" s="2" t="s">
        <v>1395</v>
      </c>
      <c r="Z1293" s="4">
        <v>94</v>
      </c>
      <c r="AA1293" s="4">
        <f>=ROUNDDOWN(47,0)</f>
      </c>
      <c r="AB1293" s="5">
        <v>2</v>
      </c>
      <c r="AC1293" s="2" t="s">
        <v>200</v>
      </c>
      <c r="AD1293" s="4"/>
      <c r="AE1293" s="4"/>
      <c r="AF1293" s="6">
        <v>67</v>
      </c>
      <c r="AG1293" s="6"/>
      <c r="AH1293" s="7">
        <v>1</v>
      </c>
      <c r="AI1293" s="4"/>
      <c r="AJ1293" s="4">
        <f>=ROUNDDOWN({0},0)</f>
      </c>
      <c r="AK1293" s="5"/>
      <c r="AL1293" s="2" t="s">
        <v>200</v>
      </c>
      <c r="AM1293" s="4"/>
      <c r="AN1293" s="4"/>
      <c r="AO1293" s="7"/>
      <c r="AP1293" s="4"/>
      <c r="AQ1293" s="8"/>
      <c r="AR1293" s="4"/>
      <c r="AS1293" s="8"/>
      <c r="AT1293" s="7"/>
      <c r="AU1293" s="7"/>
      <c r="AV1293" s="4" t="s">
        <v>200</v>
      </c>
      <c r="AW1293" s="8" t="s">
        <v>200</v>
      </c>
      <c r="AX1293" s="4" t="s">
        <v>200</v>
      </c>
      <c r="AY1293" s="8" t="s">
        <v>200</v>
      </c>
      <c r="AZ1293" s="7" t="s">
        <v>200</v>
      </c>
      <c r="BA1293" s="7" t="s">
        <v>200</v>
      </c>
      <c r="BB1293" s="7"/>
      <c r="BC1293" s="4" t="s">
        <v>200</v>
      </c>
      <c r="BD1293" s="8" t="s">
        <v>200</v>
      </c>
      <c r="BE1293" s="4" t="s">
        <v>200</v>
      </c>
      <c r="BF1293" s="8" t="s">
        <v>200</v>
      </c>
      <c r="BG1293" s="7" t="s">
        <v>200</v>
      </c>
      <c r="BH1293" s="7" t="s">
        <v>200</v>
      </c>
      <c r="BI1293" s="7"/>
      <c r="BJ1293" s="4">
        <v>5</v>
      </c>
      <c r="BK1293" s="8">
        <v>771.75</v>
      </c>
      <c r="BL1293" s="2" t="s">
        <v>2440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7078</v>
      </c>
      <c r="BV1293" s="2" t="s">
        <v>200</v>
      </c>
      <c r="BW1293" s="2" t="s">
        <v>200</v>
      </c>
      <c r="BX1293" s="2" t="s">
        <v>264</v>
      </c>
      <c r="BY1293" s="2" t="s">
        <v>247</v>
      </c>
      <c r="BZ1293" s="2" t="s">
        <v>212</v>
      </c>
      <c r="CA1293" s="2" t="s">
        <v>1989</v>
      </c>
      <c r="CB1293" s="2" t="s">
        <v>7079</v>
      </c>
      <c r="CC1293" s="2" t="s">
        <v>213</v>
      </c>
      <c r="CD1293" s="2" t="s">
        <v>200</v>
      </c>
      <c r="CE1293" s="4">
        <v>94</v>
      </c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/>
      <c r="DL1293" s="4"/>
      <c r="DM1293" s="4"/>
      <c r="DN1293" s="4"/>
      <c r="DO1293" s="4"/>
      <c r="DP1293" s="4"/>
      <c r="DQ1293" s="4"/>
      <c r="DR1293" s="4"/>
      <c r="DS1293" s="4"/>
      <c r="DT1293" s="4"/>
      <c r="DU1293" s="4"/>
      <c r="DV1293" s="4"/>
      <c r="DW1293" s="4"/>
      <c r="DX1293" s="4"/>
      <c r="DY1293" s="4"/>
      <c r="DZ1293" s="4"/>
      <c r="EA1293" s="4"/>
      <c r="EB1293" s="4"/>
      <c r="EC1293" s="4"/>
      <c r="ED1293" s="4"/>
      <c r="EE1293" s="4"/>
      <c r="EF1293" s="4"/>
      <c r="EG1293" s="4"/>
      <c r="EH1293" s="4"/>
      <c r="EI1293" s="4"/>
      <c r="EJ1293" s="4"/>
      <c r="EK1293" s="4"/>
      <c r="EL1293" s="4"/>
      <c r="EM1293" s="4"/>
      <c r="EN1293" s="4"/>
      <c r="EO1293" s="4"/>
      <c r="EP1293" s="4"/>
      <c r="EQ1293" s="4"/>
      <c r="ER1293" s="4"/>
      <c r="ES1293" s="4"/>
      <c r="ET1293" s="4"/>
      <c r="EU1293" s="4"/>
      <c r="EV1293" s="4"/>
      <c r="EW1293" s="4"/>
      <c r="EX1293" s="4"/>
      <c r="EY1293" s="4"/>
      <c r="EZ1293" s="4"/>
      <c r="FA1293" s="4"/>
      <c r="FB1293" s="4"/>
      <c r="FC1293" s="4"/>
      <c r="FD1293" s="4"/>
      <c r="FE1293" s="4"/>
      <c r="FF1293" s="4"/>
      <c r="FG1293" s="4"/>
      <c r="FH1293" s="4"/>
      <c r="FI1293" s="4"/>
      <c r="FJ1293" s="4"/>
      <c r="FK1293" s="4"/>
      <c r="FL1293" s="4"/>
      <c r="FM1293" s="4"/>
      <c r="FN1293" s="4"/>
      <c r="FO1293" s="4"/>
      <c r="FP1293" s="4"/>
      <c r="FQ1293" s="4"/>
      <c r="FR1293" s="4"/>
      <c r="FS1293" s="4"/>
      <c r="FT1293" s="4"/>
      <c r="FU1293" s="4"/>
      <c r="FV1293" s="4"/>
      <c r="FW1293" s="4"/>
      <c r="FX1293" s="4"/>
      <c r="FY1293" s="4"/>
      <c r="FZ1293" s="4"/>
      <c r="GA1293" s="4"/>
      <c r="GB1293" s="4"/>
      <c r="GC1293" s="4"/>
      <c r="GD1293" s="4"/>
      <c r="GE1293" s="4"/>
      <c r="GF1293" s="4"/>
      <c r="GG1293" s="4"/>
      <c r="GH1293" s="4"/>
    </row>
    <row r="1294">
      <c r="A1294" s="2" t="s">
        <v>7080</v>
      </c>
      <c r="B1294" s="2" t="s">
        <v>903</v>
      </c>
      <c r="C1294" s="2" t="s">
        <v>607</v>
      </c>
      <c r="D1294" s="2" t="s">
        <v>608</v>
      </c>
      <c r="E1294" s="2" t="s">
        <v>609</v>
      </c>
      <c r="F1294" s="2" t="s">
        <v>7075</v>
      </c>
      <c r="G1294" s="2" t="s">
        <v>7075</v>
      </c>
      <c r="H1294" s="2" t="s">
        <v>7075</v>
      </c>
      <c r="I1294" s="2" t="s">
        <v>7076</v>
      </c>
      <c r="J1294" s="2" t="s">
        <v>924</v>
      </c>
      <c r="K1294" s="2" t="s">
        <v>1214</v>
      </c>
      <c r="L1294" s="3">
        <v>175</v>
      </c>
      <c r="M1294" s="3">
        <v>183.75</v>
      </c>
      <c r="N1294" s="3">
        <v>349.99</v>
      </c>
      <c r="O1294" s="2" t="s">
        <v>212</v>
      </c>
      <c r="P1294" s="2" t="s">
        <v>205</v>
      </c>
      <c r="Q1294" s="2" t="s">
        <v>206</v>
      </c>
      <c r="R1294" s="2" t="s">
        <v>200</v>
      </c>
      <c r="S1294" s="2" t="s">
        <v>7077</v>
      </c>
      <c r="T1294" s="2" t="s">
        <v>1833</v>
      </c>
      <c r="U1294" s="2" t="s">
        <v>909</v>
      </c>
      <c r="V1294" s="2" t="s">
        <v>339</v>
      </c>
      <c r="W1294" s="2" t="s">
        <v>379</v>
      </c>
      <c r="X1294" s="2" t="s">
        <v>200</v>
      </c>
      <c r="Y1294" s="2" t="s">
        <v>7081</v>
      </c>
      <c r="Z1294" s="4">
        <v>89</v>
      </c>
      <c r="AA1294" s="4">
        <f>=ROUNDDOWN(29.6666666666667,0)</f>
      </c>
      <c r="AB1294" s="5">
        <v>3</v>
      </c>
      <c r="AC1294" s="2" t="s">
        <v>200</v>
      </c>
      <c r="AD1294" s="4"/>
      <c r="AE1294" s="4"/>
      <c r="AF1294" s="6">
        <v>67</v>
      </c>
      <c r="AG1294" s="6"/>
      <c r="AH1294" s="7">
        <v>1</v>
      </c>
      <c r="AI1294" s="4"/>
      <c r="AJ1294" s="4">
        <f>=ROUNDDOWN({0},0)</f>
      </c>
      <c r="AK1294" s="5"/>
      <c r="AL1294" s="2" t="s">
        <v>200</v>
      </c>
      <c r="AM1294" s="4"/>
      <c r="AN1294" s="4"/>
      <c r="AO1294" s="7"/>
      <c r="AP1294" s="4"/>
      <c r="AQ1294" s="8"/>
      <c r="AR1294" s="4"/>
      <c r="AS1294" s="8"/>
      <c r="AT1294" s="7"/>
      <c r="AU1294" s="7"/>
      <c r="AV1294" s="4" t="s">
        <v>200</v>
      </c>
      <c r="AW1294" s="8" t="s">
        <v>200</v>
      </c>
      <c r="AX1294" s="4" t="s">
        <v>200</v>
      </c>
      <c r="AY1294" s="8" t="s">
        <v>200</v>
      </c>
      <c r="AZ1294" s="7" t="s">
        <v>200</v>
      </c>
      <c r="BA1294" s="7" t="s">
        <v>200</v>
      </c>
      <c r="BB1294" s="7"/>
      <c r="BC1294" s="4" t="s">
        <v>200</v>
      </c>
      <c r="BD1294" s="8" t="s">
        <v>200</v>
      </c>
      <c r="BE1294" s="4" t="s">
        <v>200</v>
      </c>
      <c r="BF1294" s="8" t="s">
        <v>200</v>
      </c>
      <c r="BG1294" s="7" t="s">
        <v>200</v>
      </c>
      <c r="BH1294" s="7" t="s">
        <v>200</v>
      </c>
      <c r="BI1294" s="7"/>
      <c r="BJ1294" s="4">
        <v>6</v>
      </c>
      <c r="BK1294" s="8">
        <v>1142.05</v>
      </c>
      <c r="BL1294" s="2" t="s">
        <v>726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7082</v>
      </c>
      <c r="BV1294" s="2" t="s">
        <v>200</v>
      </c>
      <c r="BW1294" s="2" t="s">
        <v>200</v>
      </c>
      <c r="BX1294" s="2" t="s">
        <v>264</v>
      </c>
      <c r="BY1294" s="2" t="s">
        <v>247</v>
      </c>
      <c r="BZ1294" s="2" t="s">
        <v>212</v>
      </c>
      <c r="CA1294" s="2" t="s">
        <v>1989</v>
      </c>
      <c r="CB1294" s="2" t="s">
        <v>1420</v>
      </c>
      <c r="CC1294" s="2" t="s">
        <v>213</v>
      </c>
      <c r="CD1294" s="2" t="s">
        <v>200</v>
      </c>
      <c r="CE1294" s="4">
        <v>89</v>
      </c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  <c r="DL1294" s="4"/>
      <c r="DM1294" s="4"/>
      <c r="DN1294" s="4"/>
      <c r="DO1294" s="4"/>
      <c r="DP1294" s="4"/>
      <c r="DQ1294" s="4"/>
      <c r="DR1294" s="4"/>
      <c r="DS1294" s="4"/>
      <c r="DT1294" s="4"/>
      <c r="DU1294" s="4"/>
      <c r="DV1294" s="4"/>
      <c r="DW1294" s="4"/>
      <c r="DX1294" s="4"/>
      <c r="DY1294" s="4"/>
      <c r="DZ1294" s="4"/>
      <c r="EA1294" s="4"/>
      <c r="EB1294" s="4"/>
      <c r="EC1294" s="4"/>
      <c r="ED1294" s="4"/>
      <c r="EE1294" s="4"/>
      <c r="EF1294" s="4"/>
      <c r="EG1294" s="4"/>
      <c r="EH1294" s="4"/>
      <c r="EI1294" s="4"/>
      <c r="EJ1294" s="4"/>
      <c r="EK1294" s="4"/>
      <c r="EL1294" s="4"/>
      <c r="EM1294" s="4"/>
      <c r="EN1294" s="4"/>
      <c r="EO1294" s="4"/>
      <c r="EP1294" s="4"/>
      <c r="EQ1294" s="4"/>
      <c r="ER1294" s="4"/>
      <c r="ES1294" s="4"/>
      <c r="ET1294" s="4"/>
      <c r="EU1294" s="4"/>
      <c r="EV1294" s="4"/>
      <c r="EW1294" s="4"/>
      <c r="EX1294" s="4"/>
      <c r="EY1294" s="4"/>
      <c r="EZ1294" s="4"/>
      <c r="FA1294" s="4"/>
      <c r="FB1294" s="4"/>
      <c r="FC1294" s="4"/>
      <c r="FD1294" s="4"/>
      <c r="FE1294" s="4"/>
      <c r="FF1294" s="4"/>
      <c r="FG1294" s="4"/>
      <c r="FH1294" s="4"/>
      <c r="FI1294" s="4"/>
      <c r="FJ1294" s="4"/>
      <c r="FK1294" s="4"/>
      <c r="FL1294" s="4"/>
      <c r="FM1294" s="4"/>
      <c r="FN1294" s="4"/>
      <c r="FO1294" s="4"/>
      <c r="FP1294" s="4"/>
      <c r="FQ1294" s="4"/>
      <c r="FR1294" s="4"/>
      <c r="FS1294" s="4"/>
      <c r="FT1294" s="4"/>
      <c r="FU1294" s="4"/>
      <c r="FV1294" s="4"/>
      <c r="FW1294" s="4"/>
      <c r="FX1294" s="4"/>
      <c r="FY1294" s="4"/>
      <c r="FZ1294" s="4"/>
      <c r="GA1294" s="4"/>
      <c r="GB1294" s="4"/>
      <c r="GC1294" s="4"/>
      <c r="GD1294" s="4"/>
      <c r="GE1294" s="4"/>
      <c r="GF1294" s="4"/>
      <c r="GG1294" s="4"/>
      <c r="GH1294" s="4"/>
    </row>
    <row r="1295">
      <c r="A1295" s="2" t="s">
        <v>7083</v>
      </c>
      <c r="B1295" s="2" t="s">
        <v>719</v>
      </c>
      <c r="C1295" s="2" t="s">
        <v>231</v>
      </c>
      <c r="D1295" s="2" t="s">
        <v>1554</v>
      </c>
      <c r="E1295" s="2" t="s">
        <v>721</v>
      </c>
      <c r="F1295" s="2" t="s">
        <v>7084</v>
      </c>
      <c r="G1295" s="2" t="s">
        <v>200</v>
      </c>
      <c r="H1295" s="2" t="s">
        <v>200</v>
      </c>
      <c r="I1295" s="2" t="s">
        <v>7085</v>
      </c>
      <c r="J1295" s="2" t="s">
        <v>711</v>
      </c>
      <c r="K1295" s="2" t="s">
        <v>387</v>
      </c>
      <c r="L1295" s="3">
        <v>24.5</v>
      </c>
      <c r="M1295" s="3">
        <v>25.72</v>
      </c>
      <c r="N1295" s="3">
        <v>50.99</v>
      </c>
      <c r="O1295" s="2" t="s">
        <v>212</v>
      </c>
      <c r="P1295" s="2" t="s">
        <v>258</v>
      </c>
      <c r="Q1295" s="2" t="s">
        <v>206</v>
      </c>
      <c r="R1295" s="2" t="s">
        <v>200</v>
      </c>
      <c r="S1295" s="2" t="s">
        <v>7086</v>
      </c>
      <c r="T1295" s="2" t="s">
        <v>200</v>
      </c>
      <c r="U1295" s="2" t="s">
        <v>240</v>
      </c>
      <c r="V1295" s="2" t="s">
        <v>313</v>
      </c>
      <c r="W1295" s="2" t="s">
        <v>313</v>
      </c>
      <c r="X1295" s="2" t="s">
        <v>200</v>
      </c>
      <c r="Y1295" s="2" t="s">
        <v>7087</v>
      </c>
      <c r="Z1295" s="4">
        <v>131</v>
      </c>
      <c r="AA1295" s="4">
        <f>=ROUNDDOWN(23.8181818181818,0)</f>
      </c>
      <c r="AB1295" s="5">
        <v>5.5</v>
      </c>
      <c r="AC1295" s="2" t="s">
        <v>1088</v>
      </c>
      <c r="AD1295" s="4">
        <v>100</v>
      </c>
      <c r="AE1295" s="4">
        <v>100</v>
      </c>
      <c r="AF1295" s="6">
        <v>61</v>
      </c>
      <c r="AG1295" s="6"/>
      <c r="AH1295" s="7">
        <v>1</v>
      </c>
      <c r="AI1295" s="4"/>
      <c r="AJ1295" s="4">
        <f>=ROUNDDOWN({0},0)</f>
      </c>
      <c r="AK1295" s="5"/>
      <c r="AL1295" s="2" t="s">
        <v>200</v>
      </c>
      <c r="AM1295" s="4"/>
      <c r="AN1295" s="4"/>
      <c r="AO1295" s="7"/>
      <c r="AP1295" s="4"/>
      <c r="AQ1295" s="8"/>
      <c r="AR1295" s="4"/>
      <c r="AS1295" s="8"/>
      <c r="AT1295" s="7"/>
      <c r="AU1295" s="7"/>
      <c r="AV1295" s="4"/>
      <c r="AW1295" s="8"/>
      <c r="AX1295" s="4"/>
      <c r="AY1295" s="8"/>
      <c r="AZ1295" s="7"/>
      <c r="BA1295" s="7"/>
      <c r="BB1295" s="7"/>
      <c r="BC1295" s="4"/>
      <c r="BD1295" s="8"/>
      <c r="BE1295" s="4"/>
      <c r="BF1295" s="8"/>
      <c r="BG1295" s="7"/>
      <c r="BH1295" s="7"/>
      <c r="BI1295" s="7"/>
      <c r="BJ1295" s="4">
        <v>15</v>
      </c>
      <c r="BK1295" s="8">
        <v>381.01</v>
      </c>
      <c r="BL1295" s="2" t="s">
        <v>7088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7089</v>
      </c>
      <c r="BV1295" s="2" t="s">
        <v>200</v>
      </c>
      <c r="BW1295" s="2" t="s">
        <v>200</v>
      </c>
      <c r="BX1295" s="2" t="s">
        <v>264</v>
      </c>
      <c r="BY1295" s="2" t="s">
        <v>247</v>
      </c>
      <c r="BZ1295" s="2" t="s">
        <v>212</v>
      </c>
      <c r="CA1295" s="2" t="s">
        <v>7090</v>
      </c>
      <c r="CB1295" s="2" t="s">
        <v>2214</v>
      </c>
      <c r="CC1295" s="2" t="s">
        <v>213</v>
      </c>
      <c r="CD1295" s="2" t="s">
        <v>200</v>
      </c>
      <c r="CE1295" s="4"/>
      <c r="CF1295" s="4">
        <v>131</v>
      </c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/>
      <c r="DL1295" s="4"/>
      <c r="DM1295" s="4"/>
      <c r="DN1295" s="4"/>
      <c r="DO1295" s="4"/>
      <c r="DP1295" s="4"/>
      <c r="DQ1295" s="4"/>
      <c r="DR1295" s="4"/>
      <c r="DS1295" s="4"/>
      <c r="DT1295" s="4"/>
      <c r="DU1295" s="4"/>
      <c r="DV1295" s="4"/>
      <c r="DW1295" s="4"/>
      <c r="DX1295" s="4"/>
      <c r="DY1295" s="4"/>
      <c r="DZ1295" s="4"/>
      <c r="EA1295" s="4"/>
      <c r="EB1295" s="4"/>
      <c r="EC1295" s="4"/>
      <c r="ED1295" s="4"/>
      <c r="EE1295" s="4"/>
      <c r="EF1295" s="4"/>
      <c r="EG1295" s="4"/>
      <c r="EH1295" s="4"/>
      <c r="EI1295" s="4"/>
      <c r="EJ1295" s="4"/>
      <c r="EK1295" s="4"/>
      <c r="EL1295" s="4"/>
      <c r="EM1295" s="4"/>
      <c r="EN1295" s="4"/>
      <c r="EO1295" s="4"/>
      <c r="EP1295" s="4"/>
      <c r="EQ1295" s="4"/>
      <c r="ER1295" s="4"/>
      <c r="ES1295" s="4"/>
      <c r="ET1295" s="4"/>
      <c r="EU1295" s="4"/>
      <c r="EV1295" s="4"/>
      <c r="EW1295" s="4"/>
      <c r="EX1295" s="4"/>
      <c r="EY1295" s="4"/>
      <c r="EZ1295" s="4"/>
      <c r="FA1295" s="4"/>
      <c r="FB1295" s="4"/>
      <c r="FC1295" s="4">
        <v>100</v>
      </c>
      <c r="FD1295" s="4"/>
      <c r="FE1295" s="4"/>
      <c r="FF1295" s="4"/>
      <c r="FG1295" s="4"/>
      <c r="FH1295" s="4"/>
      <c r="FI1295" s="4"/>
      <c r="FJ1295" s="4"/>
      <c r="FK1295" s="4"/>
      <c r="FL1295" s="4"/>
      <c r="FM1295" s="4"/>
      <c r="FN1295" s="4"/>
      <c r="FO1295" s="4"/>
      <c r="FP1295" s="4"/>
      <c r="FQ1295" s="4"/>
      <c r="FR1295" s="4"/>
      <c r="FS1295" s="4"/>
      <c r="FT1295" s="4"/>
      <c r="FU1295" s="4"/>
      <c r="FV1295" s="4"/>
      <c r="FW1295" s="4"/>
      <c r="FX1295" s="4"/>
      <c r="FY1295" s="4"/>
      <c r="FZ1295" s="4"/>
      <c r="GA1295" s="4"/>
      <c r="GB1295" s="4"/>
      <c r="GC1295" s="4"/>
      <c r="GD1295" s="4"/>
      <c r="GE1295" s="4"/>
      <c r="GF1295" s="4"/>
      <c r="GG1295" s="4"/>
      <c r="GH1295" s="4"/>
    </row>
    <row r="1296">
      <c r="A1296" s="2" t="s">
        <v>7091</v>
      </c>
      <c r="B1296" s="2" t="s">
        <v>195</v>
      </c>
      <c r="C1296" s="2" t="s">
        <v>231</v>
      </c>
      <c r="D1296" s="2" t="s">
        <v>2254</v>
      </c>
      <c r="E1296" s="2" t="s">
        <v>2255</v>
      </c>
      <c r="F1296" s="2" t="s">
        <v>7092</v>
      </c>
      <c r="G1296" s="2" t="s">
        <v>7092</v>
      </c>
      <c r="H1296" s="2" t="s">
        <v>7092</v>
      </c>
      <c r="I1296" s="2" t="s">
        <v>6661</v>
      </c>
      <c r="J1296" s="2" t="s">
        <v>5442</v>
      </c>
      <c r="K1296" s="2" t="s">
        <v>237</v>
      </c>
      <c r="L1296" s="3">
        <v>11.64</v>
      </c>
      <c r="M1296" s="3">
        <v>12.22</v>
      </c>
      <c r="N1296" s="3">
        <v>25.99</v>
      </c>
      <c r="O1296" s="2" t="s">
        <v>212</v>
      </c>
      <c r="P1296" s="2" t="s">
        <v>258</v>
      </c>
      <c r="Q1296" s="2" t="s">
        <v>206</v>
      </c>
      <c r="R1296" s="2" t="s">
        <v>200</v>
      </c>
      <c r="S1296" s="2" t="s">
        <v>7093</v>
      </c>
      <c r="T1296" s="2" t="s">
        <v>2604</v>
      </c>
      <c r="U1296" s="2" t="s">
        <v>200</v>
      </c>
      <c r="V1296" s="2" t="s">
        <v>885</v>
      </c>
      <c r="W1296" s="2" t="s">
        <v>241</v>
      </c>
      <c r="X1296" s="2" t="s">
        <v>419</v>
      </c>
      <c r="Y1296" s="2" t="s">
        <v>261</v>
      </c>
      <c r="Z1296" s="4">
        <v>725</v>
      </c>
      <c r="AA1296" s="4">
        <f>=ROUNDDOWN(72.5,0)</f>
      </c>
      <c r="AB1296" s="5">
        <v>10</v>
      </c>
      <c r="AC1296" s="2" t="s">
        <v>482</v>
      </c>
      <c r="AD1296" s="4">
        <v>400</v>
      </c>
      <c r="AE1296" s="4">
        <v>400</v>
      </c>
      <c r="AF1296" s="6">
        <v>64</v>
      </c>
      <c r="AG1296" s="6"/>
      <c r="AH1296" s="7">
        <v>1</v>
      </c>
      <c r="AI1296" s="4"/>
      <c r="AJ1296" s="4">
        <f>=ROUNDDOWN({0},0)</f>
      </c>
      <c r="AK1296" s="5"/>
      <c r="AL1296" s="2" t="s">
        <v>200</v>
      </c>
      <c r="AM1296" s="4"/>
      <c r="AN1296" s="4"/>
      <c r="AO1296" s="7"/>
      <c r="AP1296" s="4"/>
      <c r="AQ1296" s="8"/>
      <c r="AR1296" s="4"/>
      <c r="AS1296" s="8"/>
      <c r="AT1296" s="7"/>
      <c r="AU1296" s="7"/>
      <c r="AV1296" s="4"/>
      <c r="AW1296" s="8"/>
      <c r="AX1296" s="4"/>
      <c r="AY1296" s="8"/>
      <c r="AZ1296" s="7"/>
      <c r="BA1296" s="7"/>
      <c r="BB1296" s="7"/>
      <c r="BC1296" s="4" t="s">
        <v>200</v>
      </c>
      <c r="BD1296" s="8" t="s">
        <v>200</v>
      </c>
      <c r="BE1296" s="4" t="s">
        <v>200</v>
      </c>
      <c r="BF1296" s="8" t="s">
        <v>200</v>
      </c>
      <c r="BG1296" s="7" t="s">
        <v>200</v>
      </c>
      <c r="BH1296" s="7" t="s">
        <v>200</v>
      </c>
      <c r="BI1296" s="7"/>
      <c r="BJ1296" s="4">
        <v>112</v>
      </c>
      <c r="BK1296" s="8">
        <v>1285.92</v>
      </c>
      <c r="BL1296" s="2" t="s">
        <v>7094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7095</v>
      </c>
      <c r="BV1296" s="2" t="s">
        <v>200</v>
      </c>
      <c r="BW1296" s="2" t="s">
        <v>200</v>
      </c>
      <c r="BX1296" s="2" t="s">
        <v>264</v>
      </c>
      <c r="BY1296" s="2" t="s">
        <v>247</v>
      </c>
      <c r="BZ1296" s="2" t="s">
        <v>212</v>
      </c>
      <c r="CA1296" s="2" t="s">
        <v>1597</v>
      </c>
      <c r="CB1296" s="2" t="s">
        <v>2214</v>
      </c>
      <c r="CC1296" s="2" t="s">
        <v>213</v>
      </c>
      <c r="CD1296" s="2" t="s">
        <v>200</v>
      </c>
      <c r="CE1296" s="4">
        <v>725</v>
      </c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E1296" s="4"/>
      <c r="DF1296" s="4"/>
      <c r="DG1296" s="4"/>
      <c r="DH1296" s="4"/>
      <c r="DI1296" s="4"/>
      <c r="DJ1296" s="4"/>
      <c r="DK1296" s="4"/>
      <c r="DL1296" s="4"/>
      <c r="DM1296" s="4"/>
      <c r="DN1296" s="4"/>
      <c r="DO1296" s="4"/>
      <c r="DP1296" s="4"/>
      <c r="DQ1296" s="4"/>
      <c r="DR1296" s="4"/>
      <c r="DS1296" s="4"/>
      <c r="DT1296" s="4"/>
      <c r="DU1296" s="4"/>
      <c r="DV1296" s="4"/>
      <c r="DW1296" s="4"/>
      <c r="DX1296" s="4"/>
      <c r="DY1296" s="4"/>
      <c r="DZ1296" s="4"/>
      <c r="EA1296" s="4"/>
      <c r="EB1296" s="4"/>
      <c r="EC1296" s="4"/>
      <c r="ED1296" s="4"/>
      <c r="EE1296" s="4"/>
      <c r="EF1296" s="4"/>
      <c r="EG1296" s="4"/>
      <c r="EH1296" s="4"/>
      <c r="EI1296" s="4"/>
      <c r="EJ1296" s="4"/>
      <c r="EK1296" s="4"/>
      <c r="EL1296" s="4">
        <v>400</v>
      </c>
      <c r="EM1296" s="4"/>
      <c r="EN1296" s="4"/>
      <c r="EO1296" s="4"/>
      <c r="EP1296" s="4"/>
      <c r="EQ1296" s="4"/>
      <c r="ER1296" s="4"/>
      <c r="ES1296" s="4"/>
      <c r="ET1296" s="4"/>
      <c r="EU1296" s="4"/>
      <c r="EV1296" s="4"/>
      <c r="EW1296" s="4"/>
      <c r="EX1296" s="4"/>
      <c r="EY1296" s="4"/>
      <c r="EZ1296" s="4"/>
      <c r="FA1296" s="4"/>
      <c r="FB1296" s="4"/>
      <c r="FC1296" s="4"/>
      <c r="FD1296" s="4"/>
      <c r="FE1296" s="4"/>
      <c r="FF1296" s="4"/>
      <c r="FG1296" s="4"/>
      <c r="FH1296" s="4"/>
      <c r="FI1296" s="4"/>
      <c r="FJ1296" s="4"/>
      <c r="FK1296" s="4"/>
      <c r="FL1296" s="4"/>
      <c r="FM1296" s="4"/>
      <c r="FN1296" s="4"/>
      <c r="FO1296" s="4"/>
      <c r="FP1296" s="4"/>
      <c r="FQ1296" s="4"/>
      <c r="FR1296" s="4"/>
      <c r="FS1296" s="4"/>
      <c r="FT1296" s="4"/>
      <c r="FU1296" s="4"/>
      <c r="FV1296" s="4"/>
      <c r="FW1296" s="4"/>
      <c r="FX1296" s="4"/>
      <c r="FY1296" s="4"/>
      <c r="FZ1296" s="4"/>
      <c r="GA1296" s="4"/>
      <c r="GB1296" s="4"/>
      <c r="GC1296" s="4"/>
      <c r="GD1296" s="4"/>
      <c r="GE1296" s="4"/>
      <c r="GF1296" s="4"/>
      <c r="GG1296" s="4"/>
      <c r="GH1296" s="4"/>
    </row>
    <row r="1297">
      <c r="A1297" s="2" t="s">
        <v>7096</v>
      </c>
      <c r="B1297" s="2" t="s">
        <v>195</v>
      </c>
      <c r="C1297" s="2" t="s">
        <v>231</v>
      </c>
      <c r="D1297" s="2" t="s">
        <v>2254</v>
      </c>
      <c r="E1297" s="2" t="s">
        <v>2255</v>
      </c>
      <c r="F1297" s="2" t="s">
        <v>7092</v>
      </c>
      <c r="G1297" s="2" t="s">
        <v>7092</v>
      </c>
      <c r="H1297" s="2" t="s">
        <v>7092</v>
      </c>
      <c r="I1297" s="2" t="s">
        <v>6661</v>
      </c>
      <c r="J1297" s="2" t="s">
        <v>5442</v>
      </c>
      <c r="K1297" s="2" t="s">
        <v>223</v>
      </c>
      <c r="L1297" s="3">
        <v>11.64</v>
      </c>
      <c r="M1297" s="3">
        <v>12.22</v>
      </c>
      <c r="N1297" s="3">
        <v>25.99</v>
      </c>
      <c r="O1297" s="2" t="s">
        <v>212</v>
      </c>
      <c r="P1297" s="2" t="s">
        <v>258</v>
      </c>
      <c r="Q1297" s="2" t="s">
        <v>206</v>
      </c>
      <c r="R1297" s="2" t="s">
        <v>200</v>
      </c>
      <c r="S1297" s="2" t="s">
        <v>7097</v>
      </c>
      <c r="T1297" s="2" t="s">
        <v>2604</v>
      </c>
      <c r="U1297" s="2" t="s">
        <v>200</v>
      </c>
      <c r="V1297" s="2" t="s">
        <v>885</v>
      </c>
      <c r="W1297" s="2" t="s">
        <v>241</v>
      </c>
      <c r="X1297" s="2" t="s">
        <v>419</v>
      </c>
      <c r="Y1297" s="2" t="s">
        <v>261</v>
      </c>
      <c r="Z1297" s="4">
        <v>690</v>
      </c>
      <c r="AA1297" s="4">
        <f>=ROUNDDOWN(40.3508771929825,0)</f>
      </c>
      <c r="AB1297" s="5">
        <v>17.1</v>
      </c>
      <c r="AC1297" s="2" t="s">
        <v>482</v>
      </c>
      <c r="AD1297" s="4">
        <v>400</v>
      </c>
      <c r="AE1297" s="4">
        <v>400</v>
      </c>
      <c r="AF1297" s="6">
        <v>64</v>
      </c>
      <c r="AG1297" s="6"/>
      <c r="AH1297" s="7">
        <v>1</v>
      </c>
      <c r="AI1297" s="4"/>
      <c r="AJ1297" s="4">
        <f>=ROUNDDOWN({0},0)</f>
      </c>
      <c r="AK1297" s="5"/>
      <c r="AL1297" s="2" t="s">
        <v>200</v>
      </c>
      <c r="AM1297" s="4"/>
      <c r="AN1297" s="4"/>
      <c r="AO1297" s="7"/>
      <c r="AP1297" s="4"/>
      <c r="AQ1297" s="8"/>
      <c r="AR1297" s="4"/>
      <c r="AS1297" s="8"/>
      <c r="AT1297" s="7"/>
      <c r="AU1297" s="7"/>
      <c r="AV1297" s="4"/>
      <c r="AW1297" s="8"/>
      <c r="AX1297" s="4"/>
      <c r="AY1297" s="8"/>
      <c r="AZ1297" s="7"/>
      <c r="BA1297" s="7"/>
      <c r="BB1297" s="7"/>
      <c r="BC1297" s="4" t="s">
        <v>200</v>
      </c>
      <c r="BD1297" s="8" t="s">
        <v>200</v>
      </c>
      <c r="BE1297" s="4" t="s">
        <v>200</v>
      </c>
      <c r="BF1297" s="8" t="s">
        <v>200</v>
      </c>
      <c r="BG1297" s="7" t="s">
        <v>200</v>
      </c>
      <c r="BH1297" s="7" t="s">
        <v>200</v>
      </c>
      <c r="BI1297" s="7"/>
      <c r="BJ1297" s="4">
        <v>183</v>
      </c>
      <c r="BK1297" s="8">
        <v>2136.7</v>
      </c>
      <c r="BL1297" s="2" t="s">
        <v>7098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7099</v>
      </c>
      <c r="BV1297" s="2" t="s">
        <v>200</v>
      </c>
      <c r="BW1297" s="2" t="s">
        <v>200</v>
      </c>
      <c r="BX1297" s="2" t="s">
        <v>264</v>
      </c>
      <c r="BY1297" s="2" t="s">
        <v>247</v>
      </c>
      <c r="BZ1297" s="2" t="s">
        <v>212</v>
      </c>
      <c r="CA1297" s="2" t="s">
        <v>265</v>
      </c>
      <c r="CB1297" s="2" t="s">
        <v>7100</v>
      </c>
      <c r="CC1297" s="2" t="s">
        <v>213</v>
      </c>
      <c r="CD1297" s="2" t="s">
        <v>200</v>
      </c>
      <c r="CE1297" s="4">
        <v>690</v>
      </c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  <c r="DP1297" s="4"/>
      <c r="DQ1297" s="4"/>
      <c r="DR1297" s="4"/>
      <c r="DS1297" s="4"/>
      <c r="DT1297" s="4"/>
      <c r="DU1297" s="4"/>
      <c r="DV1297" s="4"/>
      <c r="DW1297" s="4"/>
      <c r="DX1297" s="4"/>
      <c r="DY1297" s="4"/>
      <c r="DZ1297" s="4"/>
      <c r="EA1297" s="4"/>
      <c r="EB1297" s="4"/>
      <c r="EC1297" s="4"/>
      <c r="ED1297" s="4"/>
      <c r="EE1297" s="4"/>
      <c r="EF1297" s="4"/>
      <c r="EG1297" s="4"/>
      <c r="EH1297" s="4"/>
      <c r="EI1297" s="4"/>
      <c r="EJ1297" s="4"/>
      <c r="EK1297" s="4"/>
      <c r="EL1297" s="4">
        <v>400</v>
      </c>
      <c r="EM1297" s="4"/>
      <c r="EN1297" s="4"/>
      <c r="EO1297" s="4"/>
      <c r="EP1297" s="4"/>
      <c r="EQ1297" s="4"/>
      <c r="ER1297" s="4"/>
      <c r="ES1297" s="4"/>
      <c r="ET1297" s="4"/>
      <c r="EU1297" s="4"/>
      <c r="EV1297" s="4"/>
      <c r="EW1297" s="4"/>
      <c r="EX1297" s="4"/>
      <c r="EY1297" s="4"/>
      <c r="EZ1297" s="4"/>
      <c r="FA1297" s="4"/>
      <c r="FB1297" s="4"/>
      <c r="FC1297" s="4"/>
      <c r="FD1297" s="4"/>
      <c r="FE1297" s="4"/>
      <c r="FF1297" s="4"/>
      <c r="FG1297" s="4"/>
      <c r="FH1297" s="4"/>
      <c r="FI1297" s="4"/>
      <c r="FJ1297" s="4"/>
      <c r="FK1297" s="4"/>
      <c r="FL1297" s="4"/>
      <c r="FM1297" s="4"/>
      <c r="FN1297" s="4"/>
      <c r="FO1297" s="4"/>
      <c r="FP1297" s="4"/>
      <c r="FQ1297" s="4"/>
      <c r="FR1297" s="4"/>
      <c r="FS1297" s="4"/>
      <c r="FT1297" s="4"/>
      <c r="FU1297" s="4"/>
      <c r="FV1297" s="4"/>
      <c r="FW1297" s="4"/>
      <c r="FX1297" s="4"/>
      <c r="FY1297" s="4"/>
      <c r="FZ1297" s="4"/>
      <c r="GA1297" s="4"/>
      <c r="GB1297" s="4"/>
      <c r="GC1297" s="4"/>
      <c r="GD1297" s="4"/>
      <c r="GE1297" s="4"/>
      <c r="GF1297" s="4"/>
      <c r="GG1297" s="4"/>
      <c r="GH1297" s="4"/>
    </row>
    <row r="1298">
      <c r="A1298" s="2" t="s">
        <v>7101</v>
      </c>
      <c r="B1298" s="2" t="s">
        <v>932</v>
      </c>
      <c r="C1298" s="2" t="s">
        <v>877</v>
      </c>
      <c r="D1298" s="2" t="s">
        <v>608</v>
      </c>
      <c r="E1298" s="2" t="s">
        <v>609</v>
      </c>
      <c r="F1298" s="2" t="s">
        <v>7102</v>
      </c>
      <c r="G1298" s="2" t="s">
        <v>7103</v>
      </c>
      <c r="H1298" s="2" t="s">
        <v>1681</v>
      </c>
      <c r="I1298" s="2" t="s">
        <v>7104</v>
      </c>
      <c r="J1298" s="2" t="s">
        <v>1390</v>
      </c>
      <c r="K1298" s="2" t="s">
        <v>2359</v>
      </c>
      <c r="L1298" s="3">
        <v>23.8</v>
      </c>
      <c r="M1298" s="3">
        <v>24.99</v>
      </c>
      <c r="N1298" s="3">
        <v>49.99</v>
      </c>
      <c r="O1298" s="2" t="s">
        <v>212</v>
      </c>
      <c r="P1298" s="2" t="s">
        <v>258</v>
      </c>
      <c r="Q1298" s="2" t="s">
        <v>206</v>
      </c>
      <c r="R1298" s="2" t="s">
        <v>200</v>
      </c>
      <c r="S1298" s="2" t="s">
        <v>7105</v>
      </c>
      <c r="T1298" s="2" t="s">
        <v>378</v>
      </c>
      <c r="U1298" s="2" t="s">
        <v>240</v>
      </c>
      <c r="V1298" s="2" t="s">
        <v>1529</v>
      </c>
      <c r="W1298" s="2" t="s">
        <v>1271</v>
      </c>
      <c r="X1298" s="2" t="s">
        <v>200</v>
      </c>
      <c r="Y1298" s="2" t="s">
        <v>2220</v>
      </c>
      <c r="Z1298" s="4"/>
      <c r="AA1298" s="4">
        <f>=ROUNDDOWN({0},0)</f>
      </c>
      <c r="AB1298" s="5">
        <v>8</v>
      </c>
      <c r="AC1298" s="2" t="s">
        <v>112</v>
      </c>
      <c r="AD1298" s="4">
        <v>250</v>
      </c>
      <c r="AE1298" s="4">
        <v>250</v>
      </c>
      <c r="AF1298" s="6">
        <v>64</v>
      </c>
      <c r="AG1298" s="6"/>
      <c r="AH1298" s="7">
        <v>0</v>
      </c>
      <c r="AI1298" s="4"/>
      <c r="AJ1298" s="4">
        <f>=ROUNDDOWN({0},0)</f>
      </c>
      <c r="AK1298" s="5"/>
      <c r="AL1298" s="2" t="s">
        <v>200</v>
      </c>
      <c r="AM1298" s="4"/>
      <c r="AN1298" s="4"/>
      <c r="AO1298" s="7"/>
      <c r="AP1298" s="4"/>
      <c r="AQ1298" s="8"/>
      <c r="AR1298" s="4"/>
      <c r="AS1298" s="8"/>
      <c r="AT1298" s="7"/>
      <c r="AU1298" s="7"/>
      <c r="AV1298" s="4" t="s">
        <v>200</v>
      </c>
      <c r="AW1298" s="8" t="s">
        <v>200</v>
      </c>
      <c r="AX1298" s="4" t="s">
        <v>200</v>
      </c>
      <c r="AY1298" s="8" t="s">
        <v>200</v>
      </c>
      <c r="AZ1298" s="7" t="s">
        <v>200</v>
      </c>
      <c r="BA1298" s="7" t="s">
        <v>200</v>
      </c>
      <c r="BB1298" s="7" t="s">
        <v>200</v>
      </c>
      <c r="BC1298" s="4" t="s">
        <v>200</v>
      </c>
      <c r="BD1298" s="8" t="s">
        <v>200</v>
      </c>
      <c r="BE1298" s="4" t="s">
        <v>200</v>
      </c>
      <c r="BF1298" s="8" t="s">
        <v>200</v>
      </c>
      <c r="BG1298" s="7" t="s">
        <v>200</v>
      </c>
      <c r="BH1298" s="7" t="s">
        <v>200</v>
      </c>
      <c r="BI1298" s="7"/>
      <c r="BJ1298" s="4"/>
      <c r="BK1298" s="8"/>
      <c r="BL1298" s="2" t="s">
        <v>200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7106</v>
      </c>
      <c r="BV1298" s="2" t="s">
        <v>200</v>
      </c>
      <c r="BW1298" s="2" t="s">
        <v>200</v>
      </c>
      <c r="BX1298" s="2" t="s">
        <v>264</v>
      </c>
      <c r="BY1298" s="2" t="s">
        <v>247</v>
      </c>
      <c r="BZ1298" s="2" t="s">
        <v>212</v>
      </c>
      <c r="CA1298" s="2" t="s">
        <v>2743</v>
      </c>
      <c r="CB1298" s="2" t="s">
        <v>911</v>
      </c>
      <c r="CC1298" s="2" t="s">
        <v>213</v>
      </c>
      <c r="CD1298" s="2" t="s">
        <v>200</v>
      </c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>
        <v>250</v>
      </c>
      <c r="CZ1298" s="4"/>
      <c r="DA1298" s="4"/>
      <c r="DB1298" s="4"/>
      <c r="DC1298" s="4"/>
      <c r="DD1298" s="4"/>
      <c r="DE1298" s="4"/>
      <c r="DF1298" s="4"/>
      <c r="DG1298" s="4"/>
      <c r="DH1298" s="4"/>
      <c r="DI1298" s="4"/>
      <c r="DJ1298" s="4"/>
      <c r="DK1298" s="4"/>
      <c r="DL1298" s="4"/>
      <c r="DM1298" s="4"/>
      <c r="DN1298" s="4"/>
      <c r="DO1298" s="4"/>
      <c r="DP1298" s="4"/>
      <c r="DQ1298" s="4"/>
      <c r="DR1298" s="4"/>
      <c r="DS1298" s="4"/>
      <c r="DT1298" s="4"/>
      <c r="DU1298" s="4"/>
      <c r="DV1298" s="4"/>
      <c r="DW1298" s="4"/>
      <c r="DX1298" s="4"/>
      <c r="DY1298" s="4"/>
      <c r="DZ1298" s="4"/>
      <c r="EA1298" s="4"/>
      <c r="EB1298" s="4"/>
      <c r="EC1298" s="4"/>
      <c r="ED1298" s="4"/>
      <c r="EE1298" s="4"/>
      <c r="EF1298" s="4"/>
      <c r="EG1298" s="4"/>
      <c r="EH1298" s="4"/>
      <c r="EI1298" s="4"/>
      <c r="EJ1298" s="4"/>
      <c r="EK1298" s="4"/>
      <c r="EL1298" s="4"/>
      <c r="EM1298" s="4"/>
      <c r="EN1298" s="4"/>
      <c r="EO1298" s="4"/>
      <c r="EP1298" s="4"/>
      <c r="EQ1298" s="4"/>
      <c r="ER1298" s="4"/>
      <c r="ES1298" s="4"/>
      <c r="ET1298" s="4"/>
      <c r="EU1298" s="4"/>
      <c r="EV1298" s="4"/>
      <c r="EW1298" s="4"/>
      <c r="EX1298" s="4"/>
      <c r="EY1298" s="4"/>
      <c r="EZ1298" s="4"/>
      <c r="FA1298" s="4"/>
      <c r="FB1298" s="4"/>
      <c r="FC1298" s="4"/>
      <c r="FD1298" s="4"/>
      <c r="FE1298" s="4"/>
      <c r="FF1298" s="4"/>
      <c r="FG1298" s="4"/>
      <c r="FH1298" s="4"/>
      <c r="FI1298" s="4"/>
      <c r="FJ1298" s="4"/>
      <c r="FK1298" s="4"/>
      <c r="FL1298" s="4"/>
      <c r="FM1298" s="4"/>
      <c r="FN1298" s="4"/>
      <c r="FO1298" s="4"/>
      <c r="FP1298" s="4"/>
      <c r="FQ1298" s="4"/>
      <c r="FR1298" s="4"/>
      <c r="FS1298" s="4"/>
      <c r="FT1298" s="4"/>
      <c r="FU1298" s="4"/>
      <c r="FV1298" s="4"/>
      <c r="FW1298" s="4"/>
      <c r="FX1298" s="4"/>
      <c r="FY1298" s="4"/>
      <c r="FZ1298" s="4"/>
      <c r="GA1298" s="4"/>
      <c r="GB1298" s="4"/>
      <c r="GC1298" s="4"/>
      <c r="GD1298" s="4"/>
      <c r="GE1298" s="4"/>
      <c r="GF1298" s="4"/>
      <c r="GG1298" s="4"/>
      <c r="GH1298" s="4"/>
    </row>
    <row r="1299">
      <c r="A1299" s="2" t="s">
        <v>7107</v>
      </c>
      <c r="B1299" s="2" t="s">
        <v>932</v>
      </c>
      <c r="C1299" s="2" t="s">
        <v>877</v>
      </c>
      <c r="D1299" s="2" t="s">
        <v>918</v>
      </c>
      <c r="E1299" s="2" t="s">
        <v>919</v>
      </c>
      <c r="F1299" s="2" t="s">
        <v>7102</v>
      </c>
      <c r="G1299" s="2" t="s">
        <v>7103</v>
      </c>
      <c r="H1299" s="2" t="s">
        <v>1681</v>
      </c>
      <c r="I1299" s="2" t="s">
        <v>7108</v>
      </c>
      <c r="J1299" s="2" t="s">
        <v>1390</v>
      </c>
      <c r="K1299" s="2" t="s">
        <v>2359</v>
      </c>
      <c r="L1299" s="3">
        <v>14.28</v>
      </c>
      <c r="M1299" s="3">
        <v>14.99</v>
      </c>
      <c r="N1299" s="3">
        <v>29.99</v>
      </c>
      <c r="O1299" s="2" t="s">
        <v>212</v>
      </c>
      <c r="P1299" s="2" t="s">
        <v>258</v>
      </c>
      <c r="Q1299" s="2" t="s">
        <v>206</v>
      </c>
      <c r="R1299" s="2" t="s">
        <v>200</v>
      </c>
      <c r="S1299" s="2" t="s">
        <v>7105</v>
      </c>
      <c r="T1299" s="2" t="s">
        <v>378</v>
      </c>
      <c r="U1299" s="2" t="s">
        <v>677</v>
      </c>
      <c r="V1299" s="2" t="s">
        <v>1529</v>
      </c>
      <c r="W1299" s="2" t="s">
        <v>1271</v>
      </c>
      <c r="X1299" s="2" t="s">
        <v>200</v>
      </c>
      <c r="Y1299" s="2" t="s">
        <v>2792</v>
      </c>
      <c r="Z1299" s="4"/>
      <c r="AA1299" s="4">
        <f>=ROUNDDOWN({0},0)</f>
      </c>
      <c r="AB1299" s="5">
        <v>3</v>
      </c>
      <c r="AC1299" s="2" t="s">
        <v>112</v>
      </c>
      <c r="AD1299" s="4">
        <v>70</v>
      </c>
      <c r="AE1299" s="4">
        <v>70</v>
      </c>
      <c r="AF1299" s="6">
        <v>64</v>
      </c>
      <c r="AG1299" s="6"/>
      <c r="AH1299" s="7">
        <v>0</v>
      </c>
      <c r="AI1299" s="4"/>
      <c r="AJ1299" s="4">
        <f>=ROUNDDOWN({0},0)</f>
      </c>
      <c r="AK1299" s="5"/>
      <c r="AL1299" s="2" t="s">
        <v>200</v>
      </c>
      <c r="AM1299" s="4"/>
      <c r="AN1299" s="4"/>
      <c r="AO1299" s="7"/>
      <c r="AP1299" s="4"/>
      <c r="AQ1299" s="8"/>
      <c r="AR1299" s="4"/>
      <c r="AS1299" s="8"/>
      <c r="AT1299" s="7"/>
      <c r="AU1299" s="7"/>
      <c r="AV1299" s="4" t="s">
        <v>200</v>
      </c>
      <c r="AW1299" s="8" t="s">
        <v>200</v>
      </c>
      <c r="AX1299" s="4" t="s">
        <v>200</v>
      </c>
      <c r="AY1299" s="8" t="s">
        <v>200</v>
      </c>
      <c r="AZ1299" s="7" t="s">
        <v>200</v>
      </c>
      <c r="BA1299" s="7" t="s">
        <v>200</v>
      </c>
      <c r="BB1299" s="7" t="s">
        <v>200</v>
      </c>
      <c r="BC1299" s="4" t="s">
        <v>200</v>
      </c>
      <c r="BD1299" s="8" t="s">
        <v>200</v>
      </c>
      <c r="BE1299" s="4" t="s">
        <v>200</v>
      </c>
      <c r="BF1299" s="8" t="s">
        <v>200</v>
      </c>
      <c r="BG1299" s="7" t="s">
        <v>200</v>
      </c>
      <c r="BH1299" s="7" t="s">
        <v>200</v>
      </c>
      <c r="BI1299" s="7"/>
      <c r="BJ1299" s="4">
        <v>3</v>
      </c>
      <c r="BK1299" s="8">
        <v>49.26</v>
      </c>
      <c r="BL1299" s="2" t="s">
        <v>1259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7109</v>
      </c>
      <c r="BV1299" s="2" t="s">
        <v>200</v>
      </c>
      <c r="BW1299" s="2" t="s">
        <v>200</v>
      </c>
      <c r="BX1299" s="2" t="s">
        <v>264</v>
      </c>
      <c r="BY1299" s="2" t="s">
        <v>247</v>
      </c>
      <c r="BZ1299" s="2" t="s">
        <v>212</v>
      </c>
      <c r="CA1299" s="2" t="s">
        <v>2743</v>
      </c>
      <c r="CB1299" s="2" t="s">
        <v>3811</v>
      </c>
      <c r="CC1299" s="2" t="s">
        <v>213</v>
      </c>
      <c r="CD1299" s="2" t="s">
        <v>200</v>
      </c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>
        <v>70</v>
      </c>
      <c r="CZ1299" s="4"/>
      <c r="DA1299" s="4"/>
      <c r="DB1299" s="4"/>
      <c r="DC1299" s="4"/>
      <c r="DD1299" s="4"/>
      <c r="DE1299" s="4"/>
      <c r="DF1299" s="4"/>
      <c r="DG1299" s="4"/>
      <c r="DH1299" s="4"/>
      <c r="DI1299" s="4"/>
      <c r="DJ1299" s="4"/>
      <c r="DK1299" s="4"/>
      <c r="DL1299" s="4"/>
      <c r="DM1299" s="4"/>
      <c r="DN1299" s="4"/>
      <c r="DO1299" s="4"/>
      <c r="DP1299" s="4"/>
      <c r="DQ1299" s="4"/>
      <c r="DR1299" s="4"/>
      <c r="DS1299" s="4"/>
      <c r="DT1299" s="4"/>
      <c r="DU1299" s="4"/>
      <c r="DV1299" s="4"/>
      <c r="DW1299" s="4"/>
      <c r="DX1299" s="4"/>
      <c r="DY1299" s="4"/>
      <c r="DZ1299" s="4"/>
      <c r="EA1299" s="4"/>
      <c r="EB1299" s="4"/>
      <c r="EC1299" s="4"/>
      <c r="ED1299" s="4"/>
      <c r="EE1299" s="4"/>
      <c r="EF1299" s="4"/>
      <c r="EG1299" s="4"/>
      <c r="EH1299" s="4"/>
      <c r="EI1299" s="4"/>
      <c r="EJ1299" s="4"/>
      <c r="EK1299" s="4"/>
      <c r="EL1299" s="4"/>
      <c r="EM1299" s="4"/>
      <c r="EN1299" s="4"/>
      <c r="EO1299" s="4"/>
      <c r="EP1299" s="4"/>
      <c r="EQ1299" s="4"/>
      <c r="ER1299" s="4"/>
      <c r="ES1299" s="4"/>
      <c r="ET1299" s="4"/>
      <c r="EU1299" s="4"/>
      <c r="EV1299" s="4"/>
      <c r="EW1299" s="4"/>
      <c r="EX1299" s="4"/>
      <c r="EY1299" s="4"/>
      <c r="EZ1299" s="4"/>
      <c r="FA1299" s="4"/>
      <c r="FB1299" s="4"/>
      <c r="FC1299" s="4"/>
      <c r="FD1299" s="4"/>
      <c r="FE1299" s="4"/>
      <c r="FF1299" s="4"/>
      <c r="FG1299" s="4"/>
      <c r="FH1299" s="4"/>
      <c r="FI1299" s="4"/>
      <c r="FJ1299" s="4"/>
      <c r="FK1299" s="4"/>
      <c r="FL1299" s="4"/>
      <c r="FM1299" s="4"/>
      <c r="FN1299" s="4"/>
      <c r="FO1299" s="4"/>
      <c r="FP1299" s="4"/>
      <c r="FQ1299" s="4"/>
      <c r="FR1299" s="4"/>
      <c r="FS1299" s="4"/>
      <c r="FT1299" s="4"/>
      <c r="FU1299" s="4"/>
      <c r="FV1299" s="4"/>
      <c r="FW1299" s="4"/>
      <c r="FX1299" s="4"/>
      <c r="FY1299" s="4"/>
      <c r="FZ1299" s="4"/>
      <c r="GA1299" s="4"/>
      <c r="GB1299" s="4"/>
      <c r="GC1299" s="4"/>
      <c r="GD1299" s="4"/>
      <c r="GE1299" s="4"/>
      <c r="GF1299" s="4"/>
      <c r="GG1299" s="4"/>
      <c r="GH1299" s="4"/>
    </row>
    <row r="1300">
      <c r="A1300" s="2" t="s">
        <v>7110</v>
      </c>
      <c r="B1300" s="2" t="s">
        <v>932</v>
      </c>
      <c r="C1300" s="2" t="s">
        <v>877</v>
      </c>
      <c r="D1300" s="2" t="s">
        <v>608</v>
      </c>
      <c r="E1300" s="2" t="s">
        <v>609</v>
      </c>
      <c r="F1300" s="2" t="s">
        <v>7102</v>
      </c>
      <c r="G1300" s="2" t="s">
        <v>7103</v>
      </c>
      <c r="H1300" s="2" t="s">
        <v>1681</v>
      </c>
      <c r="I1300" s="2" t="s">
        <v>7104</v>
      </c>
      <c r="J1300" s="2" t="s">
        <v>612</v>
      </c>
      <c r="K1300" s="2" t="s">
        <v>2359</v>
      </c>
      <c r="L1300" s="3">
        <v>28.57</v>
      </c>
      <c r="M1300" s="3">
        <v>30</v>
      </c>
      <c r="N1300" s="3">
        <v>59.99</v>
      </c>
      <c r="O1300" s="2" t="s">
        <v>212</v>
      </c>
      <c r="P1300" s="2" t="s">
        <v>258</v>
      </c>
      <c r="Q1300" s="2" t="s">
        <v>206</v>
      </c>
      <c r="R1300" s="2" t="s">
        <v>200</v>
      </c>
      <c r="S1300" s="2" t="s">
        <v>7105</v>
      </c>
      <c r="T1300" s="2" t="s">
        <v>378</v>
      </c>
      <c r="U1300" s="2" t="s">
        <v>615</v>
      </c>
      <c r="V1300" s="2" t="s">
        <v>1529</v>
      </c>
      <c r="W1300" s="2" t="s">
        <v>1271</v>
      </c>
      <c r="X1300" s="2" t="s">
        <v>200</v>
      </c>
      <c r="Y1300" s="2" t="s">
        <v>2220</v>
      </c>
      <c r="Z1300" s="4">
        <v>5</v>
      </c>
      <c r="AA1300" s="4">
        <f>=ROUNDDOWN(0.5,0)</f>
      </c>
      <c r="AB1300" s="5">
        <v>10</v>
      </c>
      <c r="AC1300" s="2" t="s">
        <v>112</v>
      </c>
      <c r="AD1300" s="4">
        <v>250</v>
      </c>
      <c r="AE1300" s="4">
        <v>250</v>
      </c>
      <c r="AF1300" s="6">
        <v>64</v>
      </c>
      <c r="AG1300" s="6"/>
      <c r="AH1300" s="7">
        <v>0</v>
      </c>
      <c r="AI1300" s="4"/>
      <c r="AJ1300" s="4">
        <f>=ROUNDDOWN({0},0)</f>
      </c>
      <c r="AK1300" s="5"/>
      <c r="AL1300" s="2" t="s">
        <v>200</v>
      </c>
      <c r="AM1300" s="4"/>
      <c r="AN1300" s="4"/>
      <c r="AO1300" s="7"/>
      <c r="AP1300" s="4"/>
      <c r="AQ1300" s="8"/>
      <c r="AR1300" s="4"/>
      <c r="AS1300" s="8"/>
      <c r="AT1300" s="7"/>
      <c r="AU1300" s="7"/>
      <c r="AV1300" s="4" t="s">
        <v>200</v>
      </c>
      <c r="AW1300" s="8" t="s">
        <v>200</v>
      </c>
      <c r="AX1300" s="4" t="s">
        <v>200</v>
      </c>
      <c r="AY1300" s="8" t="s">
        <v>200</v>
      </c>
      <c r="AZ1300" s="7" t="s">
        <v>200</v>
      </c>
      <c r="BA1300" s="7" t="s">
        <v>200</v>
      </c>
      <c r="BB1300" s="7" t="s">
        <v>200</v>
      </c>
      <c r="BC1300" s="4" t="s">
        <v>200</v>
      </c>
      <c r="BD1300" s="8" t="s">
        <v>200</v>
      </c>
      <c r="BE1300" s="4" t="s">
        <v>200</v>
      </c>
      <c r="BF1300" s="8" t="s">
        <v>200</v>
      </c>
      <c r="BG1300" s="7" t="s">
        <v>200</v>
      </c>
      <c r="BH1300" s="7" t="s">
        <v>200</v>
      </c>
      <c r="BI1300" s="7"/>
      <c r="BJ1300" s="4">
        <v>2</v>
      </c>
      <c r="BK1300" s="8">
        <v>64.8</v>
      </c>
      <c r="BL1300" s="2" t="s">
        <v>455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7111</v>
      </c>
      <c r="BV1300" s="2" t="s">
        <v>200</v>
      </c>
      <c r="BW1300" s="2" t="s">
        <v>200</v>
      </c>
      <c r="BX1300" s="2" t="s">
        <v>264</v>
      </c>
      <c r="BY1300" s="2" t="s">
        <v>247</v>
      </c>
      <c r="BZ1300" s="2" t="s">
        <v>212</v>
      </c>
      <c r="CA1300" s="2" t="s">
        <v>2743</v>
      </c>
      <c r="CB1300" s="2" t="s">
        <v>5706</v>
      </c>
      <c r="CC1300" s="2" t="s">
        <v>213</v>
      </c>
      <c r="CD1300" s="2" t="s">
        <v>200</v>
      </c>
      <c r="CE1300" s="4">
        <v>5</v>
      </c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>
        <v>250</v>
      </c>
      <c r="CZ1300" s="4"/>
      <c r="DA1300" s="4"/>
      <c r="DB1300" s="4"/>
      <c r="DC1300" s="4"/>
      <c r="DD1300" s="4"/>
      <c r="DE1300" s="4"/>
      <c r="DF1300" s="4"/>
      <c r="DG1300" s="4"/>
      <c r="DH1300" s="4"/>
      <c r="DI1300" s="4"/>
      <c r="DJ1300" s="4"/>
      <c r="DK1300" s="4"/>
      <c r="DL1300" s="4"/>
      <c r="DM1300" s="4"/>
      <c r="DN1300" s="4"/>
      <c r="DO1300" s="4"/>
      <c r="DP1300" s="4"/>
      <c r="DQ1300" s="4"/>
      <c r="DR1300" s="4"/>
      <c r="DS1300" s="4"/>
      <c r="DT1300" s="4"/>
      <c r="DU1300" s="4"/>
      <c r="DV1300" s="4"/>
      <c r="DW1300" s="4"/>
      <c r="DX1300" s="4"/>
      <c r="DY1300" s="4"/>
      <c r="DZ1300" s="4"/>
      <c r="EA1300" s="4"/>
      <c r="EB1300" s="4"/>
      <c r="EC1300" s="4"/>
      <c r="ED1300" s="4"/>
      <c r="EE1300" s="4"/>
      <c r="EF1300" s="4"/>
      <c r="EG1300" s="4"/>
      <c r="EH1300" s="4"/>
      <c r="EI1300" s="4"/>
      <c r="EJ1300" s="4"/>
      <c r="EK1300" s="4"/>
      <c r="EL1300" s="4"/>
      <c r="EM1300" s="4"/>
      <c r="EN1300" s="4"/>
      <c r="EO1300" s="4"/>
      <c r="EP1300" s="4"/>
      <c r="EQ1300" s="4"/>
      <c r="ER1300" s="4"/>
      <c r="ES1300" s="4"/>
      <c r="ET1300" s="4"/>
      <c r="EU1300" s="4"/>
      <c r="EV1300" s="4"/>
      <c r="EW1300" s="4"/>
      <c r="EX1300" s="4"/>
      <c r="EY1300" s="4"/>
      <c r="EZ1300" s="4"/>
      <c r="FA1300" s="4"/>
      <c r="FB1300" s="4"/>
      <c r="FC1300" s="4"/>
      <c r="FD1300" s="4"/>
      <c r="FE1300" s="4"/>
      <c r="FF1300" s="4"/>
      <c r="FG1300" s="4"/>
      <c r="FH1300" s="4"/>
      <c r="FI1300" s="4"/>
      <c r="FJ1300" s="4"/>
      <c r="FK1300" s="4"/>
      <c r="FL1300" s="4"/>
      <c r="FM1300" s="4"/>
      <c r="FN1300" s="4"/>
      <c r="FO1300" s="4"/>
      <c r="FP1300" s="4"/>
      <c r="FQ1300" s="4"/>
      <c r="FR1300" s="4"/>
      <c r="FS1300" s="4"/>
      <c r="FT1300" s="4"/>
      <c r="FU1300" s="4"/>
      <c r="FV1300" s="4"/>
      <c r="FW1300" s="4"/>
      <c r="FX1300" s="4"/>
      <c r="FY1300" s="4"/>
      <c r="FZ1300" s="4"/>
      <c r="GA1300" s="4"/>
      <c r="GB1300" s="4"/>
      <c r="GC1300" s="4"/>
      <c r="GD1300" s="4"/>
      <c r="GE1300" s="4"/>
      <c r="GF1300" s="4"/>
      <c r="GG1300" s="4"/>
      <c r="GH1300" s="4"/>
    </row>
    <row r="1301">
      <c r="A1301" s="2" t="s">
        <v>7112</v>
      </c>
      <c r="B1301" s="2" t="s">
        <v>932</v>
      </c>
      <c r="C1301" s="2" t="s">
        <v>877</v>
      </c>
      <c r="D1301" s="2" t="s">
        <v>918</v>
      </c>
      <c r="E1301" s="2" t="s">
        <v>919</v>
      </c>
      <c r="F1301" s="2" t="s">
        <v>7102</v>
      </c>
      <c r="G1301" s="2" t="s">
        <v>7103</v>
      </c>
      <c r="H1301" s="2" t="s">
        <v>1681</v>
      </c>
      <c r="I1301" s="2" t="s">
        <v>7108</v>
      </c>
      <c r="J1301" s="2" t="s">
        <v>612</v>
      </c>
      <c r="K1301" s="2" t="s">
        <v>2359</v>
      </c>
      <c r="L1301" s="3">
        <v>19.04</v>
      </c>
      <c r="M1301" s="3">
        <v>19.99</v>
      </c>
      <c r="N1301" s="3">
        <v>39.99</v>
      </c>
      <c r="O1301" s="2" t="s">
        <v>212</v>
      </c>
      <c r="P1301" s="2" t="s">
        <v>258</v>
      </c>
      <c r="Q1301" s="2" t="s">
        <v>206</v>
      </c>
      <c r="R1301" s="2" t="s">
        <v>200</v>
      </c>
      <c r="S1301" s="2" t="s">
        <v>7105</v>
      </c>
      <c r="T1301" s="2" t="s">
        <v>378</v>
      </c>
      <c r="U1301" s="2" t="s">
        <v>454</v>
      </c>
      <c r="V1301" s="2" t="s">
        <v>1529</v>
      </c>
      <c r="W1301" s="2" t="s">
        <v>1271</v>
      </c>
      <c r="X1301" s="2" t="s">
        <v>200</v>
      </c>
      <c r="Y1301" s="2" t="s">
        <v>2792</v>
      </c>
      <c r="Z1301" s="4">
        <v>1</v>
      </c>
      <c r="AA1301" s="4">
        <f>=ROUNDDOWN(0.25,0)</f>
      </c>
      <c r="AB1301" s="5">
        <v>4</v>
      </c>
      <c r="AC1301" s="2" t="s">
        <v>112</v>
      </c>
      <c r="AD1301" s="4">
        <v>120</v>
      </c>
      <c r="AE1301" s="4">
        <v>120</v>
      </c>
      <c r="AF1301" s="6">
        <v>64</v>
      </c>
      <c r="AG1301" s="6"/>
      <c r="AH1301" s="7">
        <v>0.9667</v>
      </c>
      <c r="AI1301" s="4"/>
      <c r="AJ1301" s="4">
        <f>=ROUNDDOWN({0},0)</f>
      </c>
      <c r="AK1301" s="5"/>
      <c r="AL1301" s="2" t="s">
        <v>200</v>
      </c>
      <c r="AM1301" s="4"/>
      <c r="AN1301" s="4"/>
      <c r="AO1301" s="7"/>
      <c r="AP1301" s="4"/>
      <c r="AQ1301" s="8"/>
      <c r="AR1301" s="4"/>
      <c r="AS1301" s="8"/>
      <c r="AT1301" s="7"/>
      <c r="AU1301" s="7"/>
      <c r="AV1301" s="4" t="s">
        <v>200</v>
      </c>
      <c r="AW1301" s="8" t="s">
        <v>200</v>
      </c>
      <c r="AX1301" s="4" t="s">
        <v>200</v>
      </c>
      <c r="AY1301" s="8" t="s">
        <v>200</v>
      </c>
      <c r="AZ1301" s="7" t="s">
        <v>200</v>
      </c>
      <c r="BA1301" s="7" t="s">
        <v>200</v>
      </c>
      <c r="BB1301" s="7" t="s">
        <v>200</v>
      </c>
      <c r="BC1301" s="4" t="s">
        <v>200</v>
      </c>
      <c r="BD1301" s="8" t="s">
        <v>200</v>
      </c>
      <c r="BE1301" s="4" t="s">
        <v>200</v>
      </c>
      <c r="BF1301" s="8" t="s">
        <v>200</v>
      </c>
      <c r="BG1301" s="7" t="s">
        <v>200</v>
      </c>
      <c r="BH1301" s="7" t="s">
        <v>200</v>
      </c>
      <c r="BI1301" s="7"/>
      <c r="BJ1301" s="4">
        <v>24</v>
      </c>
      <c r="BK1301" s="8">
        <v>531.95</v>
      </c>
      <c r="BL1301" s="2" t="s">
        <v>7113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7114</v>
      </c>
      <c r="BV1301" s="2" t="s">
        <v>200</v>
      </c>
      <c r="BW1301" s="2" t="s">
        <v>200</v>
      </c>
      <c r="BX1301" s="2" t="s">
        <v>264</v>
      </c>
      <c r="BY1301" s="2" t="s">
        <v>247</v>
      </c>
      <c r="BZ1301" s="2" t="s">
        <v>212</v>
      </c>
      <c r="CA1301" s="2" t="s">
        <v>2743</v>
      </c>
      <c r="CB1301" s="2" t="s">
        <v>5199</v>
      </c>
      <c r="CC1301" s="2" t="s">
        <v>213</v>
      </c>
      <c r="CD1301" s="2" t="s">
        <v>200</v>
      </c>
      <c r="CE1301" s="4">
        <v>1</v>
      </c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>
        <v>120</v>
      </c>
      <c r="CZ1301" s="4"/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  <c r="DL1301" s="4"/>
      <c r="DM1301" s="4"/>
      <c r="DN1301" s="4"/>
      <c r="DO1301" s="4"/>
      <c r="DP1301" s="4"/>
      <c r="DQ1301" s="4"/>
      <c r="DR1301" s="4"/>
      <c r="DS1301" s="4"/>
      <c r="DT1301" s="4"/>
      <c r="DU1301" s="4"/>
      <c r="DV1301" s="4"/>
      <c r="DW1301" s="4"/>
      <c r="DX1301" s="4"/>
      <c r="DY1301" s="4"/>
      <c r="DZ1301" s="4"/>
      <c r="EA1301" s="4"/>
      <c r="EB1301" s="4"/>
      <c r="EC1301" s="4"/>
      <c r="ED1301" s="4"/>
      <c r="EE1301" s="4"/>
      <c r="EF1301" s="4"/>
      <c r="EG1301" s="4"/>
      <c r="EH1301" s="4"/>
      <c r="EI1301" s="4"/>
      <c r="EJ1301" s="4"/>
      <c r="EK1301" s="4"/>
      <c r="EL1301" s="4"/>
      <c r="EM1301" s="4"/>
      <c r="EN1301" s="4"/>
      <c r="EO1301" s="4"/>
      <c r="EP1301" s="4"/>
      <c r="EQ1301" s="4"/>
      <c r="ER1301" s="4"/>
      <c r="ES1301" s="4"/>
      <c r="ET1301" s="4"/>
      <c r="EU1301" s="4"/>
      <c r="EV1301" s="4"/>
      <c r="EW1301" s="4"/>
      <c r="EX1301" s="4"/>
      <c r="EY1301" s="4"/>
      <c r="EZ1301" s="4"/>
      <c r="FA1301" s="4"/>
      <c r="FB1301" s="4"/>
      <c r="FC1301" s="4"/>
      <c r="FD1301" s="4"/>
      <c r="FE1301" s="4"/>
      <c r="FF1301" s="4"/>
      <c r="FG1301" s="4"/>
      <c r="FH1301" s="4"/>
      <c r="FI1301" s="4"/>
      <c r="FJ1301" s="4"/>
      <c r="FK1301" s="4"/>
      <c r="FL1301" s="4"/>
      <c r="FM1301" s="4"/>
      <c r="FN1301" s="4"/>
      <c r="FO1301" s="4"/>
      <c r="FP1301" s="4"/>
      <c r="FQ1301" s="4"/>
      <c r="FR1301" s="4"/>
      <c r="FS1301" s="4"/>
      <c r="FT1301" s="4"/>
      <c r="FU1301" s="4"/>
      <c r="FV1301" s="4"/>
      <c r="FW1301" s="4"/>
      <c r="FX1301" s="4"/>
      <c r="FY1301" s="4"/>
      <c r="FZ1301" s="4"/>
      <c r="GA1301" s="4"/>
      <c r="GB1301" s="4"/>
      <c r="GC1301" s="4"/>
      <c r="GD1301" s="4"/>
      <c r="GE1301" s="4"/>
      <c r="GF1301" s="4"/>
      <c r="GG1301" s="4"/>
      <c r="GH1301" s="4"/>
    </row>
    <row r="1302">
      <c r="A1302" s="2" t="s">
        <v>7115</v>
      </c>
      <c r="B1302" s="2" t="s">
        <v>744</v>
      </c>
      <c r="C1302" s="2" t="s">
        <v>745</v>
      </c>
      <c r="D1302" s="2" t="s">
        <v>1462</v>
      </c>
      <c r="E1302" s="2" t="s">
        <v>1463</v>
      </c>
      <c r="F1302" s="2" t="s">
        <v>7116</v>
      </c>
      <c r="G1302" s="2" t="s">
        <v>7116</v>
      </c>
      <c r="H1302" s="2" t="s">
        <v>7116</v>
      </c>
      <c r="I1302" s="2" t="s">
        <v>7117</v>
      </c>
      <c r="J1302" s="2" t="s">
        <v>711</v>
      </c>
      <c r="K1302" s="2" t="s">
        <v>1346</v>
      </c>
      <c r="L1302" s="3">
        <v>162</v>
      </c>
      <c r="M1302" s="3">
        <v>170.1</v>
      </c>
      <c r="N1302" s="3">
        <v>349</v>
      </c>
      <c r="O1302" s="2" t="s">
        <v>212</v>
      </c>
      <c r="P1302" s="2" t="s">
        <v>750</v>
      </c>
      <c r="Q1302" s="2" t="s">
        <v>206</v>
      </c>
      <c r="R1302" s="2" t="s">
        <v>200</v>
      </c>
      <c r="S1302" s="2" t="s">
        <v>200</v>
      </c>
      <c r="T1302" s="2" t="s">
        <v>200</v>
      </c>
      <c r="U1302" s="2" t="s">
        <v>200</v>
      </c>
      <c r="V1302" s="2" t="s">
        <v>616</v>
      </c>
      <c r="W1302" s="2" t="s">
        <v>2095</v>
      </c>
      <c r="X1302" s="2" t="s">
        <v>419</v>
      </c>
      <c r="Y1302" s="2" t="s">
        <v>7118</v>
      </c>
      <c r="Z1302" s="4">
        <v>194</v>
      </c>
      <c r="AA1302" s="4">
        <f>=ROUNDDOWN(51.0526315789474,0)</f>
      </c>
      <c r="AB1302" s="5">
        <v>3.8</v>
      </c>
      <c r="AC1302" s="2" t="s">
        <v>200</v>
      </c>
      <c r="AD1302" s="4"/>
      <c r="AE1302" s="4"/>
      <c r="AF1302" s="6">
        <v>74</v>
      </c>
      <c r="AG1302" s="6">
        <v>60</v>
      </c>
      <c r="AH1302" s="7">
        <v>1</v>
      </c>
      <c r="AI1302" s="4"/>
      <c r="AJ1302" s="4">
        <f>=ROUNDDOWN({0},0)</f>
      </c>
      <c r="AK1302" s="5"/>
      <c r="AL1302" s="2" t="s">
        <v>200</v>
      </c>
      <c r="AM1302" s="4"/>
      <c r="AN1302" s="4"/>
      <c r="AO1302" s="7"/>
      <c r="AP1302" s="4"/>
      <c r="AQ1302" s="8"/>
      <c r="AR1302" s="4"/>
      <c r="AS1302" s="8"/>
      <c r="AT1302" s="7"/>
      <c r="AU1302" s="7"/>
      <c r="AV1302" s="4"/>
      <c r="AW1302" s="8"/>
      <c r="AX1302" s="4"/>
      <c r="AY1302" s="8"/>
      <c r="AZ1302" s="7"/>
      <c r="BA1302" s="7"/>
      <c r="BB1302" s="7"/>
      <c r="BC1302" s="4" t="s">
        <v>200</v>
      </c>
      <c r="BD1302" s="8" t="s">
        <v>200</v>
      </c>
      <c r="BE1302" s="4" t="s">
        <v>200</v>
      </c>
      <c r="BF1302" s="8" t="s">
        <v>200</v>
      </c>
      <c r="BG1302" s="7" t="s">
        <v>200</v>
      </c>
      <c r="BH1302" s="7" t="s">
        <v>200</v>
      </c>
      <c r="BI1302" s="7"/>
      <c r="BJ1302" s="4">
        <v>15</v>
      </c>
      <c r="BK1302" s="8">
        <v>2513.13</v>
      </c>
      <c r="BL1302" s="2" t="s">
        <v>2196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7119</v>
      </c>
      <c r="BV1302" s="2" t="s">
        <v>200</v>
      </c>
      <c r="BW1302" s="2" t="s">
        <v>200</v>
      </c>
      <c r="BX1302" s="2" t="s">
        <v>264</v>
      </c>
      <c r="BY1302" s="2" t="s">
        <v>247</v>
      </c>
      <c r="BZ1302" s="2" t="s">
        <v>212</v>
      </c>
      <c r="CA1302" s="2" t="s">
        <v>7120</v>
      </c>
      <c r="CB1302" s="2" t="s">
        <v>7121</v>
      </c>
      <c r="CC1302" s="2" t="s">
        <v>213</v>
      </c>
      <c r="CD1302" s="2" t="s">
        <v>200</v>
      </c>
      <c r="CE1302" s="4"/>
      <c r="CF1302" s="4">
        <v>194</v>
      </c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  <c r="DE1302" s="4"/>
      <c r="DF1302" s="4"/>
      <c r="DG1302" s="4"/>
      <c r="DH1302" s="4"/>
      <c r="DI1302" s="4"/>
      <c r="DJ1302" s="4"/>
      <c r="DK1302" s="4"/>
      <c r="DL1302" s="4"/>
      <c r="DM1302" s="4"/>
      <c r="DN1302" s="4"/>
      <c r="DO1302" s="4"/>
      <c r="DP1302" s="4"/>
      <c r="DQ1302" s="4"/>
      <c r="DR1302" s="4"/>
      <c r="DS1302" s="4"/>
      <c r="DT1302" s="4"/>
      <c r="DU1302" s="4"/>
      <c r="DV1302" s="4"/>
      <c r="DW1302" s="4"/>
      <c r="DX1302" s="4"/>
      <c r="DY1302" s="4"/>
      <c r="DZ1302" s="4"/>
      <c r="EA1302" s="4"/>
      <c r="EB1302" s="4"/>
      <c r="EC1302" s="4"/>
      <c r="ED1302" s="4"/>
      <c r="EE1302" s="4"/>
      <c r="EF1302" s="4"/>
      <c r="EG1302" s="4"/>
      <c r="EH1302" s="4"/>
      <c r="EI1302" s="4"/>
      <c r="EJ1302" s="4"/>
      <c r="EK1302" s="4"/>
      <c r="EL1302" s="4"/>
      <c r="EM1302" s="4"/>
      <c r="EN1302" s="4"/>
      <c r="EO1302" s="4"/>
      <c r="EP1302" s="4"/>
      <c r="EQ1302" s="4"/>
      <c r="ER1302" s="4"/>
      <c r="ES1302" s="4"/>
      <c r="ET1302" s="4"/>
      <c r="EU1302" s="4"/>
      <c r="EV1302" s="4"/>
      <c r="EW1302" s="4"/>
      <c r="EX1302" s="4"/>
      <c r="EY1302" s="4"/>
      <c r="EZ1302" s="4"/>
      <c r="FA1302" s="4"/>
      <c r="FB1302" s="4"/>
      <c r="FC1302" s="4"/>
      <c r="FD1302" s="4"/>
      <c r="FE1302" s="4"/>
      <c r="FF1302" s="4"/>
      <c r="FG1302" s="4"/>
      <c r="FH1302" s="4"/>
      <c r="FI1302" s="4"/>
      <c r="FJ1302" s="4"/>
      <c r="FK1302" s="4"/>
      <c r="FL1302" s="4"/>
      <c r="FM1302" s="4"/>
      <c r="FN1302" s="4"/>
      <c r="FO1302" s="4"/>
      <c r="FP1302" s="4"/>
      <c r="FQ1302" s="4"/>
      <c r="FR1302" s="4"/>
      <c r="FS1302" s="4"/>
      <c r="FT1302" s="4"/>
      <c r="FU1302" s="4"/>
      <c r="FV1302" s="4"/>
      <c r="FW1302" s="4"/>
      <c r="FX1302" s="4"/>
      <c r="FY1302" s="4"/>
      <c r="FZ1302" s="4"/>
      <c r="GA1302" s="4"/>
      <c r="GB1302" s="4"/>
      <c r="GC1302" s="4"/>
      <c r="GD1302" s="4"/>
      <c r="GE1302" s="4"/>
      <c r="GF1302" s="4"/>
      <c r="GG1302" s="4"/>
      <c r="GH1302" s="4"/>
    </row>
    <row r="1303">
      <c r="A1303" s="2" t="s">
        <v>7122</v>
      </c>
      <c r="B1303" s="2" t="s">
        <v>932</v>
      </c>
      <c r="C1303" s="2" t="s">
        <v>877</v>
      </c>
      <c r="D1303" s="2" t="s">
        <v>918</v>
      </c>
      <c r="E1303" s="2" t="s">
        <v>934</v>
      </c>
      <c r="F1303" s="2" t="s">
        <v>7116</v>
      </c>
      <c r="G1303" s="2" t="s">
        <v>6714</v>
      </c>
      <c r="H1303" s="2" t="s">
        <v>1623</v>
      </c>
      <c r="I1303" s="2" t="s">
        <v>7123</v>
      </c>
      <c r="J1303" s="2" t="s">
        <v>1390</v>
      </c>
      <c r="K1303" s="2" t="s">
        <v>203</v>
      </c>
      <c r="L1303" s="3">
        <v>19.04</v>
      </c>
      <c r="M1303" s="3">
        <v>19.99</v>
      </c>
      <c r="N1303" s="3">
        <v>39.99</v>
      </c>
      <c r="O1303" s="2" t="s">
        <v>212</v>
      </c>
      <c r="P1303" s="2" t="s">
        <v>205</v>
      </c>
      <c r="Q1303" s="2" t="s">
        <v>206</v>
      </c>
      <c r="R1303" s="2" t="s">
        <v>200</v>
      </c>
      <c r="S1303" s="2" t="s">
        <v>7124</v>
      </c>
      <c r="T1303" s="2" t="s">
        <v>1176</v>
      </c>
      <c r="U1303" s="2" t="s">
        <v>454</v>
      </c>
      <c r="V1303" s="2" t="s">
        <v>208</v>
      </c>
      <c r="W1303" s="2" t="s">
        <v>379</v>
      </c>
      <c r="X1303" s="2" t="s">
        <v>241</v>
      </c>
      <c r="Y1303" s="2" t="s">
        <v>2008</v>
      </c>
      <c r="Z1303" s="4">
        <v>45</v>
      </c>
      <c r="AA1303" s="4">
        <f>=ROUNDDOWN(37.5,0)</f>
      </c>
      <c r="AB1303" s="5">
        <v>1.2</v>
      </c>
      <c r="AC1303" s="2" t="s">
        <v>200</v>
      </c>
      <c r="AD1303" s="4"/>
      <c r="AE1303" s="4"/>
      <c r="AF1303" s="6">
        <v>64</v>
      </c>
      <c r="AG1303" s="6"/>
      <c r="AH1303" s="7">
        <v>1</v>
      </c>
      <c r="AI1303" s="4"/>
      <c r="AJ1303" s="4">
        <f>=ROUNDDOWN({0},0)</f>
      </c>
      <c r="AK1303" s="5"/>
      <c r="AL1303" s="2" t="s">
        <v>200</v>
      </c>
      <c r="AM1303" s="4"/>
      <c r="AN1303" s="4"/>
      <c r="AO1303" s="7"/>
      <c r="AP1303" s="4"/>
      <c r="AQ1303" s="8"/>
      <c r="AR1303" s="4"/>
      <c r="AS1303" s="8"/>
      <c r="AT1303" s="7"/>
      <c r="AU1303" s="7"/>
      <c r="AV1303" s="4" t="s">
        <v>200</v>
      </c>
      <c r="AW1303" s="8" t="s">
        <v>200</v>
      </c>
      <c r="AX1303" s="4" t="s">
        <v>200</v>
      </c>
      <c r="AY1303" s="8" t="s">
        <v>200</v>
      </c>
      <c r="AZ1303" s="7" t="s">
        <v>200</v>
      </c>
      <c r="BA1303" s="7" t="s">
        <v>200</v>
      </c>
      <c r="BB1303" s="7"/>
      <c r="BC1303" s="4" t="s">
        <v>200</v>
      </c>
      <c r="BD1303" s="8" t="s">
        <v>200</v>
      </c>
      <c r="BE1303" s="4" t="s">
        <v>200</v>
      </c>
      <c r="BF1303" s="8" t="s">
        <v>200</v>
      </c>
      <c r="BG1303" s="7" t="s">
        <v>200</v>
      </c>
      <c r="BH1303" s="7" t="s">
        <v>200</v>
      </c>
      <c r="BI1303" s="7"/>
      <c r="BJ1303" s="4">
        <v>9</v>
      </c>
      <c r="BK1303" s="8">
        <v>194.31</v>
      </c>
      <c r="BL1303" s="2" t="s">
        <v>319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7125</v>
      </c>
      <c r="BV1303" s="2" t="s">
        <v>200</v>
      </c>
      <c r="BW1303" s="2" t="s">
        <v>200</v>
      </c>
      <c r="BX1303" s="2" t="s">
        <v>264</v>
      </c>
      <c r="BY1303" s="2" t="s">
        <v>247</v>
      </c>
      <c r="BZ1303" s="2" t="s">
        <v>212</v>
      </c>
      <c r="CA1303" s="2" t="s">
        <v>1940</v>
      </c>
      <c r="CB1303" s="2" t="s">
        <v>2594</v>
      </c>
      <c r="CC1303" s="2" t="s">
        <v>213</v>
      </c>
      <c r="CD1303" s="2" t="s">
        <v>200</v>
      </c>
      <c r="CE1303" s="4">
        <v>45</v>
      </c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  <c r="DL1303" s="4"/>
      <c r="DM1303" s="4"/>
      <c r="DN1303" s="4"/>
      <c r="DO1303" s="4"/>
      <c r="DP1303" s="4"/>
      <c r="DQ1303" s="4"/>
      <c r="DR1303" s="4"/>
      <c r="DS1303" s="4"/>
      <c r="DT1303" s="4"/>
      <c r="DU1303" s="4"/>
      <c r="DV1303" s="4"/>
      <c r="DW1303" s="4"/>
      <c r="DX1303" s="4"/>
      <c r="DY1303" s="4"/>
      <c r="DZ1303" s="4"/>
      <c r="EA1303" s="4"/>
      <c r="EB1303" s="4"/>
      <c r="EC1303" s="4"/>
      <c r="ED1303" s="4"/>
      <c r="EE1303" s="4"/>
      <c r="EF1303" s="4"/>
      <c r="EG1303" s="4"/>
      <c r="EH1303" s="4"/>
      <c r="EI1303" s="4"/>
      <c r="EJ1303" s="4"/>
      <c r="EK1303" s="4"/>
      <c r="EL1303" s="4"/>
      <c r="EM1303" s="4"/>
      <c r="EN1303" s="4"/>
      <c r="EO1303" s="4"/>
      <c r="EP1303" s="4"/>
      <c r="EQ1303" s="4"/>
      <c r="ER1303" s="4"/>
      <c r="ES1303" s="4"/>
      <c r="ET1303" s="4"/>
      <c r="EU1303" s="4"/>
      <c r="EV1303" s="4"/>
      <c r="EW1303" s="4"/>
      <c r="EX1303" s="4"/>
      <c r="EY1303" s="4"/>
      <c r="EZ1303" s="4"/>
      <c r="FA1303" s="4"/>
      <c r="FB1303" s="4"/>
      <c r="FC1303" s="4"/>
      <c r="FD1303" s="4"/>
      <c r="FE1303" s="4"/>
      <c r="FF1303" s="4"/>
      <c r="FG1303" s="4"/>
      <c r="FH1303" s="4"/>
      <c r="FI1303" s="4"/>
      <c r="FJ1303" s="4"/>
      <c r="FK1303" s="4"/>
      <c r="FL1303" s="4"/>
      <c r="FM1303" s="4"/>
      <c r="FN1303" s="4"/>
      <c r="FO1303" s="4"/>
      <c r="FP1303" s="4"/>
      <c r="FQ1303" s="4"/>
      <c r="FR1303" s="4"/>
      <c r="FS1303" s="4"/>
      <c r="FT1303" s="4"/>
      <c r="FU1303" s="4"/>
      <c r="FV1303" s="4"/>
      <c r="FW1303" s="4"/>
      <c r="FX1303" s="4"/>
      <c r="FY1303" s="4"/>
      <c r="FZ1303" s="4"/>
      <c r="GA1303" s="4"/>
      <c r="GB1303" s="4"/>
      <c r="GC1303" s="4"/>
      <c r="GD1303" s="4"/>
      <c r="GE1303" s="4"/>
      <c r="GF1303" s="4"/>
      <c r="GG1303" s="4"/>
      <c r="GH1303" s="4"/>
    </row>
    <row r="1304">
      <c r="A1304" s="2" t="s">
        <v>7126</v>
      </c>
      <c r="B1304" s="2" t="s">
        <v>932</v>
      </c>
      <c r="C1304" s="2" t="s">
        <v>877</v>
      </c>
      <c r="D1304" s="2" t="s">
        <v>608</v>
      </c>
      <c r="E1304" s="2" t="s">
        <v>609</v>
      </c>
      <c r="F1304" s="2" t="s">
        <v>7116</v>
      </c>
      <c r="G1304" s="2" t="s">
        <v>6714</v>
      </c>
      <c r="H1304" s="2" t="s">
        <v>1623</v>
      </c>
      <c r="I1304" s="2" t="s">
        <v>7127</v>
      </c>
      <c r="J1304" s="2" t="s">
        <v>612</v>
      </c>
      <c r="K1304" s="2" t="s">
        <v>203</v>
      </c>
      <c r="L1304" s="3">
        <v>28.57</v>
      </c>
      <c r="M1304" s="3">
        <v>30</v>
      </c>
      <c r="N1304" s="3">
        <v>59.99</v>
      </c>
      <c r="O1304" s="2" t="s">
        <v>212</v>
      </c>
      <c r="P1304" s="2" t="s">
        <v>205</v>
      </c>
      <c r="Q1304" s="2" t="s">
        <v>206</v>
      </c>
      <c r="R1304" s="2" t="s">
        <v>200</v>
      </c>
      <c r="S1304" s="2" t="s">
        <v>7124</v>
      </c>
      <c r="T1304" s="2" t="s">
        <v>1176</v>
      </c>
      <c r="U1304" s="2" t="s">
        <v>240</v>
      </c>
      <c r="V1304" s="2" t="s">
        <v>208</v>
      </c>
      <c r="W1304" s="2" t="s">
        <v>379</v>
      </c>
      <c r="X1304" s="2" t="s">
        <v>241</v>
      </c>
      <c r="Y1304" s="2" t="s">
        <v>2008</v>
      </c>
      <c r="Z1304" s="4">
        <v>309</v>
      </c>
      <c r="AA1304" s="4">
        <f>=ROUNDDOWN(77.25,0)</f>
      </c>
      <c r="AB1304" s="5">
        <v>4</v>
      </c>
      <c r="AC1304" s="2" t="s">
        <v>200</v>
      </c>
      <c r="AD1304" s="4"/>
      <c r="AE1304" s="4"/>
      <c r="AF1304" s="6">
        <v>64</v>
      </c>
      <c r="AG1304" s="6"/>
      <c r="AH1304" s="7">
        <v>1</v>
      </c>
      <c r="AI1304" s="4"/>
      <c r="AJ1304" s="4">
        <f>=ROUNDDOWN({0},0)</f>
      </c>
      <c r="AK1304" s="5"/>
      <c r="AL1304" s="2" t="s">
        <v>200</v>
      </c>
      <c r="AM1304" s="4"/>
      <c r="AN1304" s="4"/>
      <c r="AO1304" s="7"/>
      <c r="AP1304" s="4"/>
      <c r="AQ1304" s="8"/>
      <c r="AR1304" s="4"/>
      <c r="AS1304" s="8"/>
      <c r="AT1304" s="7"/>
      <c r="AU1304" s="7"/>
      <c r="AV1304" s="4" t="s">
        <v>200</v>
      </c>
      <c r="AW1304" s="8" t="s">
        <v>200</v>
      </c>
      <c r="AX1304" s="4" t="s">
        <v>200</v>
      </c>
      <c r="AY1304" s="8" t="s">
        <v>200</v>
      </c>
      <c r="AZ1304" s="7" t="s">
        <v>200</v>
      </c>
      <c r="BA1304" s="7" t="s">
        <v>200</v>
      </c>
      <c r="BB1304" s="7"/>
      <c r="BC1304" s="4" t="s">
        <v>200</v>
      </c>
      <c r="BD1304" s="8" t="s">
        <v>200</v>
      </c>
      <c r="BE1304" s="4" t="s">
        <v>200</v>
      </c>
      <c r="BF1304" s="8" t="s">
        <v>200</v>
      </c>
      <c r="BG1304" s="7" t="s">
        <v>200</v>
      </c>
      <c r="BH1304" s="7" t="s">
        <v>200</v>
      </c>
      <c r="BI1304" s="7"/>
      <c r="BJ1304" s="4">
        <v>12</v>
      </c>
      <c r="BK1304" s="8">
        <v>386.1</v>
      </c>
      <c r="BL1304" s="2" t="s">
        <v>2610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7128</v>
      </c>
      <c r="BV1304" s="2" t="s">
        <v>200</v>
      </c>
      <c r="BW1304" s="2" t="s">
        <v>200</v>
      </c>
      <c r="BX1304" s="2" t="s">
        <v>264</v>
      </c>
      <c r="BY1304" s="2" t="s">
        <v>247</v>
      </c>
      <c r="BZ1304" s="2" t="s">
        <v>212</v>
      </c>
      <c r="CA1304" s="2" t="s">
        <v>1940</v>
      </c>
      <c r="CB1304" s="2" t="s">
        <v>4019</v>
      </c>
      <c r="CC1304" s="2" t="s">
        <v>213</v>
      </c>
      <c r="CD1304" s="2" t="s">
        <v>200</v>
      </c>
      <c r="CE1304" s="4">
        <v>309</v>
      </c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  <c r="DE1304" s="4"/>
      <c r="DF1304" s="4"/>
      <c r="DG1304" s="4"/>
      <c r="DH1304" s="4"/>
      <c r="DI1304" s="4"/>
      <c r="DJ1304" s="4"/>
      <c r="DK1304" s="4"/>
      <c r="DL1304" s="4"/>
      <c r="DM1304" s="4"/>
      <c r="DN1304" s="4"/>
      <c r="DO1304" s="4"/>
      <c r="DP1304" s="4"/>
      <c r="DQ1304" s="4"/>
      <c r="DR1304" s="4"/>
      <c r="DS1304" s="4"/>
      <c r="DT1304" s="4"/>
      <c r="DU1304" s="4"/>
      <c r="DV1304" s="4"/>
      <c r="DW1304" s="4"/>
      <c r="DX1304" s="4"/>
      <c r="DY1304" s="4"/>
      <c r="DZ1304" s="4"/>
      <c r="EA1304" s="4"/>
      <c r="EB1304" s="4"/>
      <c r="EC1304" s="4"/>
      <c r="ED1304" s="4"/>
      <c r="EE1304" s="4"/>
      <c r="EF1304" s="4"/>
      <c r="EG1304" s="4"/>
      <c r="EH1304" s="4"/>
      <c r="EI1304" s="4"/>
      <c r="EJ1304" s="4"/>
      <c r="EK1304" s="4"/>
      <c r="EL1304" s="4"/>
      <c r="EM1304" s="4"/>
      <c r="EN1304" s="4"/>
      <c r="EO1304" s="4"/>
      <c r="EP1304" s="4"/>
      <c r="EQ1304" s="4"/>
      <c r="ER1304" s="4"/>
      <c r="ES1304" s="4"/>
      <c r="ET1304" s="4"/>
      <c r="EU1304" s="4"/>
      <c r="EV1304" s="4"/>
      <c r="EW1304" s="4"/>
      <c r="EX1304" s="4"/>
      <c r="EY1304" s="4"/>
      <c r="EZ1304" s="4"/>
      <c r="FA1304" s="4"/>
      <c r="FB1304" s="4"/>
      <c r="FC1304" s="4"/>
      <c r="FD1304" s="4"/>
      <c r="FE1304" s="4"/>
      <c r="FF1304" s="4"/>
      <c r="FG1304" s="4"/>
      <c r="FH1304" s="4"/>
      <c r="FI1304" s="4"/>
      <c r="FJ1304" s="4"/>
      <c r="FK1304" s="4"/>
      <c r="FL1304" s="4"/>
      <c r="FM1304" s="4"/>
      <c r="FN1304" s="4"/>
      <c r="FO1304" s="4"/>
      <c r="FP1304" s="4"/>
      <c r="FQ1304" s="4"/>
      <c r="FR1304" s="4"/>
      <c r="FS1304" s="4"/>
      <c r="FT1304" s="4"/>
      <c r="FU1304" s="4"/>
      <c r="FV1304" s="4"/>
      <c r="FW1304" s="4"/>
      <c r="FX1304" s="4"/>
      <c r="FY1304" s="4"/>
      <c r="FZ1304" s="4"/>
      <c r="GA1304" s="4"/>
      <c r="GB1304" s="4"/>
      <c r="GC1304" s="4"/>
      <c r="GD1304" s="4"/>
      <c r="GE1304" s="4"/>
      <c r="GF1304" s="4"/>
      <c r="GG1304" s="4"/>
      <c r="GH1304" s="4"/>
    </row>
    <row r="1305">
      <c r="A1305" s="2" t="s">
        <v>7129</v>
      </c>
      <c r="B1305" s="2" t="s">
        <v>744</v>
      </c>
      <c r="C1305" s="2" t="s">
        <v>231</v>
      </c>
      <c r="D1305" s="2" t="s">
        <v>746</v>
      </c>
      <c r="E1305" s="2" t="s">
        <v>747</v>
      </c>
      <c r="F1305" s="2" t="s">
        <v>7130</v>
      </c>
      <c r="G1305" s="2" t="s">
        <v>7131</v>
      </c>
      <c r="H1305" s="2" t="s">
        <v>7132</v>
      </c>
      <c r="I1305" s="2" t="s">
        <v>7133</v>
      </c>
      <c r="J1305" s="2" t="s">
        <v>711</v>
      </c>
      <c r="K1305" s="2" t="s">
        <v>387</v>
      </c>
      <c r="L1305" s="3">
        <v>190</v>
      </c>
      <c r="M1305" s="3">
        <v>199.5</v>
      </c>
      <c r="N1305" s="3">
        <v>399</v>
      </c>
      <c r="O1305" s="2" t="s">
        <v>212</v>
      </c>
      <c r="P1305" s="2" t="s">
        <v>285</v>
      </c>
      <c r="Q1305" s="2" t="s">
        <v>206</v>
      </c>
      <c r="R1305" s="2" t="s">
        <v>200</v>
      </c>
      <c r="S1305" s="2" t="s">
        <v>200</v>
      </c>
      <c r="T1305" s="2" t="s">
        <v>200</v>
      </c>
      <c r="U1305" s="2" t="s">
        <v>270</v>
      </c>
      <c r="V1305" s="2" t="s">
        <v>208</v>
      </c>
      <c r="W1305" s="2" t="s">
        <v>419</v>
      </c>
      <c r="X1305" s="2" t="s">
        <v>200</v>
      </c>
      <c r="Y1305" s="2" t="s">
        <v>4288</v>
      </c>
      <c r="Z1305" s="4">
        <v>74</v>
      </c>
      <c r="AA1305" s="4">
        <f>=ROUNDDOWN(12.1311475409836,0)</f>
      </c>
      <c r="AB1305" s="5">
        <v>6.1</v>
      </c>
      <c r="AC1305" s="2" t="s">
        <v>200</v>
      </c>
      <c r="AD1305" s="4"/>
      <c r="AE1305" s="4"/>
      <c r="AF1305" s="6">
        <v>66</v>
      </c>
      <c r="AG1305" s="6"/>
      <c r="AH1305" s="7">
        <v>1</v>
      </c>
      <c r="AI1305" s="4"/>
      <c r="AJ1305" s="4">
        <f>=ROUNDDOWN({0},0)</f>
      </c>
      <c r="AK1305" s="5"/>
      <c r="AL1305" s="2" t="s">
        <v>200</v>
      </c>
      <c r="AM1305" s="4"/>
      <c r="AN1305" s="4"/>
      <c r="AO1305" s="7"/>
      <c r="AP1305" s="4"/>
      <c r="AQ1305" s="8"/>
      <c r="AR1305" s="4"/>
      <c r="AS1305" s="8"/>
      <c r="AT1305" s="7"/>
      <c r="AU1305" s="7"/>
      <c r="AV1305" s="4"/>
      <c r="AW1305" s="8"/>
      <c r="AX1305" s="4"/>
      <c r="AY1305" s="8"/>
      <c r="AZ1305" s="7"/>
      <c r="BA1305" s="7"/>
      <c r="BB1305" s="7"/>
      <c r="BC1305" s="4"/>
      <c r="BD1305" s="8"/>
      <c r="BE1305" s="4"/>
      <c r="BF1305" s="8"/>
      <c r="BG1305" s="7"/>
      <c r="BH1305" s="7"/>
      <c r="BI1305" s="7"/>
      <c r="BJ1305" s="4">
        <v>21</v>
      </c>
      <c r="BK1305" s="8">
        <v>1688.61</v>
      </c>
      <c r="BL1305" s="2" t="s">
        <v>303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7134</v>
      </c>
      <c r="BV1305" s="2" t="s">
        <v>200</v>
      </c>
      <c r="BW1305" s="2" t="s">
        <v>200</v>
      </c>
      <c r="BX1305" s="2" t="s">
        <v>289</v>
      </c>
      <c r="BY1305" s="2" t="s">
        <v>247</v>
      </c>
      <c r="BZ1305" s="2" t="s">
        <v>212</v>
      </c>
      <c r="CA1305" s="2" t="s">
        <v>2006</v>
      </c>
      <c r="CB1305" s="2" t="s">
        <v>1028</v>
      </c>
      <c r="CC1305" s="2" t="s">
        <v>213</v>
      </c>
      <c r="CD1305" s="2" t="s">
        <v>200</v>
      </c>
      <c r="CE1305" s="4"/>
      <c r="CF1305" s="4">
        <v>74</v>
      </c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  <c r="DL1305" s="4"/>
      <c r="DM1305" s="4"/>
      <c r="DN1305" s="4"/>
      <c r="DO1305" s="4"/>
      <c r="DP1305" s="4"/>
      <c r="DQ1305" s="4"/>
      <c r="DR1305" s="4"/>
      <c r="DS1305" s="4"/>
      <c r="DT1305" s="4"/>
      <c r="DU1305" s="4"/>
      <c r="DV1305" s="4"/>
      <c r="DW1305" s="4"/>
      <c r="DX1305" s="4"/>
      <c r="DY1305" s="4"/>
      <c r="DZ1305" s="4"/>
      <c r="EA1305" s="4"/>
      <c r="EB1305" s="4"/>
      <c r="EC1305" s="4"/>
      <c r="ED1305" s="4"/>
      <c r="EE1305" s="4"/>
      <c r="EF1305" s="4"/>
      <c r="EG1305" s="4"/>
      <c r="EH1305" s="4"/>
      <c r="EI1305" s="4"/>
      <c r="EJ1305" s="4"/>
      <c r="EK1305" s="4"/>
      <c r="EL1305" s="4"/>
      <c r="EM1305" s="4"/>
      <c r="EN1305" s="4"/>
      <c r="EO1305" s="4"/>
      <c r="EP1305" s="4"/>
      <c r="EQ1305" s="4"/>
      <c r="ER1305" s="4"/>
      <c r="ES1305" s="4"/>
      <c r="ET1305" s="4"/>
      <c r="EU1305" s="4"/>
      <c r="EV1305" s="4"/>
      <c r="EW1305" s="4"/>
      <c r="EX1305" s="4"/>
      <c r="EY1305" s="4"/>
      <c r="EZ1305" s="4"/>
      <c r="FA1305" s="4"/>
      <c r="FB1305" s="4"/>
      <c r="FC1305" s="4"/>
      <c r="FD1305" s="4"/>
      <c r="FE1305" s="4"/>
      <c r="FF1305" s="4"/>
      <c r="FG1305" s="4"/>
      <c r="FH1305" s="4"/>
      <c r="FI1305" s="4"/>
      <c r="FJ1305" s="4"/>
      <c r="FK1305" s="4"/>
      <c r="FL1305" s="4"/>
      <c r="FM1305" s="4"/>
      <c r="FN1305" s="4"/>
      <c r="FO1305" s="4"/>
      <c r="FP1305" s="4"/>
      <c r="FQ1305" s="4"/>
      <c r="FR1305" s="4"/>
      <c r="FS1305" s="4"/>
      <c r="FT1305" s="4"/>
      <c r="FU1305" s="4"/>
      <c r="FV1305" s="4"/>
      <c r="FW1305" s="4"/>
      <c r="FX1305" s="4"/>
      <c r="FY1305" s="4"/>
      <c r="FZ1305" s="4"/>
      <c r="GA1305" s="4"/>
      <c r="GB1305" s="4"/>
      <c r="GC1305" s="4"/>
      <c r="GD1305" s="4"/>
      <c r="GE1305" s="4"/>
      <c r="GF1305" s="4"/>
      <c r="GG1305" s="4"/>
      <c r="GH1305" s="4"/>
    </row>
    <row r="1306">
      <c r="A1306" s="2" t="s">
        <v>7135</v>
      </c>
      <c r="B1306" s="2" t="s">
        <v>903</v>
      </c>
      <c r="C1306" s="2" t="s">
        <v>231</v>
      </c>
      <c r="D1306" s="2" t="s">
        <v>608</v>
      </c>
      <c r="E1306" s="2" t="s">
        <v>609</v>
      </c>
      <c r="F1306" s="2" t="s">
        <v>7136</v>
      </c>
      <c r="G1306" s="2" t="s">
        <v>1170</v>
      </c>
      <c r="H1306" s="2" t="s">
        <v>7137</v>
      </c>
      <c r="I1306" s="2" t="s">
        <v>7138</v>
      </c>
      <c r="J1306" s="2" t="s">
        <v>297</v>
      </c>
      <c r="K1306" s="2" t="s">
        <v>733</v>
      </c>
      <c r="L1306" s="3">
        <v>50.281143</v>
      </c>
      <c r="M1306" s="3">
        <v>52.79</v>
      </c>
      <c r="N1306" s="3">
        <v>109.99</v>
      </c>
      <c r="O1306" s="2" t="s">
        <v>212</v>
      </c>
      <c r="P1306" s="2" t="s">
        <v>675</v>
      </c>
      <c r="Q1306" s="2" t="s">
        <v>206</v>
      </c>
      <c r="R1306" s="2" t="s">
        <v>200</v>
      </c>
      <c r="S1306" s="2" t="s">
        <v>200</v>
      </c>
      <c r="T1306" s="2" t="s">
        <v>312</v>
      </c>
      <c r="U1306" s="2" t="s">
        <v>689</v>
      </c>
      <c r="V1306" s="2" t="s">
        <v>940</v>
      </c>
      <c r="W1306" s="2" t="s">
        <v>926</v>
      </c>
      <c r="X1306" s="2" t="s">
        <v>2691</v>
      </c>
      <c r="Y1306" s="2" t="s">
        <v>200</v>
      </c>
      <c r="Z1306" s="4"/>
      <c r="AA1306" s="4">
        <f>=ROUNDDOWN({0},0)</f>
      </c>
      <c r="AB1306" s="5"/>
      <c r="AC1306" s="2" t="s">
        <v>7139</v>
      </c>
      <c r="AD1306" s="4">
        <v>368</v>
      </c>
      <c r="AE1306" s="4">
        <v>368</v>
      </c>
      <c r="AF1306" s="6">
        <v>65</v>
      </c>
      <c r="AG1306" s="6"/>
      <c r="AH1306" s="7"/>
      <c r="AI1306" s="4"/>
      <c r="AJ1306" s="4">
        <f>=ROUNDDOWN({0},0)</f>
      </c>
      <c r="AK1306" s="5"/>
      <c r="AL1306" s="2" t="s">
        <v>200</v>
      </c>
      <c r="AM1306" s="4"/>
      <c r="AN1306" s="4"/>
      <c r="AO1306" s="7"/>
      <c r="AP1306" s="4"/>
      <c r="AQ1306" s="8"/>
      <c r="AR1306" s="4"/>
      <c r="AS1306" s="8"/>
      <c r="AT1306" s="7"/>
      <c r="AU1306" s="7"/>
      <c r="AV1306" s="4" t="s">
        <v>200</v>
      </c>
      <c r="AW1306" s="8" t="s">
        <v>200</v>
      </c>
      <c r="AX1306" s="4" t="s">
        <v>200</v>
      </c>
      <c r="AY1306" s="8" t="s">
        <v>200</v>
      </c>
      <c r="AZ1306" s="7" t="s">
        <v>200</v>
      </c>
      <c r="BA1306" s="7" t="s">
        <v>200</v>
      </c>
      <c r="BB1306" s="7"/>
      <c r="BC1306" s="4" t="s">
        <v>200</v>
      </c>
      <c r="BD1306" s="8" t="s">
        <v>200</v>
      </c>
      <c r="BE1306" s="4" t="s">
        <v>200</v>
      </c>
      <c r="BF1306" s="8" t="s">
        <v>200</v>
      </c>
      <c r="BG1306" s="7" t="s">
        <v>200</v>
      </c>
      <c r="BH1306" s="7" t="s">
        <v>200</v>
      </c>
      <c r="BI1306" s="7"/>
      <c r="BJ1306" s="4"/>
      <c r="BK1306" s="8"/>
      <c r="BL1306" s="2" t="s">
        <v>200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210</v>
      </c>
      <c r="BV1306" s="2" t="s">
        <v>200</v>
      </c>
      <c r="BW1306" s="2" t="s">
        <v>200</v>
      </c>
      <c r="BX1306" s="2" t="s">
        <v>210</v>
      </c>
      <c r="BY1306" s="2" t="s">
        <v>211</v>
      </c>
      <c r="BZ1306" s="2" t="s">
        <v>212</v>
      </c>
      <c r="CA1306" s="2" t="s">
        <v>200</v>
      </c>
      <c r="CB1306" s="2" t="s">
        <v>200</v>
      </c>
      <c r="CC1306" s="2" t="s">
        <v>213</v>
      </c>
      <c r="CD1306" s="2" t="s">
        <v>200</v>
      </c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  <c r="DL1306" s="4"/>
      <c r="DM1306" s="4"/>
      <c r="DN1306" s="4"/>
      <c r="DO1306" s="4"/>
      <c r="DP1306" s="4"/>
      <c r="DQ1306" s="4"/>
      <c r="DR1306" s="4"/>
      <c r="DS1306" s="4"/>
      <c r="DT1306" s="4"/>
      <c r="DU1306" s="4"/>
      <c r="DV1306" s="4"/>
      <c r="DW1306" s="4"/>
      <c r="DX1306" s="4"/>
      <c r="DY1306" s="4"/>
      <c r="DZ1306" s="4"/>
      <c r="EA1306" s="4"/>
      <c r="EB1306" s="4"/>
      <c r="EC1306" s="4"/>
      <c r="ED1306" s="4"/>
      <c r="EE1306" s="4"/>
      <c r="EF1306" s="4"/>
      <c r="EG1306" s="4"/>
      <c r="EH1306" s="4"/>
      <c r="EI1306" s="4"/>
      <c r="EJ1306" s="4"/>
      <c r="EK1306" s="4"/>
      <c r="EL1306" s="4"/>
      <c r="EM1306" s="4"/>
      <c r="EN1306" s="4"/>
      <c r="EO1306" s="4"/>
      <c r="EP1306" s="4"/>
      <c r="EQ1306" s="4"/>
      <c r="ER1306" s="4"/>
      <c r="ES1306" s="4"/>
      <c r="ET1306" s="4"/>
      <c r="EU1306" s="4"/>
      <c r="EV1306" s="4"/>
      <c r="EW1306" s="4"/>
      <c r="EX1306" s="4"/>
      <c r="EY1306" s="4"/>
      <c r="EZ1306" s="4"/>
      <c r="FA1306" s="4"/>
      <c r="FB1306" s="4"/>
      <c r="FC1306" s="4"/>
      <c r="FD1306" s="4"/>
      <c r="FE1306" s="4"/>
      <c r="FF1306" s="4"/>
      <c r="FG1306" s="4"/>
      <c r="FH1306" s="4"/>
      <c r="FI1306" s="4"/>
      <c r="FJ1306" s="4"/>
      <c r="FK1306" s="4"/>
      <c r="FL1306" s="4"/>
      <c r="FM1306" s="4"/>
      <c r="FN1306" s="4"/>
      <c r="FO1306" s="4"/>
      <c r="FP1306" s="4"/>
      <c r="FQ1306" s="4"/>
      <c r="FR1306" s="4"/>
      <c r="FS1306" s="4"/>
      <c r="FT1306" s="4"/>
      <c r="FU1306" s="4"/>
      <c r="FV1306" s="4"/>
      <c r="FW1306" s="4"/>
      <c r="FX1306" s="4"/>
      <c r="FY1306" s="4"/>
      <c r="FZ1306" s="4"/>
      <c r="GA1306" s="4"/>
      <c r="GB1306" s="4">
        <v>368</v>
      </c>
      <c r="GC1306" s="4"/>
      <c r="GD1306" s="4"/>
      <c r="GE1306" s="4"/>
      <c r="GF1306" s="4"/>
      <c r="GG1306" s="4"/>
      <c r="GH1306" s="4"/>
    </row>
    <row r="1307">
      <c r="A1307" s="2" t="s">
        <v>7140</v>
      </c>
      <c r="B1307" s="2" t="s">
        <v>903</v>
      </c>
      <c r="C1307" s="2" t="s">
        <v>231</v>
      </c>
      <c r="D1307" s="2" t="s">
        <v>608</v>
      </c>
      <c r="E1307" s="2" t="s">
        <v>609</v>
      </c>
      <c r="F1307" s="2" t="s">
        <v>7136</v>
      </c>
      <c r="G1307" s="2" t="s">
        <v>1170</v>
      </c>
      <c r="H1307" s="2" t="s">
        <v>7137</v>
      </c>
      <c r="I1307" s="2" t="s">
        <v>7138</v>
      </c>
      <c r="J1307" s="2" t="s">
        <v>302</v>
      </c>
      <c r="K1307" s="2" t="s">
        <v>733</v>
      </c>
      <c r="L1307" s="3">
        <v>54.852571</v>
      </c>
      <c r="M1307" s="3">
        <v>57.59</v>
      </c>
      <c r="N1307" s="3">
        <v>119.99</v>
      </c>
      <c r="O1307" s="2" t="s">
        <v>212</v>
      </c>
      <c r="P1307" s="2" t="s">
        <v>675</v>
      </c>
      <c r="Q1307" s="2" t="s">
        <v>206</v>
      </c>
      <c r="R1307" s="2" t="s">
        <v>200</v>
      </c>
      <c r="S1307" s="2" t="s">
        <v>200</v>
      </c>
      <c r="T1307" s="2" t="s">
        <v>312</v>
      </c>
      <c r="U1307" s="2" t="s">
        <v>689</v>
      </c>
      <c r="V1307" s="2" t="s">
        <v>940</v>
      </c>
      <c r="W1307" s="2" t="s">
        <v>926</v>
      </c>
      <c r="X1307" s="2" t="s">
        <v>2691</v>
      </c>
      <c r="Y1307" s="2" t="s">
        <v>200</v>
      </c>
      <c r="Z1307" s="4"/>
      <c r="AA1307" s="4">
        <f>=ROUNDDOWN({0},0)</f>
      </c>
      <c r="AB1307" s="5"/>
      <c r="AC1307" s="2" t="s">
        <v>7139</v>
      </c>
      <c r="AD1307" s="4">
        <v>312</v>
      </c>
      <c r="AE1307" s="4">
        <v>312</v>
      </c>
      <c r="AF1307" s="6">
        <v>65</v>
      </c>
      <c r="AG1307" s="6"/>
      <c r="AH1307" s="7"/>
      <c r="AI1307" s="4"/>
      <c r="AJ1307" s="4">
        <f>=ROUNDDOWN({0},0)</f>
      </c>
      <c r="AK1307" s="5"/>
      <c r="AL1307" s="2" t="s">
        <v>200</v>
      </c>
      <c r="AM1307" s="4"/>
      <c r="AN1307" s="4"/>
      <c r="AO1307" s="7"/>
      <c r="AP1307" s="4"/>
      <c r="AQ1307" s="8"/>
      <c r="AR1307" s="4"/>
      <c r="AS1307" s="8"/>
      <c r="AT1307" s="7"/>
      <c r="AU1307" s="7"/>
      <c r="AV1307" s="4" t="s">
        <v>200</v>
      </c>
      <c r="AW1307" s="8" t="s">
        <v>200</v>
      </c>
      <c r="AX1307" s="4" t="s">
        <v>200</v>
      </c>
      <c r="AY1307" s="8" t="s">
        <v>200</v>
      </c>
      <c r="AZ1307" s="7" t="s">
        <v>200</v>
      </c>
      <c r="BA1307" s="7" t="s">
        <v>200</v>
      </c>
      <c r="BB1307" s="7"/>
      <c r="BC1307" s="4" t="s">
        <v>200</v>
      </c>
      <c r="BD1307" s="8" t="s">
        <v>200</v>
      </c>
      <c r="BE1307" s="4" t="s">
        <v>200</v>
      </c>
      <c r="BF1307" s="8" t="s">
        <v>200</v>
      </c>
      <c r="BG1307" s="7" t="s">
        <v>200</v>
      </c>
      <c r="BH1307" s="7" t="s">
        <v>200</v>
      </c>
      <c r="BI1307" s="7"/>
      <c r="BJ1307" s="4"/>
      <c r="BK1307" s="8"/>
      <c r="BL1307" s="2" t="s">
        <v>200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210</v>
      </c>
      <c r="BV1307" s="2" t="s">
        <v>200</v>
      </c>
      <c r="BW1307" s="2" t="s">
        <v>200</v>
      </c>
      <c r="BX1307" s="2" t="s">
        <v>210</v>
      </c>
      <c r="BY1307" s="2" t="s">
        <v>211</v>
      </c>
      <c r="BZ1307" s="2" t="s">
        <v>212</v>
      </c>
      <c r="CA1307" s="2" t="s">
        <v>200</v>
      </c>
      <c r="CB1307" s="2" t="s">
        <v>200</v>
      </c>
      <c r="CC1307" s="2" t="s">
        <v>213</v>
      </c>
      <c r="CD1307" s="2" t="s">
        <v>200</v>
      </c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E1307" s="4"/>
      <c r="DF1307" s="4"/>
      <c r="DG1307" s="4"/>
      <c r="DH1307" s="4"/>
      <c r="DI1307" s="4"/>
      <c r="DJ1307" s="4"/>
      <c r="DK1307" s="4"/>
      <c r="DL1307" s="4"/>
      <c r="DM1307" s="4"/>
      <c r="DN1307" s="4"/>
      <c r="DO1307" s="4"/>
      <c r="DP1307" s="4"/>
      <c r="DQ1307" s="4"/>
      <c r="DR1307" s="4"/>
      <c r="DS1307" s="4"/>
      <c r="DT1307" s="4"/>
      <c r="DU1307" s="4"/>
      <c r="DV1307" s="4"/>
      <c r="DW1307" s="4"/>
      <c r="DX1307" s="4"/>
      <c r="DY1307" s="4"/>
      <c r="DZ1307" s="4"/>
      <c r="EA1307" s="4"/>
      <c r="EB1307" s="4"/>
      <c r="EC1307" s="4"/>
      <c r="ED1307" s="4"/>
      <c r="EE1307" s="4"/>
      <c r="EF1307" s="4"/>
      <c r="EG1307" s="4"/>
      <c r="EH1307" s="4"/>
      <c r="EI1307" s="4"/>
      <c r="EJ1307" s="4"/>
      <c r="EK1307" s="4"/>
      <c r="EL1307" s="4"/>
      <c r="EM1307" s="4"/>
      <c r="EN1307" s="4"/>
      <c r="EO1307" s="4"/>
      <c r="EP1307" s="4"/>
      <c r="EQ1307" s="4"/>
      <c r="ER1307" s="4"/>
      <c r="ES1307" s="4"/>
      <c r="ET1307" s="4"/>
      <c r="EU1307" s="4"/>
      <c r="EV1307" s="4"/>
      <c r="EW1307" s="4"/>
      <c r="EX1307" s="4"/>
      <c r="EY1307" s="4"/>
      <c r="EZ1307" s="4"/>
      <c r="FA1307" s="4"/>
      <c r="FB1307" s="4"/>
      <c r="FC1307" s="4"/>
      <c r="FD1307" s="4"/>
      <c r="FE1307" s="4"/>
      <c r="FF1307" s="4"/>
      <c r="FG1307" s="4"/>
      <c r="FH1307" s="4"/>
      <c r="FI1307" s="4"/>
      <c r="FJ1307" s="4"/>
      <c r="FK1307" s="4"/>
      <c r="FL1307" s="4"/>
      <c r="FM1307" s="4"/>
      <c r="FN1307" s="4"/>
      <c r="FO1307" s="4"/>
      <c r="FP1307" s="4"/>
      <c r="FQ1307" s="4"/>
      <c r="FR1307" s="4"/>
      <c r="FS1307" s="4"/>
      <c r="FT1307" s="4"/>
      <c r="FU1307" s="4"/>
      <c r="FV1307" s="4"/>
      <c r="FW1307" s="4"/>
      <c r="FX1307" s="4"/>
      <c r="FY1307" s="4"/>
      <c r="FZ1307" s="4"/>
      <c r="GA1307" s="4"/>
      <c r="GB1307" s="4">
        <v>312</v>
      </c>
      <c r="GC1307" s="4"/>
      <c r="GD1307" s="4"/>
      <c r="GE1307" s="4"/>
      <c r="GF1307" s="4"/>
      <c r="GG1307" s="4"/>
      <c r="GH1307" s="4"/>
    </row>
    <row r="1308">
      <c r="A1308" s="2" t="s">
        <v>7141</v>
      </c>
      <c r="B1308" s="2" t="s">
        <v>903</v>
      </c>
      <c r="C1308" s="2" t="s">
        <v>231</v>
      </c>
      <c r="D1308" s="2" t="s">
        <v>608</v>
      </c>
      <c r="E1308" s="2" t="s">
        <v>609</v>
      </c>
      <c r="F1308" s="2" t="s">
        <v>7136</v>
      </c>
      <c r="G1308" s="2" t="s">
        <v>1170</v>
      </c>
      <c r="H1308" s="2" t="s">
        <v>7137</v>
      </c>
      <c r="I1308" s="2" t="s">
        <v>7138</v>
      </c>
      <c r="J1308" s="2" t="s">
        <v>236</v>
      </c>
      <c r="K1308" s="2" t="s">
        <v>733</v>
      </c>
      <c r="L1308" s="3">
        <v>54.852571</v>
      </c>
      <c r="M1308" s="3">
        <v>57.59</v>
      </c>
      <c r="N1308" s="3">
        <v>119.99</v>
      </c>
      <c r="O1308" s="2" t="s">
        <v>212</v>
      </c>
      <c r="P1308" s="2" t="s">
        <v>675</v>
      </c>
      <c r="Q1308" s="2" t="s">
        <v>206</v>
      </c>
      <c r="R1308" s="2" t="s">
        <v>200</v>
      </c>
      <c r="S1308" s="2" t="s">
        <v>200</v>
      </c>
      <c r="T1308" s="2" t="s">
        <v>312</v>
      </c>
      <c r="U1308" s="2" t="s">
        <v>689</v>
      </c>
      <c r="V1308" s="2" t="s">
        <v>940</v>
      </c>
      <c r="W1308" s="2" t="s">
        <v>926</v>
      </c>
      <c r="X1308" s="2" t="s">
        <v>2691</v>
      </c>
      <c r="Y1308" s="2" t="s">
        <v>200</v>
      </c>
      <c r="Z1308" s="4"/>
      <c r="AA1308" s="4">
        <f>=ROUNDDOWN({0},0)</f>
      </c>
      <c r="AB1308" s="5"/>
      <c r="AC1308" s="2" t="s">
        <v>7139</v>
      </c>
      <c r="AD1308" s="4">
        <v>120</v>
      </c>
      <c r="AE1308" s="4">
        <v>120</v>
      </c>
      <c r="AF1308" s="6">
        <v>65</v>
      </c>
      <c r="AG1308" s="6"/>
      <c r="AH1308" s="7"/>
      <c r="AI1308" s="4"/>
      <c r="AJ1308" s="4">
        <f>=ROUNDDOWN({0},0)</f>
      </c>
      <c r="AK1308" s="5"/>
      <c r="AL1308" s="2" t="s">
        <v>200</v>
      </c>
      <c r="AM1308" s="4"/>
      <c r="AN1308" s="4"/>
      <c r="AO1308" s="7"/>
      <c r="AP1308" s="4"/>
      <c r="AQ1308" s="8"/>
      <c r="AR1308" s="4"/>
      <c r="AS1308" s="8"/>
      <c r="AT1308" s="7"/>
      <c r="AU1308" s="7"/>
      <c r="AV1308" s="4" t="s">
        <v>200</v>
      </c>
      <c r="AW1308" s="8" t="s">
        <v>200</v>
      </c>
      <c r="AX1308" s="4" t="s">
        <v>200</v>
      </c>
      <c r="AY1308" s="8" t="s">
        <v>200</v>
      </c>
      <c r="AZ1308" s="7" t="s">
        <v>200</v>
      </c>
      <c r="BA1308" s="7" t="s">
        <v>200</v>
      </c>
      <c r="BB1308" s="7"/>
      <c r="BC1308" s="4" t="s">
        <v>200</v>
      </c>
      <c r="BD1308" s="8" t="s">
        <v>200</v>
      </c>
      <c r="BE1308" s="4" t="s">
        <v>200</v>
      </c>
      <c r="BF1308" s="8" t="s">
        <v>200</v>
      </c>
      <c r="BG1308" s="7" t="s">
        <v>200</v>
      </c>
      <c r="BH1308" s="7" t="s">
        <v>200</v>
      </c>
      <c r="BI1308" s="7"/>
      <c r="BJ1308" s="4"/>
      <c r="BK1308" s="8"/>
      <c r="BL1308" s="2" t="s">
        <v>200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210</v>
      </c>
      <c r="BV1308" s="2" t="s">
        <v>200</v>
      </c>
      <c r="BW1308" s="2" t="s">
        <v>200</v>
      </c>
      <c r="BX1308" s="2" t="s">
        <v>210</v>
      </c>
      <c r="BY1308" s="2" t="s">
        <v>211</v>
      </c>
      <c r="BZ1308" s="2" t="s">
        <v>212</v>
      </c>
      <c r="CA1308" s="2" t="s">
        <v>200</v>
      </c>
      <c r="CB1308" s="2" t="s">
        <v>200</v>
      </c>
      <c r="CC1308" s="2" t="s">
        <v>213</v>
      </c>
      <c r="CD1308" s="2" t="s">
        <v>200</v>
      </c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E1308" s="4"/>
      <c r="DF1308" s="4"/>
      <c r="DG1308" s="4"/>
      <c r="DH1308" s="4"/>
      <c r="DI1308" s="4"/>
      <c r="DJ1308" s="4"/>
      <c r="DK1308" s="4"/>
      <c r="DL1308" s="4"/>
      <c r="DM1308" s="4"/>
      <c r="DN1308" s="4"/>
      <c r="DO1308" s="4"/>
      <c r="DP1308" s="4"/>
      <c r="DQ1308" s="4"/>
      <c r="DR1308" s="4"/>
      <c r="DS1308" s="4"/>
      <c r="DT1308" s="4"/>
      <c r="DU1308" s="4"/>
      <c r="DV1308" s="4"/>
      <c r="DW1308" s="4"/>
      <c r="DX1308" s="4"/>
      <c r="DY1308" s="4"/>
      <c r="DZ1308" s="4"/>
      <c r="EA1308" s="4"/>
      <c r="EB1308" s="4"/>
      <c r="EC1308" s="4"/>
      <c r="ED1308" s="4"/>
      <c r="EE1308" s="4"/>
      <c r="EF1308" s="4"/>
      <c r="EG1308" s="4"/>
      <c r="EH1308" s="4"/>
      <c r="EI1308" s="4"/>
      <c r="EJ1308" s="4"/>
      <c r="EK1308" s="4"/>
      <c r="EL1308" s="4"/>
      <c r="EM1308" s="4"/>
      <c r="EN1308" s="4"/>
      <c r="EO1308" s="4"/>
      <c r="EP1308" s="4"/>
      <c r="EQ1308" s="4"/>
      <c r="ER1308" s="4"/>
      <c r="ES1308" s="4"/>
      <c r="ET1308" s="4"/>
      <c r="EU1308" s="4"/>
      <c r="EV1308" s="4"/>
      <c r="EW1308" s="4"/>
      <c r="EX1308" s="4"/>
      <c r="EY1308" s="4"/>
      <c r="EZ1308" s="4"/>
      <c r="FA1308" s="4"/>
      <c r="FB1308" s="4"/>
      <c r="FC1308" s="4"/>
      <c r="FD1308" s="4"/>
      <c r="FE1308" s="4"/>
      <c r="FF1308" s="4"/>
      <c r="FG1308" s="4"/>
      <c r="FH1308" s="4"/>
      <c r="FI1308" s="4"/>
      <c r="FJ1308" s="4"/>
      <c r="FK1308" s="4"/>
      <c r="FL1308" s="4"/>
      <c r="FM1308" s="4"/>
      <c r="FN1308" s="4"/>
      <c r="FO1308" s="4"/>
      <c r="FP1308" s="4"/>
      <c r="FQ1308" s="4"/>
      <c r="FR1308" s="4"/>
      <c r="FS1308" s="4"/>
      <c r="FT1308" s="4"/>
      <c r="FU1308" s="4"/>
      <c r="FV1308" s="4"/>
      <c r="FW1308" s="4"/>
      <c r="FX1308" s="4"/>
      <c r="FY1308" s="4"/>
      <c r="FZ1308" s="4"/>
      <c r="GA1308" s="4"/>
      <c r="GB1308" s="4">
        <v>120</v>
      </c>
      <c r="GC1308" s="4"/>
      <c r="GD1308" s="4"/>
      <c r="GE1308" s="4"/>
      <c r="GF1308" s="4"/>
      <c r="GG1308" s="4"/>
      <c r="GH1308" s="4"/>
    </row>
    <row r="1309">
      <c r="A1309" s="2" t="s">
        <v>7142</v>
      </c>
      <c r="B1309" s="2" t="s">
        <v>705</v>
      </c>
      <c r="C1309" s="2" t="s">
        <v>706</v>
      </c>
      <c r="D1309" s="2" t="s">
        <v>707</v>
      </c>
      <c r="E1309" s="2" t="s">
        <v>708</v>
      </c>
      <c r="F1309" s="2" t="s">
        <v>7143</v>
      </c>
      <c r="G1309" s="2" t="s">
        <v>7143</v>
      </c>
      <c r="H1309" s="2" t="s">
        <v>7143</v>
      </c>
      <c r="I1309" s="2" t="s">
        <v>7144</v>
      </c>
      <c r="J1309" s="2" t="s">
        <v>711</v>
      </c>
      <c r="K1309" s="2" t="s">
        <v>2500</v>
      </c>
      <c r="L1309" s="3">
        <v>180</v>
      </c>
      <c r="M1309" s="3">
        <v>189</v>
      </c>
      <c r="N1309" s="3">
        <v>379.99</v>
      </c>
      <c r="O1309" s="2" t="s">
        <v>212</v>
      </c>
      <c r="P1309" s="2" t="s">
        <v>205</v>
      </c>
      <c r="Q1309" s="2" t="s">
        <v>206</v>
      </c>
      <c r="R1309" s="2" t="s">
        <v>200</v>
      </c>
      <c r="S1309" s="2" t="s">
        <v>200</v>
      </c>
      <c r="T1309" s="2" t="s">
        <v>200</v>
      </c>
      <c r="U1309" s="2" t="s">
        <v>270</v>
      </c>
      <c r="V1309" s="2" t="s">
        <v>616</v>
      </c>
      <c r="W1309" s="2" t="s">
        <v>379</v>
      </c>
      <c r="X1309" s="2" t="s">
        <v>419</v>
      </c>
      <c r="Y1309" s="2" t="s">
        <v>3625</v>
      </c>
      <c r="Z1309" s="4">
        <v>116</v>
      </c>
      <c r="AA1309" s="4">
        <f>=ROUNDDOWN(165.714285714286,0)</f>
      </c>
      <c r="AB1309" s="5">
        <v>0.7</v>
      </c>
      <c r="AC1309" s="2" t="s">
        <v>200</v>
      </c>
      <c r="AD1309" s="4"/>
      <c r="AE1309" s="4"/>
      <c r="AF1309" s="6">
        <v>72</v>
      </c>
      <c r="AG1309" s="6"/>
      <c r="AH1309" s="7">
        <v>1</v>
      </c>
      <c r="AI1309" s="4"/>
      <c r="AJ1309" s="4">
        <f>=ROUNDDOWN({0},0)</f>
      </c>
      <c r="AK1309" s="5"/>
      <c r="AL1309" s="2" t="s">
        <v>200</v>
      </c>
      <c r="AM1309" s="4"/>
      <c r="AN1309" s="4"/>
      <c r="AO1309" s="7"/>
      <c r="AP1309" s="4"/>
      <c r="AQ1309" s="8"/>
      <c r="AR1309" s="4"/>
      <c r="AS1309" s="8"/>
      <c r="AT1309" s="7"/>
      <c r="AU1309" s="7"/>
      <c r="AV1309" s="4"/>
      <c r="AW1309" s="8"/>
      <c r="AX1309" s="4"/>
      <c r="AY1309" s="8"/>
      <c r="AZ1309" s="7"/>
      <c r="BA1309" s="7"/>
      <c r="BB1309" s="7"/>
      <c r="BC1309" s="4"/>
      <c r="BD1309" s="8"/>
      <c r="BE1309" s="4"/>
      <c r="BF1309" s="8"/>
      <c r="BG1309" s="7"/>
      <c r="BH1309" s="7"/>
      <c r="BI1309" s="7"/>
      <c r="BJ1309" s="4">
        <v>1</v>
      </c>
      <c r="BK1309" s="8">
        <v>211.68</v>
      </c>
      <c r="BL1309" s="2" t="s">
        <v>1292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7145</v>
      </c>
      <c r="BV1309" s="2" t="s">
        <v>200</v>
      </c>
      <c r="BW1309" s="2" t="s">
        <v>200</v>
      </c>
      <c r="BX1309" s="2" t="s">
        <v>264</v>
      </c>
      <c r="BY1309" s="2" t="s">
        <v>247</v>
      </c>
      <c r="BZ1309" s="2" t="s">
        <v>212</v>
      </c>
      <c r="CA1309" s="2" t="s">
        <v>3864</v>
      </c>
      <c r="CB1309" s="2" t="s">
        <v>200</v>
      </c>
      <c r="CC1309" s="2" t="s">
        <v>213</v>
      </c>
      <c r="CD1309" s="2" t="s">
        <v>200</v>
      </c>
      <c r="CE1309" s="4"/>
      <c r="CF1309" s="4">
        <v>116</v>
      </c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  <c r="DE1309" s="4"/>
      <c r="DF1309" s="4"/>
      <c r="DG1309" s="4"/>
      <c r="DH1309" s="4"/>
      <c r="DI1309" s="4"/>
      <c r="DJ1309" s="4"/>
      <c r="DK1309" s="4"/>
      <c r="DL1309" s="4"/>
      <c r="DM1309" s="4"/>
      <c r="DN1309" s="4"/>
      <c r="DO1309" s="4"/>
      <c r="DP1309" s="4"/>
      <c r="DQ1309" s="4"/>
      <c r="DR1309" s="4"/>
      <c r="DS1309" s="4"/>
      <c r="DT1309" s="4"/>
      <c r="DU1309" s="4"/>
      <c r="DV1309" s="4"/>
      <c r="DW1309" s="4"/>
      <c r="DX1309" s="4"/>
      <c r="DY1309" s="4"/>
      <c r="DZ1309" s="4"/>
      <c r="EA1309" s="4"/>
      <c r="EB1309" s="4"/>
      <c r="EC1309" s="4"/>
      <c r="ED1309" s="4"/>
      <c r="EE1309" s="4"/>
      <c r="EF1309" s="4"/>
      <c r="EG1309" s="4"/>
      <c r="EH1309" s="4"/>
      <c r="EI1309" s="4"/>
      <c r="EJ1309" s="4"/>
      <c r="EK1309" s="4"/>
      <c r="EL1309" s="4"/>
      <c r="EM1309" s="4"/>
      <c r="EN1309" s="4"/>
      <c r="EO1309" s="4"/>
      <c r="EP1309" s="4"/>
      <c r="EQ1309" s="4"/>
      <c r="ER1309" s="4"/>
      <c r="ES1309" s="4"/>
      <c r="ET1309" s="4"/>
      <c r="EU1309" s="4"/>
      <c r="EV1309" s="4"/>
      <c r="EW1309" s="4"/>
      <c r="EX1309" s="4"/>
      <c r="EY1309" s="4"/>
      <c r="EZ1309" s="4"/>
      <c r="FA1309" s="4"/>
      <c r="FB1309" s="4"/>
      <c r="FC1309" s="4"/>
      <c r="FD1309" s="4"/>
      <c r="FE1309" s="4"/>
      <c r="FF1309" s="4"/>
      <c r="FG1309" s="4"/>
      <c r="FH1309" s="4"/>
      <c r="FI1309" s="4"/>
      <c r="FJ1309" s="4"/>
      <c r="FK1309" s="4"/>
      <c r="FL1309" s="4"/>
      <c r="FM1309" s="4"/>
      <c r="FN1309" s="4"/>
      <c r="FO1309" s="4"/>
      <c r="FP1309" s="4"/>
      <c r="FQ1309" s="4"/>
      <c r="FR1309" s="4"/>
      <c r="FS1309" s="4"/>
      <c r="FT1309" s="4"/>
      <c r="FU1309" s="4"/>
      <c r="FV1309" s="4"/>
      <c r="FW1309" s="4"/>
      <c r="FX1309" s="4"/>
      <c r="FY1309" s="4"/>
      <c r="FZ1309" s="4"/>
      <c r="GA1309" s="4"/>
      <c r="GB1309" s="4"/>
      <c r="GC1309" s="4"/>
      <c r="GD1309" s="4"/>
      <c r="GE1309" s="4"/>
      <c r="GF1309" s="4"/>
      <c r="GG1309" s="4"/>
      <c r="GH1309" s="4"/>
    </row>
    <row r="1310">
      <c r="A1310" s="2" t="s">
        <v>7146</v>
      </c>
      <c r="B1310" s="2" t="s">
        <v>903</v>
      </c>
      <c r="C1310" s="2" t="s">
        <v>2878</v>
      </c>
      <c r="D1310" s="2" t="s">
        <v>1524</v>
      </c>
      <c r="E1310" s="2" t="s">
        <v>1525</v>
      </c>
      <c r="F1310" s="2" t="s">
        <v>7147</v>
      </c>
      <c r="G1310" s="2" t="s">
        <v>7147</v>
      </c>
      <c r="H1310" s="2" t="s">
        <v>7147</v>
      </c>
      <c r="I1310" s="2" t="s">
        <v>7148</v>
      </c>
      <c r="J1310" s="2" t="s">
        <v>2547</v>
      </c>
      <c r="K1310" s="2" t="s">
        <v>221</v>
      </c>
      <c r="L1310" s="3">
        <v>18</v>
      </c>
      <c r="M1310" s="3">
        <v>18.9</v>
      </c>
      <c r="N1310" s="3">
        <v>39.99</v>
      </c>
      <c r="O1310" s="2" t="s">
        <v>417</v>
      </c>
      <c r="P1310" s="2" t="s">
        <v>285</v>
      </c>
      <c r="Q1310" s="2" t="s">
        <v>206</v>
      </c>
      <c r="R1310" s="2" t="s">
        <v>200</v>
      </c>
      <c r="S1310" s="2" t="s">
        <v>7149</v>
      </c>
      <c r="T1310" s="2" t="s">
        <v>200</v>
      </c>
      <c r="U1310" s="2" t="s">
        <v>270</v>
      </c>
      <c r="V1310" s="2" t="s">
        <v>208</v>
      </c>
      <c r="W1310" s="2" t="s">
        <v>379</v>
      </c>
      <c r="X1310" s="2" t="s">
        <v>7150</v>
      </c>
      <c r="Y1310" s="2" t="s">
        <v>1778</v>
      </c>
      <c r="Z1310" s="4">
        <v>26</v>
      </c>
      <c r="AA1310" s="4">
        <f>=ROUNDDOWN({0},0)</f>
      </c>
      <c r="AB1310" s="5"/>
      <c r="AC1310" s="2" t="s">
        <v>200</v>
      </c>
      <c r="AD1310" s="4"/>
      <c r="AE1310" s="4"/>
      <c r="AF1310" s="6">
        <v>65</v>
      </c>
      <c r="AG1310" s="6"/>
      <c r="AH1310" s="7">
        <v>1</v>
      </c>
      <c r="AI1310" s="4"/>
      <c r="AJ1310" s="4">
        <f>=ROUNDDOWN({0},0)</f>
      </c>
      <c r="AK1310" s="5"/>
      <c r="AL1310" s="2" t="s">
        <v>200</v>
      </c>
      <c r="AM1310" s="4"/>
      <c r="AN1310" s="4"/>
      <c r="AO1310" s="7"/>
      <c r="AP1310" s="4"/>
      <c r="AQ1310" s="8"/>
      <c r="AR1310" s="4"/>
      <c r="AS1310" s="8"/>
      <c r="AT1310" s="7"/>
      <c r="AU1310" s="7"/>
      <c r="AV1310" s="4"/>
      <c r="AW1310" s="8"/>
      <c r="AX1310" s="4"/>
      <c r="AY1310" s="8"/>
      <c r="AZ1310" s="7"/>
      <c r="BA1310" s="7"/>
      <c r="BB1310" s="7"/>
      <c r="BC1310" s="4"/>
      <c r="BD1310" s="8"/>
      <c r="BE1310" s="4"/>
      <c r="BF1310" s="8"/>
      <c r="BG1310" s="7"/>
      <c r="BH1310" s="7"/>
      <c r="BI1310" s="7"/>
      <c r="BJ1310" s="4"/>
      <c r="BK1310" s="8"/>
      <c r="BL1310" s="2" t="s">
        <v>200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7151</v>
      </c>
      <c r="BV1310" s="2" t="s">
        <v>200</v>
      </c>
      <c r="BW1310" s="2" t="s">
        <v>200</v>
      </c>
      <c r="BX1310" s="2" t="s">
        <v>289</v>
      </c>
      <c r="BY1310" s="2" t="s">
        <v>247</v>
      </c>
      <c r="BZ1310" s="2" t="s">
        <v>212</v>
      </c>
      <c r="CA1310" s="2" t="s">
        <v>7152</v>
      </c>
      <c r="CB1310" s="2" t="s">
        <v>1940</v>
      </c>
      <c r="CC1310" s="2" t="s">
        <v>213</v>
      </c>
      <c r="CD1310" s="2" t="s">
        <v>200</v>
      </c>
      <c r="CE1310" s="4">
        <v>26</v>
      </c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  <c r="DE1310" s="4"/>
      <c r="DF1310" s="4"/>
      <c r="DG1310" s="4"/>
      <c r="DH1310" s="4"/>
      <c r="DI1310" s="4"/>
      <c r="DJ1310" s="4"/>
      <c r="DK1310" s="4"/>
      <c r="DL1310" s="4"/>
      <c r="DM1310" s="4"/>
      <c r="DN1310" s="4"/>
      <c r="DO1310" s="4"/>
      <c r="DP1310" s="4"/>
      <c r="DQ1310" s="4"/>
      <c r="DR1310" s="4"/>
      <c r="DS1310" s="4"/>
      <c r="DT1310" s="4"/>
      <c r="DU1310" s="4"/>
      <c r="DV1310" s="4"/>
      <c r="DW1310" s="4"/>
      <c r="DX1310" s="4"/>
      <c r="DY1310" s="4"/>
      <c r="DZ1310" s="4"/>
      <c r="EA1310" s="4"/>
      <c r="EB1310" s="4"/>
      <c r="EC1310" s="4"/>
      <c r="ED1310" s="4"/>
      <c r="EE1310" s="4"/>
      <c r="EF1310" s="4"/>
      <c r="EG1310" s="4"/>
      <c r="EH1310" s="4"/>
      <c r="EI1310" s="4"/>
      <c r="EJ1310" s="4"/>
      <c r="EK1310" s="4"/>
      <c r="EL1310" s="4"/>
      <c r="EM1310" s="4"/>
      <c r="EN1310" s="4"/>
      <c r="EO1310" s="4"/>
      <c r="EP1310" s="4"/>
      <c r="EQ1310" s="4"/>
      <c r="ER1310" s="4"/>
      <c r="ES1310" s="4"/>
      <c r="ET1310" s="4"/>
      <c r="EU1310" s="4"/>
      <c r="EV1310" s="4"/>
      <c r="EW1310" s="4"/>
      <c r="EX1310" s="4"/>
      <c r="EY1310" s="4"/>
      <c r="EZ1310" s="4"/>
      <c r="FA1310" s="4"/>
      <c r="FB1310" s="4"/>
      <c r="FC1310" s="4"/>
      <c r="FD1310" s="4"/>
      <c r="FE1310" s="4"/>
      <c r="FF1310" s="4"/>
      <c r="FG1310" s="4"/>
      <c r="FH1310" s="4"/>
      <c r="FI1310" s="4"/>
      <c r="FJ1310" s="4"/>
      <c r="FK1310" s="4"/>
      <c r="FL1310" s="4"/>
      <c r="FM1310" s="4"/>
      <c r="FN1310" s="4"/>
      <c r="FO1310" s="4"/>
      <c r="FP1310" s="4"/>
      <c r="FQ1310" s="4"/>
      <c r="FR1310" s="4"/>
      <c r="FS1310" s="4"/>
      <c r="FT1310" s="4"/>
      <c r="FU1310" s="4"/>
      <c r="FV1310" s="4"/>
      <c r="FW1310" s="4"/>
      <c r="FX1310" s="4"/>
      <c r="FY1310" s="4"/>
      <c r="FZ1310" s="4"/>
      <c r="GA1310" s="4"/>
      <c r="GB1310" s="4"/>
      <c r="GC1310" s="4"/>
      <c r="GD1310" s="4"/>
      <c r="GE1310" s="4"/>
      <c r="GF1310" s="4"/>
      <c r="GG1310" s="4"/>
      <c r="GH1310" s="4"/>
    </row>
    <row r="1311">
      <c r="A1311" s="2" t="s">
        <v>7153</v>
      </c>
      <c r="B1311" s="2" t="s">
        <v>705</v>
      </c>
      <c r="C1311" s="2" t="s">
        <v>745</v>
      </c>
      <c r="D1311" s="2" t="s">
        <v>808</v>
      </c>
      <c r="E1311" s="2" t="s">
        <v>809</v>
      </c>
      <c r="F1311" s="2" t="s">
        <v>7154</v>
      </c>
      <c r="G1311" s="2" t="s">
        <v>7154</v>
      </c>
      <c r="H1311" s="2" t="s">
        <v>7154</v>
      </c>
      <c r="I1311" s="2" t="s">
        <v>7155</v>
      </c>
      <c r="J1311" s="2" t="s">
        <v>711</v>
      </c>
      <c r="K1311" s="2" t="s">
        <v>7156</v>
      </c>
      <c r="L1311" s="3">
        <v>24.8</v>
      </c>
      <c r="M1311" s="3">
        <v>26.04</v>
      </c>
      <c r="N1311" s="3">
        <v>49.99</v>
      </c>
      <c r="O1311" s="2" t="s">
        <v>460</v>
      </c>
      <c r="P1311" s="2" t="s">
        <v>285</v>
      </c>
      <c r="Q1311" s="2" t="s">
        <v>206</v>
      </c>
      <c r="R1311" s="2" t="s">
        <v>200</v>
      </c>
      <c r="S1311" s="2" t="s">
        <v>200</v>
      </c>
      <c r="T1311" s="2" t="s">
        <v>200</v>
      </c>
      <c r="U1311" s="2" t="s">
        <v>270</v>
      </c>
      <c r="V1311" s="2" t="s">
        <v>616</v>
      </c>
      <c r="W1311" s="2" t="s">
        <v>379</v>
      </c>
      <c r="X1311" s="2" t="s">
        <v>1308</v>
      </c>
      <c r="Y1311" s="2" t="s">
        <v>1215</v>
      </c>
      <c r="Z1311" s="4">
        <v>82</v>
      </c>
      <c r="AA1311" s="4">
        <f>=ROUNDDOWN({0},0)</f>
      </c>
      <c r="AB1311" s="5"/>
      <c r="AC1311" s="2" t="s">
        <v>200</v>
      </c>
      <c r="AD1311" s="4"/>
      <c r="AE1311" s="4"/>
      <c r="AF1311" s="6">
        <v>63</v>
      </c>
      <c r="AG1311" s="6"/>
      <c r="AH1311" s="7">
        <v>1</v>
      </c>
      <c r="AI1311" s="4"/>
      <c r="AJ1311" s="4">
        <f>=ROUNDDOWN({0},0)</f>
      </c>
      <c r="AK1311" s="5"/>
      <c r="AL1311" s="2" t="s">
        <v>200</v>
      </c>
      <c r="AM1311" s="4"/>
      <c r="AN1311" s="4"/>
      <c r="AO1311" s="7"/>
      <c r="AP1311" s="4"/>
      <c r="AQ1311" s="8"/>
      <c r="AR1311" s="4"/>
      <c r="AS1311" s="8"/>
      <c r="AT1311" s="7"/>
      <c r="AU1311" s="7"/>
      <c r="AV1311" s="4"/>
      <c r="AW1311" s="8"/>
      <c r="AX1311" s="4"/>
      <c r="AY1311" s="8"/>
      <c r="AZ1311" s="7"/>
      <c r="BA1311" s="7"/>
      <c r="BB1311" s="7"/>
      <c r="BC1311" s="4"/>
      <c r="BD1311" s="8"/>
      <c r="BE1311" s="4"/>
      <c r="BF1311" s="8"/>
      <c r="BG1311" s="7"/>
      <c r="BH1311" s="7"/>
      <c r="BI1311" s="7"/>
      <c r="BJ1311" s="4">
        <v>2</v>
      </c>
      <c r="BK1311" s="8">
        <v>136.72</v>
      </c>
      <c r="BL1311" s="2" t="s">
        <v>1618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7157</v>
      </c>
      <c r="BV1311" s="2" t="s">
        <v>200</v>
      </c>
      <c r="BW1311" s="2" t="s">
        <v>200</v>
      </c>
      <c r="BX1311" s="2" t="s">
        <v>289</v>
      </c>
      <c r="BY1311" s="2" t="s">
        <v>247</v>
      </c>
      <c r="BZ1311" s="2" t="s">
        <v>212</v>
      </c>
      <c r="CA1311" s="2" t="s">
        <v>1310</v>
      </c>
      <c r="CB1311" s="2" t="s">
        <v>6729</v>
      </c>
      <c r="CC1311" s="2" t="s">
        <v>213</v>
      </c>
      <c r="CD1311" s="2" t="s">
        <v>200</v>
      </c>
      <c r="CE1311" s="4"/>
      <c r="CF1311" s="4">
        <v>82</v>
      </c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E1311" s="4"/>
      <c r="DF1311" s="4"/>
      <c r="DG1311" s="4"/>
      <c r="DH1311" s="4"/>
      <c r="DI1311" s="4"/>
      <c r="DJ1311" s="4"/>
      <c r="DK1311" s="4"/>
      <c r="DL1311" s="4"/>
      <c r="DM1311" s="4"/>
      <c r="DN1311" s="4"/>
      <c r="DO1311" s="4"/>
      <c r="DP1311" s="4"/>
      <c r="DQ1311" s="4"/>
      <c r="DR1311" s="4"/>
      <c r="DS1311" s="4"/>
      <c r="DT1311" s="4"/>
      <c r="DU1311" s="4"/>
      <c r="DV1311" s="4"/>
      <c r="DW1311" s="4"/>
      <c r="DX1311" s="4"/>
      <c r="DY1311" s="4"/>
      <c r="DZ1311" s="4"/>
      <c r="EA1311" s="4"/>
      <c r="EB1311" s="4"/>
      <c r="EC1311" s="4"/>
      <c r="ED1311" s="4"/>
      <c r="EE1311" s="4"/>
      <c r="EF1311" s="4"/>
      <c r="EG1311" s="4"/>
      <c r="EH1311" s="4"/>
      <c r="EI1311" s="4"/>
      <c r="EJ1311" s="4"/>
      <c r="EK1311" s="4"/>
      <c r="EL1311" s="4"/>
      <c r="EM1311" s="4"/>
      <c r="EN1311" s="4"/>
      <c r="EO1311" s="4"/>
      <c r="EP1311" s="4"/>
      <c r="EQ1311" s="4"/>
      <c r="ER1311" s="4"/>
      <c r="ES1311" s="4"/>
      <c r="ET1311" s="4"/>
      <c r="EU1311" s="4"/>
      <c r="EV1311" s="4"/>
      <c r="EW1311" s="4"/>
      <c r="EX1311" s="4"/>
      <c r="EY1311" s="4"/>
      <c r="EZ1311" s="4"/>
      <c r="FA1311" s="4"/>
      <c r="FB1311" s="4"/>
      <c r="FC1311" s="4"/>
      <c r="FD1311" s="4"/>
      <c r="FE1311" s="4"/>
      <c r="FF1311" s="4"/>
      <c r="FG1311" s="4"/>
      <c r="FH1311" s="4"/>
      <c r="FI1311" s="4"/>
      <c r="FJ1311" s="4"/>
      <c r="FK1311" s="4"/>
      <c r="FL1311" s="4"/>
      <c r="FM1311" s="4"/>
      <c r="FN1311" s="4"/>
      <c r="FO1311" s="4"/>
      <c r="FP1311" s="4"/>
      <c r="FQ1311" s="4"/>
      <c r="FR1311" s="4"/>
      <c r="FS1311" s="4"/>
      <c r="FT1311" s="4"/>
      <c r="FU1311" s="4"/>
      <c r="FV1311" s="4"/>
      <c r="FW1311" s="4"/>
      <c r="FX1311" s="4"/>
      <c r="FY1311" s="4"/>
      <c r="FZ1311" s="4"/>
      <c r="GA1311" s="4"/>
      <c r="GB1311" s="4"/>
      <c r="GC1311" s="4"/>
      <c r="GD1311" s="4"/>
      <c r="GE1311" s="4"/>
      <c r="GF1311" s="4"/>
      <c r="GG1311" s="4"/>
      <c r="GH1311" s="4"/>
    </row>
    <row r="1312">
      <c r="A1312" s="2" t="s">
        <v>7158</v>
      </c>
      <c r="B1312" s="2" t="s">
        <v>744</v>
      </c>
      <c r="C1312" s="2" t="s">
        <v>730</v>
      </c>
      <c r="D1312" s="2" t="s">
        <v>795</v>
      </c>
      <c r="E1312" s="2" t="s">
        <v>796</v>
      </c>
      <c r="F1312" s="2" t="s">
        <v>7159</v>
      </c>
      <c r="G1312" s="2" t="s">
        <v>7159</v>
      </c>
      <c r="H1312" s="2" t="s">
        <v>7159</v>
      </c>
      <c r="I1312" s="2" t="s">
        <v>7160</v>
      </c>
      <c r="J1312" s="2" t="s">
        <v>711</v>
      </c>
      <c r="K1312" s="2" t="s">
        <v>436</v>
      </c>
      <c r="L1312" s="3">
        <v>256.5</v>
      </c>
      <c r="M1312" s="3">
        <v>269.32</v>
      </c>
      <c r="N1312" s="3">
        <v>539</v>
      </c>
      <c r="O1312" s="2" t="s">
        <v>212</v>
      </c>
      <c r="P1312" s="2" t="s">
        <v>285</v>
      </c>
      <c r="Q1312" s="2" t="s">
        <v>206</v>
      </c>
      <c r="R1312" s="2" t="s">
        <v>200</v>
      </c>
      <c r="S1312" s="2" t="s">
        <v>200</v>
      </c>
      <c r="T1312" s="2" t="s">
        <v>200</v>
      </c>
      <c r="U1312" s="2" t="s">
        <v>270</v>
      </c>
      <c r="V1312" s="2" t="s">
        <v>616</v>
      </c>
      <c r="W1312" s="2" t="s">
        <v>200</v>
      </c>
      <c r="X1312" s="2" t="s">
        <v>2053</v>
      </c>
      <c r="Y1312" s="2" t="s">
        <v>5737</v>
      </c>
      <c r="Z1312" s="4">
        <v>124</v>
      </c>
      <c r="AA1312" s="4">
        <f>=ROUNDDOWN(41.3333333333333,0)</f>
      </c>
      <c r="AB1312" s="5">
        <v>3</v>
      </c>
      <c r="AC1312" s="2" t="s">
        <v>200</v>
      </c>
      <c r="AD1312" s="4"/>
      <c r="AE1312" s="4"/>
      <c r="AF1312" s="6">
        <v>74</v>
      </c>
      <c r="AG1312" s="6"/>
      <c r="AH1312" s="7">
        <v>1</v>
      </c>
      <c r="AI1312" s="4"/>
      <c r="AJ1312" s="4">
        <f>=ROUNDDOWN({0},0)</f>
      </c>
      <c r="AK1312" s="5"/>
      <c r="AL1312" s="2" t="s">
        <v>200</v>
      </c>
      <c r="AM1312" s="4"/>
      <c r="AN1312" s="4"/>
      <c r="AO1312" s="7"/>
      <c r="AP1312" s="4"/>
      <c r="AQ1312" s="8"/>
      <c r="AR1312" s="4"/>
      <c r="AS1312" s="8"/>
      <c r="AT1312" s="7"/>
      <c r="AU1312" s="7"/>
      <c r="AV1312" s="4"/>
      <c r="AW1312" s="8"/>
      <c r="AX1312" s="4"/>
      <c r="AY1312" s="8"/>
      <c r="AZ1312" s="7"/>
      <c r="BA1312" s="7"/>
      <c r="BB1312" s="7"/>
      <c r="BC1312" s="4"/>
      <c r="BD1312" s="8"/>
      <c r="BE1312" s="4"/>
      <c r="BF1312" s="8"/>
      <c r="BG1312" s="7"/>
      <c r="BH1312" s="7"/>
      <c r="BI1312" s="7"/>
      <c r="BJ1312" s="4">
        <v>15</v>
      </c>
      <c r="BK1312" s="8">
        <v>2034.3</v>
      </c>
      <c r="BL1312" s="2" t="s">
        <v>752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7161</v>
      </c>
      <c r="BV1312" s="2" t="s">
        <v>200</v>
      </c>
      <c r="BW1312" s="2" t="s">
        <v>200</v>
      </c>
      <c r="BX1312" s="2" t="s">
        <v>289</v>
      </c>
      <c r="BY1312" s="2" t="s">
        <v>247</v>
      </c>
      <c r="BZ1312" s="2" t="s">
        <v>212</v>
      </c>
      <c r="CA1312" s="2" t="s">
        <v>4656</v>
      </c>
      <c r="CB1312" s="2" t="s">
        <v>751</v>
      </c>
      <c r="CC1312" s="2" t="s">
        <v>213</v>
      </c>
      <c r="CD1312" s="2" t="s">
        <v>200</v>
      </c>
      <c r="CE1312" s="4"/>
      <c r="CF1312" s="4">
        <v>124</v>
      </c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  <c r="DD1312" s="4"/>
      <c r="DE1312" s="4"/>
      <c r="DF1312" s="4"/>
      <c r="DG1312" s="4"/>
      <c r="DH1312" s="4"/>
      <c r="DI1312" s="4"/>
      <c r="DJ1312" s="4"/>
      <c r="DK1312" s="4"/>
      <c r="DL1312" s="4"/>
      <c r="DM1312" s="4"/>
      <c r="DN1312" s="4"/>
      <c r="DO1312" s="4"/>
      <c r="DP1312" s="4"/>
      <c r="DQ1312" s="4"/>
      <c r="DR1312" s="4"/>
      <c r="DS1312" s="4"/>
      <c r="DT1312" s="4"/>
      <c r="DU1312" s="4"/>
      <c r="DV1312" s="4"/>
      <c r="DW1312" s="4"/>
      <c r="DX1312" s="4"/>
      <c r="DY1312" s="4"/>
      <c r="DZ1312" s="4"/>
      <c r="EA1312" s="4"/>
      <c r="EB1312" s="4"/>
      <c r="EC1312" s="4"/>
      <c r="ED1312" s="4"/>
      <c r="EE1312" s="4"/>
      <c r="EF1312" s="4"/>
      <c r="EG1312" s="4"/>
      <c r="EH1312" s="4"/>
      <c r="EI1312" s="4"/>
      <c r="EJ1312" s="4"/>
      <c r="EK1312" s="4"/>
      <c r="EL1312" s="4"/>
      <c r="EM1312" s="4"/>
      <c r="EN1312" s="4"/>
      <c r="EO1312" s="4"/>
      <c r="EP1312" s="4"/>
      <c r="EQ1312" s="4"/>
      <c r="ER1312" s="4"/>
      <c r="ES1312" s="4"/>
      <c r="ET1312" s="4"/>
      <c r="EU1312" s="4"/>
      <c r="EV1312" s="4"/>
      <c r="EW1312" s="4"/>
      <c r="EX1312" s="4"/>
      <c r="EY1312" s="4"/>
      <c r="EZ1312" s="4"/>
      <c r="FA1312" s="4"/>
      <c r="FB1312" s="4"/>
      <c r="FC1312" s="4"/>
      <c r="FD1312" s="4"/>
      <c r="FE1312" s="4"/>
      <c r="FF1312" s="4"/>
      <c r="FG1312" s="4"/>
      <c r="FH1312" s="4"/>
      <c r="FI1312" s="4"/>
      <c r="FJ1312" s="4"/>
      <c r="FK1312" s="4"/>
      <c r="FL1312" s="4"/>
      <c r="FM1312" s="4"/>
      <c r="FN1312" s="4"/>
      <c r="FO1312" s="4"/>
      <c r="FP1312" s="4"/>
      <c r="FQ1312" s="4"/>
      <c r="FR1312" s="4"/>
      <c r="FS1312" s="4"/>
      <c r="FT1312" s="4"/>
      <c r="FU1312" s="4"/>
      <c r="FV1312" s="4"/>
      <c r="FW1312" s="4"/>
      <c r="FX1312" s="4"/>
      <c r="FY1312" s="4"/>
      <c r="FZ1312" s="4"/>
      <c r="GA1312" s="4"/>
      <c r="GB1312" s="4"/>
      <c r="GC1312" s="4"/>
      <c r="GD1312" s="4"/>
      <c r="GE1312" s="4"/>
      <c r="GF1312" s="4"/>
      <c r="GG1312" s="4"/>
      <c r="GH1312" s="4"/>
    </row>
    <row r="1313">
      <c r="A1313" s="2" t="s">
        <v>7162</v>
      </c>
      <c r="B1313" s="2" t="s">
        <v>827</v>
      </c>
      <c r="C1313" s="2" t="s">
        <v>231</v>
      </c>
      <c r="D1313" s="2" t="s">
        <v>828</v>
      </c>
      <c r="E1313" s="2" t="s">
        <v>863</v>
      </c>
      <c r="F1313" s="2" t="s">
        <v>7163</v>
      </c>
      <c r="G1313" s="2" t="s">
        <v>7164</v>
      </c>
      <c r="H1313" s="2" t="s">
        <v>7165</v>
      </c>
      <c r="I1313" s="2" t="s">
        <v>7166</v>
      </c>
      <c r="J1313" s="2" t="s">
        <v>3091</v>
      </c>
      <c r="K1313" s="2" t="s">
        <v>221</v>
      </c>
      <c r="L1313" s="3">
        <v>35.1</v>
      </c>
      <c r="M1313" s="3">
        <v>36.86</v>
      </c>
      <c r="N1313" s="3">
        <v>76.99</v>
      </c>
      <c r="O1313" s="2" t="s">
        <v>417</v>
      </c>
      <c r="P1313" s="2" t="s">
        <v>285</v>
      </c>
      <c r="Q1313" s="2" t="s">
        <v>206</v>
      </c>
      <c r="R1313" s="2" t="s">
        <v>200</v>
      </c>
      <c r="S1313" s="2" t="s">
        <v>7167</v>
      </c>
      <c r="T1313" s="2" t="s">
        <v>378</v>
      </c>
      <c r="U1313" s="2" t="s">
        <v>270</v>
      </c>
      <c r="V1313" s="2" t="s">
        <v>208</v>
      </c>
      <c r="W1313" s="2" t="s">
        <v>241</v>
      </c>
      <c r="X1313" s="2" t="s">
        <v>379</v>
      </c>
      <c r="Y1313" s="2" t="s">
        <v>7168</v>
      </c>
      <c r="Z1313" s="4">
        <v>12</v>
      </c>
      <c r="AA1313" s="4">
        <f>=ROUNDDOWN(12,0)</f>
      </c>
      <c r="AB1313" s="5">
        <v>1</v>
      </c>
      <c r="AC1313" s="2" t="s">
        <v>200</v>
      </c>
      <c r="AD1313" s="4"/>
      <c r="AE1313" s="4"/>
      <c r="AF1313" s="6">
        <v>75</v>
      </c>
      <c r="AG1313" s="6"/>
      <c r="AH1313" s="7">
        <v>0.8667</v>
      </c>
      <c r="AI1313" s="4"/>
      <c r="AJ1313" s="4">
        <f>=ROUNDDOWN({0},0)</f>
      </c>
      <c r="AK1313" s="5"/>
      <c r="AL1313" s="2" t="s">
        <v>200</v>
      </c>
      <c r="AM1313" s="4"/>
      <c r="AN1313" s="4"/>
      <c r="AO1313" s="7"/>
      <c r="AP1313" s="4"/>
      <c r="AQ1313" s="8"/>
      <c r="AR1313" s="4"/>
      <c r="AS1313" s="8"/>
      <c r="AT1313" s="7"/>
      <c r="AU1313" s="7"/>
      <c r="AV1313" s="4" t="s">
        <v>200</v>
      </c>
      <c r="AW1313" s="8" t="s">
        <v>200</v>
      </c>
      <c r="AX1313" s="4" t="s">
        <v>200</v>
      </c>
      <c r="AY1313" s="8" t="s">
        <v>200</v>
      </c>
      <c r="AZ1313" s="7" t="s">
        <v>200</v>
      </c>
      <c r="BA1313" s="7" t="s">
        <v>200</v>
      </c>
      <c r="BB1313" s="7"/>
      <c r="BC1313" s="4" t="s">
        <v>200</v>
      </c>
      <c r="BD1313" s="8" t="s">
        <v>200</v>
      </c>
      <c r="BE1313" s="4" t="s">
        <v>200</v>
      </c>
      <c r="BF1313" s="8" t="s">
        <v>200</v>
      </c>
      <c r="BG1313" s="7" t="s">
        <v>200</v>
      </c>
      <c r="BH1313" s="7" t="s">
        <v>200</v>
      </c>
      <c r="BI1313" s="7"/>
      <c r="BJ1313" s="4"/>
      <c r="BK1313" s="8"/>
      <c r="BL1313" s="2" t="s">
        <v>961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7169</v>
      </c>
      <c r="BV1313" s="2" t="s">
        <v>200</v>
      </c>
      <c r="BW1313" s="2" t="s">
        <v>200</v>
      </c>
      <c r="BX1313" s="2" t="s">
        <v>289</v>
      </c>
      <c r="BY1313" s="2" t="s">
        <v>247</v>
      </c>
      <c r="BZ1313" s="2" t="s">
        <v>212</v>
      </c>
      <c r="CA1313" s="2" t="s">
        <v>343</v>
      </c>
      <c r="CB1313" s="2" t="s">
        <v>7170</v>
      </c>
      <c r="CC1313" s="2" t="s">
        <v>213</v>
      </c>
      <c r="CD1313" s="2" t="s">
        <v>200</v>
      </c>
      <c r="CE1313" s="4">
        <v>12</v>
      </c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E1313" s="4"/>
      <c r="DF1313" s="4"/>
      <c r="DG1313" s="4"/>
      <c r="DH1313" s="4"/>
      <c r="DI1313" s="4"/>
      <c r="DJ1313" s="4"/>
      <c r="DK1313" s="4"/>
      <c r="DL1313" s="4"/>
      <c r="DM1313" s="4"/>
      <c r="DN1313" s="4"/>
      <c r="DO1313" s="4"/>
      <c r="DP1313" s="4"/>
      <c r="DQ1313" s="4"/>
      <c r="DR1313" s="4"/>
      <c r="DS1313" s="4"/>
      <c r="DT1313" s="4"/>
      <c r="DU1313" s="4"/>
      <c r="DV1313" s="4"/>
      <c r="DW1313" s="4"/>
      <c r="DX1313" s="4"/>
      <c r="DY1313" s="4"/>
      <c r="DZ1313" s="4"/>
      <c r="EA1313" s="4"/>
      <c r="EB1313" s="4"/>
      <c r="EC1313" s="4"/>
      <c r="ED1313" s="4"/>
      <c r="EE1313" s="4"/>
      <c r="EF1313" s="4"/>
      <c r="EG1313" s="4"/>
      <c r="EH1313" s="4"/>
      <c r="EI1313" s="4"/>
      <c r="EJ1313" s="4"/>
      <c r="EK1313" s="4"/>
      <c r="EL1313" s="4"/>
      <c r="EM1313" s="4"/>
      <c r="EN1313" s="4"/>
      <c r="EO1313" s="4"/>
      <c r="EP1313" s="4"/>
      <c r="EQ1313" s="4"/>
      <c r="ER1313" s="4"/>
      <c r="ES1313" s="4"/>
      <c r="ET1313" s="4"/>
      <c r="EU1313" s="4"/>
      <c r="EV1313" s="4"/>
      <c r="EW1313" s="4"/>
      <c r="EX1313" s="4"/>
      <c r="EY1313" s="4"/>
      <c r="EZ1313" s="4"/>
      <c r="FA1313" s="4"/>
      <c r="FB1313" s="4"/>
      <c r="FC1313" s="4"/>
      <c r="FD1313" s="4"/>
      <c r="FE1313" s="4"/>
      <c r="FF1313" s="4"/>
      <c r="FG1313" s="4"/>
      <c r="FH1313" s="4"/>
      <c r="FI1313" s="4"/>
      <c r="FJ1313" s="4"/>
      <c r="FK1313" s="4"/>
      <c r="FL1313" s="4"/>
      <c r="FM1313" s="4"/>
      <c r="FN1313" s="4"/>
      <c r="FO1313" s="4"/>
      <c r="FP1313" s="4"/>
      <c r="FQ1313" s="4"/>
      <c r="FR1313" s="4"/>
      <c r="FS1313" s="4"/>
      <c r="FT1313" s="4"/>
      <c r="FU1313" s="4"/>
      <c r="FV1313" s="4"/>
      <c r="FW1313" s="4"/>
      <c r="FX1313" s="4"/>
      <c r="FY1313" s="4"/>
      <c r="FZ1313" s="4"/>
      <c r="GA1313" s="4"/>
      <c r="GB1313" s="4"/>
      <c r="GC1313" s="4"/>
      <c r="GD1313" s="4"/>
      <c r="GE1313" s="4"/>
      <c r="GF1313" s="4"/>
      <c r="GG1313" s="4"/>
      <c r="GH1313" s="4"/>
    </row>
    <row r="1314">
      <c r="A1314" s="2" t="s">
        <v>7171</v>
      </c>
      <c r="B1314" s="2" t="s">
        <v>827</v>
      </c>
      <c r="C1314" s="2" t="s">
        <v>231</v>
      </c>
      <c r="D1314" s="2" t="s">
        <v>828</v>
      </c>
      <c r="E1314" s="2" t="s">
        <v>863</v>
      </c>
      <c r="F1314" s="2" t="s">
        <v>7163</v>
      </c>
      <c r="G1314" s="2" t="s">
        <v>7164</v>
      </c>
      <c r="H1314" s="2" t="s">
        <v>7165</v>
      </c>
      <c r="I1314" s="2" t="s">
        <v>7166</v>
      </c>
      <c r="J1314" s="2" t="s">
        <v>868</v>
      </c>
      <c r="K1314" s="2" t="s">
        <v>221</v>
      </c>
      <c r="L1314" s="3">
        <v>43.5</v>
      </c>
      <c r="M1314" s="3">
        <v>45.68</v>
      </c>
      <c r="N1314" s="3">
        <v>91.99</v>
      </c>
      <c r="O1314" s="2" t="s">
        <v>417</v>
      </c>
      <c r="P1314" s="2" t="s">
        <v>285</v>
      </c>
      <c r="Q1314" s="2" t="s">
        <v>206</v>
      </c>
      <c r="R1314" s="2" t="s">
        <v>200</v>
      </c>
      <c r="S1314" s="2" t="s">
        <v>7167</v>
      </c>
      <c r="T1314" s="2" t="s">
        <v>378</v>
      </c>
      <c r="U1314" s="2" t="s">
        <v>270</v>
      </c>
      <c r="V1314" s="2" t="s">
        <v>208</v>
      </c>
      <c r="W1314" s="2" t="s">
        <v>241</v>
      </c>
      <c r="X1314" s="2" t="s">
        <v>379</v>
      </c>
      <c r="Y1314" s="2" t="s">
        <v>7168</v>
      </c>
      <c r="Z1314" s="4">
        <v>40</v>
      </c>
      <c r="AA1314" s="4">
        <f>=ROUNDDOWN(13.3333333333333,0)</f>
      </c>
      <c r="AB1314" s="5">
        <v>3</v>
      </c>
      <c r="AC1314" s="2" t="s">
        <v>200</v>
      </c>
      <c r="AD1314" s="4"/>
      <c r="AE1314" s="4"/>
      <c r="AF1314" s="6">
        <v>75</v>
      </c>
      <c r="AG1314" s="6"/>
      <c r="AH1314" s="7">
        <v>0.8667</v>
      </c>
      <c r="AI1314" s="4"/>
      <c r="AJ1314" s="4">
        <f>=ROUNDDOWN({0},0)</f>
      </c>
      <c r="AK1314" s="5"/>
      <c r="AL1314" s="2" t="s">
        <v>200</v>
      </c>
      <c r="AM1314" s="4"/>
      <c r="AN1314" s="4"/>
      <c r="AO1314" s="7"/>
      <c r="AP1314" s="4"/>
      <c r="AQ1314" s="8"/>
      <c r="AR1314" s="4"/>
      <c r="AS1314" s="8"/>
      <c r="AT1314" s="7"/>
      <c r="AU1314" s="7"/>
      <c r="AV1314" s="4" t="s">
        <v>200</v>
      </c>
      <c r="AW1314" s="8" t="s">
        <v>200</v>
      </c>
      <c r="AX1314" s="4" t="s">
        <v>200</v>
      </c>
      <c r="AY1314" s="8" t="s">
        <v>200</v>
      </c>
      <c r="AZ1314" s="7" t="s">
        <v>200</v>
      </c>
      <c r="BA1314" s="7" t="s">
        <v>200</v>
      </c>
      <c r="BB1314" s="7"/>
      <c r="BC1314" s="4" t="s">
        <v>200</v>
      </c>
      <c r="BD1314" s="8" t="s">
        <v>200</v>
      </c>
      <c r="BE1314" s="4" t="s">
        <v>200</v>
      </c>
      <c r="BF1314" s="8" t="s">
        <v>200</v>
      </c>
      <c r="BG1314" s="7" t="s">
        <v>200</v>
      </c>
      <c r="BH1314" s="7" t="s">
        <v>200</v>
      </c>
      <c r="BI1314" s="7"/>
      <c r="BJ1314" s="4"/>
      <c r="BK1314" s="8"/>
      <c r="BL1314" s="2" t="s">
        <v>837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7172</v>
      </c>
      <c r="BV1314" s="2" t="s">
        <v>200</v>
      </c>
      <c r="BW1314" s="2" t="s">
        <v>200</v>
      </c>
      <c r="BX1314" s="2" t="s">
        <v>289</v>
      </c>
      <c r="BY1314" s="2" t="s">
        <v>247</v>
      </c>
      <c r="BZ1314" s="2" t="s">
        <v>212</v>
      </c>
      <c r="CA1314" s="2" t="s">
        <v>343</v>
      </c>
      <c r="CB1314" s="2" t="s">
        <v>200</v>
      </c>
      <c r="CC1314" s="2" t="s">
        <v>213</v>
      </c>
      <c r="CD1314" s="2" t="s">
        <v>200</v>
      </c>
      <c r="CE1314" s="4">
        <v>40</v>
      </c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  <c r="DE1314" s="4"/>
      <c r="DF1314" s="4"/>
      <c r="DG1314" s="4"/>
      <c r="DH1314" s="4"/>
      <c r="DI1314" s="4"/>
      <c r="DJ1314" s="4"/>
      <c r="DK1314" s="4"/>
      <c r="DL1314" s="4"/>
      <c r="DM1314" s="4"/>
      <c r="DN1314" s="4"/>
      <c r="DO1314" s="4"/>
      <c r="DP1314" s="4"/>
      <c r="DQ1314" s="4"/>
      <c r="DR1314" s="4"/>
      <c r="DS1314" s="4"/>
      <c r="DT1314" s="4"/>
      <c r="DU1314" s="4"/>
      <c r="DV1314" s="4"/>
      <c r="DW1314" s="4"/>
      <c r="DX1314" s="4"/>
      <c r="DY1314" s="4"/>
      <c r="DZ1314" s="4"/>
      <c r="EA1314" s="4"/>
      <c r="EB1314" s="4"/>
      <c r="EC1314" s="4"/>
      <c r="ED1314" s="4"/>
      <c r="EE1314" s="4"/>
      <c r="EF1314" s="4"/>
      <c r="EG1314" s="4"/>
      <c r="EH1314" s="4"/>
      <c r="EI1314" s="4"/>
      <c r="EJ1314" s="4"/>
      <c r="EK1314" s="4"/>
      <c r="EL1314" s="4"/>
      <c r="EM1314" s="4"/>
      <c r="EN1314" s="4"/>
      <c r="EO1314" s="4"/>
      <c r="EP1314" s="4"/>
      <c r="EQ1314" s="4"/>
      <c r="ER1314" s="4"/>
      <c r="ES1314" s="4"/>
      <c r="ET1314" s="4"/>
      <c r="EU1314" s="4"/>
      <c r="EV1314" s="4"/>
      <c r="EW1314" s="4"/>
      <c r="EX1314" s="4"/>
      <c r="EY1314" s="4"/>
      <c r="EZ1314" s="4"/>
      <c r="FA1314" s="4"/>
      <c r="FB1314" s="4"/>
      <c r="FC1314" s="4"/>
      <c r="FD1314" s="4"/>
      <c r="FE1314" s="4"/>
      <c r="FF1314" s="4"/>
      <c r="FG1314" s="4"/>
      <c r="FH1314" s="4"/>
      <c r="FI1314" s="4"/>
      <c r="FJ1314" s="4"/>
      <c r="FK1314" s="4"/>
      <c r="FL1314" s="4"/>
      <c r="FM1314" s="4"/>
      <c r="FN1314" s="4"/>
      <c r="FO1314" s="4"/>
      <c r="FP1314" s="4"/>
      <c r="FQ1314" s="4"/>
      <c r="FR1314" s="4"/>
      <c r="FS1314" s="4"/>
      <c r="FT1314" s="4"/>
      <c r="FU1314" s="4"/>
      <c r="FV1314" s="4"/>
      <c r="FW1314" s="4"/>
      <c r="FX1314" s="4"/>
      <c r="FY1314" s="4"/>
      <c r="FZ1314" s="4"/>
      <c r="GA1314" s="4"/>
      <c r="GB1314" s="4"/>
      <c r="GC1314" s="4"/>
      <c r="GD1314" s="4"/>
      <c r="GE1314" s="4"/>
      <c r="GF1314" s="4"/>
      <c r="GG1314" s="4"/>
      <c r="GH1314" s="4"/>
    </row>
    <row r="1315">
      <c r="A1315" s="2" t="s">
        <v>7173</v>
      </c>
      <c r="B1315" s="2" t="s">
        <v>827</v>
      </c>
      <c r="C1315" s="2" t="s">
        <v>231</v>
      </c>
      <c r="D1315" s="2" t="s">
        <v>828</v>
      </c>
      <c r="E1315" s="2" t="s">
        <v>863</v>
      </c>
      <c r="F1315" s="2" t="s">
        <v>7163</v>
      </c>
      <c r="G1315" s="2" t="s">
        <v>7164</v>
      </c>
      <c r="H1315" s="2" t="s">
        <v>7165</v>
      </c>
      <c r="I1315" s="2" t="s">
        <v>7166</v>
      </c>
      <c r="J1315" s="2" t="s">
        <v>868</v>
      </c>
      <c r="K1315" s="2" t="s">
        <v>1135</v>
      </c>
      <c r="L1315" s="3">
        <v>43.5</v>
      </c>
      <c r="M1315" s="3">
        <v>45.68</v>
      </c>
      <c r="N1315" s="3">
        <v>91.99</v>
      </c>
      <c r="O1315" s="2" t="s">
        <v>417</v>
      </c>
      <c r="P1315" s="2" t="s">
        <v>285</v>
      </c>
      <c r="Q1315" s="2" t="s">
        <v>206</v>
      </c>
      <c r="R1315" s="2" t="s">
        <v>200</v>
      </c>
      <c r="S1315" s="2" t="s">
        <v>7174</v>
      </c>
      <c r="T1315" s="2" t="s">
        <v>378</v>
      </c>
      <c r="U1315" s="2" t="s">
        <v>270</v>
      </c>
      <c r="V1315" s="2" t="s">
        <v>208</v>
      </c>
      <c r="W1315" s="2" t="s">
        <v>241</v>
      </c>
      <c r="X1315" s="2" t="s">
        <v>379</v>
      </c>
      <c r="Y1315" s="2" t="s">
        <v>7168</v>
      </c>
      <c r="Z1315" s="4">
        <v>12</v>
      </c>
      <c r="AA1315" s="4">
        <f>=ROUNDDOWN(12,0)</f>
      </c>
      <c r="AB1315" s="5">
        <v>1</v>
      </c>
      <c r="AC1315" s="2" t="s">
        <v>200</v>
      </c>
      <c r="AD1315" s="4"/>
      <c r="AE1315" s="4"/>
      <c r="AF1315" s="6">
        <v>75</v>
      </c>
      <c r="AG1315" s="6"/>
      <c r="AH1315" s="7">
        <v>1</v>
      </c>
      <c r="AI1315" s="4"/>
      <c r="AJ1315" s="4">
        <f>=ROUNDDOWN({0},0)</f>
      </c>
      <c r="AK1315" s="5"/>
      <c r="AL1315" s="2" t="s">
        <v>200</v>
      </c>
      <c r="AM1315" s="4"/>
      <c r="AN1315" s="4"/>
      <c r="AO1315" s="7"/>
      <c r="AP1315" s="4"/>
      <c r="AQ1315" s="8"/>
      <c r="AR1315" s="4"/>
      <c r="AS1315" s="8"/>
      <c r="AT1315" s="7"/>
      <c r="AU1315" s="7"/>
      <c r="AV1315" s="4"/>
      <c r="AW1315" s="8"/>
      <c r="AX1315" s="4"/>
      <c r="AY1315" s="8"/>
      <c r="AZ1315" s="7"/>
      <c r="BA1315" s="7"/>
      <c r="BB1315" s="7"/>
      <c r="BC1315" s="4" t="s">
        <v>200</v>
      </c>
      <c r="BD1315" s="8" t="s">
        <v>200</v>
      </c>
      <c r="BE1315" s="4" t="s">
        <v>200</v>
      </c>
      <c r="BF1315" s="8" t="s">
        <v>200</v>
      </c>
      <c r="BG1315" s="7" t="s">
        <v>200</v>
      </c>
      <c r="BH1315" s="7" t="s">
        <v>200</v>
      </c>
      <c r="BI1315" s="7"/>
      <c r="BJ1315" s="4">
        <v>8</v>
      </c>
      <c r="BK1315" s="8">
        <v>369.19</v>
      </c>
      <c r="BL1315" s="2" t="s">
        <v>1452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7175</v>
      </c>
      <c r="BV1315" s="2" t="s">
        <v>200</v>
      </c>
      <c r="BW1315" s="2" t="s">
        <v>200</v>
      </c>
      <c r="BX1315" s="2" t="s">
        <v>289</v>
      </c>
      <c r="BY1315" s="2" t="s">
        <v>247</v>
      </c>
      <c r="BZ1315" s="2" t="s">
        <v>212</v>
      </c>
      <c r="CA1315" s="2" t="s">
        <v>343</v>
      </c>
      <c r="CB1315" s="2" t="s">
        <v>1877</v>
      </c>
      <c r="CC1315" s="2" t="s">
        <v>213</v>
      </c>
      <c r="CD1315" s="2" t="s">
        <v>200</v>
      </c>
      <c r="CE1315" s="4">
        <v>12</v>
      </c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  <c r="DE1315" s="4"/>
      <c r="DF1315" s="4"/>
      <c r="DG1315" s="4"/>
      <c r="DH1315" s="4"/>
      <c r="DI1315" s="4"/>
      <c r="DJ1315" s="4"/>
      <c r="DK1315" s="4"/>
      <c r="DL1315" s="4"/>
      <c r="DM1315" s="4"/>
      <c r="DN1315" s="4"/>
      <c r="DO1315" s="4"/>
      <c r="DP1315" s="4"/>
      <c r="DQ1315" s="4"/>
      <c r="DR1315" s="4"/>
      <c r="DS1315" s="4"/>
      <c r="DT1315" s="4"/>
      <c r="DU1315" s="4"/>
      <c r="DV1315" s="4"/>
      <c r="DW1315" s="4"/>
      <c r="DX1315" s="4"/>
      <c r="DY1315" s="4"/>
      <c r="DZ1315" s="4"/>
      <c r="EA1315" s="4"/>
      <c r="EB1315" s="4"/>
      <c r="EC1315" s="4"/>
      <c r="ED1315" s="4"/>
      <c r="EE1315" s="4"/>
      <c r="EF1315" s="4"/>
      <c r="EG1315" s="4"/>
      <c r="EH1315" s="4"/>
      <c r="EI1315" s="4"/>
      <c r="EJ1315" s="4"/>
      <c r="EK1315" s="4"/>
      <c r="EL1315" s="4"/>
      <c r="EM1315" s="4"/>
      <c r="EN1315" s="4"/>
      <c r="EO1315" s="4"/>
      <c r="EP1315" s="4"/>
      <c r="EQ1315" s="4"/>
      <c r="ER1315" s="4"/>
      <c r="ES1315" s="4"/>
      <c r="ET1315" s="4"/>
      <c r="EU1315" s="4"/>
      <c r="EV1315" s="4"/>
      <c r="EW1315" s="4"/>
      <c r="EX1315" s="4"/>
      <c r="EY1315" s="4"/>
      <c r="EZ1315" s="4"/>
      <c r="FA1315" s="4"/>
      <c r="FB1315" s="4"/>
      <c r="FC1315" s="4"/>
      <c r="FD1315" s="4"/>
      <c r="FE1315" s="4"/>
      <c r="FF1315" s="4"/>
      <c r="FG1315" s="4"/>
      <c r="FH1315" s="4"/>
      <c r="FI1315" s="4"/>
      <c r="FJ1315" s="4"/>
      <c r="FK1315" s="4"/>
      <c r="FL1315" s="4"/>
      <c r="FM1315" s="4"/>
      <c r="FN1315" s="4"/>
      <c r="FO1315" s="4"/>
      <c r="FP1315" s="4"/>
      <c r="FQ1315" s="4"/>
      <c r="FR1315" s="4"/>
      <c r="FS1315" s="4"/>
      <c r="FT1315" s="4"/>
      <c r="FU1315" s="4"/>
      <c r="FV1315" s="4"/>
      <c r="FW1315" s="4"/>
      <c r="FX1315" s="4"/>
      <c r="FY1315" s="4"/>
      <c r="FZ1315" s="4"/>
      <c r="GA1315" s="4"/>
      <c r="GB1315" s="4"/>
      <c r="GC1315" s="4"/>
      <c r="GD1315" s="4"/>
      <c r="GE1315" s="4"/>
      <c r="GF1315" s="4"/>
      <c r="GG1315" s="4"/>
      <c r="GH1315" s="4"/>
    </row>
    <row r="1316">
      <c r="A1316" s="2" t="s">
        <v>7176</v>
      </c>
      <c r="B1316" s="2" t="s">
        <v>903</v>
      </c>
      <c r="C1316" s="2" t="s">
        <v>1375</v>
      </c>
      <c r="D1316" s="2" t="s">
        <v>1818</v>
      </c>
      <c r="E1316" s="2" t="s">
        <v>1819</v>
      </c>
      <c r="F1316" s="2" t="s">
        <v>7177</v>
      </c>
      <c r="G1316" s="2" t="s">
        <v>7178</v>
      </c>
      <c r="H1316" s="2" t="s">
        <v>7179</v>
      </c>
      <c r="I1316" s="2" t="s">
        <v>7180</v>
      </c>
      <c r="J1316" s="2" t="s">
        <v>924</v>
      </c>
      <c r="K1316" s="2" t="s">
        <v>539</v>
      </c>
      <c r="L1316" s="3">
        <v>26.6</v>
      </c>
      <c r="M1316" s="3">
        <v>27.93</v>
      </c>
      <c r="N1316" s="3">
        <v>69.99</v>
      </c>
      <c r="O1316" s="2" t="s">
        <v>212</v>
      </c>
      <c r="P1316" s="2" t="s">
        <v>258</v>
      </c>
      <c r="Q1316" s="2" t="s">
        <v>206</v>
      </c>
      <c r="R1316" s="2" t="s">
        <v>200</v>
      </c>
      <c r="S1316" s="2" t="s">
        <v>7181</v>
      </c>
      <c r="T1316" s="2" t="s">
        <v>378</v>
      </c>
      <c r="U1316" s="2" t="s">
        <v>454</v>
      </c>
      <c r="V1316" s="2" t="s">
        <v>1198</v>
      </c>
      <c r="W1316" s="2" t="s">
        <v>379</v>
      </c>
      <c r="X1316" s="2" t="s">
        <v>200</v>
      </c>
      <c r="Y1316" s="2" t="s">
        <v>7182</v>
      </c>
      <c r="Z1316" s="4">
        <v>200</v>
      </c>
      <c r="AA1316" s="4">
        <f>=ROUNDDOWN(25,0)</f>
      </c>
      <c r="AB1316" s="5">
        <v>8</v>
      </c>
      <c r="AC1316" s="2" t="s">
        <v>1548</v>
      </c>
      <c r="AD1316" s="4">
        <v>240</v>
      </c>
      <c r="AE1316" s="4">
        <v>240</v>
      </c>
      <c r="AF1316" s="6">
        <v>65</v>
      </c>
      <c r="AG1316" s="6">
        <v>48</v>
      </c>
      <c r="AH1316" s="7">
        <v>1</v>
      </c>
      <c r="AI1316" s="4"/>
      <c r="AJ1316" s="4">
        <f>=ROUNDDOWN({0},0)</f>
      </c>
      <c r="AK1316" s="5"/>
      <c r="AL1316" s="2" t="s">
        <v>200</v>
      </c>
      <c r="AM1316" s="4"/>
      <c r="AN1316" s="4"/>
      <c r="AO1316" s="7"/>
      <c r="AP1316" s="4"/>
      <c r="AQ1316" s="8"/>
      <c r="AR1316" s="4"/>
      <c r="AS1316" s="8"/>
      <c r="AT1316" s="7"/>
      <c r="AU1316" s="7"/>
      <c r="AV1316" s="4"/>
      <c r="AW1316" s="8"/>
      <c r="AX1316" s="4"/>
      <c r="AY1316" s="8"/>
      <c r="AZ1316" s="7"/>
      <c r="BA1316" s="7"/>
      <c r="BB1316" s="7"/>
      <c r="BC1316" s="4"/>
      <c r="BD1316" s="8"/>
      <c r="BE1316" s="4"/>
      <c r="BF1316" s="8"/>
      <c r="BG1316" s="7"/>
      <c r="BH1316" s="7"/>
      <c r="BI1316" s="7"/>
      <c r="BJ1316" s="4">
        <v>43</v>
      </c>
      <c r="BK1316" s="8">
        <v>1212.4</v>
      </c>
      <c r="BL1316" s="2" t="s">
        <v>7183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7184</v>
      </c>
      <c r="BV1316" s="2" t="s">
        <v>200</v>
      </c>
      <c r="BW1316" s="2" t="s">
        <v>200</v>
      </c>
      <c r="BX1316" s="2" t="s">
        <v>264</v>
      </c>
      <c r="BY1316" s="2" t="s">
        <v>247</v>
      </c>
      <c r="BZ1316" s="2" t="s">
        <v>212</v>
      </c>
      <c r="CA1316" s="2" t="s">
        <v>2777</v>
      </c>
      <c r="CB1316" s="2" t="s">
        <v>2966</v>
      </c>
      <c r="CC1316" s="2" t="s">
        <v>213</v>
      </c>
      <c r="CD1316" s="2" t="s">
        <v>200</v>
      </c>
      <c r="CE1316" s="4"/>
      <c r="CF1316" s="4"/>
      <c r="CG1316" s="4"/>
      <c r="CH1316" s="4">
        <v>200</v>
      </c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  <c r="DD1316" s="4"/>
      <c r="DE1316" s="4"/>
      <c r="DF1316" s="4"/>
      <c r="DG1316" s="4"/>
      <c r="DH1316" s="4"/>
      <c r="DI1316" s="4"/>
      <c r="DJ1316" s="4"/>
      <c r="DK1316" s="4"/>
      <c r="DL1316" s="4"/>
      <c r="DM1316" s="4"/>
      <c r="DN1316" s="4"/>
      <c r="DO1316" s="4"/>
      <c r="DP1316" s="4"/>
      <c r="DQ1316" s="4"/>
      <c r="DR1316" s="4"/>
      <c r="DS1316" s="4"/>
      <c r="DT1316" s="4"/>
      <c r="DU1316" s="4"/>
      <c r="DV1316" s="4"/>
      <c r="DW1316" s="4"/>
      <c r="DX1316" s="4"/>
      <c r="DY1316" s="4"/>
      <c r="DZ1316" s="4"/>
      <c r="EA1316" s="4"/>
      <c r="EB1316" s="4"/>
      <c r="EC1316" s="4"/>
      <c r="ED1316" s="4"/>
      <c r="EE1316" s="4"/>
      <c r="EF1316" s="4"/>
      <c r="EG1316" s="4"/>
      <c r="EH1316" s="4"/>
      <c r="EI1316" s="4"/>
      <c r="EJ1316" s="4"/>
      <c r="EK1316" s="4"/>
      <c r="EL1316" s="4"/>
      <c r="EM1316" s="4"/>
      <c r="EN1316" s="4"/>
      <c r="EO1316" s="4"/>
      <c r="EP1316" s="4">
        <v>240</v>
      </c>
      <c r="EQ1316" s="4"/>
      <c r="ER1316" s="4"/>
      <c r="ES1316" s="4"/>
      <c r="ET1316" s="4"/>
      <c r="EU1316" s="4"/>
      <c r="EV1316" s="4"/>
      <c r="EW1316" s="4"/>
      <c r="EX1316" s="4"/>
      <c r="EY1316" s="4"/>
      <c r="EZ1316" s="4"/>
      <c r="FA1316" s="4"/>
      <c r="FB1316" s="4"/>
      <c r="FC1316" s="4"/>
      <c r="FD1316" s="4"/>
      <c r="FE1316" s="4"/>
      <c r="FF1316" s="4"/>
      <c r="FG1316" s="4"/>
      <c r="FH1316" s="4"/>
      <c r="FI1316" s="4"/>
      <c r="FJ1316" s="4"/>
      <c r="FK1316" s="4"/>
      <c r="FL1316" s="4"/>
      <c r="FM1316" s="4"/>
      <c r="FN1316" s="4"/>
      <c r="FO1316" s="4"/>
      <c r="FP1316" s="4"/>
      <c r="FQ1316" s="4"/>
      <c r="FR1316" s="4"/>
      <c r="FS1316" s="4"/>
      <c r="FT1316" s="4"/>
      <c r="FU1316" s="4"/>
      <c r="FV1316" s="4"/>
      <c r="FW1316" s="4"/>
      <c r="FX1316" s="4"/>
      <c r="FY1316" s="4"/>
      <c r="FZ1316" s="4"/>
      <c r="GA1316" s="4"/>
      <c r="GB1316" s="4"/>
      <c r="GC1316" s="4"/>
      <c r="GD1316" s="4"/>
      <c r="GE1316" s="4"/>
      <c r="GF1316" s="4"/>
      <c r="GG1316" s="4"/>
      <c r="GH1316" s="4"/>
    </row>
    <row r="1317">
      <c r="A1317" s="2" t="s">
        <v>7185</v>
      </c>
      <c r="B1317" s="2" t="s">
        <v>230</v>
      </c>
      <c r="C1317" s="2" t="s">
        <v>624</v>
      </c>
      <c r="D1317" s="2" t="s">
        <v>232</v>
      </c>
      <c r="E1317" s="2" t="s">
        <v>233</v>
      </c>
      <c r="F1317" s="2" t="s">
        <v>7186</v>
      </c>
      <c r="G1317" s="2" t="s">
        <v>7186</v>
      </c>
      <c r="H1317" s="2" t="s">
        <v>7186</v>
      </c>
      <c r="I1317" s="2" t="s">
        <v>7187</v>
      </c>
      <c r="J1317" s="2" t="s">
        <v>302</v>
      </c>
      <c r="K1317" s="2" t="s">
        <v>7188</v>
      </c>
      <c r="L1317" s="3">
        <v>28.68</v>
      </c>
      <c r="M1317" s="3">
        <v>30.11</v>
      </c>
      <c r="N1317" s="3">
        <v>62.99</v>
      </c>
      <c r="O1317" s="2" t="s">
        <v>212</v>
      </c>
      <c r="P1317" s="2" t="s">
        <v>1247</v>
      </c>
      <c r="Q1317" s="2" t="s">
        <v>206</v>
      </c>
      <c r="R1317" s="2" t="s">
        <v>200</v>
      </c>
      <c r="S1317" s="2" t="s">
        <v>7189</v>
      </c>
      <c r="T1317" s="2" t="s">
        <v>3312</v>
      </c>
      <c r="U1317" s="2" t="s">
        <v>240</v>
      </c>
      <c r="V1317" s="2" t="s">
        <v>1695</v>
      </c>
      <c r="W1317" s="2" t="s">
        <v>241</v>
      </c>
      <c r="X1317" s="2" t="s">
        <v>379</v>
      </c>
      <c r="Y1317" s="2" t="s">
        <v>4706</v>
      </c>
      <c r="Z1317" s="4">
        <v>636</v>
      </c>
      <c r="AA1317" s="4">
        <f>=ROUNDDOWN(45.4285714285714,0)</f>
      </c>
      <c r="AB1317" s="5">
        <v>14</v>
      </c>
      <c r="AC1317" s="2" t="s">
        <v>200</v>
      </c>
      <c r="AD1317" s="4"/>
      <c r="AE1317" s="4"/>
      <c r="AF1317" s="6">
        <v>65</v>
      </c>
      <c r="AG1317" s="6"/>
      <c r="AH1317" s="7">
        <v>1</v>
      </c>
      <c r="AI1317" s="4"/>
      <c r="AJ1317" s="4">
        <f>=ROUNDDOWN({0},0)</f>
      </c>
      <c r="AK1317" s="5"/>
      <c r="AL1317" s="2" t="s">
        <v>200</v>
      </c>
      <c r="AM1317" s="4"/>
      <c r="AN1317" s="4"/>
      <c r="AO1317" s="7"/>
      <c r="AP1317" s="4"/>
      <c r="AQ1317" s="8"/>
      <c r="AR1317" s="4"/>
      <c r="AS1317" s="8"/>
      <c r="AT1317" s="7"/>
      <c r="AU1317" s="7"/>
      <c r="AV1317" s="4"/>
      <c r="AW1317" s="8"/>
      <c r="AX1317" s="4"/>
      <c r="AY1317" s="8"/>
      <c r="AZ1317" s="7"/>
      <c r="BA1317" s="7"/>
      <c r="BB1317" s="7"/>
      <c r="BC1317" s="4" t="s">
        <v>200</v>
      </c>
      <c r="BD1317" s="8" t="s">
        <v>200</v>
      </c>
      <c r="BE1317" s="4" t="s">
        <v>200</v>
      </c>
      <c r="BF1317" s="8" t="s">
        <v>200</v>
      </c>
      <c r="BG1317" s="7" t="s">
        <v>200</v>
      </c>
      <c r="BH1317" s="7" t="s">
        <v>200</v>
      </c>
      <c r="BI1317" s="7"/>
      <c r="BJ1317" s="4">
        <v>105</v>
      </c>
      <c r="BK1317" s="8">
        <v>3455.45</v>
      </c>
      <c r="BL1317" s="2" t="s">
        <v>7190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7191</v>
      </c>
      <c r="BV1317" s="2" t="s">
        <v>200</v>
      </c>
      <c r="BW1317" s="2" t="s">
        <v>200</v>
      </c>
      <c r="BX1317" s="2" t="s">
        <v>264</v>
      </c>
      <c r="BY1317" s="2" t="s">
        <v>247</v>
      </c>
      <c r="BZ1317" s="2" t="s">
        <v>212</v>
      </c>
      <c r="CA1317" s="2" t="s">
        <v>4706</v>
      </c>
      <c r="CB1317" s="2" t="s">
        <v>7192</v>
      </c>
      <c r="CC1317" s="2" t="s">
        <v>213</v>
      </c>
      <c r="CD1317" s="2" t="s">
        <v>200</v>
      </c>
      <c r="CE1317" s="4">
        <v>636</v>
      </c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  <c r="DE1317" s="4"/>
      <c r="DF1317" s="4"/>
      <c r="DG1317" s="4"/>
      <c r="DH1317" s="4"/>
      <c r="DI1317" s="4"/>
      <c r="DJ1317" s="4"/>
      <c r="DK1317" s="4"/>
      <c r="DL1317" s="4"/>
      <c r="DM1317" s="4"/>
      <c r="DN1317" s="4"/>
      <c r="DO1317" s="4"/>
      <c r="DP1317" s="4"/>
      <c r="DQ1317" s="4"/>
      <c r="DR1317" s="4"/>
      <c r="DS1317" s="4"/>
      <c r="DT1317" s="4"/>
      <c r="DU1317" s="4"/>
      <c r="DV1317" s="4"/>
      <c r="DW1317" s="4"/>
      <c r="DX1317" s="4"/>
      <c r="DY1317" s="4"/>
      <c r="DZ1317" s="4"/>
      <c r="EA1317" s="4"/>
      <c r="EB1317" s="4"/>
      <c r="EC1317" s="4"/>
      <c r="ED1317" s="4"/>
      <c r="EE1317" s="4"/>
      <c r="EF1317" s="4"/>
      <c r="EG1317" s="4"/>
      <c r="EH1317" s="4"/>
      <c r="EI1317" s="4"/>
      <c r="EJ1317" s="4"/>
      <c r="EK1317" s="4"/>
      <c r="EL1317" s="4"/>
      <c r="EM1317" s="4"/>
      <c r="EN1317" s="4"/>
      <c r="EO1317" s="4"/>
      <c r="EP1317" s="4"/>
      <c r="EQ1317" s="4"/>
      <c r="ER1317" s="4"/>
      <c r="ES1317" s="4"/>
      <c r="ET1317" s="4"/>
      <c r="EU1317" s="4"/>
      <c r="EV1317" s="4"/>
      <c r="EW1317" s="4"/>
      <c r="EX1317" s="4"/>
      <c r="EY1317" s="4"/>
      <c r="EZ1317" s="4"/>
      <c r="FA1317" s="4"/>
      <c r="FB1317" s="4"/>
      <c r="FC1317" s="4"/>
      <c r="FD1317" s="4"/>
      <c r="FE1317" s="4"/>
      <c r="FF1317" s="4"/>
      <c r="FG1317" s="4"/>
      <c r="FH1317" s="4"/>
      <c r="FI1317" s="4"/>
      <c r="FJ1317" s="4"/>
      <c r="FK1317" s="4"/>
      <c r="FL1317" s="4"/>
      <c r="FM1317" s="4"/>
      <c r="FN1317" s="4"/>
      <c r="FO1317" s="4"/>
      <c r="FP1317" s="4"/>
      <c r="FQ1317" s="4"/>
      <c r="FR1317" s="4"/>
      <c r="FS1317" s="4"/>
      <c r="FT1317" s="4"/>
      <c r="FU1317" s="4"/>
      <c r="FV1317" s="4"/>
      <c r="FW1317" s="4"/>
      <c r="FX1317" s="4"/>
      <c r="FY1317" s="4"/>
      <c r="FZ1317" s="4"/>
      <c r="GA1317" s="4"/>
      <c r="GB1317" s="4"/>
      <c r="GC1317" s="4"/>
      <c r="GD1317" s="4"/>
      <c r="GE1317" s="4"/>
      <c r="GF1317" s="4"/>
      <c r="GG1317" s="4"/>
      <c r="GH1317" s="4"/>
    </row>
    <row r="1318">
      <c r="A1318" s="2" t="s">
        <v>7193</v>
      </c>
      <c r="B1318" s="2" t="s">
        <v>230</v>
      </c>
      <c r="C1318" s="2" t="s">
        <v>624</v>
      </c>
      <c r="D1318" s="2" t="s">
        <v>232</v>
      </c>
      <c r="E1318" s="2" t="s">
        <v>233</v>
      </c>
      <c r="F1318" s="2" t="s">
        <v>7186</v>
      </c>
      <c r="G1318" s="2" t="s">
        <v>7186</v>
      </c>
      <c r="H1318" s="2" t="s">
        <v>7186</v>
      </c>
      <c r="I1318" s="2" t="s">
        <v>7187</v>
      </c>
      <c r="J1318" s="2" t="s">
        <v>277</v>
      </c>
      <c r="K1318" s="2" t="s">
        <v>7194</v>
      </c>
      <c r="L1318" s="3">
        <v>22</v>
      </c>
      <c r="M1318" s="3">
        <v>23.1</v>
      </c>
      <c r="N1318" s="3">
        <v>47.99</v>
      </c>
      <c r="O1318" s="2" t="s">
        <v>212</v>
      </c>
      <c r="P1318" s="2" t="s">
        <v>205</v>
      </c>
      <c r="Q1318" s="2" t="s">
        <v>206</v>
      </c>
      <c r="R1318" s="2" t="s">
        <v>200</v>
      </c>
      <c r="S1318" s="2" t="s">
        <v>7195</v>
      </c>
      <c r="T1318" s="2" t="s">
        <v>3312</v>
      </c>
      <c r="U1318" s="2" t="s">
        <v>240</v>
      </c>
      <c r="V1318" s="2" t="s">
        <v>3270</v>
      </c>
      <c r="W1318" s="2" t="s">
        <v>241</v>
      </c>
      <c r="X1318" s="2" t="s">
        <v>379</v>
      </c>
      <c r="Y1318" s="2" t="s">
        <v>3313</v>
      </c>
      <c r="Z1318" s="4">
        <v>414</v>
      </c>
      <c r="AA1318" s="4">
        <f>=ROUNDDOWN(59.1428571428571,0)</f>
      </c>
      <c r="AB1318" s="5">
        <v>7</v>
      </c>
      <c r="AC1318" s="2" t="s">
        <v>200</v>
      </c>
      <c r="AD1318" s="4"/>
      <c r="AE1318" s="4"/>
      <c r="AF1318" s="6">
        <v>69</v>
      </c>
      <c r="AG1318" s="6"/>
      <c r="AH1318" s="7">
        <v>1</v>
      </c>
      <c r="AI1318" s="4"/>
      <c r="AJ1318" s="4">
        <f>=ROUNDDOWN({0},0)</f>
      </c>
      <c r="AK1318" s="5"/>
      <c r="AL1318" s="2" t="s">
        <v>200</v>
      </c>
      <c r="AM1318" s="4"/>
      <c r="AN1318" s="4"/>
      <c r="AO1318" s="7"/>
      <c r="AP1318" s="4"/>
      <c r="AQ1318" s="8"/>
      <c r="AR1318" s="4"/>
      <c r="AS1318" s="8"/>
      <c r="AT1318" s="7"/>
      <c r="AU1318" s="7"/>
      <c r="AV1318" s="4" t="s">
        <v>200</v>
      </c>
      <c r="AW1318" s="8" t="s">
        <v>200</v>
      </c>
      <c r="AX1318" s="4" t="s">
        <v>200</v>
      </c>
      <c r="AY1318" s="8" t="s">
        <v>200</v>
      </c>
      <c r="AZ1318" s="7" t="s">
        <v>200</v>
      </c>
      <c r="BA1318" s="7" t="s">
        <v>200</v>
      </c>
      <c r="BB1318" s="7"/>
      <c r="BC1318" s="4" t="s">
        <v>200</v>
      </c>
      <c r="BD1318" s="8" t="s">
        <v>200</v>
      </c>
      <c r="BE1318" s="4" t="s">
        <v>200</v>
      </c>
      <c r="BF1318" s="8" t="s">
        <v>200</v>
      </c>
      <c r="BG1318" s="7" t="s">
        <v>200</v>
      </c>
      <c r="BH1318" s="7" t="s">
        <v>200</v>
      </c>
      <c r="BI1318" s="7"/>
      <c r="BJ1318" s="4">
        <v>61</v>
      </c>
      <c r="BK1318" s="8">
        <v>1630.5</v>
      </c>
      <c r="BL1318" s="2" t="s">
        <v>7196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7197</v>
      </c>
      <c r="BV1318" s="2" t="s">
        <v>200</v>
      </c>
      <c r="BW1318" s="2" t="s">
        <v>200</v>
      </c>
      <c r="BX1318" s="2" t="s">
        <v>264</v>
      </c>
      <c r="BY1318" s="2" t="s">
        <v>247</v>
      </c>
      <c r="BZ1318" s="2" t="s">
        <v>212</v>
      </c>
      <c r="CA1318" s="2" t="s">
        <v>3329</v>
      </c>
      <c r="CB1318" s="2" t="s">
        <v>200</v>
      </c>
      <c r="CC1318" s="2" t="s">
        <v>213</v>
      </c>
      <c r="CD1318" s="2" t="s">
        <v>200</v>
      </c>
      <c r="CE1318" s="4">
        <v>414</v>
      </c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/>
      <c r="DD1318" s="4"/>
      <c r="DE1318" s="4"/>
      <c r="DF1318" s="4"/>
      <c r="DG1318" s="4"/>
      <c r="DH1318" s="4"/>
      <c r="DI1318" s="4"/>
      <c r="DJ1318" s="4"/>
      <c r="DK1318" s="4"/>
      <c r="DL1318" s="4"/>
      <c r="DM1318" s="4"/>
      <c r="DN1318" s="4"/>
      <c r="DO1318" s="4"/>
      <c r="DP1318" s="4"/>
      <c r="DQ1318" s="4"/>
      <c r="DR1318" s="4"/>
      <c r="DS1318" s="4"/>
      <c r="DT1318" s="4"/>
      <c r="DU1318" s="4"/>
      <c r="DV1318" s="4"/>
      <c r="DW1318" s="4"/>
      <c r="DX1318" s="4"/>
      <c r="DY1318" s="4"/>
      <c r="DZ1318" s="4"/>
      <c r="EA1318" s="4"/>
      <c r="EB1318" s="4"/>
      <c r="EC1318" s="4"/>
      <c r="ED1318" s="4"/>
      <c r="EE1318" s="4"/>
      <c r="EF1318" s="4"/>
      <c r="EG1318" s="4"/>
      <c r="EH1318" s="4"/>
      <c r="EI1318" s="4"/>
      <c r="EJ1318" s="4"/>
      <c r="EK1318" s="4"/>
      <c r="EL1318" s="4"/>
      <c r="EM1318" s="4"/>
      <c r="EN1318" s="4"/>
      <c r="EO1318" s="4"/>
      <c r="EP1318" s="4"/>
      <c r="EQ1318" s="4"/>
      <c r="ER1318" s="4"/>
      <c r="ES1318" s="4"/>
      <c r="ET1318" s="4"/>
      <c r="EU1318" s="4"/>
      <c r="EV1318" s="4"/>
      <c r="EW1318" s="4"/>
      <c r="EX1318" s="4"/>
      <c r="EY1318" s="4"/>
      <c r="EZ1318" s="4"/>
      <c r="FA1318" s="4"/>
      <c r="FB1318" s="4"/>
      <c r="FC1318" s="4"/>
      <c r="FD1318" s="4"/>
      <c r="FE1318" s="4"/>
      <c r="FF1318" s="4"/>
      <c r="FG1318" s="4"/>
      <c r="FH1318" s="4"/>
      <c r="FI1318" s="4"/>
      <c r="FJ1318" s="4"/>
      <c r="FK1318" s="4"/>
      <c r="FL1318" s="4"/>
      <c r="FM1318" s="4"/>
      <c r="FN1318" s="4"/>
      <c r="FO1318" s="4"/>
      <c r="FP1318" s="4"/>
      <c r="FQ1318" s="4"/>
      <c r="FR1318" s="4"/>
      <c r="FS1318" s="4"/>
      <c r="FT1318" s="4"/>
      <c r="FU1318" s="4"/>
      <c r="FV1318" s="4"/>
      <c r="FW1318" s="4"/>
      <c r="FX1318" s="4"/>
      <c r="FY1318" s="4"/>
      <c r="FZ1318" s="4"/>
      <c r="GA1318" s="4"/>
      <c r="GB1318" s="4"/>
      <c r="GC1318" s="4"/>
      <c r="GD1318" s="4"/>
      <c r="GE1318" s="4"/>
      <c r="GF1318" s="4"/>
      <c r="GG1318" s="4"/>
      <c r="GH1318" s="4"/>
    </row>
    <row r="1319">
      <c r="A1319" s="2" t="s">
        <v>7198</v>
      </c>
      <c r="B1319" s="2" t="s">
        <v>230</v>
      </c>
      <c r="C1319" s="2" t="s">
        <v>624</v>
      </c>
      <c r="D1319" s="2" t="s">
        <v>232</v>
      </c>
      <c r="E1319" s="2" t="s">
        <v>233</v>
      </c>
      <c r="F1319" s="2" t="s">
        <v>7186</v>
      </c>
      <c r="G1319" s="2" t="s">
        <v>7186</v>
      </c>
      <c r="H1319" s="2" t="s">
        <v>7186</v>
      </c>
      <c r="I1319" s="2" t="s">
        <v>7187</v>
      </c>
      <c r="J1319" s="2" t="s">
        <v>297</v>
      </c>
      <c r="K1319" s="2" t="s">
        <v>7194</v>
      </c>
      <c r="L1319" s="3">
        <v>25.85</v>
      </c>
      <c r="M1319" s="3">
        <v>27.14</v>
      </c>
      <c r="N1319" s="3">
        <v>55.99</v>
      </c>
      <c r="O1319" s="2" t="s">
        <v>212</v>
      </c>
      <c r="P1319" s="2" t="s">
        <v>205</v>
      </c>
      <c r="Q1319" s="2" t="s">
        <v>206</v>
      </c>
      <c r="R1319" s="2" t="s">
        <v>200</v>
      </c>
      <c r="S1319" s="2" t="s">
        <v>7195</v>
      </c>
      <c r="T1319" s="2" t="s">
        <v>3312</v>
      </c>
      <c r="U1319" s="2" t="s">
        <v>240</v>
      </c>
      <c r="V1319" s="2" t="s">
        <v>3270</v>
      </c>
      <c r="W1319" s="2" t="s">
        <v>241</v>
      </c>
      <c r="X1319" s="2" t="s">
        <v>379</v>
      </c>
      <c r="Y1319" s="2" t="s">
        <v>3313</v>
      </c>
      <c r="Z1319" s="4">
        <v>587</v>
      </c>
      <c r="AA1319" s="4">
        <f>=ROUNDDOWN(19.5666666666667,0)</f>
      </c>
      <c r="AB1319" s="5">
        <v>30</v>
      </c>
      <c r="AC1319" s="2" t="s">
        <v>200</v>
      </c>
      <c r="AD1319" s="4"/>
      <c r="AE1319" s="4"/>
      <c r="AF1319" s="6">
        <v>69</v>
      </c>
      <c r="AG1319" s="6"/>
      <c r="AH1319" s="7">
        <v>1</v>
      </c>
      <c r="AI1319" s="4"/>
      <c r="AJ1319" s="4">
        <f>=ROUNDDOWN({0},0)</f>
      </c>
      <c r="AK1319" s="5"/>
      <c r="AL1319" s="2" t="s">
        <v>200</v>
      </c>
      <c r="AM1319" s="4"/>
      <c r="AN1319" s="4"/>
      <c r="AO1319" s="7"/>
      <c r="AP1319" s="4"/>
      <c r="AQ1319" s="8"/>
      <c r="AR1319" s="4"/>
      <c r="AS1319" s="8"/>
      <c r="AT1319" s="7"/>
      <c r="AU1319" s="7"/>
      <c r="AV1319" s="4" t="s">
        <v>200</v>
      </c>
      <c r="AW1319" s="8" t="s">
        <v>200</v>
      </c>
      <c r="AX1319" s="4" t="s">
        <v>200</v>
      </c>
      <c r="AY1319" s="8" t="s">
        <v>200</v>
      </c>
      <c r="AZ1319" s="7" t="s">
        <v>200</v>
      </c>
      <c r="BA1319" s="7" t="s">
        <v>200</v>
      </c>
      <c r="BB1319" s="7"/>
      <c r="BC1319" s="4" t="s">
        <v>200</v>
      </c>
      <c r="BD1319" s="8" t="s">
        <v>200</v>
      </c>
      <c r="BE1319" s="4" t="s">
        <v>200</v>
      </c>
      <c r="BF1319" s="8" t="s">
        <v>200</v>
      </c>
      <c r="BG1319" s="7" t="s">
        <v>200</v>
      </c>
      <c r="BH1319" s="7" t="s">
        <v>200</v>
      </c>
      <c r="BI1319" s="7"/>
      <c r="BJ1319" s="4">
        <v>242</v>
      </c>
      <c r="BK1319" s="8">
        <v>7230.9</v>
      </c>
      <c r="BL1319" s="2" t="s">
        <v>7199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7200</v>
      </c>
      <c r="BV1319" s="2" t="s">
        <v>200</v>
      </c>
      <c r="BW1319" s="2" t="s">
        <v>200</v>
      </c>
      <c r="BX1319" s="2" t="s">
        <v>264</v>
      </c>
      <c r="BY1319" s="2" t="s">
        <v>247</v>
      </c>
      <c r="BZ1319" s="2" t="s">
        <v>212</v>
      </c>
      <c r="CA1319" s="2" t="s">
        <v>3329</v>
      </c>
      <c r="CB1319" s="2" t="s">
        <v>200</v>
      </c>
      <c r="CC1319" s="2" t="s">
        <v>213</v>
      </c>
      <c r="CD1319" s="2" t="s">
        <v>200</v>
      </c>
      <c r="CE1319" s="4">
        <v>587</v>
      </c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E1319" s="4"/>
      <c r="DF1319" s="4"/>
      <c r="DG1319" s="4"/>
      <c r="DH1319" s="4"/>
      <c r="DI1319" s="4"/>
      <c r="DJ1319" s="4"/>
      <c r="DK1319" s="4"/>
      <c r="DL1319" s="4"/>
      <c r="DM1319" s="4"/>
      <c r="DN1319" s="4"/>
      <c r="DO1319" s="4"/>
      <c r="DP1319" s="4"/>
      <c r="DQ1319" s="4"/>
      <c r="DR1319" s="4"/>
      <c r="DS1319" s="4"/>
      <c r="DT1319" s="4"/>
      <c r="DU1319" s="4"/>
      <c r="DV1319" s="4"/>
      <c r="DW1319" s="4"/>
      <c r="DX1319" s="4"/>
      <c r="DY1319" s="4"/>
      <c r="DZ1319" s="4"/>
      <c r="EA1319" s="4"/>
      <c r="EB1319" s="4"/>
      <c r="EC1319" s="4"/>
      <c r="ED1319" s="4"/>
      <c r="EE1319" s="4"/>
      <c r="EF1319" s="4"/>
      <c r="EG1319" s="4"/>
      <c r="EH1319" s="4"/>
      <c r="EI1319" s="4"/>
      <c r="EJ1319" s="4"/>
      <c r="EK1319" s="4"/>
      <c r="EL1319" s="4"/>
      <c r="EM1319" s="4"/>
      <c r="EN1319" s="4"/>
      <c r="EO1319" s="4"/>
      <c r="EP1319" s="4"/>
      <c r="EQ1319" s="4"/>
      <c r="ER1319" s="4"/>
      <c r="ES1319" s="4"/>
      <c r="ET1319" s="4"/>
      <c r="EU1319" s="4"/>
      <c r="EV1319" s="4"/>
      <c r="EW1319" s="4"/>
      <c r="EX1319" s="4"/>
      <c r="EY1319" s="4"/>
      <c r="EZ1319" s="4"/>
      <c r="FA1319" s="4"/>
      <c r="FB1319" s="4"/>
      <c r="FC1319" s="4"/>
      <c r="FD1319" s="4"/>
      <c r="FE1319" s="4"/>
      <c r="FF1319" s="4"/>
      <c r="FG1319" s="4"/>
      <c r="FH1319" s="4"/>
      <c r="FI1319" s="4"/>
      <c r="FJ1319" s="4"/>
      <c r="FK1319" s="4"/>
      <c r="FL1319" s="4"/>
      <c r="FM1319" s="4"/>
      <c r="FN1319" s="4"/>
      <c r="FO1319" s="4"/>
      <c r="FP1319" s="4"/>
      <c r="FQ1319" s="4"/>
      <c r="FR1319" s="4"/>
      <c r="FS1319" s="4"/>
      <c r="FT1319" s="4"/>
      <c r="FU1319" s="4"/>
      <c r="FV1319" s="4"/>
      <c r="FW1319" s="4"/>
      <c r="FX1319" s="4"/>
      <c r="FY1319" s="4"/>
      <c r="FZ1319" s="4"/>
      <c r="GA1319" s="4"/>
      <c r="GB1319" s="4"/>
      <c r="GC1319" s="4"/>
      <c r="GD1319" s="4"/>
      <c r="GE1319" s="4"/>
      <c r="GF1319" s="4"/>
      <c r="GG1319" s="4"/>
      <c r="GH1319" s="4"/>
    </row>
    <row r="1320">
      <c r="A1320" s="2" t="s">
        <v>7201</v>
      </c>
      <c r="B1320" s="2" t="s">
        <v>230</v>
      </c>
      <c r="C1320" s="2" t="s">
        <v>624</v>
      </c>
      <c r="D1320" s="2" t="s">
        <v>232</v>
      </c>
      <c r="E1320" s="2" t="s">
        <v>233</v>
      </c>
      <c r="F1320" s="2" t="s">
        <v>7186</v>
      </c>
      <c r="G1320" s="2" t="s">
        <v>7186</v>
      </c>
      <c r="H1320" s="2" t="s">
        <v>7186</v>
      </c>
      <c r="I1320" s="2" t="s">
        <v>7187</v>
      </c>
      <c r="J1320" s="2" t="s">
        <v>302</v>
      </c>
      <c r="K1320" s="2" t="s">
        <v>7194</v>
      </c>
      <c r="L1320" s="3">
        <v>28.68</v>
      </c>
      <c r="M1320" s="3">
        <v>30.11</v>
      </c>
      <c r="N1320" s="3">
        <v>62.99</v>
      </c>
      <c r="O1320" s="2" t="s">
        <v>212</v>
      </c>
      <c r="P1320" s="2" t="s">
        <v>205</v>
      </c>
      <c r="Q1320" s="2" t="s">
        <v>206</v>
      </c>
      <c r="R1320" s="2" t="s">
        <v>200</v>
      </c>
      <c r="S1320" s="2" t="s">
        <v>7195</v>
      </c>
      <c r="T1320" s="2" t="s">
        <v>3312</v>
      </c>
      <c r="U1320" s="2" t="s">
        <v>240</v>
      </c>
      <c r="V1320" s="2" t="s">
        <v>3270</v>
      </c>
      <c r="W1320" s="2" t="s">
        <v>241</v>
      </c>
      <c r="X1320" s="2" t="s">
        <v>379</v>
      </c>
      <c r="Y1320" s="2" t="s">
        <v>3313</v>
      </c>
      <c r="Z1320" s="4">
        <v>304</v>
      </c>
      <c r="AA1320" s="4">
        <f>=ROUNDDOWN(21.7142857142857,0)</f>
      </c>
      <c r="AB1320" s="5">
        <v>14</v>
      </c>
      <c r="AC1320" s="2" t="s">
        <v>200</v>
      </c>
      <c r="AD1320" s="4"/>
      <c r="AE1320" s="4"/>
      <c r="AF1320" s="6">
        <v>69</v>
      </c>
      <c r="AG1320" s="6"/>
      <c r="AH1320" s="7">
        <v>1</v>
      </c>
      <c r="AI1320" s="4"/>
      <c r="AJ1320" s="4">
        <f>=ROUNDDOWN({0},0)</f>
      </c>
      <c r="AK1320" s="5"/>
      <c r="AL1320" s="2" t="s">
        <v>200</v>
      </c>
      <c r="AM1320" s="4"/>
      <c r="AN1320" s="4"/>
      <c r="AO1320" s="7"/>
      <c r="AP1320" s="4"/>
      <c r="AQ1320" s="8"/>
      <c r="AR1320" s="4"/>
      <c r="AS1320" s="8"/>
      <c r="AT1320" s="7"/>
      <c r="AU1320" s="7"/>
      <c r="AV1320" s="4" t="s">
        <v>200</v>
      </c>
      <c r="AW1320" s="8" t="s">
        <v>200</v>
      </c>
      <c r="AX1320" s="4" t="s">
        <v>200</v>
      </c>
      <c r="AY1320" s="8" t="s">
        <v>200</v>
      </c>
      <c r="AZ1320" s="7" t="s">
        <v>200</v>
      </c>
      <c r="BA1320" s="7" t="s">
        <v>200</v>
      </c>
      <c r="BB1320" s="7"/>
      <c r="BC1320" s="4" t="s">
        <v>200</v>
      </c>
      <c r="BD1320" s="8" t="s">
        <v>200</v>
      </c>
      <c r="BE1320" s="4" t="s">
        <v>200</v>
      </c>
      <c r="BF1320" s="8" t="s">
        <v>200</v>
      </c>
      <c r="BG1320" s="7" t="s">
        <v>200</v>
      </c>
      <c r="BH1320" s="7" t="s">
        <v>200</v>
      </c>
      <c r="BI1320" s="7"/>
      <c r="BJ1320" s="4">
        <v>121</v>
      </c>
      <c r="BK1320" s="8">
        <v>4018.42</v>
      </c>
      <c r="BL1320" s="2" t="s">
        <v>680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7202</v>
      </c>
      <c r="BV1320" s="2" t="s">
        <v>200</v>
      </c>
      <c r="BW1320" s="2" t="s">
        <v>200</v>
      </c>
      <c r="BX1320" s="2" t="s">
        <v>264</v>
      </c>
      <c r="BY1320" s="2" t="s">
        <v>247</v>
      </c>
      <c r="BZ1320" s="2" t="s">
        <v>212</v>
      </c>
      <c r="CA1320" s="2" t="s">
        <v>3329</v>
      </c>
      <c r="CB1320" s="2" t="s">
        <v>200</v>
      </c>
      <c r="CC1320" s="2" t="s">
        <v>213</v>
      </c>
      <c r="CD1320" s="2" t="s">
        <v>200</v>
      </c>
      <c r="CE1320" s="4">
        <v>304</v>
      </c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  <c r="DD1320" s="4"/>
      <c r="DE1320" s="4"/>
      <c r="DF1320" s="4"/>
      <c r="DG1320" s="4"/>
      <c r="DH1320" s="4"/>
      <c r="DI1320" s="4"/>
      <c r="DJ1320" s="4"/>
      <c r="DK1320" s="4"/>
      <c r="DL1320" s="4"/>
      <c r="DM1320" s="4"/>
      <c r="DN1320" s="4"/>
      <c r="DO1320" s="4"/>
      <c r="DP1320" s="4"/>
      <c r="DQ1320" s="4"/>
      <c r="DR1320" s="4"/>
      <c r="DS1320" s="4"/>
      <c r="DT1320" s="4"/>
      <c r="DU1320" s="4"/>
      <c r="DV1320" s="4"/>
      <c r="DW1320" s="4"/>
      <c r="DX1320" s="4"/>
      <c r="DY1320" s="4"/>
      <c r="DZ1320" s="4"/>
      <c r="EA1320" s="4"/>
      <c r="EB1320" s="4"/>
      <c r="EC1320" s="4"/>
      <c r="ED1320" s="4"/>
      <c r="EE1320" s="4"/>
      <c r="EF1320" s="4"/>
      <c r="EG1320" s="4"/>
      <c r="EH1320" s="4"/>
      <c r="EI1320" s="4"/>
      <c r="EJ1320" s="4"/>
      <c r="EK1320" s="4"/>
      <c r="EL1320" s="4"/>
      <c r="EM1320" s="4"/>
      <c r="EN1320" s="4"/>
      <c r="EO1320" s="4"/>
      <c r="EP1320" s="4"/>
      <c r="EQ1320" s="4"/>
      <c r="ER1320" s="4"/>
      <c r="ES1320" s="4"/>
      <c r="ET1320" s="4"/>
      <c r="EU1320" s="4"/>
      <c r="EV1320" s="4"/>
      <c r="EW1320" s="4"/>
      <c r="EX1320" s="4"/>
      <c r="EY1320" s="4"/>
      <c r="EZ1320" s="4"/>
      <c r="FA1320" s="4"/>
      <c r="FB1320" s="4"/>
      <c r="FC1320" s="4"/>
      <c r="FD1320" s="4"/>
      <c r="FE1320" s="4"/>
      <c r="FF1320" s="4"/>
      <c r="FG1320" s="4"/>
      <c r="FH1320" s="4"/>
      <c r="FI1320" s="4"/>
      <c r="FJ1320" s="4"/>
      <c r="FK1320" s="4"/>
      <c r="FL1320" s="4"/>
      <c r="FM1320" s="4"/>
      <c r="FN1320" s="4"/>
      <c r="FO1320" s="4"/>
      <c r="FP1320" s="4"/>
      <c r="FQ1320" s="4"/>
      <c r="FR1320" s="4"/>
      <c r="FS1320" s="4"/>
      <c r="FT1320" s="4"/>
      <c r="FU1320" s="4"/>
      <c r="FV1320" s="4"/>
      <c r="FW1320" s="4"/>
      <c r="FX1320" s="4"/>
      <c r="FY1320" s="4"/>
      <c r="FZ1320" s="4"/>
      <c r="GA1320" s="4"/>
      <c r="GB1320" s="4"/>
      <c r="GC1320" s="4"/>
      <c r="GD1320" s="4"/>
      <c r="GE1320" s="4"/>
      <c r="GF1320" s="4"/>
      <c r="GG1320" s="4"/>
      <c r="GH1320" s="4"/>
    </row>
    <row r="1321">
      <c r="A1321" s="2" t="s">
        <v>7203</v>
      </c>
      <c r="B1321" s="2" t="s">
        <v>230</v>
      </c>
      <c r="C1321" s="2" t="s">
        <v>624</v>
      </c>
      <c r="D1321" s="2" t="s">
        <v>232</v>
      </c>
      <c r="E1321" s="2" t="s">
        <v>233</v>
      </c>
      <c r="F1321" s="2" t="s">
        <v>7186</v>
      </c>
      <c r="G1321" s="2" t="s">
        <v>7186</v>
      </c>
      <c r="H1321" s="2" t="s">
        <v>7186</v>
      </c>
      <c r="I1321" s="2" t="s">
        <v>7187</v>
      </c>
      <c r="J1321" s="2" t="s">
        <v>236</v>
      </c>
      <c r="K1321" s="2" t="s">
        <v>7194</v>
      </c>
      <c r="L1321" s="3">
        <v>28.68</v>
      </c>
      <c r="M1321" s="3">
        <v>30.11</v>
      </c>
      <c r="N1321" s="3">
        <v>62.99</v>
      </c>
      <c r="O1321" s="2" t="s">
        <v>212</v>
      </c>
      <c r="P1321" s="2" t="s">
        <v>205</v>
      </c>
      <c r="Q1321" s="2" t="s">
        <v>206</v>
      </c>
      <c r="R1321" s="2" t="s">
        <v>200</v>
      </c>
      <c r="S1321" s="2" t="s">
        <v>7195</v>
      </c>
      <c r="T1321" s="2" t="s">
        <v>3312</v>
      </c>
      <c r="U1321" s="2" t="s">
        <v>240</v>
      </c>
      <c r="V1321" s="2" t="s">
        <v>3270</v>
      </c>
      <c r="W1321" s="2" t="s">
        <v>241</v>
      </c>
      <c r="X1321" s="2" t="s">
        <v>379</v>
      </c>
      <c r="Y1321" s="2" t="s">
        <v>3313</v>
      </c>
      <c r="Z1321" s="4">
        <v>181</v>
      </c>
      <c r="AA1321" s="4">
        <f>=ROUNDDOWN(25.8571428571429,0)</f>
      </c>
      <c r="AB1321" s="5">
        <v>7</v>
      </c>
      <c r="AC1321" s="2" t="s">
        <v>200</v>
      </c>
      <c r="AD1321" s="4"/>
      <c r="AE1321" s="4"/>
      <c r="AF1321" s="6">
        <v>69</v>
      </c>
      <c r="AG1321" s="6"/>
      <c r="AH1321" s="7">
        <v>1</v>
      </c>
      <c r="AI1321" s="4"/>
      <c r="AJ1321" s="4">
        <f>=ROUNDDOWN({0},0)</f>
      </c>
      <c r="AK1321" s="5"/>
      <c r="AL1321" s="2" t="s">
        <v>200</v>
      </c>
      <c r="AM1321" s="4"/>
      <c r="AN1321" s="4"/>
      <c r="AO1321" s="7"/>
      <c r="AP1321" s="4"/>
      <c r="AQ1321" s="8"/>
      <c r="AR1321" s="4"/>
      <c r="AS1321" s="8"/>
      <c r="AT1321" s="7"/>
      <c r="AU1321" s="7"/>
      <c r="AV1321" s="4" t="s">
        <v>200</v>
      </c>
      <c r="AW1321" s="8" t="s">
        <v>200</v>
      </c>
      <c r="AX1321" s="4" t="s">
        <v>200</v>
      </c>
      <c r="AY1321" s="8" t="s">
        <v>200</v>
      </c>
      <c r="AZ1321" s="7" t="s">
        <v>200</v>
      </c>
      <c r="BA1321" s="7" t="s">
        <v>200</v>
      </c>
      <c r="BB1321" s="7"/>
      <c r="BC1321" s="4" t="s">
        <v>200</v>
      </c>
      <c r="BD1321" s="8" t="s">
        <v>200</v>
      </c>
      <c r="BE1321" s="4" t="s">
        <v>200</v>
      </c>
      <c r="BF1321" s="8" t="s">
        <v>200</v>
      </c>
      <c r="BG1321" s="7" t="s">
        <v>200</v>
      </c>
      <c r="BH1321" s="7" t="s">
        <v>200</v>
      </c>
      <c r="BI1321" s="7"/>
      <c r="BJ1321" s="4">
        <v>90</v>
      </c>
      <c r="BK1321" s="8">
        <v>3022.92</v>
      </c>
      <c r="BL1321" s="2" t="s">
        <v>3175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7204</v>
      </c>
      <c r="BV1321" s="2" t="s">
        <v>200</v>
      </c>
      <c r="BW1321" s="2" t="s">
        <v>200</v>
      </c>
      <c r="BX1321" s="2" t="s">
        <v>264</v>
      </c>
      <c r="BY1321" s="2" t="s">
        <v>247</v>
      </c>
      <c r="BZ1321" s="2" t="s">
        <v>212</v>
      </c>
      <c r="CA1321" s="2" t="s">
        <v>3329</v>
      </c>
      <c r="CB1321" s="2" t="s">
        <v>200</v>
      </c>
      <c r="CC1321" s="2" t="s">
        <v>213</v>
      </c>
      <c r="CD1321" s="2" t="s">
        <v>200</v>
      </c>
      <c r="CE1321" s="4">
        <v>181</v>
      </c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E1321" s="4"/>
      <c r="DF1321" s="4"/>
      <c r="DG1321" s="4"/>
      <c r="DH1321" s="4"/>
      <c r="DI1321" s="4"/>
      <c r="DJ1321" s="4"/>
      <c r="DK1321" s="4"/>
      <c r="DL1321" s="4"/>
      <c r="DM1321" s="4"/>
      <c r="DN1321" s="4"/>
      <c r="DO1321" s="4"/>
      <c r="DP1321" s="4"/>
      <c r="DQ1321" s="4"/>
      <c r="DR1321" s="4"/>
      <c r="DS1321" s="4"/>
      <c r="DT1321" s="4"/>
      <c r="DU1321" s="4"/>
      <c r="DV1321" s="4"/>
      <c r="DW1321" s="4"/>
      <c r="DX1321" s="4"/>
      <c r="DY1321" s="4"/>
      <c r="DZ1321" s="4"/>
      <c r="EA1321" s="4"/>
      <c r="EB1321" s="4"/>
      <c r="EC1321" s="4"/>
      <c r="ED1321" s="4"/>
      <c r="EE1321" s="4"/>
      <c r="EF1321" s="4"/>
      <c r="EG1321" s="4"/>
      <c r="EH1321" s="4"/>
      <c r="EI1321" s="4"/>
      <c r="EJ1321" s="4"/>
      <c r="EK1321" s="4"/>
      <c r="EL1321" s="4"/>
      <c r="EM1321" s="4"/>
      <c r="EN1321" s="4"/>
      <c r="EO1321" s="4"/>
      <c r="EP1321" s="4"/>
      <c r="EQ1321" s="4"/>
      <c r="ER1321" s="4"/>
      <c r="ES1321" s="4"/>
      <c r="ET1321" s="4"/>
      <c r="EU1321" s="4"/>
      <c r="EV1321" s="4"/>
      <c r="EW1321" s="4"/>
      <c r="EX1321" s="4"/>
      <c r="EY1321" s="4"/>
      <c r="EZ1321" s="4"/>
      <c r="FA1321" s="4"/>
      <c r="FB1321" s="4"/>
      <c r="FC1321" s="4"/>
      <c r="FD1321" s="4"/>
      <c r="FE1321" s="4"/>
      <c r="FF1321" s="4"/>
      <c r="FG1321" s="4"/>
      <c r="FH1321" s="4"/>
      <c r="FI1321" s="4"/>
      <c r="FJ1321" s="4"/>
      <c r="FK1321" s="4"/>
      <c r="FL1321" s="4"/>
      <c r="FM1321" s="4"/>
      <c r="FN1321" s="4"/>
      <c r="FO1321" s="4"/>
      <c r="FP1321" s="4"/>
      <c r="FQ1321" s="4"/>
      <c r="FR1321" s="4"/>
      <c r="FS1321" s="4"/>
      <c r="FT1321" s="4"/>
      <c r="FU1321" s="4"/>
      <c r="FV1321" s="4"/>
      <c r="FW1321" s="4"/>
      <c r="FX1321" s="4"/>
      <c r="FY1321" s="4"/>
      <c r="FZ1321" s="4"/>
      <c r="GA1321" s="4"/>
      <c r="GB1321" s="4"/>
      <c r="GC1321" s="4"/>
      <c r="GD1321" s="4"/>
      <c r="GE1321" s="4"/>
      <c r="GF1321" s="4"/>
      <c r="GG1321" s="4"/>
      <c r="GH1321" s="4"/>
    </row>
    <row r="1322">
      <c r="A1322" s="2" t="s">
        <v>7205</v>
      </c>
      <c r="B1322" s="2" t="s">
        <v>230</v>
      </c>
      <c r="C1322" s="2" t="s">
        <v>624</v>
      </c>
      <c r="D1322" s="2" t="s">
        <v>232</v>
      </c>
      <c r="E1322" s="2" t="s">
        <v>233</v>
      </c>
      <c r="F1322" s="2" t="s">
        <v>7186</v>
      </c>
      <c r="G1322" s="2" t="s">
        <v>7186</v>
      </c>
      <c r="H1322" s="2" t="s">
        <v>7186</v>
      </c>
      <c r="I1322" s="2" t="s">
        <v>7187</v>
      </c>
      <c r="J1322" s="2" t="s">
        <v>236</v>
      </c>
      <c r="K1322" s="2" t="s">
        <v>3478</v>
      </c>
      <c r="L1322" s="3">
        <v>28.68</v>
      </c>
      <c r="M1322" s="3">
        <v>30.11</v>
      </c>
      <c r="N1322" s="3">
        <v>62.99</v>
      </c>
      <c r="O1322" s="2" t="s">
        <v>212</v>
      </c>
      <c r="P1322" s="2" t="s">
        <v>258</v>
      </c>
      <c r="Q1322" s="2" t="s">
        <v>206</v>
      </c>
      <c r="R1322" s="2" t="s">
        <v>200</v>
      </c>
      <c r="S1322" s="2" t="s">
        <v>7206</v>
      </c>
      <c r="T1322" s="2" t="s">
        <v>3312</v>
      </c>
      <c r="U1322" s="2" t="s">
        <v>240</v>
      </c>
      <c r="V1322" s="2" t="s">
        <v>208</v>
      </c>
      <c r="W1322" s="2" t="s">
        <v>241</v>
      </c>
      <c r="X1322" s="2" t="s">
        <v>379</v>
      </c>
      <c r="Y1322" s="2" t="s">
        <v>4706</v>
      </c>
      <c r="Z1322" s="4">
        <v>164</v>
      </c>
      <c r="AA1322" s="4">
        <f>=ROUNDDOWN(27.3333333333333,0)</f>
      </c>
      <c r="AB1322" s="5">
        <v>6</v>
      </c>
      <c r="AC1322" s="2" t="s">
        <v>1105</v>
      </c>
      <c r="AD1322" s="4">
        <v>77</v>
      </c>
      <c r="AE1322" s="4">
        <v>77</v>
      </c>
      <c r="AF1322" s="6">
        <v>65</v>
      </c>
      <c r="AG1322" s="6"/>
      <c r="AH1322" s="7">
        <v>1</v>
      </c>
      <c r="AI1322" s="4"/>
      <c r="AJ1322" s="4">
        <f>=ROUNDDOWN({0},0)</f>
      </c>
      <c r="AK1322" s="5"/>
      <c r="AL1322" s="2" t="s">
        <v>200</v>
      </c>
      <c r="AM1322" s="4"/>
      <c r="AN1322" s="4"/>
      <c r="AO1322" s="7"/>
      <c r="AP1322" s="4"/>
      <c r="AQ1322" s="8"/>
      <c r="AR1322" s="4"/>
      <c r="AS1322" s="8"/>
      <c r="AT1322" s="7"/>
      <c r="AU1322" s="7"/>
      <c r="AV1322" s="4"/>
      <c r="AW1322" s="8"/>
      <c r="AX1322" s="4"/>
      <c r="AY1322" s="8"/>
      <c r="AZ1322" s="7"/>
      <c r="BA1322" s="7"/>
      <c r="BB1322" s="7"/>
      <c r="BC1322" s="4" t="s">
        <v>200</v>
      </c>
      <c r="BD1322" s="8" t="s">
        <v>200</v>
      </c>
      <c r="BE1322" s="4" t="s">
        <v>200</v>
      </c>
      <c r="BF1322" s="8" t="s">
        <v>200</v>
      </c>
      <c r="BG1322" s="7" t="s">
        <v>200</v>
      </c>
      <c r="BH1322" s="7" t="s">
        <v>200</v>
      </c>
      <c r="BI1322" s="7"/>
      <c r="BJ1322" s="4">
        <v>57</v>
      </c>
      <c r="BK1322" s="8">
        <v>1870.67</v>
      </c>
      <c r="BL1322" s="2" t="s">
        <v>7207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7208</v>
      </c>
      <c r="BV1322" s="2" t="s">
        <v>200</v>
      </c>
      <c r="BW1322" s="2" t="s">
        <v>200</v>
      </c>
      <c r="BX1322" s="2" t="s">
        <v>264</v>
      </c>
      <c r="BY1322" s="2" t="s">
        <v>247</v>
      </c>
      <c r="BZ1322" s="2" t="s">
        <v>212</v>
      </c>
      <c r="CA1322" s="2" t="s">
        <v>4706</v>
      </c>
      <c r="CB1322" s="2" t="s">
        <v>7209</v>
      </c>
      <c r="CC1322" s="2" t="s">
        <v>213</v>
      </c>
      <c r="CD1322" s="2" t="s">
        <v>200</v>
      </c>
      <c r="CE1322" s="4">
        <v>164</v>
      </c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>
        <v>77</v>
      </c>
      <c r="CX1322" s="4"/>
      <c r="CY1322" s="4"/>
      <c r="CZ1322" s="4"/>
      <c r="DA1322" s="4"/>
      <c r="DB1322" s="4"/>
      <c r="DC1322" s="4"/>
      <c r="DD1322" s="4"/>
      <c r="DE1322" s="4"/>
      <c r="DF1322" s="4"/>
      <c r="DG1322" s="4"/>
      <c r="DH1322" s="4"/>
      <c r="DI1322" s="4"/>
      <c r="DJ1322" s="4"/>
      <c r="DK1322" s="4"/>
      <c r="DL1322" s="4"/>
      <c r="DM1322" s="4"/>
      <c r="DN1322" s="4"/>
      <c r="DO1322" s="4"/>
      <c r="DP1322" s="4"/>
      <c r="DQ1322" s="4"/>
      <c r="DR1322" s="4"/>
      <c r="DS1322" s="4"/>
      <c r="DT1322" s="4"/>
      <c r="DU1322" s="4"/>
      <c r="DV1322" s="4"/>
      <c r="DW1322" s="4"/>
      <c r="DX1322" s="4"/>
      <c r="DY1322" s="4"/>
      <c r="DZ1322" s="4"/>
      <c r="EA1322" s="4"/>
      <c r="EB1322" s="4"/>
      <c r="EC1322" s="4"/>
      <c r="ED1322" s="4"/>
      <c r="EE1322" s="4"/>
      <c r="EF1322" s="4"/>
      <c r="EG1322" s="4"/>
      <c r="EH1322" s="4"/>
      <c r="EI1322" s="4"/>
      <c r="EJ1322" s="4"/>
      <c r="EK1322" s="4"/>
      <c r="EL1322" s="4"/>
      <c r="EM1322" s="4"/>
      <c r="EN1322" s="4"/>
      <c r="EO1322" s="4"/>
      <c r="EP1322" s="4"/>
      <c r="EQ1322" s="4"/>
      <c r="ER1322" s="4"/>
      <c r="ES1322" s="4"/>
      <c r="ET1322" s="4"/>
      <c r="EU1322" s="4"/>
      <c r="EV1322" s="4"/>
      <c r="EW1322" s="4"/>
      <c r="EX1322" s="4"/>
      <c r="EY1322" s="4"/>
      <c r="EZ1322" s="4"/>
      <c r="FA1322" s="4"/>
      <c r="FB1322" s="4"/>
      <c r="FC1322" s="4"/>
      <c r="FD1322" s="4"/>
      <c r="FE1322" s="4"/>
      <c r="FF1322" s="4"/>
      <c r="FG1322" s="4"/>
      <c r="FH1322" s="4"/>
      <c r="FI1322" s="4"/>
      <c r="FJ1322" s="4"/>
      <c r="FK1322" s="4"/>
      <c r="FL1322" s="4"/>
      <c r="FM1322" s="4"/>
      <c r="FN1322" s="4"/>
      <c r="FO1322" s="4"/>
      <c r="FP1322" s="4"/>
      <c r="FQ1322" s="4"/>
      <c r="FR1322" s="4"/>
      <c r="FS1322" s="4"/>
      <c r="FT1322" s="4"/>
      <c r="FU1322" s="4"/>
      <c r="FV1322" s="4"/>
      <c r="FW1322" s="4"/>
      <c r="FX1322" s="4"/>
      <c r="FY1322" s="4"/>
      <c r="FZ1322" s="4"/>
      <c r="GA1322" s="4"/>
      <c r="GB1322" s="4"/>
      <c r="GC1322" s="4"/>
      <c r="GD1322" s="4"/>
      <c r="GE1322" s="4"/>
      <c r="GF1322" s="4"/>
      <c r="GG1322" s="4"/>
      <c r="GH1322" s="4"/>
    </row>
    <row r="1323">
      <c r="A1323" s="2" t="s">
        <v>7210</v>
      </c>
      <c r="B1323" s="2" t="s">
        <v>230</v>
      </c>
      <c r="C1323" s="2" t="s">
        <v>624</v>
      </c>
      <c r="D1323" s="2" t="s">
        <v>232</v>
      </c>
      <c r="E1323" s="2" t="s">
        <v>233</v>
      </c>
      <c r="F1323" s="2" t="s">
        <v>7186</v>
      </c>
      <c r="G1323" s="2" t="s">
        <v>7186</v>
      </c>
      <c r="H1323" s="2" t="s">
        <v>7186</v>
      </c>
      <c r="I1323" s="2" t="s">
        <v>7187</v>
      </c>
      <c r="J1323" s="2" t="s">
        <v>277</v>
      </c>
      <c r="K1323" s="2" t="s">
        <v>7211</v>
      </c>
      <c r="L1323" s="3">
        <v>22</v>
      </c>
      <c r="M1323" s="3">
        <v>23.1</v>
      </c>
      <c r="N1323" s="3">
        <v>47.99</v>
      </c>
      <c r="O1323" s="2" t="s">
        <v>212</v>
      </c>
      <c r="P1323" s="2" t="s">
        <v>205</v>
      </c>
      <c r="Q1323" s="2" t="s">
        <v>206</v>
      </c>
      <c r="R1323" s="2" t="s">
        <v>200</v>
      </c>
      <c r="S1323" s="2" t="s">
        <v>7212</v>
      </c>
      <c r="T1323" s="2" t="s">
        <v>3312</v>
      </c>
      <c r="U1323" s="2" t="s">
        <v>240</v>
      </c>
      <c r="V1323" s="2" t="s">
        <v>940</v>
      </c>
      <c r="W1323" s="2" t="s">
        <v>241</v>
      </c>
      <c r="X1323" s="2" t="s">
        <v>379</v>
      </c>
      <c r="Y1323" s="2" t="s">
        <v>3313</v>
      </c>
      <c r="Z1323" s="4">
        <v>472</v>
      </c>
      <c r="AA1323" s="4">
        <f>=ROUNDDOWN(78.6666666666667,0)</f>
      </c>
      <c r="AB1323" s="5">
        <v>6</v>
      </c>
      <c r="AC1323" s="2" t="s">
        <v>200</v>
      </c>
      <c r="AD1323" s="4"/>
      <c r="AE1323" s="4"/>
      <c r="AF1323" s="6">
        <v>69</v>
      </c>
      <c r="AG1323" s="6"/>
      <c r="AH1323" s="7">
        <v>1</v>
      </c>
      <c r="AI1323" s="4"/>
      <c r="AJ1323" s="4">
        <f>=ROUNDDOWN({0},0)</f>
      </c>
      <c r="AK1323" s="5"/>
      <c r="AL1323" s="2" t="s">
        <v>200</v>
      </c>
      <c r="AM1323" s="4"/>
      <c r="AN1323" s="4"/>
      <c r="AO1323" s="7"/>
      <c r="AP1323" s="4"/>
      <c r="AQ1323" s="8"/>
      <c r="AR1323" s="4"/>
      <c r="AS1323" s="8"/>
      <c r="AT1323" s="7"/>
      <c r="AU1323" s="7"/>
      <c r="AV1323" s="4" t="s">
        <v>200</v>
      </c>
      <c r="AW1323" s="8" t="s">
        <v>200</v>
      </c>
      <c r="AX1323" s="4" t="s">
        <v>200</v>
      </c>
      <c r="AY1323" s="8" t="s">
        <v>200</v>
      </c>
      <c r="AZ1323" s="7" t="s">
        <v>200</v>
      </c>
      <c r="BA1323" s="7" t="s">
        <v>200</v>
      </c>
      <c r="BB1323" s="7"/>
      <c r="BC1323" s="4" t="s">
        <v>200</v>
      </c>
      <c r="BD1323" s="8" t="s">
        <v>200</v>
      </c>
      <c r="BE1323" s="4" t="s">
        <v>200</v>
      </c>
      <c r="BF1323" s="8" t="s">
        <v>200</v>
      </c>
      <c r="BG1323" s="7" t="s">
        <v>200</v>
      </c>
      <c r="BH1323" s="7" t="s">
        <v>200</v>
      </c>
      <c r="BI1323" s="7"/>
      <c r="BJ1323" s="4">
        <v>28</v>
      </c>
      <c r="BK1323" s="8">
        <v>731.82</v>
      </c>
      <c r="BL1323" s="2" t="s">
        <v>334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7213</v>
      </c>
      <c r="BV1323" s="2" t="s">
        <v>200</v>
      </c>
      <c r="BW1323" s="2" t="s">
        <v>200</v>
      </c>
      <c r="BX1323" s="2" t="s">
        <v>264</v>
      </c>
      <c r="BY1323" s="2" t="s">
        <v>247</v>
      </c>
      <c r="BZ1323" s="2" t="s">
        <v>212</v>
      </c>
      <c r="CA1323" s="2" t="s">
        <v>3329</v>
      </c>
      <c r="CB1323" s="2" t="s">
        <v>200</v>
      </c>
      <c r="CC1323" s="2" t="s">
        <v>213</v>
      </c>
      <c r="CD1323" s="2" t="s">
        <v>200</v>
      </c>
      <c r="CE1323" s="4">
        <v>472</v>
      </c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E1323" s="4"/>
      <c r="DF1323" s="4"/>
      <c r="DG1323" s="4"/>
      <c r="DH1323" s="4"/>
      <c r="DI1323" s="4"/>
      <c r="DJ1323" s="4"/>
      <c r="DK1323" s="4"/>
      <c r="DL1323" s="4"/>
      <c r="DM1323" s="4"/>
      <c r="DN1323" s="4"/>
      <c r="DO1323" s="4"/>
      <c r="DP1323" s="4"/>
      <c r="DQ1323" s="4"/>
      <c r="DR1323" s="4"/>
      <c r="DS1323" s="4"/>
      <c r="DT1323" s="4"/>
      <c r="DU1323" s="4"/>
      <c r="DV1323" s="4"/>
      <c r="DW1323" s="4"/>
      <c r="DX1323" s="4"/>
      <c r="DY1323" s="4"/>
      <c r="DZ1323" s="4"/>
      <c r="EA1323" s="4"/>
      <c r="EB1323" s="4"/>
      <c r="EC1323" s="4"/>
      <c r="ED1323" s="4"/>
      <c r="EE1323" s="4"/>
      <c r="EF1323" s="4"/>
      <c r="EG1323" s="4"/>
      <c r="EH1323" s="4"/>
      <c r="EI1323" s="4"/>
      <c r="EJ1323" s="4"/>
      <c r="EK1323" s="4"/>
      <c r="EL1323" s="4"/>
      <c r="EM1323" s="4"/>
      <c r="EN1323" s="4"/>
      <c r="EO1323" s="4"/>
      <c r="EP1323" s="4"/>
      <c r="EQ1323" s="4"/>
      <c r="ER1323" s="4"/>
      <c r="ES1323" s="4"/>
      <c r="ET1323" s="4"/>
      <c r="EU1323" s="4"/>
      <c r="EV1323" s="4"/>
      <c r="EW1323" s="4"/>
      <c r="EX1323" s="4"/>
      <c r="EY1323" s="4"/>
      <c r="EZ1323" s="4"/>
      <c r="FA1323" s="4"/>
      <c r="FB1323" s="4"/>
      <c r="FC1323" s="4"/>
      <c r="FD1323" s="4"/>
      <c r="FE1323" s="4"/>
      <c r="FF1323" s="4"/>
      <c r="FG1323" s="4"/>
      <c r="FH1323" s="4"/>
      <c r="FI1323" s="4"/>
      <c r="FJ1323" s="4"/>
      <c r="FK1323" s="4"/>
      <c r="FL1323" s="4"/>
      <c r="FM1323" s="4"/>
      <c r="FN1323" s="4"/>
      <c r="FO1323" s="4"/>
      <c r="FP1323" s="4"/>
      <c r="FQ1323" s="4"/>
      <c r="FR1323" s="4"/>
      <c r="FS1323" s="4"/>
      <c r="FT1323" s="4"/>
      <c r="FU1323" s="4"/>
      <c r="FV1323" s="4"/>
      <c r="FW1323" s="4"/>
      <c r="FX1323" s="4"/>
      <c r="FY1323" s="4"/>
      <c r="FZ1323" s="4"/>
      <c r="GA1323" s="4"/>
      <c r="GB1323" s="4"/>
      <c r="GC1323" s="4"/>
      <c r="GD1323" s="4"/>
      <c r="GE1323" s="4"/>
      <c r="GF1323" s="4"/>
      <c r="GG1323" s="4"/>
      <c r="GH1323" s="4"/>
    </row>
    <row r="1324">
      <c r="A1324" s="2" t="s">
        <v>7214</v>
      </c>
      <c r="B1324" s="2" t="s">
        <v>230</v>
      </c>
      <c r="C1324" s="2" t="s">
        <v>624</v>
      </c>
      <c r="D1324" s="2" t="s">
        <v>232</v>
      </c>
      <c r="E1324" s="2" t="s">
        <v>233</v>
      </c>
      <c r="F1324" s="2" t="s">
        <v>7186</v>
      </c>
      <c r="G1324" s="2" t="s">
        <v>7186</v>
      </c>
      <c r="H1324" s="2" t="s">
        <v>7186</v>
      </c>
      <c r="I1324" s="2" t="s">
        <v>7187</v>
      </c>
      <c r="J1324" s="2" t="s">
        <v>297</v>
      </c>
      <c r="K1324" s="2" t="s">
        <v>7211</v>
      </c>
      <c r="L1324" s="3">
        <v>25.85</v>
      </c>
      <c r="M1324" s="3">
        <v>27.14</v>
      </c>
      <c r="N1324" s="3">
        <v>55.99</v>
      </c>
      <c r="O1324" s="2" t="s">
        <v>212</v>
      </c>
      <c r="P1324" s="2" t="s">
        <v>205</v>
      </c>
      <c r="Q1324" s="2" t="s">
        <v>206</v>
      </c>
      <c r="R1324" s="2" t="s">
        <v>200</v>
      </c>
      <c r="S1324" s="2" t="s">
        <v>7212</v>
      </c>
      <c r="T1324" s="2" t="s">
        <v>3312</v>
      </c>
      <c r="U1324" s="2" t="s">
        <v>240</v>
      </c>
      <c r="V1324" s="2" t="s">
        <v>940</v>
      </c>
      <c r="W1324" s="2" t="s">
        <v>241</v>
      </c>
      <c r="X1324" s="2" t="s">
        <v>379</v>
      </c>
      <c r="Y1324" s="2" t="s">
        <v>3313</v>
      </c>
      <c r="Z1324" s="4">
        <v>769</v>
      </c>
      <c r="AA1324" s="4">
        <f>=ROUNDDOWN(54.9285714285714,0)</f>
      </c>
      <c r="AB1324" s="5">
        <v>14</v>
      </c>
      <c r="AC1324" s="2" t="s">
        <v>200</v>
      </c>
      <c r="AD1324" s="4"/>
      <c r="AE1324" s="4"/>
      <c r="AF1324" s="6">
        <v>69</v>
      </c>
      <c r="AG1324" s="6"/>
      <c r="AH1324" s="7">
        <v>1</v>
      </c>
      <c r="AI1324" s="4"/>
      <c r="AJ1324" s="4">
        <f>=ROUNDDOWN({0},0)</f>
      </c>
      <c r="AK1324" s="5"/>
      <c r="AL1324" s="2" t="s">
        <v>200</v>
      </c>
      <c r="AM1324" s="4"/>
      <c r="AN1324" s="4"/>
      <c r="AO1324" s="7"/>
      <c r="AP1324" s="4"/>
      <c r="AQ1324" s="8"/>
      <c r="AR1324" s="4"/>
      <c r="AS1324" s="8"/>
      <c r="AT1324" s="7"/>
      <c r="AU1324" s="7"/>
      <c r="AV1324" s="4" t="s">
        <v>200</v>
      </c>
      <c r="AW1324" s="8" t="s">
        <v>200</v>
      </c>
      <c r="AX1324" s="4" t="s">
        <v>200</v>
      </c>
      <c r="AY1324" s="8" t="s">
        <v>200</v>
      </c>
      <c r="AZ1324" s="7" t="s">
        <v>200</v>
      </c>
      <c r="BA1324" s="7" t="s">
        <v>200</v>
      </c>
      <c r="BB1324" s="7"/>
      <c r="BC1324" s="4" t="s">
        <v>200</v>
      </c>
      <c r="BD1324" s="8" t="s">
        <v>200</v>
      </c>
      <c r="BE1324" s="4" t="s">
        <v>200</v>
      </c>
      <c r="BF1324" s="8" t="s">
        <v>200</v>
      </c>
      <c r="BG1324" s="7" t="s">
        <v>200</v>
      </c>
      <c r="BH1324" s="7" t="s">
        <v>200</v>
      </c>
      <c r="BI1324" s="7"/>
      <c r="BJ1324" s="4">
        <v>127</v>
      </c>
      <c r="BK1324" s="8">
        <v>3792.42</v>
      </c>
      <c r="BL1324" s="2" t="s">
        <v>3175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7215</v>
      </c>
      <c r="BV1324" s="2" t="s">
        <v>200</v>
      </c>
      <c r="BW1324" s="2" t="s">
        <v>200</v>
      </c>
      <c r="BX1324" s="2" t="s">
        <v>264</v>
      </c>
      <c r="BY1324" s="2" t="s">
        <v>247</v>
      </c>
      <c r="BZ1324" s="2" t="s">
        <v>212</v>
      </c>
      <c r="CA1324" s="2" t="s">
        <v>3329</v>
      </c>
      <c r="CB1324" s="2" t="s">
        <v>329</v>
      </c>
      <c r="CC1324" s="2" t="s">
        <v>213</v>
      </c>
      <c r="CD1324" s="2" t="s">
        <v>200</v>
      </c>
      <c r="CE1324" s="4">
        <v>769</v>
      </c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  <c r="DE1324" s="4"/>
      <c r="DF1324" s="4"/>
      <c r="DG1324" s="4"/>
      <c r="DH1324" s="4"/>
      <c r="DI1324" s="4"/>
      <c r="DJ1324" s="4"/>
      <c r="DK1324" s="4"/>
      <c r="DL1324" s="4"/>
      <c r="DM1324" s="4"/>
      <c r="DN1324" s="4"/>
      <c r="DO1324" s="4"/>
      <c r="DP1324" s="4"/>
      <c r="DQ1324" s="4"/>
      <c r="DR1324" s="4"/>
      <c r="DS1324" s="4"/>
      <c r="DT1324" s="4"/>
      <c r="DU1324" s="4"/>
      <c r="DV1324" s="4"/>
      <c r="DW1324" s="4"/>
      <c r="DX1324" s="4"/>
      <c r="DY1324" s="4"/>
      <c r="DZ1324" s="4"/>
      <c r="EA1324" s="4"/>
      <c r="EB1324" s="4"/>
      <c r="EC1324" s="4"/>
      <c r="ED1324" s="4"/>
      <c r="EE1324" s="4"/>
      <c r="EF1324" s="4"/>
      <c r="EG1324" s="4"/>
      <c r="EH1324" s="4"/>
      <c r="EI1324" s="4"/>
      <c r="EJ1324" s="4"/>
      <c r="EK1324" s="4"/>
      <c r="EL1324" s="4"/>
      <c r="EM1324" s="4"/>
      <c r="EN1324" s="4"/>
      <c r="EO1324" s="4"/>
      <c r="EP1324" s="4"/>
      <c r="EQ1324" s="4"/>
      <c r="ER1324" s="4"/>
      <c r="ES1324" s="4"/>
      <c r="ET1324" s="4"/>
      <c r="EU1324" s="4"/>
      <c r="EV1324" s="4"/>
      <c r="EW1324" s="4"/>
      <c r="EX1324" s="4"/>
      <c r="EY1324" s="4"/>
      <c r="EZ1324" s="4"/>
      <c r="FA1324" s="4"/>
      <c r="FB1324" s="4"/>
      <c r="FC1324" s="4"/>
      <c r="FD1324" s="4"/>
      <c r="FE1324" s="4"/>
      <c r="FF1324" s="4"/>
      <c r="FG1324" s="4"/>
      <c r="FH1324" s="4"/>
      <c r="FI1324" s="4"/>
      <c r="FJ1324" s="4"/>
      <c r="FK1324" s="4"/>
      <c r="FL1324" s="4"/>
      <c r="FM1324" s="4"/>
      <c r="FN1324" s="4"/>
      <c r="FO1324" s="4"/>
      <c r="FP1324" s="4"/>
      <c r="FQ1324" s="4"/>
      <c r="FR1324" s="4"/>
      <c r="FS1324" s="4"/>
      <c r="FT1324" s="4"/>
      <c r="FU1324" s="4"/>
      <c r="FV1324" s="4"/>
      <c r="FW1324" s="4"/>
      <c r="FX1324" s="4"/>
      <c r="FY1324" s="4"/>
      <c r="FZ1324" s="4"/>
      <c r="GA1324" s="4"/>
      <c r="GB1324" s="4"/>
      <c r="GC1324" s="4"/>
      <c r="GD1324" s="4"/>
      <c r="GE1324" s="4"/>
      <c r="GF1324" s="4"/>
      <c r="GG1324" s="4"/>
      <c r="GH1324" s="4"/>
    </row>
    <row r="1325">
      <c r="A1325" s="2" t="s">
        <v>7216</v>
      </c>
      <c r="B1325" s="2" t="s">
        <v>230</v>
      </c>
      <c r="C1325" s="2" t="s">
        <v>624</v>
      </c>
      <c r="D1325" s="2" t="s">
        <v>232</v>
      </c>
      <c r="E1325" s="2" t="s">
        <v>233</v>
      </c>
      <c r="F1325" s="2" t="s">
        <v>7186</v>
      </c>
      <c r="G1325" s="2" t="s">
        <v>7186</v>
      </c>
      <c r="H1325" s="2" t="s">
        <v>7186</v>
      </c>
      <c r="I1325" s="2" t="s">
        <v>7187</v>
      </c>
      <c r="J1325" s="2" t="s">
        <v>236</v>
      </c>
      <c r="K1325" s="2" t="s">
        <v>7211</v>
      </c>
      <c r="L1325" s="3">
        <v>28.68</v>
      </c>
      <c r="M1325" s="3">
        <v>30.11</v>
      </c>
      <c r="N1325" s="3">
        <v>62.99</v>
      </c>
      <c r="O1325" s="2" t="s">
        <v>212</v>
      </c>
      <c r="P1325" s="2" t="s">
        <v>205</v>
      </c>
      <c r="Q1325" s="2" t="s">
        <v>206</v>
      </c>
      <c r="R1325" s="2" t="s">
        <v>200</v>
      </c>
      <c r="S1325" s="2" t="s">
        <v>7212</v>
      </c>
      <c r="T1325" s="2" t="s">
        <v>3312</v>
      </c>
      <c r="U1325" s="2" t="s">
        <v>240</v>
      </c>
      <c r="V1325" s="2" t="s">
        <v>940</v>
      </c>
      <c r="W1325" s="2" t="s">
        <v>241</v>
      </c>
      <c r="X1325" s="2" t="s">
        <v>379</v>
      </c>
      <c r="Y1325" s="2" t="s">
        <v>3313</v>
      </c>
      <c r="Z1325" s="4">
        <v>222</v>
      </c>
      <c r="AA1325" s="4">
        <f>=ROUNDDOWN(44.4,0)</f>
      </c>
      <c r="AB1325" s="5">
        <v>5</v>
      </c>
      <c r="AC1325" s="2" t="s">
        <v>200</v>
      </c>
      <c r="AD1325" s="4"/>
      <c r="AE1325" s="4"/>
      <c r="AF1325" s="6">
        <v>69</v>
      </c>
      <c r="AG1325" s="6"/>
      <c r="AH1325" s="7">
        <v>1</v>
      </c>
      <c r="AI1325" s="4"/>
      <c r="AJ1325" s="4">
        <f>=ROUNDDOWN({0},0)</f>
      </c>
      <c r="AK1325" s="5"/>
      <c r="AL1325" s="2" t="s">
        <v>200</v>
      </c>
      <c r="AM1325" s="4"/>
      <c r="AN1325" s="4"/>
      <c r="AO1325" s="7"/>
      <c r="AP1325" s="4"/>
      <c r="AQ1325" s="8"/>
      <c r="AR1325" s="4"/>
      <c r="AS1325" s="8"/>
      <c r="AT1325" s="7"/>
      <c r="AU1325" s="7"/>
      <c r="AV1325" s="4" t="s">
        <v>200</v>
      </c>
      <c r="AW1325" s="8" t="s">
        <v>200</v>
      </c>
      <c r="AX1325" s="4" t="s">
        <v>200</v>
      </c>
      <c r="AY1325" s="8" t="s">
        <v>200</v>
      </c>
      <c r="AZ1325" s="7" t="s">
        <v>200</v>
      </c>
      <c r="BA1325" s="7" t="s">
        <v>200</v>
      </c>
      <c r="BB1325" s="7"/>
      <c r="BC1325" s="4" t="s">
        <v>200</v>
      </c>
      <c r="BD1325" s="8" t="s">
        <v>200</v>
      </c>
      <c r="BE1325" s="4" t="s">
        <v>200</v>
      </c>
      <c r="BF1325" s="8" t="s">
        <v>200</v>
      </c>
      <c r="BG1325" s="7" t="s">
        <v>200</v>
      </c>
      <c r="BH1325" s="7" t="s">
        <v>200</v>
      </c>
      <c r="BI1325" s="7"/>
      <c r="BJ1325" s="4">
        <v>59</v>
      </c>
      <c r="BK1325" s="8">
        <v>1981.97</v>
      </c>
      <c r="BL1325" s="2" t="s">
        <v>1987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7217</v>
      </c>
      <c r="BV1325" s="2" t="s">
        <v>200</v>
      </c>
      <c r="BW1325" s="2" t="s">
        <v>200</v>
      </c>
      <c r="BX1325" s="2" t="s">
        <v>264</v>
      </c>
      <c r="BY1325" s="2" t="s">
        <v>247</v>
      </c>
      <c r="BZ1325" s="2" t="s">
        <v>212</v>
      </c>
      <c r="CA1325" s="2" t="s">
        <v>3329</v>
      </c>
      <c r="CB1325" s="2" t="s">
        <v>200</v>
      </c>
      <c r="CC1325" s="2" t="s">
        <v>213</v>
      </c>
      <c r="CD1325" s="2" t="s">
        <v>200</v>
      </c>
      <c r="CE1325" s="4">
        <v>222</v>
      </c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  <c r="DE1325" s="4"/>
      <c r="DF1325" s="4"/>
      <c r="DG1325" s="4"/>
      <c r="DH1325" s="4"/>
      <c r="DI1325" s="4"/>
      <c r="DJ1325" s="4"/>
      <c r="DK1325" s="4"/>
      <c r="DL1325" s="4"/>
      <c r="DM1325" s="4"/>
      <c r="DN1325" s="4"/>
      <c r="DO1325" s="4"/>
      <c r="DP1325" s="4"/>
      <c r="DQ1325" s="4"/>
      <c r="DR1325" s="4"/>
      <c r="DS1325" s="4"/>
      <c r="DT1325" s="4"/>
      <c r="DU1325" s="4"/>
      <c r="DV1325" s="4"/>
      <c r="DW1325" s="4"/>
      <c r="DX1325" s="4"/>
      <c r="DY1325" s="4"/>
      <c r="DZ1325" s="4"/>
      <c r="EA1325" s="4"/>
      <c r="EB1325" s="4"/>
      <c r="EC1325" s="4"/>
      <c r="ED1325" s="4"/>
      <c r="EE1325" s="4"/>
      <c r="EF1325" s="4"/>
      <c r="EG1325" s="4"/>
      <c r="EH1325" s="4"/>
      <c r="EI1325" s="4"/>
      <c r="EJ1325" s="4"/>
      <c r="EK1325" s="4"/>
      <c r="EL1325" s="4"/>
      <c r="EM1325" s="4"/>
      <c r="EN1325" s="4"/>
      <c r="EO1325" s="4"/>
      <c r="EP1325" s="4"/>
      <c r="EQ1325" s="4"/>
      <c r="ER1325" s="4"/>
      <c r="ES1325" s="4"/>
      <c r="ET1325" s="4"/>
      <c r="EU1325" s="4"/>
      <c r="EV1325" s="4"/>
      <c r="EW1325" s="4"/>
      <c r="EX1325" s="4"/>
      <c r="EY1325" s="4"/>
      <c r="EZ1325" s="4"/>
      <c r="FA1325" s="4"/>
      <c r="FB1325" s="4"/>
      <c r="FC1325" s="4"/>
      <c r="FD1325" s="4"/>
      <c r="FE1325" s="4"/>
      <c r="FF1325" s="4"/>
      <c r="FG1325" s="4"/>
      <c r="FH1325" s="4"/>
      <c r="FI1325" s="4"/>
      <c r="FJ1325" s="4"/>
      <c r="FK1325" s="4"/>
      <c r="FL1325" s="4"/>
      <c r="FM1325" s="4"/>
      <c r="FN1325" s="4"/>
      <c r="FO1325" s="4"/>
      <c r="FP1325" s="4"/>
      <c r="FQ1325" s="4"/>
      <c r="FR1325" s="4"/>
      <c r="FS1325" s="4"/>
      <c r="FT1325" s="4"/>
      <c r="FU1325" s="4"/>
      <c r="FV1325" s="4"/>
      <c r="FW1325" s="4"/>
      <c r="FX1325" s="4"/>
      <c r="FY1325" s="4"/>
      <c r="FZ1325" s="4"/>
      <c r="GA1325" s="4"/>
      <c r="GB1325" s="4"/>
      <c r="GC1325" s="4"/>
      <c r="GD1325" s="4"/>
      <c r="GE1325" s="4"/>
      <c r="GF1325" s="4"/>
      <c r="GG1325" s="4"/>
      <c r="GH1325" s="4"/>
    </row>
    <row r="1326">
      <c r="A1326" s="2" t="s">
        <v>7218</v>
      </c>
      <c r="B1326" s="2" t="s">
        <v>230</v>
      </c>
      <c r="C1326" s="2" t="s">
        <v>624</v>
      </c>
      <c r="D1326" s="2" t="s">
        <v>232</v>
      </c>
      <c r="E1326" s="2" t="s">
        <v>233</v>
      </c>
      <c r="F1326" s="2" t="s">
        <v>7186</v>
      </c>
      <c r="G1326" s="2" t="s">
        <v>7186</v>
      </c>
      <c r="H1326" s="2" t="s">
        <v>7186</v>
      </c>
      <c r="I1326" s="2" t="s">
        <v>7187</v>
      </c>
      <c r="J1326" s="2" t="s">
        <v>277</v>
      </c>
      <c r="K1326" s="2" t="s">
        <v>7219</v>
      </c>
      <c r="L1326" s="3">
        <v>22</v>
      </c>
      <c r="M1326" s="3">
        <v>23.1</v>
      </c>
      <c r="N1326" s="3">
        <v>47.99</v>
      </c>
      <c r="O1326" s="2" t="s">
        <v>212</v>
      </c>
      <c r="P1326" s="2" t="s">
        <v>205</v>
      </c>
      <c r="Q1326" s="2" t="s">
        <v>206</v>
      </c>
      <c r="R1326" s="2" t="s">
        <v>200</v>
      </c>
      <c r="S1326" s="2" t="s">
        <v>7220</v>
      </c>
      <c r="T1326" s="2" t="s">
        <v>3312</v>
      </c>
      <c r="U1326" s="2" t="s">
        <v>240</v>
      </c>
      <c r="V1326" s="2" t="s">
        <v>1726</v>
      </c>
      <c r="W1326" s="2" t="s">
        <v>241</v>
      </c>
      <c r="X1326" s="2" t="s">
        <v>379</v>
      </c>
      <c r="Y1326" s="2" t="s">
        <v>3329</v>
      </c>
      <c r="Z1326" s="4">
        <v>396</v>
      </c>
      <c r="AA1326" s="4">
        <f>=ROUNDDOWN(56.5714285714286,0)</f>
      </c>
      <c r="AB1326" s="5">
        <v>7</v>
      </c>
      <c r="AC1326" s="2" t="s">
        <v>200</v>
      </c>
      <c r="AD1326" s="4"/>
      <c r="AE1326" s="4"/>
      <c r="AF1326" s="6">
        <v>69</v>
      </c>
      <c r="AG1326" s="6"/>
      <c r="AH1326" s="7">
        <v>1</v>
      </c>
      <c r="AI1326" s="4"/>
      <c r="AJ1326" s="4">
        <f>=ROUNDDOWN({0},0)</f>
      </c>
      <c r="AK1326" s="5"/>
      <c r="AL1326" s="2" t="s">
        <v>200</v>
      </c>
      <c r="AM1326" s="4"/>
      <c r="AN1326" s="4"/>
      <c r="AO1326" s="7"/>
      <c r="AP1326" s="4"/>
      <c r="AQ1326" s="8"/>
      <c r="AR1326" s="4"/>
      <c r="AS1326" s="8"/>
      <c r="AT1326" s="7"/>
      <c r="AU1326" s="7"/>
      <c r="AV1326" s="4" t="s">
        <v>200</v>
      </c>
      <c r="AW1326" s="8" t="s">
        <v>200</v>
      </c>
      <c r="AX1326" s="4" t="s">
        <v>200</v>
      </c>
      <c r="AY1326" s="8" t="s">
        <v>200</v>
      </c>
      <c r="AZ1326" s="7" t="s">
        <v>200</v>
      </c>
      <c r="BA1326" s="7" t="s">
        <v>200</v>
      </c>
      <c r="BB1326" s="7"/>
      <c r="BC1326" s="4" t="s">
        <v>200</v>
      </c>
      <c r="BD1326" s="8" t="s">
        <v>200</v>
      </c>
      <c r="BE1326" s="4" t="s">
        <v>200</v>
      </c>
      <c r="BF1326" s="8" t="s">
        <v>200</v>
      </c>
      <c r="BG1326" s="7" t="s">
        <v>200</v>
      </c>
      <c r="BH1326" s="7" t="s">
        <v>200</v>
      </c>
      <c r="BI1326" s="7"/>
      <c r="BJ1326" s="4">
        <v>77</v>
      </c>
      <c r="BK1326" s="8">
        <v>2025.79</v>
      </c>
      <c r="BL1326" s="2" t="s">
        <v>3175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7221</v>
      </c>
      <c r="BV1326" s="2" t="s">
        <v>200</v>
      </c>
      <c r="BW1326" s="2" t="s">
        <v>200</v>
      </c>
      <c r="BX1326" s="2" t="s">
        <v>264</v>
      </c>
      <c r="BY1326" s="2" t="s">
        <v>247</v>
      </c>
      <c r="BZ1326" s="2" t="s">
        <v>212</v>
      </c>
      <c r="CA1326" s="2" t="s">
        <v>3313</v>
      </c>
      <c r="CB1326" s="2" t="s">
        <v>200</v>
      </c>
      <c r="CC1326" s="2" t="s">
        <v>213</v>
      </c>
      <c r="CD1326" s="2" t="s">
        <v>200</v>
      </c>
      <c r="CE1326" s="4">
        <v>396</v>
      </c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  <c r="DE1326" s="4"/>
      <c r="DF1326" s="4"/>
      <c r="DG1326" s="4"/>
      <c r="DH1326" s="4"/>
      <c r="DI1326" s="4"/>
      <c r="DJ1326" s="4"/>
      <c r="DK1326" s="4"/>
      <c r="DL1326" s="4"/>
      <c r="DM1326" s="4"/>
      <c r="DN1326" s="4"/>
      <c r="DO1326" s="4"/>
      <c r="DP1326" s="4"/>
      <c r="DQ1326" s="4"/>
      <c r="DR1326" s="4"/>
      <c r="DS1326" s="4"/>
      <c r="DT1326" s="4"/>
      <c r="DU1326" s="4"/>
      <c r="DV1326" s="4"/>
      <c r="DW1326" s="4"/>
      <c r="DX1326" s="4"/>
      <c r="DY1326" s="4"/>
      <c r="DZ1326" s="4"/>
      <c r="EA1326" s="4"/>
      <c r="EB1326" s="4"/>
      <c r="EC1326" s="4"/>
      <c r="ED1326" s="4"/>
      <c r="EE1326" s="4"/>
      <c r="EF1326" s="4"/>
      <c r="EG1326" s="4"/>
      <c r="EH1326" s="4"/>
      <c r="EI1326" s="4"/>
      <c r="EJ1326" s="4"/>
      <c r="EK1326" s="4"/>
      <c r="EL1326" s="4"/>
      <c r="EM1326" s="4"/>
      <c r="EN1326" s="4"/>
      <c r="EO1326" s="4"/>
      <c r="EP1326" s="4"/>
      <c r="EQ1326" s="4"/>
      <c r="ER1326" s="4"/>
      <c r="ES1326" s="4"/>
      <c r="ET1326" s="4"/>
      <c r="EU1326" s="4"/>
      <c r="EV1326" s="4"/>
      <c r="EW1326" s="4"/>
      <c r="EX1326" s="4"/>
      <c r="EY1326" s="4"/>
      <c r="EZ1326" s="4"/>
      <c r="FA1326" s="4"/>
      <c r="FB1326" s="4"/>
      <c r="FC1326" s="4"/>
      <c r="FD1326" s="4"/>
      <c r="FE1326" s="4"/>
      <c r="FF1326" s="4"/>
      <c r="FG1326" s="4"/>
      <c r="FH1326" s="4"/>
      <c r="FI1326" s="4"/>
      <c r="FJ1326" s="4"/>
      <c r="FK1326" s="4"/>
      <c r="FL1326" s="4"/>
      <c r="FM1326" s="4"/>
      <c r="FN1326" s="4"/>
      <c r="FO1326" s="4"/>
      <c r="FP1326" s="4"/>
      <c r="FQ1326" s="4"/>
      <c r="FR1326" s="4"/>
      <c r="FS1326" s="4"/>
      <c r="FT1326" s="4"/>
      <c r="FU1326" s="4"/>
      <c r="FV1326" s="4"/>
      <c r="FW1326" s="4"/>
      <c r="FX1326" s="4"/>
      <c r="FY1326" s="4"/>
      <c r="FZ1326" s="4"/>
      <c r="GA1326" s="4"/>
      <c r="GB1326" s="4"/>
      <c r="GC1326" s="4"/>
      <c r="GD1326" s="4"/>
      <c r="GE1326" s="4"/>
      <c r="GF1326" s="4"/>
      <c r="GG1326" s="4"/>
      <c r="GH1326" s="4"/>
    </row>
    <row r="1327">
      <c r="A1327" s="2" t="s">
        <v>7222</v>
      </c>
      <c r="B1327" s="2" t="s">
        <v>230</v>
      </c>
      <c r="C1327" s="2" t="s">
        <v>624</v>
      </c>
      <c r="D1327" s="2" t="s">
        <v>232</v>
      </c>
      <c r="E1327" s="2" t="s">
        <v>233</v>
      </c>
      <c r="F1327" s="2" t="s">
        <v>7186</v>
      </c>
      <c r="G1327" s="2" t="s">
        <v>7186</v>
      </c>
      <c r="H1327" s="2" t="s">
        <v>7186</v>
      </c>
      <c r="I1327" s="2" t="s">
        <v>7187</v>
      </c>
      <c r="J1327" s="2" t="s">
        <v>297</v>
      </c>
      <c r="K1327" s="2" t="s">
        <v>7219</v>
      </c>
      <c r="L1327" s="3">
        <v>25.85</v>
      </c>
      <c r="M1327" s="3">
        <v>27.14</v>
      </c>
      <c r="N1327" s="3">
        <v>55.99</v>
      </c>
      <c r="O1327" s="2" t="s">
        <v>212</v>
      </c>
      <c r="P1327" s="2" t="s">
        <v>205</v>
      </c>
      <c r="Q1327" s="2" t="s">
        <v>206</v>
      </c>
      <c r="R1327" s="2" t="s">
        <v>200</v>
      </c>
      <c r="S1327" s="2" t="s">
        <v>7220</v>
      </c>
      <c r="T1327" s="2" t="s">
        <v>3312</v>
      </c>
      <c r="U1327" s="2" t="s">
        <v>240</v>
      </c>
      <c r="V1327" s="2" t="s">
        <v>1726</v>
      </c>
      <c r="W1327" s="2" t="s">
        <v>241</v>
      </c>
      <c r="X1327" s="2" t="s">
        <v>379</v>
      </c>
      <c r="Y1327" s="2" t="s">
        <v>3329</v>
      </c>
      <c r="Z1327" s="4">
        <v>509</v>
      </c>
      <c r="AA1327" s="4">
        <f>=ROUNDDOWN(18.1785714285714,0)</f>
      </c>
      <c r="AB1327" s="5">
        <v>28</v>
      </c>
      <c r="AC1327" s="2" t="s">
        <v>200</v>
      </c>
      <c r="AD1327" s="4"/>
      <c r="AE1327" s="4"/>
      <c r="AF1327" s="6">
        <v>69</v>
      </c>
      <c r="AG1327" s="6"/>
      <c r="AH1327" s="7">
        <v>1</v>
      </c>
      <c r="AI1327" s="4"/>
      <c r="AJ1327" s="4">
        <f>=ROUNDDOWN({0},0)</f>
      </c>
      <c r="AK1327" s="5"/>
      <c r="AL1327" s="2" t="s">
        <v>200</v>
      </c>
      <c r="AM1327" s="4"/>
      <c r="AN1327" s="4"/>
      <c r="AO1327" s="7"/>
      <c r="AP1327" s="4"/>
      <c r="AQ1327" s="8"/>
      <c r="AR1327" s="4"/>
      <c r="AS1327" s="8"/>
      <c r="AT1327" s="7"/>
      <c r="AU1327" s="7"/>
      <c r="AV1327" s="4" t="s">
        <v>200</v>
      </c>
      <c r="AW1327" s="8" t="s">
        <v>200</v>
      </c>
      <c r="AX1327" s="4" t="s">
        <v>200</v>
      </c>
      <c r="AY1327" s="8" t="s">
        <v>200</v>
      </c>
      <c r="AZ1327" s="7" t="s">
        <v>200</v>
      </c>
      <c r="BA1327" s="7" t="s">
        <v>200</v>
      </c>
      <c r="BB1327" s="7"/>
      <c r="BC1327" s="4" t="s">
        <v>200</v>
      </c>
      <c r="BD1327" s="8" t="s">
        <v>200</v>
      </c>
      <c r="BE1327" s="4" t="s">
        <v>200</v>
      </c>
      <c r="BF1327" s="8" t="s">
        <v>200</v>
      </c>
      <c r="BG1327" s="7" t="s">
        <v>200</v>
      </c>
      <c r="BH1327" s="7" t="s">
        <v>200</v>
      </c>
      <c r="BI1327" s="7"/>
      <c r="BJ1327" s="4">
        <v>306</v>
      </c>
      <c r="BK1327" s="8">
        <v>9159.96</v>
      </c>
      <c r="BL1327" s="2" t="s">
        <v>3175</v>
      </c>
      <c r="BM1327" s="7"/>
      <c r="BN1327" s="7"/>
      <c r="BO1327" s="4"/>
      <c r="BP1327" s="8"/>
      <c r="BQ1327" s="4"/>
      <c r="BR1327" s="8"/>
      <c r="BS1327" s="7"/>
      <c r="BT1327" s="7"/>
      <c r="BU1327" s="2" t="s">
        <v>7223</v>
      </c>
      <c r="BV1327" s="2" t="s">
        <v>200</v>
      </c>
      <c r="BW1327" s="2" t="s">
        <v>200</v>
      </c>
      <c r="BX1327" s="2" t="s">
        <v>264</v>
      </c>
      <c r="BY1327" s="2" t="s">
        <v>247</v>
      </c>
      <c r="BZ1327" s="2" t="s">
        <v>212</v>
      </c>
      <c r="CA1327" s="2" t="s">
        <v>3313</v>
      </c>
      <c r="CB1327" s="2" t="s">
        <v>3326</v>
      </c>
      <c r="CC1327" s="2" t="s">
        <v>213</v>
      </c>
      <c r="CD1327" s="2" t="s">
        <v>200</v>
      </c>
      <c r="CE1327" s="4">
        <v>509</v>
      </c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  <c r="DD1327" s="4"/>
      <c r="DE1327" s="4"/>
      <c r="DF1327" s="4"/>
      <c r="DG1327" s="4"/>
      <c r="DH1327" s="4"/>
      <c r="DI1327" s="4"/>
      <c r="DJ1327" s="4"/>
      <c r="DK1327" s="4"/>
      <c r="DL1327" s="4"/>
      <c r="DM1327" s="4"/>
      <c r="DN1327" s="4"/>
      <c r="DO1327" s="4"/>
      <c r="DP1327" s="4"/>
      <c r="DQ1327" s="4"/>
      <c r="DR1327" s="4"/>
      <c r="DS1327" s="4"/>
      <c r="DT1327" s="4"/>
      <c r="DU1327" s="4"/>
      <c r="DV1327" s="4"/>
      <c r="DW1327" s="4"/>
      <c r="DX1327" s="4"/>
      <c r="DY1327" s="4"/>
      <c r="DZ1327" s="4"/>
      <c r="EA1327" s="4"/>
      <c r="EB1327" s="4"/>
      <c r="EC1327" s="4"/>
      <c r="ED1327" s="4"/>
      <c r="EE1327" s="4"/>
      <c r="EF1327" s="4"/>
      <c r="EG1327" s="4"/>
      <c r="EH1327" s="4"/>
      <c r="EI1327" s="4"/>
      <c r="EJ1327" s="4"/>
      <c r="EK1327" s="4"/>
      <c r="EL1327" s="4"/>
      <c r="EM1327" s="4"/>
      <c r="EN1327" s="4"/>
      <c r="EO1327" s="4"/>
      <c r="EP1327" s="4"/>
      <c r="EQ1327" s="4"/>
      <c r="ER1327" s="4"/>
      <c r="ES1327" s="4"/>
      <c r="ET1327" s="4"/>
      <c r="EU1327" s="4"/>
      <c r="EV1327" s="4"/>
      <c r="EW1327" s="4"/>
      <c r="EX1327" s="4"/>
      <c r="EY1327" s="4"/>
      <c r="EZ1327" s="4"/>
      <c r="FA1327" s="4"/>
      <c r="FB1327" s="4"/>
      <c r="FC1327" s="4"/>
      <c r="FD1327" s="4"/>
      <c r="FE1327" s="4"/>
      <c r="FF1327" s="4"/>
      <c r="FG1327" s="4"/>
      <c r="FH1327" s="4"/>
      <c r="FI1327" s="4"/>
      <c r="FJ1327" s="4"/>
      <c r="FK1327" s="4"/>
      <c r="FL1327" s="4"/>
      <c r="FM1327" s="4"/>
      <c r="FN1327" s="4"/>
      <c r="FO1327" s="4"/>
      <c r="FP1327" s="4"/>
      <c r="FQ1327" s="4"/>
      <c r="FR1327" s="4"/>
      <c r="FS1327" s="4"/>
      <c r="FT1327" s="4"/>
      <c r="FU1327" s="4"/>
      <c r="FV1327" s="4"/>
      <c r="FW1327" s="4"/>
      <c r="FX1327" s="4"/>
      <c r="FY1327" s="4"/>
      <c r="FZ1327" s="4"/>
      <c r="GA1327" s="4"/>
      <c r="GB1327" s="4"/>
      <c r="GC1327" s="4"/>
      <c r="GD1327" s="4"/>
      <c r="GE1327" s="4"/>
      <c r="GF1327" s="4"/>
      <c r="GG1327" s="4"/>
      <c r="GH1327" s="4"/>
    </row>
    <row r="1328">
      <c r="A1328" s="2" t="s">
        <v>7224</v>
      </c>
      <c r="B1328" s="2" t="s">
        <v>230</v>
      </c>
      <c r="C1328" s="2" t="s">
        <v>624</v>
      </c>
      <c r="D1328" s="2" t="s">
        <v>232</v>
      </c>
      <c r="E1328" s="2" t="s">
        <v>233</v>
      </c>
      <c r="F1328" s="2" t="s">
        <v>7186</v>
      </c>
      <c r="G1328" s="2" t="s">
        <v>7186</v>
      </c>
      <c r="H1328" s="2" t="s">
        <v>7186</v>
      </c>
      <c r="I1328" s="2" t="s">
        <v>7187</v>
      </c>
      <c r="J1328" s="2" t="s">
        <v>302</v>
      </c>
      <c r="K1328" s="2" t="s">
        <v>7225</v>
      </c>
      <c r="L1328" s="3">
        <v>28.68</v>
      </c>
      <c r="M1328" s="3">
        <v>30.11</v>
      </c>
      <c r="N1328" s="3">
        <v>62.99</v>
      </c>
      <c r="O1328" s="2" t="s">
        <v>212</v>
      </c>
      <c r="P1328" s="2" t="s">
        <v>258</v>
      </c>
      <c r="Q1328" s="2" t="s">
        <v>206</v>
      </c>
      <c r="R1328" s="2" t="s">
        <v>200</v>
      </c>
      <c r="S1328" s="2" t="s">
        <v>7226</v>
      </c>
      <c r="T1328" s="2" t="s">
        <v>3312</v>
      </c>
      <c r="U1328" s="2" t="s">
        <v>240</v>
      </c>
      <c r="V1328" s="2" t="s">
        <v>208</v>
      </c>
      <c r="W1328" s="2" t="s">
        <v>241</v>
      </c>
      <c r="X1328" s="2" t="s">
        <v>379</v>
      </c>
      <c r="Y1328" s="2" t="s">
        <v>4706</v>
      </c>
      <c r="Z1328" s="4">
        <v>372</v>
      </c>
      <c r="AA1328" s="4">
        <f>=ROUNDDOWN(33.8181818181818,0)</f>
      </c>
      <c r="AB1328" s="5">
        <v>11</v>
      </c>
      <c r="AC1328" s="2" t="s">
        <v>1105</v>
      </c>
      <c r="AD1328" s="4">
        <v>156</v>
      </c>
      <c r="AE1328" s="4">
        <v>156</v>
      </c>
      <c r="AF1328" s="6">
        <v>65</v>
      </c>
      <c r="AG1328" s="6"/>
      <c r="AH1328" s="7">
        <v>1</v>
      </c>
      <c r="AI1328" s="4"/>
      <c r="AJ1328" s="4">
        <f>=ROUNDDOWN({0},0)</f>
      </c>
      <c r="AK1328" s="5"/>
      <c r="AL1328" s="2" t="s">
        <v>200</v>
      </c>
      <c r="AM1328" s="4"/>
      <c r="AN1328" s="4"/>
      <c r="AO1328" s="7"/>
      <c r="AP1328" s="4"/>
      <c r="AQ1328" s="8"/>
      <c r="AR1328" s="4"/>
      <c r="AS1328" s="8"/>
      <c r="AT1328" s="7"/>
      <c r="AU1328" s="7"/>
      <c r="AV1328" s="4"/>
      <c r="AW1328" s="8"/>
      <c r="AX1328" s="4"/>
      <c r="AY1328" s="8"/>
      <c r="AZ1328" s="7"/>
      <c r="BA1328" s="7"/>
      <c r="BB1328" s="7"/>
      <c r="BC1328" s="4" t="s">
        <v>200</v>
      </c>
      <c r="BD1328" s="8" t="s">
        <v>200</v>
      </c>
      <c r="BE1328" s="4" t="s">
        <v>200</v>
      </c>
      <c r="BF1328" s="8" t="s">
        <v>200</v>
      </c>
      <c r="BG1328" s="7" t="s">
        <v>200</v>
      </c>
      <c r="BH1328" s="7" t="s">
        <v>200</v>
      </c>
      <c r="BI1328" s="7"/>
      <c r="BJ1328" s="4">
        <v>67</v>
      </c>
      <c r="BK1328" s="8">
        <v>2151.15</v>
      </c>
      <c r="BL1328" s="2" t="s">
        <v>7227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7228</v>
      </c>
      <c r="BV1328" s="2" t="s">
        <v>200</v>
      </c>
      <c r="BW1328" s="2" t="s">
        <v>200</v>
      </c>
      <c r="BX1328" s="2" t="s">
        <v>264</v>
      </c>
      <c r="BY1328" s="2" t="s">
        <v>247</v>
      </c>
      <c r="BZ1328" s="2" t="s">
        <v>212</v>
      </c>
      <c r="CA1328" s="2" t="s">
        <v>4706</v>
      </c>
      <c r="CB1328" s="2" t="s">
        <v>7229</v>
      </c>
      <c r="CC1328" s="2" t="s">
        <v>213</v>
      </c>
      <c r="CD1328" s="2" t="s">
        <v>200</v>
      </c>
      <c r="CE1328" s="4">
        <v>372</v>
      </c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>
        <v>156</v>
      </c>
      <c r="CX1328" s="4"/>
      <c r="CY1328" s="4"/>
      <c r="CZ1328" s="4"/>
      <c r="DA1328" s="4"/>
      <c r="DB1328" s="4"/>
      <c r="DC1328" s="4"/>
      <c r="DD1328" s="4"/>
      <c r="DE1328" s="4"/>
      <c r="DF1328" s="4"/>
      <c r="DG1328" s="4"/>
      <c r="DH1328" s="4"/>
      <c r="DI1328" s="4"/>
      <c r="DJ1328" s="4"/>
      <c r="DK1328" s="4"/>
      <c r="DL1328" s="4"/>
      <c r="DM1328" s="4"/>
      <c r="DN1328" s="4"/>
      <c r="DO1328" s="4"/>
      <c r="DP1328" s="4"/>
      <c r="DQ1328" s="4"/>
      <c r="DR1328" s="4"/>
      <c r="DS1328" s="4"/>
      <c r="DT1328" s="4"/>
      <c r="DU1328" s="4"/>
      <c r="DV1328" s="4"/>
      <c r="DW1328" s="4"/>
      <c r="DX1328" s="4"/>
      <c r="DY1328" s="4"/>
      <c r="DZ1328" s="4"/>
      <c r="EA1328" s="4"/>
      <c r="EB1328" s="4"/>
      <c r="EC1328" s="4"/>
      <c r="ED1328" s="4"/>
      <c r="EE1328" s="4"/>
      <c r="EF1328" s="4"/>
      <c r="EG1328" s="4"/>
      <c r="EH1328" s="4"/>
      <c r="EI1328" s="4"/>
      <c r="EJ1328" s="4"/>
      <c r="EK1328" s="4"/>
      <c r="EL1328" s="4"/>
      <c r="EM1328" s="4"/>
      <c r="EN1328" s="4"/>
      <c r="EO1328" s="4"/>
      <c r="EP1328" s="4"/>
      <c r="EQ1328" s="4"/>
      <c r="ER1328" s="4"/>
      <c r="ES1328" s="4"/>
      <c r="ET1328" s="4"/>
      <c r="EU1328" s="4"/>
      <c r="EV1328" s="4"/>
      <c r="EW1328" s="4"/>
      <c r="EX1328" s="4"/>
      <c r="EY1328" s="4"/>
      <c r="EZ1328" s="4"/>
      <c r="FA1328" s="4"/>
      <c r="FB1328" s="4"/>
      <c r="FC1328" s="4"/>
      <c r="FD1328" s="4"/>
      <c r="FE1328" s="4"/>
      <c r="FF1328" s="4"/>
      <c r="FG1328" s="4"/>
      <c r="FH1328" s="4"/>
      <c r="FI1328" s="4"/>
      <c r="FJ1328" s="4"/>
      <c r="FK1328" s="4"/>
      <c r="FL1328" s="4"/>
      <c r="FM1328" s="4"/>
      <c r="FN1328" s="4"/>
      <c r="FO1328" s="4"/>
      <c r="FP1328" s="4"/>
      <c r="FQ1328" s="4"/>
      <c r="FR1328" s="4"/>
      <c r="FS1328" s="4"/>
      <c r="FT1328" s="4"/>
      <c r="FU1328" s="4"/>
      <c r="FV1328" s="4"/>
      <c r="FW1328" s="4"/>
      <c r="FX1328" s="4"/>
      <c r="FY1328" s="4"/>
      <c r="FZ1328" s="4"/>
      <c r="GA1328" s="4"/>
      <c r="GB1328" s="4"/>
      <c r="GC1328" s="4"/>
      <c r="GD1328" s="4"/>
      <c r="GE1328" s="4"/>
      <c r="GF1328" s="4"/>
      <c r="GG1328" s="4"/>
      <c r="GH1328" s="4"/>
    </row>
    <row r="1329">
      <c r="A1329" s="2" t="s">
        <v>7230</v>
      </c>
      <c r="B1329" s="2" t="s">
        <v>932</v>
      </c>
      <c r="C1329" s="2" t="s">
        <v>877</v>
      </c>
      <c r="D1329" s="2" t="s">
        <v>1524</v>
      </c>
      <c r="E1329" s="2" t="s">
        <v>2324</v>
      </c>
      <c r="F1329" s="2" t="s">
        <v>7231</v>
      </c>
      <c r="G1329" s="2" t="s">
        <v>7231</v>
      </c>
      <c r="H1329" s="2" t="s">
        <v>7231</v>
      </c>
      <c r="I1329" s="2" t="s">
        <v>7232</v>
      </c>
      <c r="J1329" s="2" t="s">
        <v>711</v>
      </c>
      <c r="K1329" s="2" t="s">
        <v>257</v>
      </c>
      <c r="L1329" s="3">
        <v>32.5</v>
      </c>
      <c r="M1329" s="3">
        <v>34.12</v>
      </c>
      <c r="N1329" s="3">
        <v>64.99</v>
      </c>
      <c r="O1329" s="2" t="s">
        <v>212</v>
      </c>
      <c r="P1329" s="2" t="s">
        <v>258</v>
      </c>
      <c r="Q1329" s="2" t="s">
        <v>206</v>
      </c>
      <c r="R1329" s="2" t="s">
        <v>200</v>
      </c>
      <c r="S1329" s="2" t="s">
        <v>200</v>
      </c>
      <c r="T1329" s="2" t="s">
        <v>312</v>
      </c>
      <c r="U1329" s="2" t="s">
        <v>270</v>
      </c>
      <c r="V1329" s="2" t="s">
        <v>208</v>
      </c>
      <c r="W1329" s="2" t="s">
        <v>241</v>
      </c>
      <c r="X1329" s="2" t="s">
        <v>242</v>
      </c>
      <c r="Y1329" s="2" t="s">
        <v>7233</v>
      </c>
      <c r="Z1329" s="4">
        <v>997</v>
      </c>
      <c r="AA1329" s="4">
        <f>=ROUNDDOWN(99.7,0)</f>
      </c>
      <c r="AB1329" s="5">
        <v>10</v>
      </c>
      <c r="AC1329" s="2" t="s">
        <v>200</v>
      </c>
      <c r="AD1329" s="4"/>
      <c r="AE1329" s="4"/>
      <c r="AF1329" s="6">
        <v>64</v>
      </c>
      <c r="AG1329" s="6"/>
      <c r="AH1329" s="7">
        <v>1</v>
      </c>
      <c r="AI1329" s="4"/>
      <c r="AJ1329" s="4">
        <f>=ROUNDDOWN({0},0)</f>
      </c>
      <c r="AK1329" s="5"/>
      <c r="AL1329" s="2" t="s">
        <v>200</v>
      </c>
      <c r="AM1329" s="4"/>
      <c r="AN1329" s="4"/>
      <c r="AO1329" s="7">
        <v>0</v>
      </c>
      <c r="AP1329" s="4"/>
      <c r="AQ1329" s="8"/>
      <c r="AR1329" s="4"/>
      <c r="AS1329" s="8"/>
      <c r="AT1329" s="7"/>
      <c r="AU1329" s="7"/>
      <c r="AV1329" s="4"/>
      <c r="AW1329" s="8"/>
      <c r="AX1329" s="4"/>
      <c r="AY1329" s="8"/>
      <c r="AZ1329" s="7"/>
      <c r="BA1329" s="7"/>
      <c r="BB1329" s="7"/>
      <c r="BC1329" s="4"/>
      <c r="BD1329" s="8"/>
      <c r="BE1329" s="4"/>
      <c r="BF1329" s="8"/>
      <c r="BG1329" s="7"/>
      <c r="BH1329" s="7"/>
      <c r="BI1329" s="7"/>
      <c r="BJ1329" s="4">
        <v>19</v>
      </c>
      <c r="BK1329" s="8">
        <v>648.71</v>
      </c>
      <c r="BL1329" s="2" t="s">
        <v>7234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7235</v>
      </c>
      <c r="BV1329" s="2" t="s">
        <v>200</v>
      </c>
      <c r="BW1329" s="2" t="s">
        <v>200</v>
      </c>
      <c r="BX1329" s="2" t="s">
        <v>264</v>
      </c>
      <c r="BY1329" s="2" t="s">
        <v>247</v>
      </c>
      <c r="BZ1329" s="2" t="s">
        <v>212</v>
      </c>
      <c r="CA1329" s="2" t="s">
        <v>7236</v>
      </c>
      <c r="CB1329" s="2" t="s">
        <v>7237</v>
      </c>
      <c r="CC1329" s="2" t="s">
        <v>213</v>
      </c>
      <c r="CD1329" s="2" t="s">
        <v>200</v>
      </c>
      <c r="CE1329" s="4">
        <v>997</v>
      </c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  <c r="DD1329" s="4"/>
      <c r="DE1329" s="4"/>
      <c r="DF1329" s="4"/>
      <c r="DG1329" s="4"/>
      <c r="DH1329" s="4"/>
      <c r="DI1329" s="4"/>
      <c r="DJ1329" s="4"/>
      <c r="DK1329" s="4"/>
      <c r="DL1329" s="4"/>
      <c r="DM1329" s="4"/>
      <c r="DN1329" s="4"/>
      <c r="DO1329" s="4"/>
      <c r="DP1329" s="4"/>
      <c r="DQ1329" s="4"/>
      <c r="DR1329" s="4"/>
      <c r="DS1329" s="4"/>
      <c r="DT1329" s="4"/>
      <c r="DU1329" s="4"/>
      <c r="DV1329" s="4"/>
      <c r="DW1329" s="4"/>
      <c r="DX1329" s="4"/>
      <c r="DY1329" s="4"/>
      <c r="DZ1329" s="4"/>
      <c r="EA1329" s="4"/>
      <c r="EB1329" s="4"/>
      <c r="EC1329" s="4"/>
      <c r="ED1329" s="4"/>
      <c r="EE1329" s="4"/>
      <c r="EF1329" s="4"/>
      <c r="EG1329" s="4"/>
      <c r="EH1329" s="4"/>
      <c r="EI1329" s="4"/>
      <c r="EJ1329" s="4"/>
      <c r="EK1329" s="4"/>
      <c r="EL1329" s="4"/>
      <c r="EM1329" s="4"/>
      <c r="EN1329" s="4"/>
      <c r="EO1329" s="4"/>
      <c r="EP1329" s="4"/>
      <c r="EQ1329" s="4"/>
      <c r="ER1329" s="4"/>
      <c r="ES1329" s="4"/>
      <c r="ET1329" s="4"/>
      <c r="EU1329" s="4"/>
      <c r="EV1329" s="4"/>
      <c r="EW1329" s="4"/>
      <c r="EX1329" s="4"/>
      <c r="EY1329" s="4"/>
      <c r="EZ1329" s="4"/>
      <c r="FA1329" s="4"/>
      <c r="FB1329" s="4"/>
      <c r="FC1329" s="4"/>
      <c r="FD1329" s="4"/>
      <c r="FE1329" s="4"/>
      <c r="FF1329" s="4"/>
      <c r="FG1329" s="4"/>
      <c r="FH1329" s="4"/>
      <c r="FI1329" s="4"/>
      <c r="FJ1329" s="4"/>
      <c r="FK1329" s="4"/>
      <c r="FL1329" s="4"/>
      <c r="FM1329" s="4"/>
      <c r="FN1329" s="4"/>
      <c r="FO1329" s="4"/>
      <c r="FP1329" s="4"/>
      <c r="FQ1329" s="4"/>
      <c r="FR1329" s="4"/>
      <c r="FS1329" s="4"/>
      <c r="FT1329" s="4"/>
      <c r="FU1329" s="4"/>
      <c r="FV1329" s="4"/>
      <c r="FW1329" s="4"/>
      <c r="FX1329" s="4"/>
      <c r="FY1329" s="4"/>
      <c r="FZ1329" s="4"/>
      <c r="GA1329" s="4"/>
      <c r="GB1329" s="4"/>
      <c r="GC1329" s="4"/>
      <c r="GD1329" s="4"/>
      <c r="GE1329" s="4"/>
      <c r="GF1329" s="4"/>
      <c r="GG1329" s="4"/>
      <c r="GH1329" s="4"/>
    </row>
    <row r="1330">
      <c r="A1330" s="2" t="s">
        <v>7238</v>
      </c>
      <c r="B1330" s="2" t="s">
        <v>744</v>
      </c>
      <c r="C1330" s="2" t="s">
        <v>231</v>
      </c>
      <c r="D1330" s="2" t="s">
        <v>795</v>
      </c>
      <c r="E1330" s="2" t="s">
        <v>796</v>
      </c>
      <c r="F1330" s="2" t="s">
        <v>7239</v>
      </c>
      <c r="G1330" s="2" t="s">
        <v>7240</v>
      </c>
      <c r="H1330" s="2" t="s">
        <v>7241</v>
      </c>
      <c r="I1330" s="2" t="s">
        <v>7242</v>
      </c>
      <c r="J1330" s="2" t="s">
        <v>711</v>
      </c>
      <c r="K1330" s="2" t="s">
        <v>1928</v>
      </c>
      <c r="L1330" s="3">
        <v>265</v>
      </c>
      <c r="M1330" s="3">
        <v>278.25</v>
      </c>
      <c r="N1330" s="3">
        <v>559</v>
      </c>
      <c r="O1330" s="2" t="s">
        <v>460</v>
      </c>
      <c r="P1330" s="2" t="s">
        <v>285</v>
      </c>
      <c r="Q1330" s="2" t="s">
        <v>206</v>
      </c>
      <c r="R1330" s="2" t="s">
        <v>200</v>
      </c>
      <c r="S1330" s="2" t="s">
        <v>200</v>
      </c>
      <c r="T1330" s="2" t="s">
        <v>200</v>
      </c>
      <c r="U1330" s="2" t="s">
        <v>270</v>
      </c>
      <c r="V1330" s="2" t="s">
        <v>208</v>
      </c>
      <c r="W1330" s="2" t="s">
        <v>419</v>
      </c>
      <c r="X1330" s="2" t="s">
        <v>200</v>
      </c>
      <c r="Y1330" s="2" t="s">
        <v>1704</v>
      </c>
      <c r="Z1330" s="4">
        <v>91</v>
      </c>
      <c r="AA1330" s="4">
        <f>=ROUNDDOWN(60.6666666666667,0)</f>
      </c>
      <c r="AB1330" s="5">
        <v>1.5</v>
      </c>
      <c r="AC1330" s="2" t="s">
        <v>200</v>
      </c>
      <c r="AD1330" s="4"/>
      <c r="AE1330" s="4"/>
      <c r="AF1330" s="6">
        <v>66</v>
      </c>
      <c r="AG1330" s="6">
        <v>49</v>
      </c>
      <c r="AH1330" s="7">
        <v>1</v>
      </c>
      <c r="AI1330" s="4"/>
      <c r="AJ1330" s="4">
        <f>=ROUNDDOWN({0},0)</f>
      </c>
      <c r="AK1330" s="5"/>
      <c r="AL1330" s="2" t="s">
        <v>200</v>
      </c>
      <c r="AM1330" s="4"/>
      <c r="AN1330" s="4"/>
      <c r="AO1330" s="7"/>
      <c r="AP1330" s="4"/>
      <c r="AQ1330" s="8"/>
      <c r="AR1330" s="4"/>
      <c r="AS1330" s="8"/>
      <c r="AT1330" s="7"/>
      <c r="AU1330" s="7"/>
      <c r="AV1330" s="4"/>
      <c r="AW1330" s="8"/>
      <c r="AX1330" s="4"/>
      <c r="AY1330" s="8"/>
      <c r="AZ1330" s="7"/>
      <c r="BA1330" s="7"/>
      <c r="BB1330" s="7"/>
      <c r="BC1330" s="4"/>
      <c r="BD1330" s="8"/>
      <c r="BE1330" s="4"/>
      <c r="BF1330" s="8"/>
      <c r="BG1330" s="7"/>
      <c r="BH1330" s="7"/>
      <c r="BI1330" s="7"/>
      <c r="BJ1330" s="4">
        <v>1</v>
      </c>
      <c r="BK1330" s="8">
        <v>122.62</v>
      </c>
      <c r="BL1330" s="2" t="s">
        <v>791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7243</v>
      </c>
      <c r="BV1330" s="2" t="s">
        <v>200</v>
      </c>
      <c r="BW1330" s="2" t="s">
        <v>200</v>
      </c>
      <c r="BX1330" s="2" t="s">
        <v>289</v>
      </c>
      <c r="BY1330" s="2" t="s">
        <v>247</v>
      </c>
      <c r="BZ1330" s="2" t="s">
        <v>212</v>
      </c>
      <c r="CA1330" s="2" t="s">
        <v>6448</v>
      </c>
      <c r="CB1330" s="2" t="s">
        <v>7244</v>
      </c>
      <c r="CC1330" s="2" t="s">
        <v>213</v>
      </c>
      <c r="CD1330" s="2" t="s">
        <v>200</v>
      </c>
      <c r="CE1330" s="4"/>
      <c r="CF1330" s="4">
        <v>87</v>
      </c>
      <c r="CG1330" s="4"/>
      <c r="CH1330" s="4">
        <v>4</v>
      </c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  <c r="DE1330" s="4"/>
      <c r="DF1330" s="4"/>
      <c r="DG1330" s="4"/>
      <c r="DH1330" s="4"/>
      <c r="DI1330" s="4"/>
      <c r="DJ1330" s="4"/>
      <c r="DK1330" s="4"/>
      <c r="DL1330" s="4"/>
      <c r="DM1330" s="4"/>
      <c r="DN1330" s="4"/>
      <c r="DO1330" s="4"/>
      <c r="DP1330" s="4"/>
      <c r="DQ1330" s="4"/>
      <c r="DR1330" s="4"/>
      <c r="DS1330" s="4"/>
      <c r="DT1330" s="4"/>
      <c r="DU1330" s="4"/>
      <c r="DV1330" s="4"/>
      <c r="DW1330" s="4"/>
      <c r="DX1330" s="4"/>
      <c r="DY1330" s="4"/>
      <c r="DZ1330" s="4"/>
      <c r="EA1330" s="4"/>
      <c r="EB1330" s="4"/>
      <c r="EC1330" s="4"/>
      <c r="ED1330" s="4"/>
      <c r="EE1330" s="4"/>
      <c r="EF1330" s="4"/>
      <c r="EG1330" s="4"/>
      <c r="EH1330" s="4"/>
      <c r="EI1330" s="4"/>
      <c r="EJ1330" s="4"/>
      <c r="EK1330" s="4"/>
      <c r="EL1330" s="4"/>
      <c r="EM1330" s="4"/>
      <c r="EN1330" s="4"/>
      <c r="EO1330" s="4"/>
      <c r="EP1330" s="4"/>
      <c r="EQ1330" s="4"/>
      <c r="ER1330" s="4"/>
      <c r="ES1330" s="4"/>
      <c r="ET1330" s="4"/>
      <c r="EU1330" s="4"/>
      <c r="EV1330" s="4"/>
      <c r="EW1330" s="4"/>
      <c r="EX1330" s="4"/>
      <c r="EY1330" s="4"/>
      <c r="EZ1330" s="4"/>
      <c r="FA1330" s="4"/>
      <c r="FB1330" s="4"/>
      <c r="FC1330" s="4"/>
      <c r="FD1330" s="4"/>
      <c r="FE1330" s="4"/>
      <c r="FF1330" s="4"/>
      <c r="FG1330" s="4"/>
      <c r="FH1330" s="4"/>
      <c r="FI1330" s="4"/>
      <c r="FJ1330" s="4"/>
      <c r="FK1330" s="4"/>
      <c r="FL1330" s="4"/>
      <c r="FM1330" s="4"/>
      <c r="FN1330" s="4"/>
      <c r="FO1330" s="4"/>
      <c r="FP1330" s="4"/>
      <c r="FQ1330" s="4"/>
      <c r="FR1330" s="4"/>
      <c r="FS1330" s="4"/>
      <c r="FT1330" s="4"/>
      <c r="FU1330" s="4"/>
      <c r="FV1330" s="4"/>
      <c r="FW1330" s="4"/>
      <c r="FX1330" s="4"/>
      <c r="FY1330" s="4"/>
      <c r="FZ1330" s="4"/>
      <c r="GA1330" s="4"/>
      <c r="GB1330" s="4"/>
      <c r="GC1330" s="4"/>
      <c r="GD1330" s="4"/>
      <c r="GE1330" s="4"/>
      <c r="GF1330" s="4"/>
      <c r="GG1330" s="4"/>
      <c r="GH1330" s="4"/>
    </row>
    <row r="1331">
      <c r="A1331" s="2" t="s">
        <v>7245</v>
      </c>
      <c r="B1331" s="2" t="s">
        <v>744</v>
      </c>
      <c r="C1331" s="2" t="s">
        <v>231</v>
      </c>
      <c r="D1331" s="2" t="s">
        <v>1275</v>
      </c>
      <c r="E1331" s="2" t="s">
        <v>1276</v>
      </c>
      <c r="F1331" s="2" t="s">
        <v>7246</v>
      </c>
      <c r="G1331" s="2" t="s">
        <v>1981</v>
      </c>
      <c r="H1331" s="2" t="s">
        <v>7247</v>
      </c>
      <c r="I1331" s="2" t="s">
        <v>7248</v>
      </c>
      <c r="J1331" s="2" t="s">
        <v>711</v>
      </c>
      <c r="K1331" s="2" t="s">
        <v>7249</v>
      </c>
      <c r="L1331" s="3">
        <v>199.5</v>
      </c>
      <c r="M1331" s="3">
        <v>209.48</v>
      </c>
      <c r="N1331" s="3">
        <v>419</v>
      </c>
      <c r="O1331" s="2" t="s">
        <v>212</v>
      </c>
      <c r="P1331" s="2" t="s">
        <v>258</v>
      </c>
      <c r="Q1331" s="2" t="s">
        <v>206</v>
      </c>
      <c r="R1331" s="2" t="s">
        <v>200</v>
      </c>
      <c r="S1331" s="2" t="s">
        <v>7250</v>
      </c>
      <c r="T1331" s="2" t="s">
        <v>200</v>
      </c>
      <c r="U1331" s="2" t="s">
        <v>200</v>
      </c>
      <c r="V1331" s="2" t="s">
        <v>208</v>
      </c>
      <c r="W1331" s="2" t="s">
        <v>712</v>
      </c>
      <c r="X1331" s="2" t="s">
        <v>200</v>
      </c>
      <c r="Y1331" s="2" t="s">
        <v>261</v>
      </c>
      <c r="Z1331" s="4">
        <v>101</v>
      </c>
      <c r="AA1331" s="4">
        <f>=ROUNDDOWN(14.4285714285714,0)</f>
      </c>
      <c r="AB1331" s="5">
        <v>7</v>
      </c>
      <c r="AC1331" s="2" t="s">
        <v>1674</v>
      </c>
      <c r="AD1331" s="4">
        <v>126</v>
      </c>
      <c r="AE1331" s="4">
        <v>126</v>
      </c>
      <c r="AF1331" s="6">
        <v>66</v>
      </c>
      <c r="AG1331" s="6"/>
      <c r="AH1331" s="7">
        <v>1</v>
      </c>
      <c r="AI1331" s="4"/>
      <c r="AJ1331" s="4">
        <f>=ROUNDDOWN({0},0)</f>
      </c>
      <c r="AK1331" s="5"/>
      <c r="AL1331" s="2" t="s">
        <v>200</v>
      </c>
      <c r="AM1331" s="4"/>
      <c r="AN1331" s="4"/>
      <c r="AO1331" s="7"/>
      <c r="AP1331" s="4"/>
      <c r="AQ1331" s="8"/>
      <c r="AR1331" s="4"/>
      <c r="AS1331" s="8"/>
      <c r="AT1331" s="7"/>
      <c r="AU1331" s="7"/>
      <c r="AV1331" s="4"/>
      <c r="AW1331" s="8"/>
      <c r="AX1331" s="4"/>
      <c r="AY1331" s="8"/>
      <c r="AZ1331" s="7"/>
      <c r="BA1331" s="7"/>
      <c r="BB1331" s="7"/>
      <c r="BC1331" s="4" t="s">
        <v>200</v>
      </c>
      <c r="BD1331" s="8" t="s">
        <v>200</v>
      </c>
      <c r="BE1331" s="4" t="s">
        <v>200</v>
      </c>
      <c r="BF1331" s="8" t="s">
        <v>200</v>
      </c>
      <c r="BG1331" s="7" t="s">
        <v>200</v>
      </c>
      <c r="BH1331" s="7" t="s">
        <v>200</v>
      </c>
      <c r="BI1331" s="7"/>
      <c r="BJ1331" s="4">
        <v>19</v>
      </c>
      <c r="BK1331" s="8">
        <v>3473.16</v>
      </c>
      <c r="BL1331" s="2" t="s">
        <v>7251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7252</v>
      </c>
      <c r="BV1331" s="2" t="s">
        <v>200</v>
      </c>
      <c r="BW1331" s="2" t="s">
        <v>200</v>
      </c>
      <c r="BX1331" s="2" t="s">
        <v>264</v>
      </c>
      <c r="BY1331" s="2" t="s">
        <v>247</v>
      </c>
      <c r="BZ1331" s="2" t="s">
        <v>212</v>
      </c>
      <c r="CA1331" s="2" t="s">
        <v>265</v>
      </c>
      <c r="CB1331" s="2" t="s">
        <v>7253</v>
      </c>
      <c r="CC1331" s="2" t="s">
        <v>213</v>
      </c>
      <c r="CD1331" s="2" t="s">
        <v>200</v>
      </c>
      <c r="CE1331" s="4"/>
      <c r="CF1331" s="4">
        <v>101</v>
      </c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/>
      <c r="DD1331" s="4"/>
      <c r="DE1331" s="4"/>
      <c r="DF1331" s="4"/>
      <c r="DG1331" s="4"/>
      <c r="DH1331" s="4"/>
      <c r="DI1331" s="4"/>
      <c r="DJ1331" s="4"/>
      <c r="DK1331" s="4"/>
      <c r="DL1331" s="4"/>
      <c r="DM1331" s="4"/>
      <c r="DN1331" s="4"/>
      <c r="DO1331" s="4"/>
      <c r="DP1331" s="4"/>
      <c r="DQ1331" s="4"/>
      <c r="DR1331" s="4"/>
      <c r="DS1331" s="4"/>
      <c r="DT1331" s="4"/>
      <c r="DU1331" s="4"/>
      <c r="DV1331" s="4"/>
      <c r="DW1331" s="4">
        <v>126</v>
      </c>
      <c r="DX1331" s="4"/>
      <c r="DY1331" s="4"/>
      <c r="DZ1331" s="4"/>
      <c r="EA1331" s="4"/>
      <c r="EB1331" s="4"/>
      <c r="EC1331" s="4"/>
      <c r="ED1331" s="4"/>
      <c r="EE1331" s="4"/>
      <c r="EF1331" s="4"/>
      <c r="EG1331" s="4"/>
      <c r="EH1331" s="4"/>
      <c r="EI1331" s="4"/>
      <c r="EJ1331" s="4"/>
      <c r="EK1331" s="4"/>
      <c r="EL1331" s="4"/>
      <c r="EM1331" s="4"/>
      <c r="EN1331" s="4"/>
      <c r="EO1331" s="4"/>
      <c r="EP1331" s="4"/>
      <c r="EQ1331" s="4"/>
      <c r="ER1331" s="4"/>
      <c r="ES1331" s="4"/>
      <c r="ET1331" s="4"/>
      <c r="EU1331" s="4"/>
      <c r="EV1331" s="4"/>
      <c r="EW1331" s="4"/>
      <c r="EX1331" s="4"/>
      <c r="EY1331" s="4"/>
      <c r="EZ1331" s="4"/>
      <c r="FA1331" s="4"/>
      <c r="FB1331" s="4"/>
      <c r="FC1331" s="4"/>
      <c r="FD1331" s="4"/>
      <c r="FE1331" s="4"/>
      <c r="FF1331" s="4"/>
      <c r="FG1331" s="4"/>
      <c r="FH1331" s="4"/>
      <c r="FI1331" s="4"/>
      <c r="FJ1331" s="4"/>
      <c r="FK1331" s="4"/>
      <c r="FL1331" s="4"/>
      <c r="FM1331" s="4"/>
      <c r="FN1331" s="4"/>
      <c r="FO1331" s="4"/>
      <c r="FP1331" s="4"/>
      <c r="FQ1331" s="4"/>
      <c r="FR1331" s="4"/>
      <c r="FS1331" s="4"/>
      <c r="FT1331" s="4"/>
      <c r="FU1331" s="4"/>
      <c r="FV1331" s="4"/>
      <c r="FW1331" s="4"/>
      <c r="FX1331" s="4"/>
      <c r="FY1331" s="4"/>
      <c r="FZ1331" s="4"/>
      <c r="GA1331" s="4"/>
      <c r="GB1331" s="4"/>
      <c r="GC1331" s="4"/>
      <c r="GD1331" s="4"/>
      <c r="GE1331" s="4"/>
      <c r="GF1331" s="4"/>
      <c r="GG1331" s="4"/>
      <c r="GH1331" s="4"/>
    </row>
    <row r="1332">
      <c r="A1332" s="2" t="s">
        <v>7254</v>
      </c>
      <c r="B1332" s="2" t="s">
        <v>744</v>
      </c>
      <c r="C1332" s="2" t="s">
        <v>231</v>
      </c>
      <c r="D1332" s="2" t="s">
        <v>1275</v>
      </c>
      <c r="E1332" s="2" t="s">
        <v>1276</v>
      </c>
      <c r="F1332" s="2" t="s">
        <v>7246</v>
      </c>
      <c r="G1332" s="2" t="s">
        <v>1981</v>
      </c>
      <c r="H1332" s="2" t="s">
        <v>7247</v>
      </c>
      <c r="I1332" s="2" t="s">
        <v>7248</v>
      </c>
      <c r="J1332" s="2" t="s">
        <v>711</v>
      </c>
      <c r="K1332" s="2" t="s">
        <v>416</v>
      </c>
      <c r="L1332" s="3">
        <v>199.5</v>
      </c>
      <c r="M1332" s="3">
        <v>209.48</v>
      </c>
      <c r="N1332" s="3">
        <v>419</v>
      </c>
      <c r="O1332" s="2" t="s">
        <v>212</v>
      </c>
      <c r="P1332" s="2" t="s">
        <v>750</v>
      </c>
      <c r="Q1332" s="2" t="s">
        <v>206</v>
      </c>
      <c r="R1332" s="2" t="s">
        <v>200</v>
      </c>
      <c r="S1332" s="2" t="s">
        <v>7255</v>
      </c>
      <c r="T1332" s="2" t="s">
        <v>200</v>
      </c>
      <c r="U1332" s="2" t="s">
        <v>200</v>
      </c>
      <c r="V1332" s="2" t="s">
        <v>208</v>
      </c>
      <c r="W1332" s="2" t="s">
        <v>712</v>
      </c>
      <c r="X1332" s="2" t="s">
        <v>200</v>
      </c>
      <c r="Y1332" s="2" t="s">
        <v>261</v>
      </c>
      <c r="Z1332" s="4">
        <v>88</v>
      </c>
      <c r="AA1332" s="4">
        <f>=ROUNDDOWN(88,0)</f>
      </c>
      <c r="AB1332" s="5">
        <v>1</v>
      </c>
      <c r="AC1332" s="2" t="s">
        <v>200</v>
      </c>
      <c r="AD1332" s="4"/>
      <c r="AE1332" s="4"/>
      <c r="AF1332" s="6">
        <v>66</v>
      </c>
      <c r="AG1332" s="6">
        <v>49</v>
      </c>
      <c r="AH1332" s="7">
        <v>1</v>
      </c>
      <c r="AI1332" s="4"/>
      <c r="AJ1332" s="4">
        <f>=ROUNDDOWN({0},0)</f>
      </c>
      <c r="AK1332" s="5"/>
      <c r="AL1332" s="2" t="s">
        <v>200</v>
      </c>
      <c r="AM1332" s="4"/>
      <c r="AN1332" s="4"/>
      <c r="AO1332" s="7"/>
      <c r="AP1332" s="4"/>
      <c r="AQ1332" s="8"/>
      <c r="AR1332" s="4"/>
      <c r="AS1332" s="8"/>
      <c r="AT1332" s="7"/>
      <c r="AU1332" s="7"/>
      <c r="AV1332" s="4"/>
      <c r="AW1332" s="8"/>
      <c r="AX1332" s="4"/>
      <c r="AY1332" s="8"/>
      <c r="AZ1332" s="7"/>
      <c r="BA1332" s="7"/>
      <c r="BB1332" s="7"/>
      <c r="BC1332" s="4" t="s">
        <v>200</v>
      </c>
      <c r="BD1332" s="8" t="s">
        <v>200</v>
      </c>
      <c r="BE1332" s="4" t="s">
        <v>200</v>
      </c>
      <c r="BF1332" s="8" t="s">
        <v>200</v>
      </c>
      <c r="BG1332" s="7" t="s">
        <v>200</v>
      </c>
      <c r="BH1332" s="7" t="s">
        <v>200</v>
      </c>
      <c r="BI1332" s="7"/>
      <c r="BJ1332" s="4">
        <v>14</v>
      </c>
      <c r="BK1332" s="8">
        <v>2446.01</v>
      </c>
      <c r="BL1332" s="2" t="s">
        <v>7256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7257</v>
      </c>
      <c r="BV1332" s="2" t="s">
        <v>200</v>
      </c>
      <c r="BW1332" s="2" t="s">
        <v>200</v>
      </c>
      <c r="BX1332" s="2" t="s">
        <v>264</v>
      </c>
      <c r="BY1332" s="2" t="s">
        <v>247</v>
      </c>
      <c r="BZ1332" s="2" t="s">
        <v>212</v>
      </c>
      <c r="CA1332" s="2" t="s">
        <v>265</v>
      </c>
      <c r="CB1332" s="2" t="s">
        <v>6602</v>
      </c>
      <c r="CC1332" s="2" t="s">
        <v>213</v>
      </c>
      <c r="CD1332" s="2" t="s">
        <v>200</v>
      </c>
      <c r="CE1332" s="4"/>
      <c r="CF1332" s="4">
        <v>88</v>
      </c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E1332" s="4"/>
      <c r="DF1332" s="4"/>
      <c r="DG1332" s="4"/>
      <c r="DH1332" s="4"/>
      <c r="DI1332" s="4"/>
      <c r="DJ1332" s="4"/>
      <c r="DK1332" s="4"/>
      <c r="DL1332" s="4"/>
      <c r="DM1332" s="4"/>
      <c r="DN1332" s="4"/>
      <c r="DO1332" s="4"/>
      <c r="DP1332" s="4"/>
      <c r="DQ1332" s="4"/>
      <c r="DR1332" s="4"/>
      <c r="DS1332" s="4"/>
      <c r="DT1332" s="4"/>
      <c r="DU1332" s="4"/>
      <c r="DV1332" s="4"/>
      <c r="DW1332" s="4"/>
      <c r="DX1332" s="4"/>
      <c r="DY1332" s="4"/>
      <c r="DZ1332" s="4"/>
      <c r="EA1332" s="4"/>
      <c r="EB1332" s="4"/>
      <c r="EC1332" s="4"/>
      <c r="ED1332" s="4"/>
      <c r="EE1332" s="4"/>
      <c r="EF1332" s="4"/>
      <c r="EG1332" s="4"/>
      <c r="EH1332" s="4"/>
      <c r="EI1332" s="4"/>
      <c r="EJ1332" s="4"/>
      <c r="EK1332" s="4"/>
      <c r="EL1332" s="4"/>
      <c r="EM1332" s="4"/>
      <c r="EN1332" s="4"/>
      <c r="EO1332" s="4"/>
      <c r="EP1332" s="4"/>
      <c r="EQ1332" s="4"/>
      <c r="ER1332" s="4"/>
      <c r="ES1332" s="4"/>
      <c r="ET1332" s="4"/>
      <c r="EU1332" s="4"/>
      <c r="EV1332" s="4"/>
      <c r="EW1332" s="4"/>
      <c r="EX1332" s="4"/>
      <c r="EY1332" s="4"/>
      <c r="EZ1332" s="4"/>
      <c r="FA1332" s="4"/>
      <c r="FB1332" s="4"/>
      <c r="FC1332" s="4"/>
      <c r="FD1332" s="4"/>
      <c r="FE1332" s="4"/>
      <c r="FF1332" s="4"/>
      <c r="FG1332" s="4"/>
      <c r="FH1332" s="4"/>
      <c r="FI1332" s="4"/>
      <c r="FJ1332" s="4"/>
      <c r="FK1332" s="4"/>
      <c r="FL1332" s="4"/>
      <c r="FM1332" s="4"/>
      <c r="FN1332" s="4"/>
      <c r="FO1332" s="4"/>
      <c r="FP1332" s="4"/>
      <c r="FQ1332" s="4"/>
      <c r="FR1332" s="4"/>
      <c r="FS1332" s="4"/>
      <c r="FT1332" s="4"/>
      <c r="FU1332" s="4"/>
      <c r="FV1332" s="4"/>
      <c r="FW1332" s="4"/>
      <c r="FX1332" s="4"/>
      <c r="FY1332" s="4"/>
      <c r="FZ1332" s="4"/>
      <c r="GA1332" s="4"/>
      <c r="GB1332" s="4"/>
      <c r="GC1332" s="4"/>
      <c r="GD1332" s="4"/>
      <c r="GE1332" s="4"/>
      <c r="GF1332" s="4"/>
      <c r="GG1332" s="4"/>
      <c r="GH1332" s="4"/>
    </row>
    <row r="1333">
      <c r="A1333" s="2" t="s">
        <v>7258</v>
      </c>
      <c r="B1333" s="2" t="s">
        <v>744</v>
      </c>
      <c r="C1333" s="2" t="s">
        <v>231</v>
      </c>
      <c r="D1333" s="2" t="s">
        <v>1275</v>
      </c>
      <c r="E1333" s="2" t="s">
        <v>1276</v>
      </c>
      <c r="F1333" s="2" t="s">
        <v>7246</v>
      </c>
      <c r="G1333" s="2" t="s">
        <v>1981</v>
      </c>
      <c r="H1333" s="2" t="s">
        <v>7247</v>
      </c>
      <c r="I1333" s="2" t="s">
        <v>7248</v>
      </c>
      <c r="J1333" s="2" t="s">
        <v>711</v>
      </c>
      <c r="K1333" s="2" t="s">
        <v>5554</v>
      </c>
      <c r="L1333" s="3">
        <v>199.5</v>
      </c>
      <c r="M1333" s="3">
        <v>209.48</v>
      </c>
      <c r="N1333" s="3">
        <v>419</v>
      </c>
      <c r="O1333" s="2" t="s">
        <v>212</v>
      </c>
      <c r="P1333" s="2" t="s">
        <v>285</v>
      </c>
      <c r="Q1333" s="2" t="s">
        <v>206</v>
      </c>
      <c r="R1333" s="2" t="s">
        <v>200</v>
      </c>
      <c r="S1333" s="2" t="s">
        <v>200</v>
      </c>
      <c r="T1333" s="2" t="s">
        <v>200</v>
      </c>
      <c r="U1333" s="2" t="s">
        <v>270</v>
      </c>
      <c r="V1333" s="2" t="s">
        <v>208</v>
      </c>
      <c r="W1333" s="2" t="s">
        <v>712</v>
      </c>
      <c r="X1333" s="2" t="s">
        <v>379</v>
      </c>
      <c r="Y1333" s="2" t="s">
        <v>7259</v>
      </c>
      <c r="Z1333" s="4">
        <v>101</v>
      </c>
      <c r="AA1333" s="4">
        <f>=ROUNDDOWN(25.25,0)</f>
      </c>
      <c r="AB1333" s="5">
        <v>4</v>
      </c>
      <c r="AC1333" s="2" t="s">
        <v>200</v>
      </c>
      <c r="AD1333" s="4"/>
      <c r="AE1333" s="4"/>
      <c r="AF1333" s="6">
        <v>66</v>
      </c>
      <c r="AG1333" s="6">
        <v>49</v>
      </c>
      <c r="AH1333" s="7">
        <v>1</v>
      </c>
      <c r="AI1333" s="4"/>
      <c r="AJ1333" s="4">
        <f>=ROUNDDOWN({0},0)</f>
      </c>
      <c r="AK1333" s="5"/>
      <c r="AL1333" s="2" t="s">
        <v>200</v>
      </c>
      <c r="AM1333" s="4"/>
      <c r="AN1333" s="4"/>
      <c r="AO1333" s="7"/>
      <c r="AP1333" s="4"/>
      <c r="AQ1333" s="8"/>
      <c r="AR1333" s="4"/>
      <c r="AS1333" s="8"/>
      <c r="AT1333" s="7"/>
      <c r="AU1333" s="7"/>
      <c r="AV1333" s="4"/>
      <c r="AW1333" s="8"/>
      <c r="AX1333" s="4"/>
      <c r="AY1333" s="8"/>
      <c r="AZ1333" s="7"/>
      <c r="BA1333" s="7"/>
      <c r="BB1333" s="7"/>
      <c r="BC1333" s="4" t="s">
        <v>200</v>
      </c>
      <c r="BD1333" s="8" t="s">
        <v>200</v>
      </c>
      <c r="BE1333" s="4" t="s">
        <v>200</v>
      </c>
      <c r="BF1333" s="8" t="s">
        <v>200</v>
      </c>
      <c r="BG1333" s="7" t="s">
        <v>200</v>
      </c>
      <c r="BH1333" s="7" t="s">
        <v>200</v>
      </c>
      <c r="BI1333" s="7"/>
      <c r="BJ1333" s="4">
        <v>20</v>
      </c>
      <c r="BK1333" s="8">
        <v>2793.65</v>
      </c>
      <c r="BL1333" s="2" t="s">
        <v>7260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7261</v>
      </c>
      <c r="BV1333" s="2" t="s">
        <v>200</v>
      </c>
      <c r="BW1333" s="2" t="s">
        <v>200</v>
      </c>
      <c r="BX1333" s="2" t="s">
        <v>289</v>
      </c>
      <c r="BY1333" s="2" t="s">
        <v>247</v>
      </c>
      <c r="BZ1333" s="2" t="s">
        <v>212</v>
      </c>
      <c r="CA1333" s="2" t="s">
        <v>7262</v>
      </c>
      <c r="CB1333" s="2" t="s">
        <v>7263</v>
      </c>
      <c r="CC1333" s="2" t="s">
        <v>213</v>
      </c>
      <c r="CD1333" s="2" t="s">
        <v>200</v>
      </c>
      <c r="CE1333" s="4"/>
      <c r="CF1333" s="4">
        <v>91</v>
      </c>
      <c r="CG1333" s="4"/>
      <c r="CH1333" s="4">
        <v>10</v>
      </c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  <c r="DE1333" s="4"/>
      <c r="DF1333" s="4"/>
      <c r="DG1333" s="4"/>
      <c r="DH1333" s="4"/>
      <c r="DI1333" s="4"/>
      <c r="DJ1333" s="4"/>
      <c r="DK1333" s="4"/>
      <c r="DL1333" s="4"/>
      <c r="DM1333" s="4"/>
      <c r="DN1333" s="4"/>
      <c r="DO1333" s="4"/>
      <c r="DP1333" s="4"/>
      <c r="DQ1333" s="4"/>
      <c r="DR1333" s="4"/>
      <c r="DS1333" s="4"/>
      <c r="DT1333" s="4"/>
      <c r="DU1333" s="4"/>
      <c r="DV1333" s="4"/>
      <c r="DW1333" s="4"/>
      <c r="DX1333" s="4"/>
      <c r="DY1333" s="4"/>
      <c r="DZ1333" s="4"/>
      <c r="EA1333" s="4"/>
      <c r="EB1333" s="4"/>
      <c r="EC1333" s="4"/>
      <c r="ED1333" s="4"/>
      <c r="EE1333" s="4"/>
      <c r="EF1333" s="4"/>
      <c r="EG1333" s="4"/>
      <c r="EH1333" s="4"/>
      <c r="EI1333" s="4"/>
      <c r="EJ1333" s="4"/>
      <c r="EK1333" s="4"/>
      <c r="EL1333" s="4"/>
      <c r="EM1333" s="4"/>
      <c r="EN1333" s="4"/>
      <c r="EO1333" s="4"/>
      <c r="EP1333" s="4"/>
      <c r="EQ1333" s="4"/>
      <c r="ER1333" s="4"/>
      <c r="ES1333" s="4"/>
      <c r="ET1333" s="4"/>
      <c r="EU1333" s="4"/>
      <c r="EV1333" s="4"/>
      <c r="EW1333" s="4"/>
      <c r="EX1333" s="4"/>
      <c r="EY1333" s="4"/>
      <c r="EZ1333" s="4"/>
      <c r="FA1333" s="4"/>
      <c r="FB1333" s="4"/>
      <c r="FC1333" s="4"/>
      <c r="FD1333" s="4"/>
      <c r="FE1333" s="4"/>
      <c r="FF1333" s="4"/>
      <c r="FG1333" s="4"/>
      <c r="FH1333" s="4"/>
      <c r="FI1333" s="4"/>
      <c r="FJ1333" s="4"/>
      <c r="FK1333" s="4"/>
      <c r="FL1333" s="4"/>
      <c r="FM1333" s="4"/>
      <c r="FN1333" s="4"/>
      <c r="FO1333" s="4"/>
      <c r="FP1333" s="4"/>
      <c r="FQ1333" s="4"/>
      <c r="FR1333" s="4"/>
      <c r="FS1333" s="4"/>
      <c r="FT1333" s="4"/>
      <c r="FU1333" s="4"/>
      <c r="FV1333" s="4"/>
      <c r="FW1333" s="4"/>
      <c r="FX1333" s="4"/>
      <c r="FY1333" s="4"/>
      <c r="FZ1333" s="4"/>
      <c r="GA1333" s="4"/>
      <c r="GB1333" s="4"/>
      <c r="GC1333" s="4"/>
      <c r="GD1333" s="4"/>
      <c r="GE1333" s="4"/>
      <c r="GF1333" s="4"/>
      <c r="GG1333" s="4"/>
      <c r="GH1333" s="4"/>
    </row>
    <row r="1334">
      <c r="A1334" s="2" t="s">
        <v>7264</v>
      </c>
      <c r="B1334" s="2" t="s">
        <v>744</v>
      </c>
      <c r="C1334" s="2" t="s">
        <v>231</v>
      </c>
      <c r="D1334" s="2" t="s">
        <v>1275</v>
      </c>
      <c r="E1334" s="2" t="s">
        <v>1276</v>
      </c>
      <c r="F1334" s="2" t="s">
        <v>7246</v>
      </c>
      <c r="G1334" s="2" t="s">
        <v>1981</v>
      </c>
      <c r="H1334" s="2" t="s">
        <v>7247</v>
      </c>
      <c r="I1334" s="2" t="s">
        <v>7248</v>
      </c>
      <c r="J1334" s="2" t="s">
        <v>711</v>
      </c>
      <c r="K1334" s="2" t="s">
        <v>464</v>
      </c>
      <c r="L1334" s="3">
        <v>199.5</v>
      </c>
      <c r="M1334" s="3">
        <v>209.48</v>
      </c>
      <c r="N1334" s="3">
        <v>419</v>
      </c>
      <c r="O1334" s="2" t="s">
        <v>212</v>
      </c>
      <c r="P1334" s="2" t="s">
        <v>258</v>
      </c>
      <c r="Q1334" s="2" t="s">
        <v>206</v>
      </c>
      <c r="R1334" s="2" t="s">
        <v>200</v>
      </c>
      <c r="S1334" s="2" t="s">
        <v>7265</v>
      </c>
      <c r="T1334" s="2" t="s">
        <v>200</v>
      </c>
      <c r="U1334" s="2" t="s">
        <v>200</v>
      </c>
      <c r="V1334" s="2" t="s">
        <v>208</v>
      </c>
      <c r="W1334" s="2" t="s">
        <v>712</v>
      </c>
      <c r="X1334" s="2" t="s">
        <v>200</v>
      </c>
      <c r="Y1334" s="2" t="s">
        <v>261</v>
      </c>
      <c r="Z1334" s="4">
        <v>93</v>
      </c>
      <c r="AA1334" s="4">
        <f>=ROUNDDOWN(23.25,0)</f>
      </c>
      <c r="AB1334" s="5">
        <v>4</v>
      </c>
      <c r="AC1334" s="2" t="s">
        <v>200</v>
      </c>
      <c r="AD1334" s="4"/>
      <c r="AE1334" s="4"/>
      <c r="AF1334" s="6">
        <v>66</v>
      </c>
      <c r="AG1334" s="6">
        <v>49</v>
      </c>
      <c r="AH1334" s="7">
        <v>1</v>
      </c>
      <c r="AI1334" s="4"/>
      <c r="AJ1334" s="4">
        <f>=ROUNDDOWN({0},0)</f>
      </c>
      <c r="AK1334" s="5"/>
      <c r="AL1334" s="2" t="s">
        <v>200</v>
      </c>
      <c r="AM1334" s="4"/>
      <c r="AN1334" s="4"/>
      <c r="AO1334" s="7"/>
      <c r="AP1334" s="4"/>
      <c r="AQ1334" s="8"/>
      <c r="AR1334" s="4"/>
      <c r="AS1334" s="8"/>
      <c r="AT1334" s="7"/>
      <c r="AU1334" s="7"/>
      <c r="AV1334" s="4"/>
      <c r="AW1334" s="8"/>
      <c r="AX1334" s="4"/>
      <c r="AY1334" s="8"/>
      <c r="AZ1334" s="7"/>
      <c r="BA1334" s="7"/>
      <c r="BB1334" s="7"/>
      <c r="BC1334" s="4" t="s">
        <v>200</v>
      </c>
      <c r="BD1334" s="8" t="s">
        <v>200</v>
      </c>
      <c r="BE1334" s="4" t="s">
        <v>200</v>
      </c>
      <c r="BF1334" s="8" t="s">
        <v>200</v>
      </c>
      <c r="BG1334" s="7" t="s">
        <v>200</v>
      </c>
      <c r="BH1334" s="7" t="s">
        <v>200</v>
      </c>
      <c r="BI1334" s="7"/>
      <c r="BJ1334" s="4">
        <v>23</v>
      </c>
      <c r="BK1334" s="8">
        <v>4786.48</v>
      </c>
      <c r="BL1334" s="2" t="s">
        <v>7266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7267</v>
      </c>
      <c r="BV1334" s="2" t="s">
        <v>200</v>
      </c>
      <c r="BW1334" s="2" t="s">
        <v>200</v>
      </c>
      <c r="BX1334" s="2" t="s">
        <v>264</v>
      </c>
      <c r="BY1334" s="2" t="s">
        <v>247</v>
      </c>
      <c r="BZ1334" s="2" t="s">
        <v>212</v>
      </c>
      <c r="CA1334" s="2" t="s">
        <v>265</v>
      </c>
      <c r="CB1334" s="2" t="s">
        <v>1765</v>
      </c>
      <c r="CC1334" s="2" t="s">
        <v>213</v>
      </c>
      <c r="CD1334" s="2" t="s">
        <v>200</v>
      </c>
      <c r="CE1334" s="4"/>
      <c r="CF1334" s="4">
        <v>93</v>
      </c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E1334" s="4"/>
      <c r="DF1334" s="4"/>
      <c r="DG1334" s="4"/>
      <c r="DH1334" s="4"/>
      <c r="DI1334" s="4"/>
      <c r="DJ1334" s="4"/>
      <c r="DK1334" s="4"/>
      <c r="DL1334" s="4"/>
      <c r="DM1334" s="4"/>
      <c r="DN1334" s="4"/>
      <c r="DO1334" s="4"/>
      <c r="DP1334" s="4"/>
      <c r="DQ1334" s="4"/>
      <c r="DR1334" s="4"/>
      <c r="DS1334" s="4"/>
      <c r="DT1334" s="4"/>
      <c r="DU1334" s="4"/>
      <c r="DV1334" s="4"/>
      <c r="DW1334" s="4"/>
      <c r="DX1334" s="4"/>
      <c r="DY1334" s="4"/>
      <c r="DZ1334" s="4"/>
      <c r="EA1334" s="4"/>
      <c r="EB1334" s="4"/>
      <c r="EC1334" s="4"/>
      <c r="ED1334" s="4"/>
      <c r="EE1334" s="4"/>
      <c r="EF1334" s="4"/>
      <c r="EG1334" s="4"/>
      <c r="EH1334" s="4"/>
      <c r="EI1334" s="4"/>
      <c r="EJ1334" s="4"/>
      <c r="EK1334" s="4"/>
      <c r="EL1334" s="4"/>
      <c r="EM1334" s="4"/>
      <c r="EN1334" s="4"/>
      <c r="EO1334" s="4"/>
      <c r="EP1334" s="4"/>
      <c r="EQ1334" s="4"/>
      <c r="ER1334" s="4"/>
      <c r="ES1334" s="4"/>
      <c r="ET1334" s="4"/>
      <c r="EU1334" s="4"/>
      <c r="EV1334" s="4"/>
      <c r="EW1334" s="4"/>
      <c r="EX1334" s="4"/>
      <c r="EY1334" s="4"/>
      <c r="EZ1334" s="4"/>
      <c r="FA1334" s="4"/>
      <c r="FB1334" s="4"/>
      <c r="FC1334" s="4"/>
      <c r="FD1334" s="4"/>
      <c r="FE1334" s="4"/>
      <c r="FF1334" s="4"/>
      <c r="FG1334" s="4"/>
      <c r="FH1334" s="4"/>
      <c r="FI1334" s="4"/>
      <c r="FJ1334" s="4"/>
      <c r="FK1334" s="4"/>
      <c r="FL1334" s="4"/>
      <c r="FM1334" s="4"/>
      <c r="FN1334" s="4"/>
      <c r="FO1334" s="4"/>
      <c r="FP1334" s="4"/>
      <c r="FQ1334" s="4"/>
      <c r="FR1334" s="4"/>
      <c r="FS1334" s="4"/>
      <c r="FT1334" s="4"/>
      <c r="FU1334" s="4"/>
      <c r="FV1334" s="4"/>
      <c r="FW1334" s="4"/>
      <c r="FX1334" s="4"/>
      <c r="FY1334" s="4"/>
      <c r="FZ1334" s="4"/>
      <c r="GA1334" s="4"/>
      <c r="GB1334" s="4"/>
      <c r="GC1334" s="4"/>
      <c r="GD1334" s="4"/>
      <c r="GE1334" s="4"/>
      <c r="GF1334" s="4"/>
      <c r="GG1334" s="4"/>
      <c r="GH1334" s="4"/>
    </row>
    <row r="1335">
      <c r="A1335" s="2" t="s">
        <v>7268</v>
      </c>
      <c r="B1335" s="2" t="s">
        <v>705</v>
      </c>
      <c r="C1335" s="2" t="s">
        <v>745</v>
      </c>
      <c r="D1335" s="2" t="s">
        <v>808</v>
      </c>
      <c r="E1335" s="2" t="s">
        <v>809</v>
      </c>
      <c r="F1335" s="2" t="s">
        <v>7269</v>
      </c>
      <c r="G1335" s="2" t="s">
        <v>7269</v>
      </c>
      <c r="H1335" s="2" t="s">
        <v>7269</v>
      </c>
      <c r="I1335" s="2" t="s">
        <v>7270</v>
      </c>
      <c r="J1335" s="2" t="s">
        <v>711</v>
      </c>
      <c r="K1335" s="2" t="s">
        <v>7271</v>
      </c>
      <c r="L1335" s="3">
        <v>34.32</v>
      </c>
      <c r="M1335" s="3">
        <v>36.04</v>
      </c>
      <c r="N1335" s="3">
        <v>69.99</v>
      </c>
      <c r="O1335" s="2" t="s">
        <v>460</v>
      </c>
      <c r="P1335" s="2" t="s">
        <v>285</v>
      </c>
      <c r="Q1335" s="2" t="s">
        <v>206</v>
      </c>
      <c r="R1335" s="2" t="s">
        <v>200</v>
      </c>
      <c r="S1335" s="2" t="s">
        <v>200</v>
      </c>
      <c r="T1335" s="2" t="s">
        <v>200</v>
      </c>
      <c r="U1335" s="2" t="s">
        <v>270</v>
      </c>
      <c r="V1335" s="2" t="s">
        <v>616</v>
      </c>
      <c r="W1335" s="2" t="s">
        <v>379</v>
      </c>
      <c r="X1335" s="2" t="s">
        <v>200</v>
      </c>
      <c r="Y1335" s="2" t="s">
        <v>7272</v>
      </c>
      <c r="Z1335" s="4">
        <v>180</v>
      </c>
      <c r="AA1335" s="4">
        <f>=ROUNDDOWN({0},0)</f>
      </c>
      <c r="AB1335" s="5"/>
      <c r="AC1335" s="2" t="s">
        <v>200</v>
      </c>
      <c r="AD1335" s="4"/>
      <c r="AE1335" s="4"/>
      <c r="AF1335" s="6">
        <v>65</v>
      </c>
      <c r="AG1335" s="6"/>
      <c r="AH1335" s="7">
        <v>1</v>
      </c>
      <c r="AI1335" s="4"/>
      <c r="AJ1335" s="4">
        <f>=ROUNDDOWN({0},0)</f>
      </c>
      <c r="AK1335" s="5"/>
      <c r="AL1335" s="2" t="s">
        <v>200</v>
      </c>
      <c r="AM1335" s="4"/>
      <c r="AN1335" s="4"/>
      <c r="AO1335" s="7"/>
      <c r="AP1335" s="4"/>
      <c r="AQ1335" s="8"/>
      <c r="AR1335" s="4"/>
      <c r="AS1335" s="8"/>
      <c r="AT1335" s="7"/>
      <c r="AU1335" s="7"/>
      <c r="AV1335" s="4"/>
      <c r="AW1335" s="8"/>
      <c r="AX1335" s="4"/>
      <c r="AY1335" s="8"/>
      <c r="AZ1335" s="7"/>
      <c r="BA1335" s="7"/>
      <c r="BB1335" s="7"/>
      <c r="BC1335" s="4"/>
      <c r="BD1335" s="8"/>
      <c r="BE1335" s="4"/>
      <c r="BF1335" s="8"/>
      <c r="BG1335" s="7"/>
      <c r="BH1335" s="7"/>
      <c r="BI1335" s="7"/>
      <c r="BJ1335" s="4"/>
      <c r="BK1335" s="8"/>
      <c r="BL1335" s="2" t="s">
        <v>200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7273</v>
      </c>
      <c r="BV1335" s="2" t="s">
        <v>200</v>
      </c>
      <c r="BW1335" s="2" t="s">
        <v>200</v>
      </c>
      <c r="BX1335" s="2" t="s">
        <v>289</v>
      </c>
      <c r="BY1335" s="2" t="s">
        <v>247</v>
      </c>
      <c r="BZ1335" s="2" t="s">
        <v>212</v>
      </c>
      <c r="CA1335" s="2" t="s">
        <v>7272</v>
      </c>
      <c r="CB1335" s="2" t="s">
        <v>1978</v>
      </c>
      <c r="CC1335" s="2" t="s">
        <v>213</v>
      </c>
      <c r="CD1335" s="2" t="s">
        <v>200</v>
      </c>
      <c r="CE1335" s="4"/>
      <c r="CF1335" s="4">
        <v>180</v>
      </c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/>
      <c r="DE1335" s="4"/>
      <c r="DF1335" s="4"/>
      <c r="DG1335" s="4"/>
      <c r="DH1335" s="4"/>
      <c r="DI1335" s="4"/>
      <c r="DJ1335" s="4"/>
      <c r="DK1335" s="4"/>
      <c r="DL1335" s="4"/>
      <c r="DM1335" s="4"/>
      <c r="DN1335" s="4"/>
      <c r="DO1335" s="4"/>
      <c r="DP1335" s="4"/>
      <c r="DQ1335" s="4"/>
      <c r="DR1335" s="4"/>
      <c r="DS1335" s="4"/>
      <c r="DT1335" s="4"/>
      <c r="DU1335" s="4"/>
      <c r="DV1335" s="4"/>
      <c r="DW1335" s="4"/>
      <c r="DX1335" s="4"/>
      <c r="DY1335" s="4"/>
      <c r="DZ1335" s="4"/>
      <c r="EA1335" s="4"/>
      <c r="EB1335" s="4"/>
      <c r="EC1335" s="4"/>
      <c r="ED1335" s="4"/>
      <c r="EE1335" s="4"/>
      <c r="EF1335" s="4"/>
      <c r="EG1335" s="4"/>
      <c r="EH1335" s="4"/>
      <c r="EI1335" s="4"/>
      <c r="EJ1335" s="4"/>
      <c r="EK1335" s="4"/>
      <c r="EL1335" s="4"/>
      <c r="EM1335" s="4"/>
      <c r="EN1335" s="4"/>
      <c r="EO1335" s="4"/>
      <c r="EP1335" s="4"/>
      <c r="EQ1335" s="4"/>
      <c r="ER1335" s="4"/>
      <c r="ES1335" s="4"/>
      <c r="ET1335" s="4"/>
      <c r="EU1335" s="4"/>
      <c r="EV1335" s="4"/>
      <c r="EW1335" s="4"/>
      <c r="EX1335" s="4"/>
      <c r="EY1335" s="4"/>
      <c r="EZ1335" s="4"/>
      <c r="FA1335" s="4"/>
      <c r="FB1335" s="4"/>
      <c r="FC1335" s="4"/>
      <c r="FD1335" s="4"/>
      <c r="FE1335" s="4"/>
      <c r="FF1335" s="4"/>
      <c r="FG1335" s="4"/>
      <c r="FH1335" s="4"/>
      <c r="FI1335" s="4"/>
      <c r="FJ1335" s="4"/>
      <c r="FK1335" s="4"/>
      <c r="FL1335" s="4"/>
      <c r="FM1335" s="4"/>
      <c r="FN1335" s="4"/>
      <c r="FO1335" s="4"/>
      <c r="FP1335" s="4"/>
      <c r="FQ1335" s="4"/>
      <c r="FR1335" s="4"/>
      <c r="FS1335" s="4"/>
      <c r="FT1335" s="4"/>
      <c r="FU1335" s="4"/>
      <c r="FV1335" s="4"/>
      <c r="FW1335" s="4"/>
      <c r="FX1335" s="4"/>
      <c r="FY1335" s="4"/>
      <c r="FZ1335" s="4"/>
      <c r="GA1335" s="4"/>
      <c r="GB1335" s="4"/>
      <c r="GC1335" s="4"/>
      <c r="GD1335" s="4"/>
      <c r="GE1335" s="4"/>
      <c r="GF1335" s="4"/>
      <c r="GG1335" s="4"/>
      <c r="GH1335" s="4"/>
    </row>
    <row r="1336">
      <c r="A1336" s="2" t="s">
        <v>7274</v>
      </c>
      <c r="B1336" s="2" t="s">
        <v>705</v>
      </c>
      <c r="C1336" s="2" t="s">
        <v>745</v>
      </c>
      <c r="D1336" s="2" t="s">
        <v>707</v>
      </c>
      <c r="E1336" s="2" t="s">
        <v>708</v>
      </c>
      <c r="F1336" s="2" t="s">
        <v>7275</v>
      </c>
      <c r="G1336" s="2" t="s">
        <v>7275</v>
      </c>
      <c r="H1336" s="2" t="s">
        <v>7275</v>
      </c>
      <c r="I1336" s="2" t="s">
        <v>7276</v>
      </c>
      <c r="J1336" s="2" t="s">
        <v>711</v>
      </c>
      <c r="K1336" s="2" t="s">
        <v>1380</v>
      </c>
      <c r="L1336" s="3">
        <v>267.67</v>
      </c>
      <c r="M1336" s="3">
        <v>281.05</v>
      </c>
      <c r="N1336" s="3">
        <v>609.99</v>
      </c>
      <c r="O1336" s="2" t="s">
        <v>212</v>
      </c>
      <c r="P1336" s="2" t="s">
        <v>750</v>
      </c>
      <c r="Q1336" s="2" t="s">
        <v>206</v>
      </c>
      <c r="R1336" s="2" t="s">
        <v>200</v>
      </c>
      <c r="S1336" s="2" t="s">
        <v>7277</v>
      </c>
      <c r="T1336" s="2" t="s">
        <v>200</v>
      </c>
      <c r="U1336" s="2" t="s">
        <v>200</v>
      </c>
      <c r="V1336" s="2" t="s">
        <v>724</v>
      </c>
      <c r="W1336" s="2" t="s">
        <v>2095</v>
      </c>
      <c r="X1336" s="2" t="s">
        <v>200</v>
      </c>
      <c r="Y1336" s="2" t="s">
        <v>7278</v>
      </c>
      <c r="Z1336" s="4">
        <v>71</v>
      </c>
      <c r="AA1336" s="4">
        <f>=ROUNDDOWN(54.6153846153846,0)</f>
      </c>
      <c r="AB1336" s="5">
        <v>1.3</v>
      </c>
      <c r="AC1336" s="2" t="s">
        <v>200</v>
      </c>
      <c r="AD1336" s="4"/>
      <c r="AE1336" s="4"/>
      <c r="AF1336" s="6">
        <v>63</v>
      </c>
      <c r="AG1336" s="6"/>
      <c r="AH1336" s="7">
        <v>1</v>
      </c>
      <c r="AI1336" s="4"/>
      <c r="AJ1336" s="4">
        <f>=ROUNDDOWN({0},0)</f>
      </c>
      <c r="AK1336" s="5"/>
      <c r="AL1336" s="2" t="s">
        <v>200</v>
      </c>
      <c r="AM1336" s="4"/>
      <c r="AN1336" s="4"/>
      <c r="AO1336" s="7">
        <v>1</v>
      </c>
      <c r="AP1336" s="4"/>
      <c r="AQ1336" s="8"/>
      <c r="AR1336" s="4"/>
      <c r="AS1336" s="8"/>
      <c r="AT1336" s="7"/>
      <c r="AU1336" s="7"/>
      <c r="AV1336" s="4"/>
      <c r="AW1336" s="8"/>
      <c r="AX1336" s="4"/>
      <c r="AY1336" s="8"/>
      <c r="AZ1336" s="7"/>
      <c r="BA1336" s="7"/>
      <c r="BB1336" s="7"/>
      <c r="BC1336" s="4"/>
      <c r="BD1336" s="8"/>
      <c r="BE1336" s="4"/>
      <c r="BF1336" s="8"/>
      <c r="BG1336" s="7"/>
      <c r="BH1336" s="7"/>
      <c r="BI1336" s="7"/>
      <c r="BJ1336" s="4">
        <v>5</v>
      </c>
      <c r="BK1336" s="8">
        <v>1166.2</v>
      </c>
      <c r="BL1336" s="2" t="s">
        <v>7279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7280</v>
      </c>
      <c r="BV1336" s="2" t="s">
        <v>200</v>
      </c>
      <c r="BW1336" s="2" t="s">
        <v>200</v>
      </c>
      <c r="BX1336" s="2" t="s">
        <v>620</v>
      </c>
      <c r="BY1336" s="2" t="s">
        <v>247</v>
      </c>
      <c r="BZ1336" s="2" t="s">
        <v>212</v>
      </c>
      <c r="CA1336" s="2" t="s">
        <v>7281</v>
      </c>
      <c r="CB1336" s="2" t="s">
        <v>7282</v>
      </c>
      <c r="CC1336" s="2" t="s">
        <v>213</v>
      </c>
      <c r="CD1336" s="2" t="s">
        <v>200</v>
      </c>
      <c r="CE1336" s="4"/>
      <c r="CF1336" s="4">
        <v>69</v>
      </c>
      <c r="CG1336" s="4"/>
      <c r="CH1336" s="4">
        <v>2</v>
      </c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  <c r="DE1336" s="4"/>
      <c r="DF1336" s="4"/>
      <c r="DG1336" s="4"/>
      <c r="DH1336" s="4"/>
      <c r="DI1336" s="4"/>
      <c r="DJ1336" s="4"/>
      <c r="DK1336" s="4"/>
      <c r="DL1336" s="4"/>
      <c r="DM1336" s="4"/>
      <c r="DN1336" s="4"/>
      <c r="DO1336" s="4"/>
      <c r="DP1336" s="4"/>
      <c r="DQ1336" s="4"/>
      <c r="DR1336" s="4"/>
      <c r="DS1336" s="4"/>
      <c r="DT1336" s="4"/>
      <c r="DU1336" s="4"/>
      <c r="DV1336" s="4"/>
      <c r="DW1336" s="4"/>
      <c r="DX1336" s="4"/>
      <c r="DY1336" s="4"/>
      <c r="DZ1336" s="4"/>
      <c r="EA1336" s="4"/>
      <c r="EB1336" s="4"/>
      <c r="EC1336" s="4"/>
      <c r="ED1336" s="4"/>
      <c r="EE1336" s="4"/>
      <c r="EF1336" s="4"/>
      <c r="EG1336" s="4"/>
      <c r="EH1336" s="4"/>
      <c r="EI1336" s="4"/>
      <c r="EJ1336" s="4"/>
      <c r="EK1336" s="4"/>
      <c r="EL1336" s="4"/>
      <c r="EM1336" s="4"/>
      <c r="EN1336" s="4"/>
      <c r="EO1336" s="4"/>
      <c r="EP1336" s="4"/>
      <c r="EQ1336" s="4"/>
      <c r="ER1336" s="4"/>
      <c r="ES1336" s="4"/>
      <c r="ET1336" s="4"/>
      <c r="EU1336" s="4"/>
      <c r="EV1336" s="4"/>
      <c r="EW1336" s="4"/>
      <c r="EX1336" s="4"/>
      <c r="EY1336" s="4"/>
      <c r="EZ1336" s="4"/>
      <c r="FA1336" s="4"/>
      <c r="FB1336" s="4"/>
      <c r="FC1336" s="4"/>
      <c r="FD1336" s="4"/>
      <c r="FE1336" s="4"/>
      <c r="FF1336" s="4"/>
      <c r="FG1336" s="4"/>
      <c r="FH1336" s="4"/>
      <c r="FI1336" s="4"/>
      <c r="FJ1336" s="4"/>
      <c r="FK1336" s="4"/>
      <c r="FL1336" s="4"/>
      <c r="FM1336" s="4"/>
      <c r="FN1336" s="4"/>
      <c r="FO1336" s="4"/>
      <c r="FP1336" s="4"/>
      <c r="FQ1336" s="4"/>
      <c r="FR1336" s="4"/>
      <c r="FS1336" s="4"/>
      <c r="FT1336" s="4"/>
      <c r="FU1336" s="4"/>
      <c r="FV1336" s="4"/>
      <c r="FW1336" s="4"/>
      <c r="FX1336" s="4"/>
      <c r="FY1336" s="4"/>
      <c r="FZ1336" s="4"/>
      <c r="GA1336" s="4"/>
      <c r="GB1336" s="4"/>
      <c r="GC1336" s="4"/>
      <c r="GD1336" s="4"/>
      <c r="GE1336" s="4"/>
      <c r="GF1336" s="4"/>
      <c r="GG1336" s="4"/>
      <c r="GH1336" s="4"/>
    </row>
    <row r="1337">
      <c r="A1337" s="2" t="s">
        <v>7283</v>
      </c>
      <c r="B1337" s="2" t="s">
        <v>903</v>
      </c>
      <c r="C1337" s="2" t="s">
        <v>231</v>
      </c>
      <c r="D1337" s="2" t="s">
        <v>608</v>
      </c>
      <c r="E1337" s="2" t="s">
        <v>609</v>
      </c>
      <c r="F1337" s="2" t="s">
        <v>7284</v>
      </c>
      <c r="G1337" s="2" t="s">
        <v>7285</v>
      </c>
      <c r="H1337" s="2" t="s">
        <v>7286</v>
      </c>
      <c r="I1337" s="2" t="s">
        <v>7287</v>
      </c>
      <c r="J1337" s="2" t="s">
        <v>236</v>
      </c>
      <c r="K1337" s="2" t="s">
        <v>544</v>
      </c>
      <c r="L1337" s="3">
        <v>81.21</v>
      </c>
      <c r="M1337" s="3">
        <v>85.27</v>
      </c>
      <c r="N1337" s="3">
        <v>169.99</v>
      </c>
      <c r="O1337" s="2" t="s">
        <v>460</v>
      </c>
      <c r="P1337" s="2" t="s">
        <v>285</v>
      </c>
      <c r="Q1337" s="2" t="s">
        <v>206</v>
      </c>
      <c r="R1337" s="2" t="s">
        <v>200</v>
      </c>
      <c r="S1337" s="2" t="s">
        <v>7288</v>
      </c>
      <c r="T1337" s="2" t="s">
        <v>200</v>
      </c>
      <c r="U1337" s="2" t="s">
        <v>1067</v>
      </c>
      <c r="V1337" s="2" t="s">
        <v>1077</v>
      </c>
      <c r="W1337" s="2" t="s">
        <v>419</v>
      </c>
      <c r="X1337" s="2" t="s">
        <v>2827</v>
      </c>
      <c r="Y1337" s="2" t="s">
        <v>7289</v>
      </c>
      <c r="Z1337" s="4">
        <v>114</v>
      </c>
      <c r="AA1337" s="4">
        <f>=ROUNDDOWN(22.8,0)</f>
      </c>
      <c r="AB1337" s="5">
        <v>5</v>
      </c>
      <c r="AC1337" s="2" t="s">
        <v>200</v>
      </c>
      <c r="AD1337" s="4"/>
      <c r="AE1337" s="4"/>
      <c r="AF1337" s="6">
        <v>65</v>
      </c>
      <c r="AG1337" s="6">
        <v>48</v>
      </c>
      <c r="AH1337" s="7">
        <v>1</v>
      </c>
      <c r="AI1337" s="4"/>
      <c r="AJ1337" s="4">
        <f>=ROUNDDOWN({0},0)</f>
      </c>
      <c r="AK1337" s="5"/>
      <c r="AL1337" s="2" t="s">
        <v>200</v>
      </c>
      <c r="AM1337" s="4"/>
      <c r="AN1337" s="4"/>
      <c r="AO1337" s="7"/>
      <c r="AP1337" s="4"/>
      <c r="AQ1337" s="8"/>
      <c r="AR1337" s="4"/>
      <c r="AS1337" s="8"/>
      <c r="AT1337" s="7"/>
      <c r="AU1337" s="7"/>
      <c r="AV1337" s="4"/>
      <c r="AW1337" s="8"/>
      <c r="AX1337" s="4"/>
      <c r="AY1337" s="8"/>
      <c r="AZ1337" s="7"/>
      <c r="BA1337" s="7"/>
      <c r="BB1337" s="7"/>
      <c r="BC1337" s="4"/>
      <c r="BD1337" s="8"/>
      <c r="BE1337" s="4"/>
      <c r="BF1337" s="8"/>
      <c r="BG1337" s="7"/>
      <c r="BH1337" s="7"/>
      <c r="BI1337" s="7"/>
      <c r="BJ1337" s="4">
        <v>13</v>
      </c>
      <c r="BK1337" s="8">
        <v>922.96</v>
      </c>
      <c r="BL1337" s="2" t="s">
        <v>7290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7291</v>
      </c>
      <c r="BV1337" s="2" t="s">
        <v>200</v>
      </c>
      <c r="BW1337" s="2" t="s">
        <v>200</v>
      </c>
      <c r="BX1337" s="2" t="s">
        <v>289</v>
      </c>
      <c r="BY1337" s="2" t="s">
        <v>247</v>
      </c>
      <c r="BZ1337" s="2" t="s">
        <v>212</v>
      </c>
      <c r="CA1337" s="2" t="s">
        <v>7292</v>
      </c>
      <c r="CB1337" s="2" t="s">
        <v>7293</v>
      </c>
      <c r="CC1337" s="2" t="s">
        <v>213</v>
      </c>
      <c r="CD1337" s="2" t="s">
        <v>200</v>
      </c>
      <c r="CE1337" s="4">
        <v>25</v>
      </c>
      <c r="CF1337" s="4">
        <v>43</v>
      </c>
      <c r="CG1337" s="4"/>
      <c r="CH1337" s="4">
        <v>46</v>
      </c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  <c r="DE1337" s="4"/>
      <c r="DF1337" s="4"/>
      <c r="DG1337" s="4"/>
      <c r="DH1337" s="4"/>
      <c r="DI1337" s="4"/>
      <c r="DJ1337" s="4"/>
      <c r="DK1337" s="4"/>
      <c r="DL1337" s="4"/>
      <c r="DM1337" s="4"/>
      <c r="DN1337" s="4"/>
      <c r="DO1337" s="4"/>
      <c r="DP1337" s="4"/>
      <c r="DQ1337" s="4"/>
      <c r="DR1337" s="4"/>
      <c r="DS1337" s="4"/>
      <c r="DT1337" s="4"/>
      <c r="DU1337" s="4"/>
      <c r="DV1337" s="4"/>
      <c r="DW1337" s="4"/>
      <c r="DX1337" s="4"/>
      <c r="DY1337" s="4"/>
      <c r="DZ1337" s="4"/>
      <c r="EA1337" s="4"/>
      <c r="EB1337" s="4"/>
      <c r="EC1337" s="4"/>
      <c r="ED1337" s="4"/>
      <c r="EE1337" s="4"/>
      <c r="EF1337" s="4"/>
      <c r="EG1337" s="4"/>
      <c r="EH1337" s="4"/>
      <c r="EI1337" s="4"/>
      <c r="EJ1337" s="4"/>
      <c r="EK1337" s="4"/>
      <c r="EL1337" s="4"/>
      <c r="EM1337" s="4"/>
      <c r="EN1337" s="4"/>
      <c r="EO1337" s="4"/>
      <c r="EP1337" s="4"/>
      <c r="EQ1337" s="4"/>
      <c r="ER1337" s="4"/>
      <c r="ES1337" s="4"/>
      <c r="ET1337" s="4"/>
      <c r="EU1337" s="4"/>
      <c r="EV1337" s="4"/>
      <c r="EW1337" s="4"/>
      <c r="EX1337" s="4"/>
      <c r="EY1337" s="4"/>
      <c r="EZ1337" s="4"/>
      <c r="FA1337" s="4"/>
      <c r="FB1337" s="4"/>
      <c r="FC1337" s="4"/>
      <c r="FD1337" s="4"/>
      <c r="FE1337" s="4"/>
      <c r="FF1337" s="4"/>
      <c r="FG1337" s="4"/>
      <c r="FH1337" s="4"/>
      <c r="FI1337" s="4"/>
      <c r="FJ1337" s="4"/>
      <c r="FK1337" s="4"/>
      <c r="FL1337" s="4"/>
      <c r="FM1337" s="4"/>
      <c r="FN1337" s="4"/>
      <c r="FO1337" s="4"/>
      <c r="FP1337" s="4"/>
      <c r="FQ1337" s="4"/>
      <c r="FR1337" s="4"/>
      <c r="FS1337" s="4"/>
      <c r="FT1337" s="4"/>
      <c r="FU1337" s="4"/>
      <c r="FV1337" s="4"/>
      <c r="FW1337" s="4"/>
      <c r="FX1337" s="4"/>
      <c r="FY1337" s="4"/>
      <c r="FZ1337" s="4"/>
      <c r="GA1337" s="4"/>
      <c r="GB1337" s="4"/>
      <c r="GC1337" s="4"/>
      <c r="GD1337" s="4"/>
      <c r="GE1337" s="4"/>
      <c r="GF1337" s="4"/>
      <c r="GG1337" s="4"/>
      <c r="GH1337" s="4"/>
    </row>
    <row r="1338">
      <c r="A1338" s="2" t="s">
        <v>7294</v>
      </c>
      <c r="B1338" s="2" t="s">
        <v>719</v>
      </c>
      <c r="C1338" s="2" t="s">
        <v>231</v>
      </c>
      <c r="D1338" s="2" t="s">
        <v>1542</v>
      </c>
      <c r="E1338" s="2" t="s">
        <v>2060</v>
      </c>
      <c r="F1338" s="2" t="s">
        <v>7295</v>
      </c>
      <c r="G1338" s="2" t="s">
        <v>7295</v>
      </c>
      <c r="H1338" s="2" t="s">
        <v>7295</v>
      </c>
      <c r="I1338" s="2" t="s">
        <v>7296</v>
      </c>
      <c r="J1338" s="2" t="s">
        <v>711</v>
      </c>
      <c r="K1338" s="2" t="s">
        <v>1135</v>
      </c>
      <c r="L1338" s="3">
        <v>30.6</v>
      </c>
      <c r="M1338" s="3">
        <v>32.13</v>
      </c>
      <c r="N1338" s="3">
        <v>65.44</v>
      </c>
      <c r="O1338" s="2" t="s">
        <v>212</v>
      </c>
      <c r="P1338" s="2" t="s">
        <v>258</v>
      </c>
      <c r="Q1338" s="2" t="s">
        <v>206</v>
      </c>
      <c r="R1338" s="2" t="s">
        <v>200</v>
      </c>
      <c r="S1338" s="2" t="s">
        <v>200</v>
      </c>
      <c r="T1338" s="2" t="s">
        <v>200</v>
      </c>
      <c r="U1338" s="2" t="s">
        <v>270</v>
      </c>
      <c r="V1338" s="2" t="s">
        <v>348</v>
      </c>
      <c r="W1338" s="2" t="s">
        <v>419</v>
      </c>
      <c r="X1338" s="2" t="s">
        <v>200</v>
      </c>
      <c r="Y1338" s="2" t="s">
        <v>7297</v>
      </c>
      <c r="Z1338" s="4">
        <v>98</v>
      </c>
      <c r="AA1338" s="4">
        <f>=ROUNDDOWN(19.6,0)</f>
      </c>
      <c r="AB1338" s="5">
        <v>5</v>
      </c>
      <c r="AC1338" s="2" t="s">
        <v>200</v>
      </c>
      <c r="AD1338" s="4"/>
      <c r="AE1338" s="4"/>
      <c r="AF1338" s="6">
        <v>63</v>
      </c>
      <c r="AG1338" s="6"/>
      <c r="AH1338" s="7">
        <v>1</v>
      </c>
      <c r="AI1338" s="4"/>
      <c r="AJ1338" s="4">
        <f>=ROUNDDOWN({0},0)</f>
      </c>
      <c r="AK1338" s="5"/>
      <c r="AL1338" s="2" t="s">
        <v>200</v>
      </c>
      <c r="AM1338" s="4"/>
      <c r="AN1338" s="4"/>
      <c r="AO1338" s="7"/>
      <c r="AP1338" s="4"/>
      <c r="AQ1338" s="8"/>
      <c r="AR1338" s="4"/>
      <c r="AS1338" s="8"/>
      <c r="AT1338" s="7"/>
      <c r="AU1338" s="7"/>
      <c r="AV1338" s="4"/>
      <c r="AW1338" s="8"/>
      <c r="AX1338" s="4"/>
      <c r="AY1338" s="8"/>
      <c r="AZ1338" s="7"/>
      <c r="BA1338" s="7"/>
      <c r="BB1338" s="7"/>
      <c r="BC1338" s="4"/>
      <c r="BD1338" s="8"/>
      <c r="BE1338" s="4"/>
      <c r="BF1338" s="8"/>
      <c r="BG1338" s="7"/>
      <c r="BH1338" s="7"/>
      <c r="BI1338" s="7"/>
      <c r="BJ1338" s="4">
        <v>14</v>
      </c>
      <c r="BK1338" s="8">
        <v>558.55</v>
      </c>
      <c r="BL1338" s="2" t="s">
        <v>7298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7299</v>
      </c>
      <c r="BV1338" s="2" t="s">
        <v>200</v>
      </c>
      <c r="BW1338" s="2" t="s">
        <v>200</v>
      </c>
      <c r="BX1338" s="2" t="s">
        <v>264</v>
      </c>
      <c r="BY1338" s="2" t="s">
        <v>247</v>
      </c>
      <c r="BZ1338" s="2" t="s">
        <v>212</v>
      </c>
      <c r="CA1338" s="2" t="s">
        <v>1202</v>
      </c>
      <c r="CB1338" s="2" t="s">
        <v>7300</v>
      </c>
      <c r="CC1338" s="2" t="s">
        <v>213</v>
      </c>
      <c r="CD1338" s="2" t="s">
        <v>200</v>
      </c>
      <c r="CE1338" s="4"/>
      <c r="CF1338" s="4">
        <v>98</v>
      </c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E1338" s="4"/>
      <c r="DF1338" s="4"/>
      <c r="DG1338" s="4"/>
      <c r="DH1338" s="4"/>
      <c r="DI1338" s="4"/>
      <c r="DJ1338" s="4"/>
      <c r="DK1338" s="4"/>
      <c r="DL1338" s="4"/>
      <c r="DM1338" s="4"/>
      <c r="DN1338" s="4"/>
      <c r="DO1338" s="4"/>
      <c r="DP1338" s="4"/>
      <c r="DQ1338" s="4"/>
      <c r="DR1338" s="4"/>
      <c r="DS1338" s="4"/>
      <c r="DT1338" s="4"/>
      <c r="DU1338" s="4"/>
      <c r="DV1338" s="4"/>
      <c r="DW1338" s="4"/>
      <c r="DX1338" s="4"/>
      <c r="DY1338" s="4"/>
      <c r="DZ1338" s="4"/>
      <c r="EA1338" s="4"/>
      <c r="EB1338" s="4"/>
      <c r="EC1338" s="4"/>
      <c r="ED1338" s="4"/>
      <c r="EE1338" s="4"/>
      <c r="EF1338" s="4"/>
      <c r="EG1338" s="4"/>
      <c r="EH1338" s="4"/>
      <c r="EI1338" s="4"/>
      <c r="EJ1338" s="4"/>
      <c r="EK1338" s="4"/>
      <c r="EL1338" s="4"/>
      <c r="EM1338" s="4"/>
      <c r="EN1338" s="4"/>
      <c r="EO1338" s="4"/>
      <c r="EP1338" s="4"/>
      <c r="EQ1338" s="4"/>
      <c r="ER1338" s="4"/>
      <c r="ES1338" s="4"/>
      <c r="ET1338" s="4"/>
      <c r="EU1338" s="4"/>
      <c r="EV1338" s="4"/>
      <c r="EW1338" s="4"/>
      <c r="EX1338" s="4"/>
      <c r="EY1338" s="4"/>
      <c r="EZ1338" s="4"/>
      <c r="FA1338" s="4"/>
      <c r="FB1338" s="4"/>
      <c r="FC1338" s="4"/>
      <c r="FD1338" s="4"/>
      <c r="FE1338" s="4"/>
      <c r="FF1338" s="4"/>
      <c r="FG1338" s="4"/>
      <c r="FH1338" s="4"/>
      <c r="FI1338" s="4"/>
      <c r="FJ1338" s="4"/>
      <c r="FK1338" s="4"/>
      <c r="FL1338" s="4"/>
      <c r="FM1338" s="4"/>
      <c r="FN1338" s="4"/>
      <c r="FO1338" s="4"/>
      <c r="FP1338" s="4"/>
      <c r="FQ1338" s="4"/>
      <c r="FR1338" s="4"/>
      <c r="FS1338" s="4"/>
      <c r="FT1338" s="4"/>
      <c r="FU1338" s="4"/>
      <c r="FV1338" s="4"/>
      <c r="FW1338" s="4"/>
      <c r="FX1338" s="4"/>
      <c r="FY1338" s="4"/>
      <c r="FZ1338" s="4"/>
      <c r="GA1338" s="4"/>
      <c r="GB1338" s="4"/>
      <c r="GC1338" s="4"/>
      <c r="GD1338" s="4"/>
      <c r="GE1338" s="4"/>
      <c r="GF1338" s="4"/>
      <c r="GG1338" s="4"/>
      <c r="GH1338" s="4"/>
    </row>
    <row r="1339">
      <c r="A1339" s="2" t="s">
        <v>7301</v>
      </c>
      <c r="B1339" s="2" t="s">
        <v>195</v>
      </c>
      <c r="C1339" s="2" t="s">
        <v>231</v>
      </c>
      <c r="D1339" s="2" t="s">
        <v>2254</v>
      </c>
      <c r="E1339" s="2" t="s">
        <v>3132</v>
      </c>
      <c r="F1339" s="2" t="s">
        <v>7302</v>
      </c>
      <c r="G1339" s="2" t="s">
        <v>7303</v>
      </c>
      <c r="H1339" s="2" t="s">
        <v>7303</v>
      </c>
      <c r="I1339" s="2" t="s">
        <v>7304</v>
      </c>
      <c r="J1339" s="2" t="s">
        <v>5442</v>
      </c>
      <c r="K1339" s="2" t="s">
        <v>436</v>
      </c>
      <c r="L1339" s="3">
        <v>15.18</v>
      </c>
      <c r="M1339" s="3">
        <v>15.94</v>
      </c>
      <c r="N1339" s="3">
        <v>32.99</v>
      </c>
      <c r="O1339" s="2" t="s">
        <v>212</v>
      </c>
      <c r="P1339" s="2" t="s">
        <v>258</v>
      </c>
      <c r="Q1339" s="2" t="s">
        <v>206</v>
      </c>
      <c r="R1339" s="2" t="s">
        <v>200</v>
      </c>
      <c r="S1339" s="2" t="s">
        <v>7305</v>
      </c>
      <c r="T1339" s="2" t="s">
        <v>2604</v>
      </c>
      <c r="U1339" s="2" t="s">
        <v>200</v>
      </c>
      <c r="V1339" s="2" t="s">
        <v>208</v>
      </c>
      <c r="W1339" s="2" t="s">
        <v>241</v>
      </c>
      <c r="X1339" s="2" t="s">
        <v>200</v>
      </c>
      <c r="Y1339" s="2" t="s">
        <v>261</v>
      </c>
      <c r="Z1339" s="4">
        <v>871</v>
      </c>
      <c r="AA1339" s="4">
        <f>=ROUNDDOWN(17.7393075356415,0)</f>
      </c>
      <c r="AB1339" s="5">
        <v>49.1</v>
      </c>
      <c r="AC1339" s="2" t="s">
        <v>117</v>
      </c>
      <c r="AD1339" s="4">
        <v>390</v>
      </c>
      <c r="AE1339" s="4">
        <v>390</v>
      </c>
      <c r="AF1339" s="6">
        <v>65</v>
      </c>
      <c r="AG1339" s="6"/>
      <c r="AH1339" s="7">
        <v>1</v>
      </c>
      <c r="AI1339" s="4"/>
      <c r="AJ1339" s="4">
        <f>=ROUNDDOWN({0},0)</f>
      </c>
      <c r="AK1339" s="5"/>
      <c r="AL1339" s="2" t="s">
        <v>200</v>
      </c>
      <c r="AM1339" s="4"/>
      <c r="AN1339" s="4"/>
      <c r="AO1339" s="7"/>
      <c r="AP1339" s="4"/>
      <c r="AQ1339" s="8"/>
      <c r="AR1339" s="4"/>
      <c r="AS1339" s="8"/>
      <c r="AT1339" s="7"/>
      <c r="AU1339" s="7"/>
      <c r="AV1339" s="4"/>
      <c r="AW1339" s="8"/>
      <c r="AX1339" s="4"/>
      <c r="AY1339" s="8"/>
      <c r="AZ1339" s="7"/>
      <c r="BA1339" s="7"/>
      <c r="BB1339" s="7"/>
      <c r="BC1339" s="4" t="s">
        <v>200</v>
      </c>
      <c r="BD1339" s="8" t="s">
        <v>200</v>
      </c>
      <c r="BE1339" s="4" t="s">
        <v>200</v>
      </c>
      <c r="BF1339" s="8" t="s">
        <v>200</v>
      </c>
      <c r="BG1339" s="7" t="s">
        <v>200</v>
      </c>
      <c r="BH1339" s="7" t="s">
        <v>200</v>
      </c>
      <c r="BI1339" s="7"/>
      <c r="BJ1339" s="4">
        <v>2383</v>
      </c>
      <c r="BK1339" s="8">
        <v>34001.62</v>
      </c>
      <c r="BL1339" s="2" t="s">
        <v>2341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7306</v>
      </c>
      <c r="BV1339" s="2" t="s">
        <v>200</v>
      </c>
      <c r="BW1339" s="2" t="s">
        <v>200</v>
      </c>
      <c r="BX1339" s="2" t="s">
        <v>264</v>
      </c>
      <c r="BY1339" s="2" t="s">
        <v>247</v>
      </c>
      <c r="BZ1339" s="2" t="s">
        <v>212</v>
      </c>
      <c r="CA1339" s="2" t="s">
        <v>7307</v>
      </c>
      <c r="CB1339" s="2" t="s">
        <v>7308</v>
      </c>
      <c r="CC1339" s="2" t="s">
        <v>213</v>
      </c>
      <c r="CD1339" s="2" t="s">
        <v>200</v>
      </c>
      <c r="CE1339" s="4">
        <v>315</v>
      </c>
      <c r="CF1339" s="4">
        <v>543</v>
      </c>
      <c r="CG1339" s="4"/>
      <c r="CH1339" s="4"/>
      <c r="CI1339" s="4"/>
      <c r="CJ1339" s="4"/>
      <c r="CK1339" s="4">
        <v>13</v>
      </c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>
        <v>390</v>
      </c>
      <c r="DE1339" s="4"/>
      <c r="DF1339" s="4"/>
      <c r="DG1339" s="4"/>
      <c r="DH1339" s="4"/>
      <c r="DI1339" s="4"/>
      <c r="DJ1339" s="4"/>
      <c r="DK1339" s="4"/>
      <c r="DL1339" s="4"/>
      <c r="DM1339" s="4"/>
      <c r="DN1339" s="4"/>
      <c r="DO1339" s="4"/>
      <c r="DP1339" s="4"/>
      <c r="DQ1339" s="4"/>
      <c r="DR1339" s="4"/>
      <c r="DS1339" s="4"/>
      <c r="DT1339" s="4"/>
      <c r="DU1339" s="4"/>
      <c r="DV1339" s="4"/>
      <c r="DW1339" s="4"/>
      <c r="DX1339" s="4"/>
      <c r="DY1339" s="4"/>
      <c r="DZ1339" s="4"/>
      <c r="EA1339" s="4"/>
      <c r="EB1339" s="4"/>
      <c r="EC1339" s="4"/>
      <c r="ED1339" s="4"/>
      <c r="EE1339" s="4"/>
      <c r="EF1339" s="4"/>
      <c r="EG1339" s="4"/>
      <c r="EH1339" s="4"/>
      <c r="EI1339" s="4"/>
      <c r="EJ1339" s="4"/>
      <c r="EK1339" s="4"/>
      <c r="EL1339" s="4"/>
      <c r="EM1339" s="4"/>
      <c r="EN1339" s="4"/>
      <c r="EO1339" s="4"/>
      <c r="EP1339" s="4"/>
      <c r="EQ1339" s="4"/>
      <c r="ER1339" s="4"/>
      <c r="ES1339" s="4"/>
      <c r="ET1339" s="4"/>
      <c r="EU1339" s="4"/>
      <c r="EV1339" s="4"/>
      <c r="EW1339" s="4"/>
      <c r="EX1339" s="4"/>
      <c r="EY1339" s="4"/>
      <c r="EZ1339" s="4"/>
      <c r="FA1339" s="4"/>
      <c r="FB1339" s="4"/>
      <c r="FC1339" s="4"/>
      <c r="FD1339" s="4"/>
      <c r="FE1339" s="4"/>
      <c r="FF1339" s="4"/>
      <c r="FG1339" s="4"/>
      <c r="FH1339" s="4"/>
      <c r="FI1339" s="4"/>
      <c r="FJ1339" s="4"/>
      <c r="FK1339" s="4"/>
      <c r="FL1339" s="4"/>
      <c r="FM1339" s="4"/>
      <c r="FN1339" s="4"/>
      <c r="FO1339" s="4"/>
      <c r="FP1339" s="4"/>
      <c r="FQ1339" s="4"/>
      <c r="FR1339" s="4"/>
      <c r="FS1339" s="4"/>
      <c r="FT1339" s="4"/>
      <c r="FU1339" s="4"/>
      <c r="FV1339" s="4"/>
      <c r="FW1339" s="4"/>
      <c r="FX1339" s="4"/>
      <c r="FY1339" s="4"/>
      <c r="FZ1339" s="4"/>
      <c r="GA1339" s="4"/>
      <c r="GB1339" s="4"/>
      <c r="GC1339" s="4"/>
      <c r="GD1339" s="4"/>
      <c r="GE1339" s="4"/>
      <c r="GF1339" s="4"/>
      <c r="GG1339" s="4"/>
      <c r="GH1339" s="4"/>
    </row>
    <row r="1340">
      <c r="A1340" s="2" t="s">
        <v>7309</v>
      </c>
      <c r="B1340" s="2" t="s">
        <v>744</v>
      </c>
      <c r="C1340" s="2" t="s">
        <v>231</v>
      </c>
      <c r="D1340" s="2" t="s">
        <v>783</v>
      </c>
      <c r="E1340" s="2" t="s">
        <v>784</v>
      </c>
      <c r="F1340" s="2" t="s">
        <v>7302</v>
      </c>
      <c r="G1340" s="2" t="s">
        <v>7310</v>
      </c>
      <c r="H1340" s="2" t="s">
        <v>7311</v>
      </c>
      <c r="I1340" s="2" t="s">
        <v>784</v>
      </c>
      <c r="J1340" s="2" t="s">
        <v>711</v>
      </c>
      <c r="K1340" s="2" t="s">
        <v>7312</v>
      </c>
      <c r="L1340" s="3">
        <v>166.32</v>
      </c>
      <c r="M1340" s="3">
        <v>174.64</v>
      </c>
      <c r="N1340" s="3">
        <v>349</v>
      </c>
      <c r="O1340" s="2" t="s">
        <v>212</v>
      </c>
      <c r="P1340" s="2" t="s">
        <v>258</v>
      </c>
      <c r="Q1340" s="2" t="s">
        <v>206</v>
      </c>
      <c r="R1340" s="2" t="s">
        <v>200</v>
      </c>
      <c r="S1340" s="2" t="s">
        <v>7313</v>
      </c>
      <c r="T1340" s="2" t="s">
        <v>200</v>
      </c>
      <c r="U1340" s="2" t="s">
        <v>200</v>
      </c>
      <c r="V1340" s="2" t="s">
        <v>208</v>
      </c>
      <c r="W1340" s="2" t="s">
        <v>712</v>
      </c>
      <c r="X1340" s="2" t="s">
        <v>200</v>
      </c>
      <c r="Y1340" s="2" t="s">
        <v>261</v>
      </c>
      <c r="Z1340" s="4">
        <v>90</v>
      </c>
      <c r="AA1340" s="4">
        <f>=ROUNDDOWN(12.8571428571429,0)</f>
      </c>
      <c r="AB1340" s="5">
        <v>7</v>
      </c>
      <c r="AC1340" s="2" t="s">
        <v>129</v>
      </c>
      <c r="AD1340" s="4">
        <v>150</v>
      </c>
      <c r="AE1340" s="4">
        <v>150</v>
      </c>
      <c r="AF1340" s="6">
        <v>74</v>
      </c>
      <c r="AG1340" s="6">
        <v>60</v>
      </c>
      <c r="AH1340" s="7">
        <v>1</v>
      </c>
      <c r="AI1340" s="4"/>
      <c r="AJ1340" s="4">
        <f>=ROUNDDOWN({0},0)</f>
      </c>
      <c r="AK1340" s="5"/>
      <c r="AL1340" s="2" t="s">
        <v>200</v>
      </c>
      <c r="AM1340" s="4"/>
      <c r="AN1340" s="4"/>
      <c r="AO1340" s="7"/>
      <c r="AP1340" s="4"/>
      <c r="AQ1340" s="8"/>
      <c r="AR1340" s="4"/>
      <c r="AS1340" s="8"/>
      <c r="AT1340" s="7"/>
      <c r="AU1340" s="7"/>
      <c r="AV1340" s="4"/>
      <c r="AW1340" s="8"/>
      <c r="AX1340" s="4"/>
      <c r="AY1340" s="8"/>
      <c r="AZ1340" s="7"/>
      <c r="BA1340" s="7"/>
      <c r="BB1340" s="7"/>
      <c r="BC1340" s="4" t="s">
        <v>200</v>
      </c>
      <c r="BD1340" s="8" t="s">
        <v>200</v>
      </c>
      <c r="BE1340" s="4" t="s">
        <v>200</v>
      </c>
      <c r="BF1340" s="8" t="s">
        <v>200</v>
      </c>
      <c r="BG1340" s="7" t="s">
        <v>200</v>
      </c>
      <c r="BH1340" s="7" t="s">
        <v>200</v>
      </c>
      <c r="BI1340" s="7"/>
      <c r="BJ1340" s="4">
        <v>28</v>
      </c>
      <c r="BK1340" s="8">
        <v>4549.2</v>
      </c>
      <c r="BL1340" s="2" t="s">
        <v>7314</v>
      </c>
      <c r="BM1340" s="7"/>
      <c r="BN1340" s="7"/>
      <c r="BO1340" s="4"/>
      <c r="BP1340" s="8"/>
      <c r="BQ1340" s="4"/>
      <c r="BR1340" s="8"/>
      <c r="BS1340" s="7"/>
      <c r="BT1340" s="7"/>
      <c r="BU1340" s="2" t="s">
        <v>7315</v>
      </c>
      <c r="BV1340" s="2" t="s">
        <v>200</v>
      </c>
      <c r="BW1340" s="2" t="s">
        <v>200</v>
      </c>
      <c r="BX1340" s="2" t="s">
        <v>264</v>
      </c>
      <c r="BY1340" s="2" t="s">
        <v>247</v>
      </c>
      <c r="BZ1340" s="2" t="s">
        <v>212</v>
      </c>
      <c r="CA1340" s="2" t="s">
        <v>7316</v>
      </c>
      <c r="CB1340" s="2" t="s">
        <v>7317</v>
      </c>
      <c r="CC1340" s="2" t="s">
        <v>213</v>
      </c>
      <c r="CD1340" s="2" t="s">
        <v>200</v>
      </c>
      <c r="CE1340" s="4"/>
      <c r="CF1340" s="4">
        <v>90</v>
      </c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  <c r="DE1340" s="4"/>
      <c r="DF1340" s="4"/>
      <c r="DG1340" s="4"/>
      <c r="DH1340" s="4"/>
      <c r="DI1340" s="4"/>
      <c r="DJ1340" s="4"/>
      <c r="DK1340" s="4"/>
      <c r="DL1340" s="4"/>
      <c r="DM1340" s="4"/>
      <c r="DN1340" s="4"/>
      <c r="DO1340" s="4"/>
      <c r="DP1340" s="4">
        <v>150</v>
      </c>
      <c r="DQ1340" s="4"/>
      <c r="DR1340" s="4"/>
      <c r="DS1340" s="4"/>
      <c r="DT1340" s="4"/>
      <c r="DU1340" s="4"/>
      <c r="DV1340" s="4"/>
      <c r="DW1340" s="4"/>
      <c r="DX1340" s="4"/>
      <c r="DY1340" s="4"/>
      <c r="DZ1340" s="4"/>
      <c r="EA1340" s="4"/>
      <c r="EB1340" s="4"/>
      <c r="EC1340" s="4"/>
      <c r="ED1340" s="4"/>
      <c r="EE1340" s="4"/>
      <c r="EF1340" s="4"/>
      <c r="EG1340" s="4"/>
      <c r="EH1340" s="4"/>
      <c r="EI1340" s="4"/>
      <c r="EJ1340" s="4"/>
      <c r="EK1340" s="4"/>
      <c r="EL1340" s="4"/>
      <c r="EM1340" s="4"/>
      <c r="EN1340" s="4"/>
      <c r="EO1340" s="4"/>
      <c r="EP1340" s="4"/>
      <c r="EQ1340" s="4"/>
      <c r="ER1340" s="4"/>
      <c r="ES1340" s="4"/>
      <c r="ET1340" s="4"/>
      <c r="EU1340" s="4"/>
      <c r="EV1340" s="4"/>
      <c r="EW1340" s="4"/>
      <c r="EX1340" s="4"/>
      <c r="EY1340" s="4"/>
      <c r="EZ1340" s="4"/>
      <c r="FA1340" s="4"/>
      <c r="FB1340" s="4"/>
      <c r="FC1340" s="4"/>
      <c r="FD1340" s="4"/>
      <c r="FE1340" s="4"/>
      <c r="FF1340" s="4"/>
      <c r="FG1340" s="4"/>
      <c r="FH1340" s="4"/>
      <c r="FI1340" s="4"/>
      <c r="FJ1340" s="4"/>
      <c r="FK1340" s="4"/>
      <c r="FL1340" s="4"/>
      <c r="FM1340" s="4"/>
      <c r="FN1340" s="4"/>
      <c r="FO1340" s="4"/>
      <c r="FP1340" s="4"/>
      <c r="FQ1340" s="4"/>
      <c r="FR1340" s="4"/>
      <c r="FS1340" s="4"/>
      <c r="FT1340" s="4"/>
      <c r="FU1340" s="4"/>
      <c r="FV1340" s="4"/>
      <c r="FW1340" s="4"/>
      <c r="FX1340" s="4"/>
      <c r="FY1340" s="4"/>
      <c r="FZ1340" s="4"/>
      <c r="GA1340" s="4"/>
      <c r="GB1340" s="4"/>
      <c r="GC1340" s="4"/>
      <c r="GD1340" s="4"/>
      <c r="GE1340" s="4"/>
      <c r="GF1340" s="4"/>
      <c r="GG1340" s="4"/>
      <c r="GH1340" s="4"/>
    </row>
    <row r="1341">
      <c r="A1341" s="2" t="s">
        <v>7318</v>
      </c>
      <c r="B1341" s="2" t="s">
        <v>195</v>
      </c>
      <c r="C1341" s="2" t="s">
        <v>307</v>
      </c>
      <c r="D1341" s="2" t="s">
        <v>608</v>
      </c>
      <c r="E1341" s="2" t="s">
        <v>1324</v>
      </c>
      <c r="F1341" s="2" t="s">
        <v>7319</v>
      </c>
      <c r="G1341" s="2" t="s">
        <v>7320</v>
      </c>
      <c r="H1341" s="2" t="s">
        <v>7320</v>
      </c>
      <c r="I1341" s="2" t="s">
        <v>7321</v>
      </c>
      <c r="J1341" s="2" t="s">
        <v>1390</v>
      </c>
      <c r="K1341" s="2" t="s">
        <v>1174</v>
      </c>
      <c r="L1341" s="3">
        <v>19.6</v>
      </c>
      <c r="M1341" s="3">
        <v>20.58</v>
      </c>
      <c r="N1341" s="3">
        <v>39.99</v>
      </c>
      <c r="O1341" s="2" t="s">
        <v>212</v>
      </c>
      <c r="P1341" s="2" t="s">
        <v>258</v>
      </c>
      <c r="Q1341" s="2" t="s">
        <v>206</v>
      </c>
      <c r="R1341" s="2" t="s">
        <v>200</v>
      </c>
      <c r="S1341" s="2" t="s">
        <v>7322</v>
      </c>
      <c r="T1341" s="2" t="s">
        <v>378</v>
      </c>
      <c r="U1341" s="2" t="s">
        <v>677</v>
      </c>
      <c r="V1341" s="2" t="s">
        <v>1198</v>
      </c>
      <c r="W1341" s="2" t="s">
        <v>1900</v>
      </c>
      <c r="X1341" s="2" t="s">
        <v>200</v>
      </c>
      <c r="Y1341" s="2" t="s">
        <v>999</v>
      </c>
      <c r="Z1341" s="4">
        <v>393</v>
      </c>
      <c r="AA1341" s="4">
        <f>=ROUNDDOWN(39.3,0)</f>
      </c>
      <c r="AB1341" s="5">
        <v>10</v>
      </c>
      <c r="AC1341" s="2" t="s">
        <v>200</v>
      </c>
      <c r="AD1341" s="4"/>
      <c r="AE1341" s="4"/>
      <c r="AF1341" s="6">
        <v>65</v>
      </c>
      <c r="AG1341" s="6"/>
      <c r="AH1341" s="7">
        <v>1</v>
      </c>
      <c r="AI1341" s="4"/>
      <c r="AJ1341" s="4">
        <f>=ROUNDDOWN({0},0)</f>
      </c>
      <c r="AK1341" s="5"/>
      <c r="AL1341" s="2" t="s">
        <v>200</v>
      </c>
      <c r="AM1341" s="4"/>
      <c r="AN1341" s="4"/>
      <c r="AO1341" s="7"/>
      <c r="AP1341" s="4"/>
      <c r="AQ1341" s="8"/>
      <c r="AR1341" s="4"/>
      <c r="AS1341" s="8"/>
      <c r="AT1341" s="7"/>
      <c r="AU1341" s="7"/>
      <c r="AV1341" s="4" t="s">
        <v>200</v>
      </c>
      <c r="AW1341" s="8" t="s">
        <v>200</v>
      </c>
      <c r="AX1341" s="4" t="s">
        <v>200</v>
      </c>
      <c r="AY1341" s="8" t="s">
        <v>200</v>
      </c>
      <c r="AZ1341" s="7" t="s">
        <v>200</v>
      </c>
      <c r="BA1341" s="7" t="s">
        <v>200</v>
      </c>
      <c r="BB1341" s="7"/>
      <c r="BC1341" s="4" t="s">
        <v>200</v>
      </c>
      <c r="BD1341" s="8" t="s">
        <v>200</v>
      </c>
      <c r="BE1341" s="4" t="s">
        <v>200</v>
      </c>
      <c r="BF1341" s="8" t="s">
        <v>200</v>
      </c>
      <c r="BG1341" s="7" t="s">
        <v>200</v>
      </c>
      <c r="BH1341" s="7" t="s">
        <v>200</v>
      </c>
      <c r="BI1341" s="7"/>
      <c r="BJ1341" s="4">
        <v>74</v>
      </c>
      <c r="BK1341" s="8">
        <v>1380.62</v>
      </c>
      <c r="BL1341" s="2" t="s">
        <v>349</v>
      </c>
      <c r="BM1341" s="7"/>
      <c r="BN1341" s="7"/>
      <c r="BO1341" s="4"/>
      <c r="BP1341" s="8"/>
      <c r="BQ1341" s="4"/>
      <c r="BR1341" s="8"/>
      <c r="BS1341" s="7"/>
      <c r="BT1341" s="7"/>
      <c r="BU1341" s="2" t="s">
        <v>7323</v>
      </c>
      <c r="BV1341" s="2" t="s">
        <v>200</v>
      </c>
      <c r="BW1341" s="2" t="s">
        <v>200</v>
      </c>
      <c r="BX1341" s="2" t="s">
        <v>264</v>
      </c>
      <c r="BY1341" s="2" t="s">
        <v>247</v>
      </c>
      <c r="BZ1341" s="2" t="s">
        <v>212</v>
      </c>
      <c r="CA1341" s="2" t="s">
        <v>7324</v>
      </c>
      <c r="CB1341" s="2" t="s">
        <v>1024</v>
      </c>
      <c r="CC1341" s="2" t="s">
        <v>213</v>
      </c>
      <c r="CD1341" s="2" t="s">
        <v>200</v>
      </c>
      <c r="CE1341" s="4">
        <v>204</v>
      </c>
      <c r="CF1341" s="4"/>
      <c r="CG1341" s="4"/>
      <c r="CH1341" s="4">
        <v>189</v>
      </c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E1341" s="4"/>
      <c r="DF1341" s="4"/>
      <c r="DG1341" s="4"/>
      <c r="DH1341" s="4"/>
      <c r="DI1341" s="4"/>
      <c r="DJ1341" s="4"/>
      <c r="DK1341" s="4"/>
      <c r="DL1341" s="4"/>
      <c r="DM1341" s="4"/>
      <c r="DN1341" s="4"/>
      <c r="DO1341" s="4"/>
      <c r="DP1341" s="4"/>
      <c r="DQ1341" s="4"/>
      <c r="DR1341" s="4"/>
      <c r="DS1341" s="4"/>
      <c r="DT1341" s="4"/>
      <c r="DU1341" s="4"/>
      <c r="DV1341" s="4"/>
      <c r="DW1341" s="4"/>
      <c r="DX1341" s="4"/>
      <c r="DY1341" s="4"/>
      <c r="DZ1341" s="4"/>
      <c r="EA1341" s="4"/>
      <c r="EB1341" s="4"/>
      <c r="EC1341" s="4"/>
      <c r="ED1341" s="4"/>
      <c r="EE1341" s="4"/>
      <c r="EF1341" s="4"/>
      <c r="EG1341" s="4"/>
      <c r="EH1341" s="4"/>
      <c r="EI1341" s="4"/>
      <c r="EJ1341" s="4"/>
      <c r="EK1341" s="4"/>
      <c r="EL1341" s="4"/>
      <c r="EM1341" s="4"/>
      <c r="EN1341" s="4"/>
      <c r="EO1341" s="4"/>
      <c r="EP1341" s="4"/>
      <c r="EQ1341" s="4"/>
      <c r="ER1341" s="4"/>
      <c r="ES1341" s="4"/>
      <c r="ET1341" s="4"/>
      <c r="EU1341" s="4"/>
      <c r="EV1341" s="4"/>
      <c r="EW1341" s="4"/>
      <c r="EX1341" s="4"/>
      <c r="EY1341" s="4"/>
      <c r="EZ1341" s="4"/>
      <c r="FA1341" s="4"/>
      <c r="FB1341" s="4"/>
      <c r="FC1341" s="4"/>
      <c r="FD1341" s="4"/>
      <c r="FE1341" s="4"/>
      <c r="FF1341" s="4"/>
      <c r="FG1341" s="4"/>
      <c r="FH1341" s="4"/>
      <c r="FI1341" s="4"/>
      <c r="FJ1341" s="4"/>
      <c r="FK1341" s="4"/>
      <c r="FL1341" s="4"/>
      <c r="FM1341" s="4"/>
      <c r="FN1341" s="4"/>
      <c r="FO1341" s="4"/>
      <c r="FP1341" s="4"/>
      <c r="FQ1341" s="4"/>
      <c r="FR1341" s="4"/>
      <c r="FS1341" s="4"/>
      <c r="FT1341" s="4"/>
      <c r="FU1341" s="4"/>
      <c r="FV1341" s="4"/>
      <c r="FW1341" s="4"/>
      <c r="FX1341" s="4"/>
      <c r="FY1341" s="4"/>
      <c r="FZ1341" s="4"/>
      <c r="GA1341" s="4"/>
      <c r="GB1341" s="4"/>
      <c r="GC1341" s="4"/>
      <c r="GD1341" s="4"/>
      <c r="GE1341" s="4"/>
      <c r="GF1341" s="4"/>
      <c r="GG1341" s="4"/>
      <c r="GH1341" s="4"/>
    </row>
    <row r="1342">
      <c r="A1342" s="2" t="s">
        <v>7325</v>
      </c>
      <c r="B1342" s="2" t="s">
        <v>195</v>
      </c>
      <c r="C1342" s="2" t="s">
        <v>307</v>
      </c>
      <c r="D1342" s="2" t="s">
        <v>608</v>
      </c>
      <c r="E1342" s="2" t="s">
        <v>1324</v>
      </c>
      <c r="F1342" s="2" t="s">
        <v>7319</v>
      </c>
      <c r="G1342" s="2" t="s">
        <v>7320</v>
      </c>
      <c r="H1342" s="2" t="s">
        <v>7320</v>
      </c>
      <c r="I1342" s="2" t="s">
        <v>7321</v>
      </c>
      <c r="J1342" s="2" t="s">
        <v>924</v>
      </c>
      <c r="K1342" s="2" t="s">
        <v>1174</v>
      </c>
      <c r="L1342" s="3">
        <v>30</v>
      </c>
      <c r="M1342" s="3">
        <v>31.5</v>
      </c>
      <c r="N1342" s="3">
        <v>59.99</v>
      </c>
      <c r="O1342" s="2" t="s">
        <v>212</v>
      </c>
      <c r="P1342" s="2" t="s">
        <v>258</v>
      </c>
      <c r="Q1342" s="2" t="s">
        <v>206</v>
      </c>
      <c r="R1342" s="2" t="s">
        <v>200</v>
      </c>
      <c r="S1342" s="2" t="s">
        <v>7322</v>
      </c>
      <c r="T1342" s="2" t="s">
        <v>378</v>
      </c>
      <c r="U1342" s="2" t="s">
        <v>454</v>
      </c>
      <c r="V1342" s="2" t="s">
        <v>1198</v>
      </c>
      <c r="W1342" s="2" t="s">
        <v>1900</v>
      </c>
      <c r="X1342" s="2" t="s">
        <v>200</v>
      </c>
      <c r="Y1342" s="2" t="s">
        <v>999</v>
      </c>
      <c r="Z1342" s="4">
        <v>412</v>
      </c>
      <c r="AA1342" s="4">
        <f>=ROUNDDOWN(58.8571428571429,0)</f>
      </c>
      <c r="AB1342" s="5">
        <v>7</v>
      </c>
      <c r="AC1342" s="2" t="s">
        <v>200</v>
      </c>
      <c r="AD1342" s="4"/>
      <c r="AE1342" s="4"/>
      <c r="AF1342" s="6">
        <v>65</v>
      </c>
      <c r="AG1342" s="6"/>
      <c r="AH1342" s="7">
        <v>1</v>
      </c>
      <c r="AI1342" s="4"/>
      <c r="AJ1342" s="4">
        <f>=ROUNDDOWN({0},0)</f>
      </c>
      <c r="AK1342" s="5"/>
      <c r="AL1342" s="2" t="s">
        <v>200</v>
      </c>
      <c r="AM1342" s="4"/>
      <c r="AN1342" s="4"/>
      <c r="AO1342" s="7"/>
      <c r="AP1342" s="4"/>
      <c r="AQ1342" s="8"/>
      <c r="AR1342" s="4"/>
      <c r="AS1342" s="8"/>
      <c r="AT1342" s="7"/>
      <c r="AU1342" s="7"/>
      <c r="AV1342" s="4" t="s">
        <v>200</v>
      </c>
      <c r="AW1342" s="8" t="s">
        <v>200</v>
      </c>
      <c r="AX1342" s="4" t="s">
        <v>200</v>
      </c>
      <c r="AY1342" s="8" t="s">
        <v>200</v>
      </c>
      <c r="AZ1342" s="7" t="s">
        <v>200</v>
      </c>
      <c r="BA1342" s="7" t="s">
        <v>200</v>
      </c>
      <c r="BB1342" s="7"/>
      <c r="BC1342" s="4" t="s">
        <v>200</v>
      </c>
      <c r="BD1342" s="8" t="s">
        <v>200</v>
      </c>
      <c r="BE1342" s="4" t="s">
        <v>200</v>
      </c>
      <c r="BF1342" s="8" t="s">
        <v>200</v>
      </c>
      <c r="BG1342" s="7" t="s">
        <v>200</v>
      </c>
      <c r="BH1342" s="7" t="s">
        <v>200</v>
      </c>
      <c r="BI1342" s="7"/>
      <c r="BJ1342" s="4">
        <v>56</v>
      </c>
      <c r="BK1342" s="8">
        <v>1594.65</v>
      </c>
      <c r="BL1342" s="2" t="s">
        <v>2618</v>
      </c>
      <c r="BM1342" s="7"/>
      <c r="BN1342" s="7"/>
      <c r="BO1342" s="4"/>
      <c r="BP1342" s="8"/>
      <c r="BQ1342" s="4"/>
      <c r="BR1342" s="8"/>
      <c r="BS1342" s="7"/>
      <c r="BT1342" s="7"/>
      <c r="BU1342" s="2" t="s">
        <v>7326</v>
      </c>
      <c r="BV1342" s="2" t="s">
        <v>200</v>
      </c>
      <c r="BW1342" s="2" t="s">
        <v>200</v>
      </c>
      <c r="BX1342" s="2" t="s">
        <v>264</v>
      </c>
      <c r="BY1342" s="2" t="s">
        <v>247</v>
      </c>
      <c r="BZ1342" s="2" t="s">
        <v>212</v>
      </c>
      <c r="CA1342" s="2" t="s">
        <v>7324</v>
      </c>
      <c r="CB1342" s="2" t="s">
        <v>7327</v>
      </c>
      <c r="CC1342" s="2" t="s">
        <v>213</v>
      </c>
      <c r="CD1342" s="2" t="s">
        <v>200</v>
      </c>
      <c r="CE1342" s="4">
        <v>236</v>
      </c>
      <c r="CF1342" s="4"/>
      <c r="CG1342" s="4"/>
      <c r="CH1342" s="4">
        <v>176</v>
      </c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  <c r="DE1342" s="4"/>
      <c r="DF1342" s="4"/>
      <c r="DG1342" s="4"/>
      <c r="DH1342" s="4"/>
      <c r="DI1342" s="4"/>
      <c r="DJ1342" s="4"/>
      <c r="DK1342" s="4"/>
      <c r="DL1342" s="4"/>
      <c r="DM1342" s="4"/>
      <c r="DN1342" s="4"/>
      <c r="DO1342" s="4"/>
      <c r="DP1342" s="4"/>
      <c r="DQ1342" s="4"/>
      <c r="DR1342" s="4"/>
      <c r="DS1342" s="4"/>
      <c r="DT1342" s="4"/>
      <c r="DU1342" s="4"/>
      <c r="DV1342" s="4"/>
      <c r="DW1342" s="4"/>
      <c r="DX1342" s="4"/>
      <c r="DY1342" s="4"/>
      <c r="DZ1342" s="4"/>
      <c r="EA1342" s="4"/>
      <c r="EB1342" s="4"/>
      <c r="EC1342" s="4"/>
      <c r="ED1342" s="4"/>
      <c r="EE1342" s="4"/>
      <c r="EF1342" s="4"/>
      <c r="EG1342" s="4"/>
      <c r="EH1342" s="4"/>
      <c r="EI1342" s="4"/>
      <c r="EJ1342" s="4"/>
      <c r="EK1342" s="4"/>
      <c r="EL1342" s="4"/>
      <c r="EM1342" s="4"/>
      <c r="EN1342" s="4"/>
      <c r="EO1342" s="4"/>
      <c r="EP1342" s="4"/>
      <c r="EQ1342" s="4"/>
      <c r="ER1342" s="4"/>
      <c r="ES1342" s="4"/>
      <c r="ET1342" s="4"/>
      <c r="EU1342" s="4"/>
      <c r="EV1342" s="4"/>
      <c r="EW1342" s="4"/>
      <c r="EX1342" s="4"/>
      <c r="EY1342" s="4"/>
      <c r="EZ1342" s="4"/>
      <c r="FA1342" s="4"/>
      <c r="FB1342" s="4"/>
      <c r="FC1342" s="4"/>
      <c r="FD1342" s="4"/>
      <c r="FE1342" s="4"/>
      <c r="FF1342" s="4"/>
      <c r="FG1342" s="4"/>
      <c r="FH1342" s="4"/>
      <c r="FI1342" s="4"/>
      <c r="FJ1342" s="4"/>
      <c r="FK1342" s="4"/>
      <c r="FL1342" s="4"/>
      <c r="FM1342" s="4"/>
      <c r="FN1342" s="4"/>
      <c r="FO1342" s="4"/>
      <c r="FP1342" s="4"/>
      <c r="FQ1342" s="4"/>
      <c r="FR1342" s="4"/>
      <c r="FS1342" s="4"/>
      <c r="FT1342" s="4"/>
      <c r="FU1342" s="4"/>
      <c r="FV1342" s="4"/>
      <c r="FW1342" s="4"/>
      <c r="FX1342" s="4"/>
      <c r="FY1342" s="4"/>
      <c r="FZ1342" s="4"/>
      <c r="GA1342" s="4"/>
      <c r="GB1342" s="4"/>
      <c r="GC1342" s="4"/>
      <c r="GD1342" s="4"/>
      <c r="GE1342" s="4"/>
      <c r="GF1342" s="4"/>
      <c r="GG1342" s="4"/>
      <c r="GH1342" s="4"/>
    </row>
    <row r="1343">
      <c r="A1343" s="2" t="s">
        <v>7328</v>
      </c>
      <c r="B1343" s="2" t="s">
        <v>195</v>
      </c>
      <c r="C1343" s="2" t="s">
        <v>307</v>
      </c>
      <c r="D1343" s="2" t="s">
        <v>608</v>
      </c>
      <c r="E1343" s="2" t="s">
        <v>1324</v>
      </c>
      <c r="F1343" s="2" t="s">
        <v>7319</v>
      </c>
      <c r="G1343" s="2" t="s">
        <v>7320</v>
      </c>
      <c r="H1343" s="2" t="s">
        <v>7320</v>
      </c>
      <c r="I1343" s="2" t="s">
        <v>7321</v>
      </c>
      <c r="J1343" s="2" t="s">
        <v>1390</v>
      </c>
      <c r="K1343" s="2" t="s">
        <v>221</v>
      </c>
      <c r="L1343" s="3">
        <v>19.6</v>
      </c>
      <c r="M1343" s="3">
        <v>20.58</v>
      </c>
      <c r="N1343" s="3">
        <v>39.99</v>
      </c>
      <c r="O1343" s="2" t="s">
        <v>212</v>
      </c>
      <c r="P1343" s="2" t="s">
        <v>1075</v>
      </c>
      <c r="Q1343" s="2" t="s">
        <v>206</v>
      </c>
      <c r="R1343" s="2" t="s">
        <v>200</v>
      </c>
      <c r="S1343" s="2" t="s">
        <v>7329</v>
      </c>
      <c r="T1343" s="2" t="s">
        <v>378</v>
      </c>
      <c r="U1343" s="2" t="s">
        <v>677</v>
      </c>
      <c r="V1343" s="2" t="s">
        <v>1198</v>
      </c>
      <c r="W1343" s="2" t="s">
        <v>1900</v>
      </c>
      <c r="X1343" s="2" t="s">
        <v>200</v>
      </c>
      <c r="Y1343" s="2" t="s">
        <v>7330</v>
      </c>
      <c r="Z1343" s="4">
        <v>1385</v>
      </c>
      <c r="AA1343" s="4">
        <f>=ROUNDDOWN(53.2692307692308,0)</f>
      </c>
      <c r="AB1343" s="5">
        <v>26</v>
      </c>
      <c r="AC1343" s="2" t="s">
        <v>200</v>
      </c>
      <c r="AD1343" s="4"/>
      <c r="AE1343" s="4"/>
      <c r="AF1343" s="6">
        <v>65</v>
      </c>
      <c r="AG1343" s="6">
        <v>48</v>
      </c>
      <c r="AH1343" s="7">
        <v>1</v>
      </c>
      <c r="AI1343" s="4"/>
      <c r="AJ1343" s="4">
        <f>=ROUNDDOWN({0},0)</f>
      </c>
      <c r="AK1343" s="5"/>
      <c r="AL1343" s="2" t="s">
        <v>200</v>
      </c>
      <c r="AM1343" s="4"/>
      <c r="AN1343" s="4"/>
      <c r="AO1343" s="7"/>
      <c r="AP1343" s="4"/>
      <c r="AQ1343" s="8"/>
      <c r="AR1343" s="4"/>
      <c r="AS1343" s="8"/>
      <c r="AT1343" s="7"/>
      <c r="AU1343" s="7"/>
      <c r="AV1343" s="4"/>
      <c r="AW1343" s="8"/>
      <c r="AX1343" s="4"/>
      <c r="AY1343" s="8"/>
      <c r="AZ1343" s="7"/>
      <c r="BA1343" s="7"/>
      <c r="BB1343" s="7"/>
      <c r="BC1343" s="4" t="s">
        <v>200</v>
      </c>
      <c r="BD1343" s="8" t="s">
        <v>200</v>
      </c>
      <c r="BE1343" s="4" t="s">
        <v>200</v>
      </c>
      <c r="BF1343" s="8" t="s">
        <v>200</v>
      </c>
      <c r="BG1343" s="7" t="s">
        <v>200</v>
      </c>
      <c r="BH1343" s="7" t="s">
        <v>200</v>
      </c>
      <c r="BI1343" s="7"/>
      <c r="BJ1343" s="4">
        <v>110</v>
      </c>
      <c r="BK1343" s="8">
        <v>2098.97</v>
      </c>
      <c r="BL1343" s="2" t="s">
        <v>7331</v>
      </c>
      <c r="BM1343" s="7"/>
      <c r="BN1343" s="7"/>
      <c r="BO1343" s="4"/>
      <c r="BP1343" s="8"/>
      <c r="BQ1343" s="4"/>
      <c r="BR1343" s="8"/>
      <c r="BS1343" s="7"/>
      <c r="BT1343" s="7"/>
      <c r="BU1343" s="2" t="s">
        <v>7332</v>
      </c>
      <c r="BV1343" s="2" t="s">
        <v>200</v>
      </c>
      <c r="BW1343" s="2" t="s">
        <v>200</v>
      </c>
      <c r="BX1343" s="2" t="s">
        <v>264</v>
      </c>
      <c r="BY1343" s="2" t="s">
        <v>247</v>
      </c>
      <c r="BZ1343" s="2" t="s">
        <v>212</v>
      </c>
      <c r="CA1343" s="2" t="s">
        <v>7333</v>
      </c>
      <c r="CB1343" s="2" t="s">
        <v>6371</v>
      </c>
      <c r="CC1343" s="2" t="s">
        <v>213</v>
      </c>
      <c r="CD1343" s="2" t="s">
        <v>200</v>
      </c>
      <c r="CE1343" s="4">
        <v>416</v>
      </c>
      <c r="CF1343" s="4"/>
      <c r="CG1343" s="4"/>
      <c r="CH1343" s="4">
        <v>969</v>
      </c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E1343" s="4"/>
      <c r="DF1343" s="4"/>
      <c r="DG1343" s="4"/>
      <c r="DH1343" s="4"/>
      <c r="DI1343" s="4"/>
      <c r="DJ1343" s="4"/>
      <c r="DK1343" s="4"/>
      <c r="DL1343" s="4"/>
      <c r="DM1343" s="4"/>
      <c r="DN1343" s="4"/>
      <c r="DO1343" s="4"/>
      <c r="DP1343" s="4"/>
      <c r="DQ1343" s="4"/>
      <c r="DR1343" s="4"/>
      <c r="DS1343" s="4"/>
      <c r="DT1343" s="4"/>
      <c r="DU1343" s="4"/>
      <c r="DV1343" s="4"/>
      <c r="DW1343" s="4"/>
      <c r="DX1343" s="4"/>
      <c r="DY1343" s="4"/>
      <c r="DZ1343" s="4"/>
      <c r="EA1343" s="4"/>
      <c r="EB1343" s="4"/>
      <c r="EC1343" s="4"/>
      <c r="ED1343" s="4"/>
      <c r="EE1343" s="4"/>
      <c r="EF1343" s="4"/>
      <c r="EG1343" s="4"/>
      <c r="EH1343" s="4"/>
      <c r="EI1343" s="4"/>
      <c r="EJ1343" s="4"/>
      <c r="EK1343" s="4"/>
      <c r="EL1343" s="4"/>
      <c r="EM1343" s="4"/>
      <c r="EN1343" s="4"/>
      <c r="EO1343" s="4"/>
      <c r="EP1343" s="4"/>
      <c r="EQ1343" s="4"/>
      <c r="ER1343" s="4"/>
      <c r="ES1343" s="4"/>
      <c r="ET1343" s="4"/>
      <c r="EU1343" s="4"/>
      <c r="EV1343" s="4"/>
      <c r="EW1343" s="4"/>
      <c r="EX1343" s="4"/>
      <c r="EY1343" s="4"/>
      <c r="EZ1343" s="4"/>
      <c r="FA1343" s="4"/>
      <c r="FB1343" s="4"/>
      <c r="FC1343" s="4"/>
      <c r="FD1343" s="4"/>
      <c r="FE1343" s="4"/>
      <c r="FF1343" s="4"/>
      <c r="FG1343" s="4"/>
      <c r="FH1343" s="4"/>
      <c r="FI1343" s="4"/>
      <c r="FJ1343" s="4"/>
      <c r="FK1343" s="4"/>
      <c r="FL1343" s="4"/>
      <c r="FM1343" s="4"/>
      <c r="FN1343" s="4"/>
      <c r="FO1343" s="4"/>
      <c r="FP1343" s="4"/>
      <c r="FQ1343" s="4"/>
      <c r="FR1343" s="4"/>
      <c r="FS1343" s="4"/>
      <c r="FT1343" s="4"/>
      <c r="FU1343" s="4"/>
      <c r="FV1343" s="4"/>
      <c r="FW1343" s="4"/>
      <c r="FX1343" s="4"/>
      <c r="FY1343" s="4"/>
      <c r="FZ1343" s="4"/>
      <c r="GA1343" s="4"/>
      <c r="GB1343" s="4"/>
      <c r="GC1343" s="4"/>
      <c r="GD1343" s="4"/>
      <c r="GE1343" s="4"/>
      <c r="GF1343" s="4"/>
      <c r="GG1343" s="4"/>
      <c r="GH1343" s="4"/>
    </row>
    <row r="1344">
      <c r="A1344" s="2" t="s">
        <v>7334</v>
      </c>
      <c r="B1344" s="2" t="s">
        <v>719</v>
      </c>
      <c r="C1344" s="2" t="s">
        <v>745</v>
      </c>
      <c r="D1344" s="2" t="s">
        <v>1542</v>
      </c>
      <c r="E1344" s="2" t="s">
        <v>2060</v>
      </c>
      <c r="F1344" s="2" t="s">
        <v>7335</v>
      </c>
      <c r="G1344" s="2" t="s">
        <v>7335</v>
      </c>
      <c r="H1344" s="2" t="s">
        <v>7335</v>
      </c>
      <c r="I1344" s="2" t="s">
        <v>7336</v>
      </c>
      <c r="J1344" s="2" t="s">
        <v>711</v>
      </c>
      <c r="K1344" s="2" t="s">
        <v>1843</v>
      </c>
      <c r="L1344" s="3">
        <v>52.38</v>
      </c>
      <c r="M1344" s="3">
        <v>55</v>
      </c>
      <c r="N1344" s="3">
        <v>109.99</v>
      </c>
      <c r="O1344" s="2" t="s">
        <v>212</v>
      </c>
      <c r="P1344" s="2" t="s">
        <v>750</v>
      </c>
      <c r="Q1344" s="2" t="s">
        <v>206</v>
      </c>
      <c r="R1344" s="2" t="s">
        <v>200</v>
      </c>
      <c r="S1344" s="2" t="s">
        <v>200</v>
      </c>
      <c r="T1344" s="2" t="s">
        <v>200</v>
      </c>
      <c r="U1344" s="2" t="s">
        <v>270</v>
      </c>
      <c r="V1344" s="2" t="s">
        <v>724</v>
      </c>
      <c r="W1344" s="2" t="s">
        <v>379</v>
      </c>
      <c r="X1344" s="2" t="s">
        <v>712</v>
      </c>
      <c r="Y1344" s="2" t="s">
        <v>4548</v>
      </c>
      <c r="Z1344" s="4">
        <v>28</v>
      </c>
      <c r="AA1344" s="4">
        <f>=ROUNDDOWN(28,0)</f>
      </c>
      <c r="AB1344" s="5">
        <v>1</v>
      </c>
      <c r="AC1344" s="2" t="s">
        <v>200</v>
      </c>
      <c r="AD1344" s="4"/>
      <c r="AE1344" s="4"/>
      <c r="AF1344" s="6">
        <v>63</v>
      </c>
      <c r="AG1344" s="6"/>
      <c r="AH1344" s="7">
        <v>1</v>
      </c>
      <c r="AI1344" s="4"/>
      <c r="AJ1344" s="4">
        <f>=ROUNDDOWN({0},0)</f>
      </c>
      <c r="AK1344" s="5"/>
      <c r="AL1344" s="2" t="s">
        <v>200</v>
      </c>
      <c r="AM1344" s="4"/>
      <c r="AN1344" s="4"/>
      <c r="AO1344" s="7"/>
      <c r="AP1344" s="4"/>
      <c r="AQ1344" s="8"/>
      <c r="AR1344" s="4"/>
      <c r="AS1344" s="8"/>
      <c r="AT1344" s="7"/>
      <c r="AU1344" s="7"/>
      <c r="AV1344" s="4"/>
      <c r="AW1344" s="8"/>
      <c r="AX1344" s="4"/>
      <c r="AY1344" s="8"/>
      <c r="AZ1344" s="7"/>
      <c r="BA1344" s="7"/>
      <c r="BB1344" s="7"/>
      <c r="BC1344" s="4"/>
      <c r="BD1344" s="8"/>
      <c r="BE1344" s="4"/>
      <c r="BF1344" s="8"/>
      <c r="BG1344" s="7"/>
      <c r="BH1344" s="7"/>
      <c r="BI1344" s="7"/>
      <c r="BJ1344" s="4">
        <v>12</v>
      </c>
      <c r="BK1344" s="8">
        <v>659.99</v>
      </c>
      <c r="BL1344" s="2" t="s">
        <v>780</v>
      </c>
      <c r="BM1344" s="7"/>
      <c r="BN1344" s="7"/>
      <c r="BO1344" s="4"/>
      <c r="BP1344" s="8"/>
      <c r="BQ1344" s="4"/>
      <c r="BR1344" s="8"/>
      <c r="BS1344" s="7"/>
      <c r="BT1344" s="7"/>
      <c r="BU1344" s="2" t="s">
        <v>7337</v>
      </c>
      <c r="BV1344" s="2" t="s">
        <v>200</v>
      </c>
      <c r="BW1344" s="2" t="s">
        <v>200</v>
      </c>
      <c r="BX1344" s="2" t="s">
        <v>264</v>
      </c>
      <c r="BY1344" s="2" t="s">
        <v>247</v>
      </c>
      <c r="BZ1344" s="2" t="s">
        <v>212</v>
      </c>
      <c r="CA1344" s="2" t="s">
        <v>2083</v>
      </c>
      <c r="CB1344" s="2" t="s">
        <v>1353</v>
      </c>
      <c r="CC1344" s="2" t="s">
        <v>213</v>
      </c>
      <c r="CD1344" s="2" t="s">
        <v>200</v>
      </c>
      <c r="CE1344" s="4"/>
      <c r="CF1344" s="4">
        <v>28</v>
      </c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  <c r="DE1344" s="4"/>
      <c r="DF1344" s="4"/>
      <c r="DG1344" s="4"/>
      <c r="DH1344" s="4"/>
      <c r="DI1344" s="4"/>
      <c r="DJ1344" s="4"/>
      <c r="DK1344" s="4"/>
      <c r="DL1344" s="4"/>
      <c r="DM1344" s="4"/>
      <c r="DN1344" s="4"/>
      <c r="DO1344" s="4"/>
      <c r="DP1344" s="4"/>
      <c r="DQ1344" s="4"/>
      <c r="DR1344" s="4"/>
      <c r="DS1344" s="4"/>
      <c r="DT1344" s="4"/>
      <c r="DU1344" s="4"/>
      <c r="DV1344" s="4"/>
      <c r="DW1344" s="4"/>
      <c r="DX1344" s="4"/>
      <c r="DY1344" s="4"/>
      <c r="DZ1344" s="4"/>
      <c r="EA1344" s="4"/>
      <c r="EB1344" s="4"/>
      <c r="EC1344" s="4"/>
      <c r="ED1344" s="4"/>
      <c r="EE1344" s="4"/>
      <c r="EF1344" s="4"/>
      <c r="EG1344" s="4"/>
      <c r="EH1344" s="4"/>
      <c r="EI1344" s="4"/>
      <c r="EJ1344" s="4"/>
      <c r="EK1344" s="4"/>
      <c r="EL1344" s="4"/>
      <c r="EM1344" s="4"/>
      <c r="EN1344" s="4"/>
      <c r="EO1344" s="4"/>
      <c r="EP1344" s="4"/>
      <c r="EQ1344" s="4"/>
      <c r="ER1344" s="4"/>
      <c r="ES1344" s="4"/>
      <c r="ET1344" s="4"/>
      <c r="EU1344" s="4"/>
      <c r="EV1344" s="4"/>
      <c r="EW1344" s="4"/>
      <c r="EX1344" s="4"/>
      <c r="EY1344" s="4"/>
      <c r="EZ1344" s="4"/>
      <c r="FA1344" s="4"/>
      <c r="FB1344" s="4"/>
      <c r="FC1344" s="4"/>
      <c r="FD1344" s="4"/>
      <c r="FE1344" s="4"/>
      <c r="FF1344" s="4"/>
      <c r="FG1344" s="4"/>
      <c r="FH1344" s="4"/>
      <c r="FI1344" s="4"/>
      <c r="FJ1344" s="4"/>
      <c r="FK1344" s="4"/>
      <c r="FL1344" s="4"/>
      <c r="FM1344" s="4"/>
      <c r="FN1344" s="4"/>
      <c r="FO1344" s="4"/>
      <c r="FP1344" s="4"/>
      <c r="FQ1344" s="4"/>
      <c r="FR1344" s="4"/>
      <c r="FS1344" s="4"/>
      <c r="FT1344" s="4"/>
      <c r="FU1344" s="4"/>
      <c r="FV1344" s="4"/>
      <c r="FW1344" s="4"/>
      <c r="FX1344" s="4"/>
      <c r="FY1344" s="4"/>
      <c r="FZ1344" s="4"/>
      <c r="GA1344" s="4"/>
      <c r="GB1344" s="4"/>
      <c r="GC1344" s="4"/>
      <c r="GD1344" s="4"/>
      <c r="GE1344" s="4"/>
      <c r="GF1344" s="4"/>
      <c r="GG1344" s="4"/>
      <c r="GH1344" s="4"/>
    </row>
    <row r="1345">
      <c r="A1345" s="2" t="s">
        <v>7338</v>
      </c>
      <c r="B1345" s="2" t="s">
        <v>230</v>
      </c>
      <c r="C1345" s="2" t="s">
        <v>231</v>
      </c>
      <c r="D1345" s="2" t="s">
        <v>232</v>
      </c>
      <c r="E1345" s="2" t="s">
        <v>233</v>
      </c>
      <c r="F1345" s="2" t="s">
        <v>7339</v>
      </c>
      <c r="G1345" s="2" t="s">
        <v>7339</v>
      </c>
      <c r="H1345" s="2" t="s">
        <v>7339</v>
      </c>
      <c r="I1345" s="2" t="s">
        <v>7340</v>
      </c>
      <c r="J1345" s="2" t="s">
        <v>256</v>
      </c>
      <c r="K1345" s="2" t="s">
        <v>660</v>
      </c>
      <c r="L1345" s="3">
        <v>21.6</v>
      </c>
      <c r="M1345" s="3">
        <v>22.68</v>
      </c>
      <c r="N1345" s="3">
        <v>47.99</v>
      </c>
      <c r="O1345" s="2" t="s">
        <v>212</v>
      </c>
      <c r="P1345" s="2" t="s">
        <v>258</v>
      </c>
      <c r="Q1345" s="2" t="s">
        <v>206</v>
      </c>
      <c r="R1345" s="2" t="s">
        <v>200</v>
      </c>
      <c r="S1345" s="2" t="s">
        <v>7341</v>
      </c>
      <c r="T1345" s="2" t="s">
        <v>312</v>
      </c>
      <c r="U1345" s="2" t="s">
        <v>454</v>
      </c>
      <c r="V1345" s="2" t="s">
        <v>208</v>
      </c>
      <c r="W1345" s="2" t="s">
        <v>241</v>
      </c>
      <c r="X1345" s="2" t="s">
        <v>200</v>
      </c>
      <c r="Y1345" s="2" t="s">
        <v>7342</v>
      </c>
      <c r="Z1345" s="4">
        <v>58</v>
      </c>
      <c r="AA1345" s="4">
        <f>=ROUNDDOWN(19.3333333333333,0)</f>
      </c>
      <c r="AB1345" s="5">
        <v>3</v>
      </c>
      <c r="AC1345" s="2" t="s">
        <v>700</v>
      </c>
      <c r="AD1345" s="4">
        <v>50</v>
      </c>
      <c r="AE1345" s="4">
        <v>90</v>
      </c>
      <c r="AF1345" s="6">
        <v>65</v>
      </c>
      <c r="AG1345" s="6"/>
      <c r="AH1345" s="7">
        <v>1</v>
      </c>
      <c r="AI1345" s="4"/>
      <c r="AJ1345" s="4">
        <f>=ROUNDDOWN({0},0)</f>
      </c>
      <c r="AK1345" s="5"/>
      <c r="AL1345" s="2" t="s">
        <v>200</v>
      </c>
      <c r="AM1345" s="4"/>
      <c r="AN1345" s="4"/>
      <c r="AO1345" s="7"/>
      <c r="AP1345" s="4"/>
      <c r="AQ1345" s="8"/>
      <c r="AR1345" s="4"/>
      <c r="AS1345" s="8"/>
      <c r="AT1345" s="7"/>
      <c r="AU1345" s="7"/>
      <c r="AV1345" s="4" t="s">
        <v>200</v>
      </c>
      <c r="AW1345" s="8" t="s">
        <v>200</v>
      </c>
      <c r="AX1345" s="4" t="s">
        <v>200</v>
      </c>
      <c r="AY1345" s="8" t="s">
        <v>200</v>
      </c>
      <c r="AZ1345" s="7" t="s">
        <v>200</v>
      </c>
      <c r="BA1345" s="7" t="s">
        <v>200</v>
      </c>
      <c r="BB1345" s="7"/>
      <c r="BC1345" s="4" t="s">
        <v>200</v>
      </c>
      <c r="BD1345" s="8" t="s">
        <v>200</v>
      </c>
      <c r="BE1345" s="4" t="s">
        <v>200</v>
      </c>
      <c r="BF1345" s="8" t="s">
        <v>200</v>
      </c>
      <c r="BG1345" s="7" t="s">
        <v>200</v>
      </c>
      <c r="BH1345" s="7" t="s">
        <v>200</v>
      </c>
      <c r="BI1345" s="7"/>
      <c r="BJ1345" s="4">
        <v>17</v>
      </c>
      <c r="BK1345" s="8">
        <v>394.27</v>
      </c>
      <c r="BL1345" s="2" t="s">
        <v>448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7343</v>
      </c>
      <c r="BV1345" s="2" t="s">
        <v>200</v>
      </c>
      <c r="BW1345" s="2" t="s">
        <v>200</v>
      </c>
      <c r="BX1345" s="2" t="s">
        <v>264</v>
      </c>
      <c r="BY1345" s="2" t="s">
        <v>247</v>
      </c>
      <c r="BZ1345" s="2" t="s">
        <v>212</v>
      </c>
      <c r="CA1345" s="2" t="s">
        <v>7344</v>
      </c>
      <c r="CB1345" s="2" t="s">
        <v>7345</v>
      </c>
      <c r="CC1345" s="2" t="s">
        <v>213</v>
      </c>
      <c r="CD1345" s="2" t="s">
        <v>200</v>
      </c>
      <c r="CE1345" s="4">
        <v>58</v>
      </c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E1345" s="4"/>
      <c r="DF1345" s="4"/>
      <c r="DG1345" s="4"/>
      <c r="DH1345" s="4"/>
      <c r="DI1345" s="4"/>
      <c r="DJ1345" s="4"/>
      <c r="DK1345" s="4"/>
      <c r="DL1345" s="4"/>
      <c r="DM1345" s="4"/>
      <c r="DN1345" s="4"/>
      <c r="DO1345" s="4"/>
      <c r="DP1345" s="4"/>
      <c r="DQ1345" s="4"/>
      <c r="DR1345" s="4"/>
      <c r="DS1345" s="4">
        <v>50</v>
      </c>
      <c r="DT1345" s="4"/>
      <c r="DU1345" s="4"/>
      <c r="DV1345" s="4"/>
      <c r="DW1345" s="4"/>
      <c r="DX1345" s="4"/>
      <c r="DY1345" s="4"/>
      <c r="DZ1345" s="4"/>
      <c r="EA1345" s="4"/>
      <c r="EB1345" s="4"/>
      <c r="EC1345" s="4"/>
      <c r="ED1345" s="4"/>
      <c r="EE1345" s="4"/>
      <c r="EF1345" s="4"/>
      <c r="EG1345" s="4"/>
      <c r="EH1345" s="4"/>
      <c r="EI1345" s="4"/>
      <c r="EJ1345" s="4"/>
      <c r="EK1345" s="4"/>
      <c r="EL1345" s="4"/>
      <c r="EM1345" s="4"/>
      <c r="EN1345" s="4"/>
      <c r="EO1345" s="4"/>
      <c r="EP1345" s="4"/>
      <c r="EQ1345" s="4"/>
      <c r="ER1345" s="4"/>
      <c r="ES1345" s="4"/>
      <c r="ET1345" s="4"/>
      <c r="EU1345" s="4"/>
      <c r="EV1345" s="4">
        <v>40</v>
      </c>
      <c r="EW1345" s="4"/>
      <c r="EX1345" s="4"/>
      <c r="EY1345" s="4"/>
      <c r="EZ1345" s="4"/>
      <c r="FA1345" s="4"/>
      <c r="FB1345" s="4"/>
      <c r="FC1345" s="4"/>
      <c r="FD1345" s="4"/>
      <c r="FE1345" s="4"/>
      <c r="FF1345" s="4"/>
      <c r="FG1345" s="4"/>
      <c r="FH1345" s="4"/>
      <c r="FI1345" s="4"/>
      <c r="FJ1345" s="4"/>
      <c r="FK1345" s="4"/>
      <c r="FL1345" s="4"/>
      <c r="FM1345" s="4"/>
      <c r="FN1345" s="4"/>
      <c r="FO1345" s="4"/>
      <c r="FP1345" s="4"/>
      <c r="FQ1345" s="4"/>
      <c r="FR1345" s="4"/>
      <c r="FS1345" s="4"/>
      <c r="FT1345" s="4"/>
      <c r="FU1345" s="4"/>
      <c r="FV1345" s="4"/>
      <c r="FW1345" s="4"/>
      <c r="FX1345" s="4"/>
      <c r="FY1345" s="4"/>
      <c r="FZ1345" s="4"/>
      <c r="GA1345" s="4"/>
      <c r="GB1345" s="4"/>
      <c r="GC1345" s="4"/>
      <c r="GD1345" s="4"/>
      <c r="GE1345" s="4"/>
      <c r="GF1345" s="4"/>
      <c r="GG1345" s="4"/>
      <c r="GH1345" s="4"/>
    </row>
    <row r="1346">
      <c r="A1346" s="2" t="s">
        <v>7346</v>
      </c>
      <c r="B1346" s="2" t="s">
        <v>230</v>
      </c>
      <c r="C1346" s="2" t="s">
        <v>231</v>
      </c>
      <c r="D1346" s="2" t="s">
        <v>232</v>
      </c>
      <c r="E1346" s="2" t="s">
        <v>233</v>
      </c>
      <c r="F1346" s="2" t="s">
        <v>7339</v>
      </c>
      <c r="G1346" s="2" t="s">
        <v>7339</v>
      </c>
      <c r="H1346" s="2" t="s">
        <v>7339</v>
      </c>
      <c r="I1346" s="2" t="s">
        <v>7340</v>
      </c>
      <c r="J1346" s="2" t="s">
        <v>236</v>
      </c>
      <c r="K1346" s="2" t="s">
        <v>660</v>
      </c>
      <c r="L1346" s="3">
        <v>32.2</v>
      </c>
      <c r="M1346" s="3">
        <v>33.81</v>
      </c>
      <c r="N1346" s="3">
        <v>69.99</v>
      </c>
      <c r="O1346" s="2" t="s">
        <v>212</v>
      </c>
      <c r="P1346" s="2" t="s">
        <v>258</v>
      </c>
      <c r="Q1346" s="2" t="s">
        <v>206</v>
      </c>
      <c r="R1346" s="2" t="s">
        <v>200</v>
      </c>
      <c r="S1346" s="2" t="s">
        <v>7341</v>
      </c>
      <c r="T1346" s="2" t="s">
        <v>312</v>
      </c>
      <c r="U1346" s="2" t="s">
        <v>240</v>
      </c>
      <c r="V1346" s="2" t="s">
        <v>208</v>
      </c>
      <c r="W1346" s="2" t="s">
        <v>241</v>
      </c>
      <c r="X1346" s="2" t="s">
        <v>200</v>
      </c>
      <c r="Y1346" s="2" t="s">
        <v>7342</v>
      </c>
      <c r="Z1346" s="4">
        <v>3</v>
      </c>
      <c r="AA1346" s="4">
        <f>=ROUNDDOWN(0.967741935483871,0)</f>
      </c>
      <c r="AB1346" s="5">
        <v>3.1</v>
      </c>
      <c r="AC1346" s="2" t="s">
        <v>700</v>
      </c>
      <c r="AD1346" s="4">
        <v>40</v>
      </c>
      <c r="AE1346" s="4">
        <v>82</v>
      </c>
      <c r="AF1346" s="6">
        <v>65</v>
      </c>
      <c r="AG1346" s="6"/>
      <c r="AH1346" s="7">
        <v>0</v>
      </c>
      <c r="AI1346" s="4"/>
      <c r="AJ1346" s="4">
        <f>=ROUNDDOWN({0},0)</f>
      </c>
      <c r="AK1346" s="5"/>
      <c r="AL1346" s="2" t="s">
        <v>200</v>
      </c>
      <c r="AM1346" s="4"/>
      <c r="AN1346" s="4"/>
      <c r="AO1346" s="7"/>
      <c r="AP1346" s="4"/>
      <c r="AQ1346" s="8"/>
      <c r="AR1346" s="4"/>
      <c r="AS1346" s="8"/>
      <c r="AT1346" s="7"/>
      <c r="AU1346" s="7"/>
      <c r="AV1346" s="4" t="s">
        <v>200</v>
      </c>
      <c r="AW1346" s="8" t="s">
        <v>200</v>
      </c>
      <c r="AX1346" s="4" t="s">
        <v>200</v>
      </c>
      <c r="AY1346" s="8" t="s">
        <v>200</v>
      </c>
      <c r="AZ1346" s="7" t="s">
        <v>200</v>
      </c>
      <c r="BA1346" s="7" t="s">
        <v>200</v>
      </c>
      <c r="BB1346" s="7"/>
      <c r="BC1346" s="4" t="s">
        <v>200</v>
      </c>
      <c r="BD1346" s="8" t="s">
        <v>200</v>
      </c>
      <c r="BE1346" s="4" t="s">
        <v>200</v>
      </c>
      <c r="BF1346" s="8" t="s">
        <v>200</v>
      </c>
      <c r="BG1346" s="7" t="s">
        <v>200</v>
      </c>
      <c r="BH1346" s="7" t="s">
        <v>200</v>
      </c>
      <c r="BI1346" s="7"/>
      <c r="BJ1346" s="4"/>
      <c r="BK1346" s="8"/>
      <c r="BL1346" s="2" t="s">
        <v>7347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7348</v>
      </c>
      <c r="BV1346" s="2" t="s">
        <v>200</v>
      </c>
      <c r="BW1346" s="2" t="s">
        <v>200</v>
      </c>
      <c r="BX1346" s="2" t="s">
        <v>264</v>
      </c>
      <c r="BY1346" s="2" t="s">
        <v>247</v>
      </c>
      <c r="BZ1346" s="2" t="s">
        <v>212</v>
      </c>
      <c r="CA1346" s="2" t="s">
        <v>7344</v>
      </c>
      <c r="CB1346" s="2" t="s">
        <v>7349</v>
      </c>
      <c r="CC1346" s="2" t="s">
        <v>213</v>
      </c>
      <c r="CD1346" s="2" t="s">
        <v>200</v>
      </c>
      <c r="CE1346" s="4">
        <v>3</v>
      </c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  <c r="DE1346" s="4"/>
      <c r="DF1346" s="4"/>
      <c r="DG1346" s="4"/>
      <c r="DH1346" s="4"/>
      <c r="DI1346" s="4"/>
      <c r="DJ1346" s="4"/>
      <c r="DK1346" s="4"/>
      <c r="DL1346" s="4"/>
      <c r="DM1346" s="4"/>
      <c r="DN1346" s="4"/>
      <c r="DO1346" s="4"/>
      <c r="DP1346" s="4"/>
      <c r="DQ1346" s="4"/>
      <c r="DR1346" s="4"/>
      <c r="DS1346" s="4">
        <v>40</v>
      </c>
      <c r="DT1346" s="4"/>
      <c r="DU1346" s="4"/>
      <c r="DV1346" s="4"/>
      <c r="DW1346" s="4"/>
      <c r="DX1346" s="4"/>
      <c r="DY1346" s="4"/>
      <c r="DZ1346" s="4"/>
      <c r="EA1346" s="4"/>
      <c r="EB1346" s="4"/>
      <c r="EC1346" s="4"/>
      <c r="ED1346" s="4"/>
      <c r="EE1346" s="4"/>
      <c r="EF1346" s="4"/>
      <c r="EG1346" s="4"/>
      <c r="EH1346" s="4"/>
      <c r="EI1346" s="4"/>
      <c r="EJ1346" s="4"/>
      <c r="EK1346" s="4"/>
      <c r="EL1346" s="4"/>
      <c r="EM1346" s="4"/>
      <c r="EN1346" s="4"/>
      <c r="EO1346" s="4"/>
      <c r="EP1346" s="4"/>
      <c r="EQ1346" s="4"/>
      <c r="ER1346" s="4"/>
      <c r="ES1346" s="4"/>
      <c r="ET1346" s="4"/>
      <c r="EU1346" s="4"/>
      <c r="EV1346" s="4">
        <v>42</v>
      </c>
      <c r="EW1346" s="4"/>
      <c r="EX1346" s="4"/>
      <c r="EY1346" s="4"/>
      <c r="EZ1346" s="4"/>
      <c r="FA1346" s="4"/>
      <c r="FB1346" s="4"/>
      <c r="FC1346" s="4"/>
      <c r="FD1346" s="4"/>
      <c r="FE1346" s="4"/>
      <c r="FF1346" s="4"/>
      <c r="FG1346" s="4"/>
      <c r="FH1346" s="4"/>
      <c r="FI1346" s="4"/>
      <c r="FJ1346" s="4"/>
      <c r="FK1346" s="4"/>
      <c r="FL1346" s="4"/>
      <c r="FM1346" s="4"/>
      <c r="FN1346" s="4"/>
      <c r="FO1346" s="4"/>
      <c r="FP1346" s="4"/>
      <c r="FQ1346" s="4"/>
      <c r="FR1346" s="4"/>
      <c r="FS1346" s="4"/>
      <c r="FT1346" s="4"/>
      <c r="FU1346" s="4"/>
      <c r="FV1346" s="4"/>
      <c r="FW1346" s="4"/>
      <c r="FX1346" s="4"/>
      <c r="FY1346" s="4"/>
      <c r="FZ1346" s="4"/>
      <c r="GA1346" s="4"/>
      <c r="GB1346" s="4"/>
      <c r="GC1346" s="4"/>
      <c r="GD1346" s="4"/>
      <c r="GE1346" s="4"/>
      <c r="GF1346" s="4"/>
      <c r="GG1346" s="4"/>
      <c r="GH1346" s="4"/>
    </row>
    <row r="1347">
      <c r="A1347" s="2" t="s">
        <v>7350</v>
      </c>
      <c r="B1347" s="2" t="s">
        <v>230</v>
      </c>
      <c r="C1347" s="2" t="s">
        <v>231</v>
      </c>
      <c r="D1347" s="2" t="s">
        <v>232</v>
      </c>
      <c r="E1347" s="2" t="s">
        <v>233</v>
      </c>
      <c r="F1347" s="2" t="s">
        <v>7339</v>
      </c>
      <c r="G1347" s="2" t="s">
        <v>7339</v>
      </c>
      <c r="H1347" s="2" t="s">
        <v>7339</v>
      </c>
      <c r="I1347" s="2" t="s">
        <v>7340</v>
      </c>
      <c r="J1347" s="2" t="s">
        <v>256</v>
      </c>
      <c r="K1347" s="2" t="s">
        <v>221</v>
      </c>
      <c r="L1347" s="3">
        <v>21.6</v>
      </c>
      <c r="M1347" s="3">
        <v>22.68</v>
      </c>
      <c r="N1347" s="3">
        <v>47.99</v>
      </c>
      <c r="O1347" s="2" t="s">
        <v>212</v>
      </c>
      <c r="P1347" s="2" t="s">
        <v>258</v>
      </c>
      <c r="Q1347" s="2" t="s">
        <v>206</v>
      </c>
      <c r="R1347" s="2" t="s">
        <v>200</v>
      </c>
      <c r="S1347" s="2" t="s">
        <v>7351</v>
      </c>
      <c r="T1347" s="2" t="s">
        <v>312</v>
      </c>
      <c r="U1347" s="2" t="s">
        <v>454</v>
      </c>
      <c r="V1347" s="2" t="s">
        <v>208</v>
      </c>
      <c r="W1347" s="2" t="s">
        <v>241</v>
      </c>
      <c r="X1347" s="2" t="s">
        <v>200</v>
      </c>
      <c r="Y1347" s="2" t="s">
        <v>7342</v>
      </c>
      <c r="Z1347" s="4">
        <v>170</v>
      </c>
      <c r="AA1347" s="4">
        <f>=ROUNDDOWN(85,0)</f>
      </c>
      <c r="AB1347" s="5">
        <v>2</v>
      </c>
      <c r="AC1347" s="2" t="s">
        <v>200</v>
      </c>
      <c r="AD1347" s="4"/>
      <c r="AE1347" s="4"/>
      <c r="AF1347" s="6">
        <v>65</v>
      </c>
      <c r="AG1347" s="6"/>
      <c r="AH1347" s="7">
        <v>1</v>
      </c>
      <c r="AI1347" s="4"/>
      <c r="AJ1347" s="4">
        <f>=ROUNDDOWN({0},0)</f>
      </c>
      <c r="AK1347" s="5"/>
      <c r="AL1347" s="2" t="s">
        <v>200</v>
      </c>
      <c r="AM1347" s="4"/>
      <c r="AN1347" s="4"/>
      <c r="AO1347" s="7"/>
      <c r="AP1347" s="4"/>
      <c r="AQ1347" s="8"/>
      <c r="AR1347" s="4"/>
      <c r="AS1347" s="8"/>
      <c r="AT1347" s="7"/>
      <c r="AU1347" s="7"/>
      <c r="AV1347" s="4" t="s">
        <v>200</v>
      </c>
      <c r="AW1347" s="8" t="s">
        <v>200</v>
      </c>
      <c r="AX1347" s="4" t="s">
        <v>200</v>
      </c>
      <c r="AY1347" s="8" t="s">
        <v>200</v>
      </c>
      <c r="AZ1347" s="7" t="s">
        <v>200</v>
      </c>
      <c r="BA1347" s="7" t="s">
        <v>200</v>
      </c>
      <c r="BB1347" s="7"/>
      <c r="BC1347" s="4" t="s">
        <v>200</v>
      </c>
      <c r="BD1347" s="8" t="s">
        <v>200</v>
      </c>
      <c r="BE1347" s="4" t="s">
        <v>200</v>
      </c>
      <c r="BF1347" s="8" t="s">
        <v>200</v>
      </c>
      <c r="BG1347" s="7" t="s">
        <v>200</v>
      </c>
      <c r="BH1347" s="7" t="s">
        <v>200</v>
      </c>
      <c r="BI1347" s="7"/>
      <c r="BJ1347" s="4">
        <v>8</v>
      </c>
      <c r="BK1347" s="8">
        <v>183.47</v>
      </c>
      <c r="BL1347" s="2" t="s">
        <v>7352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7353</v>
      </c>
      <c r="BV1347" s="2" t="s">
        <v>200</v>
      </c>
      <c r="BW1347" s="2" t="s">
        <v>200</v>
      </c>
      <c r="BX1347" s="2" t="s">
        <v>264</v>
      </c>
      <c r="BY1347" s="2" t="s">
        <v>247</v>
      </c>
      <c r="BZ1347" s="2" t="s">
        <v>212</v>
      </c>
      <c r="CA1347" s="2" t="s">
        <v>7344</v>
      </c>
      <c r="CB1347" s="2" t="s">
        <v>1704</v>
      </c>
      <c r="CC1347" s="2" t="s">
        <v>213</v>
      </c>
      <c r="CD1347" s="2" t="s">
        <v>200</v>
      </c>
      <c r="CE1347" s="4">
        <v>170</v>
      </c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E1347" s="4"/>
      <c r="DF1347" s="4"/>
      <c r="DG1347" s="4"/>
      <c r="DH1347" s="4"/>
      <c r="DI1347" s="4"/>
      <c r="DJ1347" s="4"/>
      <c r="DK1347" s="4"/>
      <c r="DL1347" s="4"/>
      <c r="DM1347" s="4"/>
      <c r="DN1347" s="4"/>
      <c r="DO1347" s="4"/>
      <c r="DP1347" s="4"/>
      <c r="DQ1347" s="4"/>
      <c r="DR1347" s="4"/>
      <c r="DS1347" s="4"/>
      <c r="DT1347" s="4"/>
      <c r="DU1347" s="4"/>
      <c r="DV1347" s="4"/>
      <c r="DW1347" s="4"/>
      <c r="DX1347" s="4"/>
      <c r="DY1347" s="4"/>
      <c r="DZ1347" s="4"/>
      <c r="EA1347" s="4"/>
      <c r="EB1347" s="4"/>
      <c r="EC1347" s="4"/>
      <c r="ED1347" s="4"/>
      <c r="EE1347" s="4"/>
      <c r="EF1347" s="4"/>
      <c r="EG1347" s="4"/>
      <c r="EH1347" s="4"/>
      <c r="EI1347" s="4"/>
      <c r="EJ1347" s="4"/>
      <c r="EK1347" s="4"/>
      <c r="EL1347" s="4"/>
      <c r="EM1347" s="4"/>
      <c r="EN1347" s="4"/>
      <c r="EO1347" s="4"/>
      <c r="EP1347" s="4"/>
      <c r="EQ1347" s="4"/>
      <c r="ER1347" s="4"/>
      <c r="ES1347" s="4"/>
      <c r="ET1347" s="4"/>
      <c r="EU1347" s="4"/>
      <c r="EV1347" s="4"/>
      <c r="EW1347" s="4"/>
      <c r="EX1347" s="4"/>
      <c r="EY1347" s="4"/>
      <c r="EZ1347" s="4"/>
      <c r="FA1347" s="4"/>
      <c r="FB1347" s="4"/>
      <c r="FC1347" s="4"/>
      <c r="FD1347" s="4"/>
      <c r="FE1347" s="4"/>
      <c r="FF1347" s="4"/>
      <c r="FG1347" s="4"/>
      <c r="FH1347" s="4"/>
      <c r="FI1347" s="4"/>
      <c r="FJ1347" s="4"/>
      <c r="FK1347" s="4"/>
      <c r="FL1347" s="4"/>
      <c r="FM1347" s="4"/>
      <c r="FN1347" s="4"/>
      <c r="FO1347" s="4"/>
      <c r="FP1347" s="4"/>
      <c r="FQ1347" s="4"/>
      <c r="FR1347" s="4"/>
      <c r="FS1347" s="4"/>
      <c r="FT1347" s="4"/>
      <c r="FU1347" s="4"/>
      <c r="FV1347" s="4"/>
      <c r="FW1347" s="4"/>
      <c r="FX1347" s="4"/>
      <c r="FY1347" s="4"/>
      <c r="FZ1347" s="4"/>
      <c r="GA1347" s="4"/>
      <c r="GB1347" s="4"/>
      <c r="GC1347" s="4"/>
      <c r="GD1347" s="4"/>
      <c r="GE1347" s="4"/>
      <c r="GF1347" s="4"/>
      <c r="GG1347" s="4"/>
      <c r="GH1347" s="4"/>
    </row>
    <row r="1348">
      <c r="A1348" s="2" t="s">
        <v>7354</v>
      </c>
      <c r="B1348" s="2" t="s">
        <v>230</v>
      </c>
      <c r="C1348" s="2" t="s">
        <v>231</v>
      </c>
      <c r="D1348" s="2" t="s">
        <v>232</v>
      </c>
      <c r="E1348" s="2" t="s">
        <v>233</v>
      </c>
      <c r="F1348" s="2" t="s">
        <v>7339</v>
      </c>
      <c r="G1348" s="2" t="s">
        <v>7339</v>
      </c>
      <c r="H1348" s="2" t="s">
        <v>7339</v>
      </c>
      <c r="I1348" s="2" t="s">
        <v>7340</v>
      </c>
      <c r="J1348" s="2" t="s">
        <v>297</v>
      </c>
      <c r="K1348" s="2" t="s">
        <v>221</v>
      </c>
      <c r="L1348" s="3">
        <v>29.9</v>
      </c>
      <c r="M1348" s="3">
        <v>31.4</v>
      </c>
      <c r="N1348" s="3">
        <v>64.99</v>
      </c>
      <c r="O1348" s="2" t="s">
        <v>212</v>
      </c>
      <c r="P1348" s="2" t="s">
        <v>258</v>
      </c>
      <c r="Q1348" s="2" t="s">
        <v>206</v>
      </c>
      <c r="R1348" s="2" t="s">
        <v>200</v>
      </c>
      <c r="S1348" s="2" t="s">
        <v>7351</v>
      </c>
      <c r="T1348" s="2" t="s">
        <v>312</v>
      </c>
      <c r="U1348" s="2" t="s">
        <v>240</v>
      </c>
      <c r="V1348" s="2" t="s">
        <v>208</v>
      </c>
      <c r="W1348" s="2" t="s">
        <v>241</v>
      </c>
      <c r="X1348" s="2" t="s">
        <v>200</v>
      </c>
      <c r="Y1348" s="2" t="s">
        <v>7342</v>
      </c>
      <c r="Z1348" s="4">
        <v>205</v>
      </c>
      <c r="AA1348" s="4">
        <f>=ROUNDDOWN(25.625,0)</f>
      </c>
      <c r="AB1348" s="5">
        <v>8</v>
      </c>
      <c r="AC1348" s="2" t="s">
        <v>200</v>
      </c>
      <c r="AD1348" s="4"/>
      <c r="AE1348" s="4"/>
      <c r="AF1348" s="6">
        <v>65</v>
      </c>
      <c r="AG1348" s="6"/>
      <c r="AH1348" s="7">
        <v>1</v>
      </c>
      <c r="AI1348" s="4"/>
      <c r="AJ1348" s="4">
        <f>=ROUNDDOWN({0},0)</f>
      </c>
      <c r="AK1348" s="5"/>
      <c r="AL1348" s="2" t="s">
        <v>200</v>
      </c>
      <c r="AM1348" s="4"/>
      <c r="AN1348" s="4"/>
      <c r="AO1348" s="7"/>
      <c r="AP1348" s="4"/>
      <c r="AQ1348" s="8"/>
      <c r="AR1348" s="4"/>
      <c r="AS1348" s="8"/>
      <c r="AT1348" s="7"/>
      <c r="AU1348" s="7"/>
      <c r="AV1348" s="4" t="s">
        <v>200</v>
      </c>
      <c r="AW1348" s="8" t="s">
        <v>200</v>
      </c>
      <c r="AX1348" s="4" t="s">
        <v>200</v>
      </c>
      <c r="AY1348" s="8" t="s">
        <v>200</v>
      </c>
      <c r="AZ1348" s="7" t="s">
        <v>200</v>
      </c>
      <c r="BA1348" s="7" t="s">
        <v>200</v>
      </c>
      <c r="BB1348" s="7"/>
      <c r="BC1348" s="4" t="s">
        <v>200</v>
      </c>
      <c r="BD1348" s="8" t="s">
        <v>200</v>
      </c>
      <c r="BE1348" s="4" t="s">
        <v>200</v>
      </c>
      <c r="BF1348" s="8" t="s">
        <v>200</v>
      </c>
      <c r="BG1348" s="7" t="s">
        <v>200</v>
      </c>
      <c r="BH1348" s="7" t="s">
        <v>200</v>
      </c>
      <c r="BI1348" s="7"/>
      <c r="BJ1348" s="4">
        <v>17</v>
      </c>
      <c r="BK1348" s="8">
        <v>550</v>
      </c>
      <c r="BL1348" s="2" t="s">
        <v>7355</v>
      </c>
      <c r="BM1348" s="7"/>
      <c r="BN1348" s="7"/>
      <c r="BO1348" s="4"/>
      <c r="BP1348" s="8"/>
      <c r="BQ1348" s="4"/>
      <c r="BR1348" s="8"/>
      <c r="BS1348" s="7"/>
      <c r="BT1348" s="7"/>
      <c r="BU1348" s="2" t="s">
        <v>7356</v>
      </c>
      <c r="BV1348" s="2" t="s">
        <v>200</v>
      </c>
      <c r="BW1348" s="2" t="s">
        <v>200</v>
      </c>
      <c r="BX1348" s="2" t="s">
        <v>264</v>
      </c>
      <c r="BY1348" s="2" t="s">
        <v>247</v>
      </c>
      <c r="BZ1348" s="2" t="s">
        <v>212</v>
      </c>
      <c r="CA1348" s="2" t="s">
        <v>7344</v>
      </c>
      <c r="CB1348" s="2" t="s">
        <v>7345</v>
      </c>
      <c r="CC1348" s="2" t="s">
        <v>213</v>
      </c>
      <c r="CD1348" s="2" t="s">
        <v>200</v>
      </c>
      <c r="CE1348" s="4">
        <v>205</v>
      </c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  <c r="DE1348" s="4"/>
      <c r="DF1348" s="4"/>
      <c r="DG1348" s="4"/>
      <c r="DH1348" s="4"/>
      <c r="DI1348" s="4"/>
      <c r="DJ1348" s="4"/>
      <c r="DK1348" s="4"/>
      <c r="DL1348" s="4"/>
      <c r="DM1348" s="4"/>
      <c r="DN1348" s="4"/>
      <c r="DO1348" s="4"/>
      <c r="DP1348" s="4"/>
      <c r="DQ1348" s="4"/>
      <c r="DR1348" s="4"/>
      <c r="DS1348" s="4"/>
      <c r="DT1348" s="4"/>
      <c r="DU1348" s="4"/>
      <c r="DV1348" s="4"/>
      <c r="DW1348" s="4"/>
      <c r="DX1348" s="4"/>
      <c r="DY1348" s="4"/>
      <c r="DZ1348" s="4"/>
      <c r="EA1348" s="4"/>
      <c r="EB1348" s="4"/>
      <c r="EC1348" s="4"/>
      <c r="ED1348" s="4"/>
      <c r="EE1348" s="4"/>
      <c r="EF1348" s="4"/>
      <c r="EG1348" s="4"/>
      <c r="EH1348" s="4"/>
      <c r="EI1348" s="4"/>
      <c r="EJ1348" s="4"/>
      <c r="EK1348" s="4"/>
      <c r="EL1348" s="4"/>
      <c r="EM1348" s="4"/>
      <c r="EN1348" s="4"/>
      <c r="EO1348" s="4"/>
      <c r="EP1348" s="4"/>
      <c r="EQ1348" s="4"/>
      <c r="ER1348" s="4"/>
      <c r="ES1348" s="4"/>
      <c r="ET1348" s="4"/>
      <c r="EU1348" s="4"/>
      <c r="EV1348" s="4"/>
      <c r="EW1348" s="4"/>
      <c r="EX1348" s="4"/>
      <c r="EY1348" s="4"/>
      <c r="EZ1348" s="4"/>
      <c r="FA1348" s="4"/>
      <c r="FB1348" s="4"/>
      <c r="FC1348" s="4"/>
      <c r="FD1348" s="4"/>
      <c r="FE1348" s="4"/>
      <c r="FF1348" s="4"/>
      <c r="FG1348" s="4"/>
      <c r="FH1348" s="4"/>
      <c r="FI1348" s="4"/>
      <c r="FJ1348" s="4"/>
      <c r="FK1348" s="4"/>
      <c r="FL1348" s="4"/>
      <c r="FM1348" s="4"/>
      <c r="FN1348" s="4"/>
      <c r="FO1348" s="4"/>
      <c r="FP1348" s="4"/>
      <c r="FQ1348" s="4"/>
      <c r="FR1348" s="4"/>
      <c r="FS1348" s="4"/>
      <c r="FT1348" s="4"/>
      <c r="FU1348" s="4"/>
      <c r="FV1348" s="4"/>
      <c r="FW1348" s="4"/>
      <c r="FX1348" s="4"/>
      <c r="FY1348" s="4"/>
      <c r="FZ1348" s="4"/>
      <c r="GA1348" s="4"/>
      <c r="GB1348" s="4"/>
      <c r="GC1348" s="4"/>
      <c r="GD1348" s="4"/>
      <c r="GE1348" s="4"/>
      <c r="GF1348" s="4"/>
      <c r="GG1348" s="4"/>
      <c r="GH1348" s="4"/>
    </row>
    <row r="1349">
      <c r="A1349" s="2" t="s">
        <v>7357</v>
      </c>
      <c r="B1349" s="2" t="s">
        <v>230</v>
      </c>
      <c r="C1349" s="2" t="s">
        <v>231</v>
      </c>
      <c r="D1349" s="2" t="s">
        <v>232</v>
      </c>
      <c r="E1349" s="2" t="s">
        <v>233</v>
      </c>
      <c r="F1349" s="2" t="s">
        <v>7339</v>
      </c>
      <c r="G1349" s="2" t="s">
        <v>7339</v>
      </c>
      <c r="H1349" s="2" t="s">
        <v>7339</v>
      </c>
      <c r="I1349" s="2" t="s">
        <v>7340</v>
      </c>
      <c r="J1349" s="2" t="s">
        <v>256</v>
      </c>
      <c r="K1349" s="2" t="s">
        <v>539</v>
      </c>
      <c r="L1349" s="3">
        <v>21.6</v>
      </c>
      <c r="M1349" s="3">
        <v>22.68</v>
      </c>
      <c r="N1349" s="3">
        <v>47.99</v>
      </c>
      <c r="O1349" s="2" t="s">
        <v>212</v>
      </c>
      <c r="P1349" s="2" t="s">
        <v>285</v>
      </c>
      <c r="Q1349" s="2" t="s">
        <v>206</v>
      </c>
      <c r="R1349" s="2" t="s">
        <v>200</v>
      </c>
      <c r="S1349" s="2" t="s">
        <v>7358</v>
      </c>
      <c r="T1349" s="2" t="s">
        <v>312</v>
      </c>
      <c r="U1349" s="2" t="s">
        <v>454</v>
      </c>
      <c r="V1349" s="2" t="s">
        <v>208</v>
      </c>
      <c r="W1349" s="2" t="s">
        <v>241</v>
      </c>
      <c r="X1349" s="2" t="s">
        <v>200</v>
      </c>
      <c r="Y1349" s="2" t="s">
        <v>7342</v>
      </c>
      <c r="Z1349" s="4">
        <v>5</v>
      </c>
      <c r="AA1349" s="4">
        <f>=ROUNDDOWN(2.5,0)</f>
      </c>
      <c r="AB1349" s="5">
        <v>2</v>
      </c>
      <c r="AC1349" s="2" t="s">
        <v>200</v>
      </c>
      <c r="AD1349" s="4"/>
      <c r="AE1349" s="4"/>
      <c r="AF1349" s="6">
        <v>70</v>
      </c>
      <c r="AG1349" s="6"/>
      <c r="AH1349" s="7">
        <v>1</v>
      </c>
      <c r="AI1349" s="4"/>
      <c r="AJ1349" s="4">
        <f>=ROUNDDOWN({0},0)</f>
      </c>
      <c r="AK1349" s="5"/>
      <c r="AL1349" s="2" t="s">
        <v>200</v>
      </c>
      <c r="AM1349" s="4"/>
      <c r="AN1349" s="4"/>
      <c r="AO1349" s="7"/>
      <c r="AP1349" s="4"/>
      <c r="AQ1349" s="8"/>
      <c r="AR1349" s="4"/>
      <c r="AS1349" s="8"/>
      <c r="AT1349" s="7"/>
      <c r="AU1349" s="7"/>
      <c r="AV1349" s="4"/>
      <c r="AW1349" s="8"/>
      <c r="AX1349" s="4"/>
      <c r="AY1349" s="8"/>
      <c r="AZ1349" s="7"/>
      <c r="BA1349" s="7"/>
      <c r="BB1349" s="7"/>
      <c r="BC1349" s="4" t="s">
        <v>200</v>
      </c>
      <c r="BD1349" s="8" t="s">
        <v>200</v>
      </c>
      <c r="BE1349" s="4" t="s">
        <v>200</v>
      </c>
      <c r="BF1349" s="8" t="s">
        <v>200</v>
      </c>
      <c r="BG1349" s="7" t="s">
        <v>200</v>
      </c>
      <c r="BH1349" s="7" t="s">
        <v>200</v>
      </c>
      <c r="BI1349" s="7"/>
      <c r="BJ1349" s="4">
        <v>10</v>
      </c>
      <c r="BK1349" s="8">
        <v>234.14</v>
      </c>
      <c r="BL1349" s="2" t="s">
        <v>572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7359</v>
      </c>
      <c r="BV1349" s="2" t="s">
        <v>200</v>
      </c>
      <c r="BW1349" s="2" t="s">
        <v>200</v>
      </c>
      <c r="BX1349" s="2" t="s">
        <v>289</v>
      </c>
      <c r="BY1349" s="2" t="s">
        <v>247</v>
      </c>
      <c r="BZ1349" s="2" t="s">
        <v>212</v>
      </c>
      <c r="CA1349" s="2" t="s">
        <v>7344</v>
      </c>
      <c r="CB1349" s="2" t="s">
        <v>7360</v>
      </c>
      <c r="CC1349" s="2" t="s">
        <v>213</v>
      </c>
      <c r="CD1349" s="2" t="s">
        <v>200</v>
      </c>
      <c r="CE1349" s="4">
        <v>5</v>
      </c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E1349" s="4"/>
      <c r="DF1349" s="4"/>
      <c r="DG1349" s="4"/>
      <c r="DH1349" s="4"/>
      <c r="DI1349" s="4"/>
      <c r="DJ1349" s="4"/>
      <c r="DK1349" s="4"/>
      <c r="DL1349" s="4"/>
      <c r="DM1349" s="4"/>
      <c r="DN1349" s="4"/>
      <c r="DO1349" s="4"/>
      <c r="DP1349" s="4"/>
      <c r="DQ1349" s="4"/>
      <c r="DR1349" s="4"/>
      <c r="DS1349" s="4"/>
      <c r="DT1349" s="4"/>
      <c r="DU1349" s="4"/>
      <c r="DV1349" s="4"/>
      <c r="DW1349" s="4"/>
      <c r="DX1349" s="4"/>
      <c r="DY1349" s="4"/>
      <c r="DZ1349" s="4"/>
      <c r="EA1349" s="4"/>
      <c r="EB1349" s="4"/>
      <c r="EC1349" s="4"/>
      <c r="ED1349" s="4"/>
      <c r="EE1349" s="4"/>
      <c r="EF1349" s="4"/>
      <c r="EG1349" s="4"/>
      <c r="EH1349" s="4"/>
      <c r="EI1349" s="4"/>
      <c r="EJ1349" s="4"/>
      <c r="EK1349" s="4"/>
      <c r="EL1349" s="4"/>
      <c r="EM1349" s="4"/>
      <c r="EN1349" s="4"/>
      <c r="EO1349" s="4"/>
      <c r="EP1349" s="4"/>
      <c r="EQ1349" s="4"/>
      <c r="ER1349" s="4"/>
      <c r="ES1349" s="4"/>
      <c r="ET1349" s="4"/>
      <c r="EU1349" s="4"/>
      <c r="EV1349" s="4"/>
      <c r="EW1349" s="4"/>
      <c r="EX1349" s="4"/>
      <c r="EY1349" s="4"/>
      <c r="EZ1349" s="4"/>
      <c r="FA1349" s="4"/>
      <c r="FB1349" s="4"/>
      <c r="FC1349" s="4"/>
      <c r="FD1349" s="4"/>
      <c r="FE1349" s="4"/>
      <c r="FF1349" s="4"/>
      <c r="FG1349" s="4"/>
      <c r="FH1349" s="4"/>
      <c r="FI1349" s="4"/>
      <c r="FJ1349" s="4"/>
      <c r="FK1349" s="4"/>
      <c r="FL1349" s="4"/>
      <c r="FM1349" s="4"/>
      <c r="FN1349" s="4"/>
      <c r="FO1349" s="4"/>
      <c r="FP1349" s="4"/>
      <c r="FQ1349" s="4"/>
      <c r="FR1349" s="4"/>
      <c r="FS1349" s="4"/>
      <c r="FT1349" s="4"/>
      <c r="FU1349" s="4"/>
      <c r="FV1349" s="4"/>
      <c r="FW1349" s="4"/>
      <c r="FX1349" s="4"/>
      <c r="FY1349" s="4"/>
      <c r="FZ1349" s="4"/>
      <c r="GA1349" s="4"/>
      <c r="GB1349" s="4"/>
      <c r="GC1349" s="4"/>
      <c r="GD1349" s="4"/>
      <c r="GE1349" s="4"/>
      <c r="GF1349" s="4"/>
      <c r="GG1349" s="4"/>
      <c r="GH1349" s="4"/>
    </row>
    <row r="1350">
      <c r="A1350" s="2" t="s">
        <v>7361</v>
      </c>
      <c r="B1350" s="2" t="s">
        <v>230</v>
      </c>
      <c r="C1350" s="2" t="s">
        <v>231</v>
      </c>
      <c r="D1350" s="2" t="s">
        <v>232</v>
      </c>
      <c r="E1350" s="2" t="s">
        <v>233</v>
      </c>
      <c r="F1350" s="2" t="s">
        <v>7339</v>
      </c>
      <c r="G1350" s="2" t="s">
        <v>7339</v>
      </c>
      <c r="H1350" s="2" t="s">
        <v>7339</v>
      </c>
      <c r="I1350" s="2" t="s">
        <v>7340</v>
      </c>
      <c r="J1350" s="2" t="s">
        <v>256</v>
      </c>
      <c r="K1350" s="2" t="s">
        <v>223</v>
      </c>
      <c r="L1350" s="3">
        <v>21.6</v>
      </c>
      <c r="M1350" s="3">
        <v>22.68</v>
      </c>
      <c r="N1350" s="3">
        <v>47.99</v>
      </c>
      <c r="O1350" s="2" t="s">
        <v>212</v>
      </c>
      <c r="P1350" s="2" t="s">
        <v>285</v>
      </c>
      <c r="Q1350" s="2" t="s">
        <v>206</v>
      </c>
      <c r="R1350" s="2" t="s">
        <v>200</v>
      </c>
      <c r="S1350" s="2" t="s">
        <v>7362</v>
      </c>
      <c r="T1350" s="2" t="s">
        <v>312</v>
      </c>
      <c r="U1350" s="2" t="s">
        <v>454</v>
      </c>
      <c r="V1350" s="2" t="s">
        <v>208</v>
      </c>
      <c r="W1350" s="2" t="s">
        <v>241</v>
      </c>
      <c r="X1350" s="2" t="s">
        <v>1271</v>
      </c>
      <c r="Y1350" s="2" t="s">
        <v>4166</v>
      </c>
      <c r="Z1350" s="4">
        <v>46</v>
      </c>
      <c r="AA1350" s="4">
        <f>=ROUNDDOWN(15.3333333333333,0)</f>
      </c>
      <c r="AB1350" s="5">
        <v>3</v>
      </c>
      <c r="AC1350" s="2" t="s">
        <v>200</v>
      </c>
      <c r="AD1350" s="4"/>
      <c r="AE1350" s="4"/>
      <c r="AF1350" s="6">
        <v>70</v>
      </c>
      <c r="AG1350" s="6"/>
      <c r="AH1350" s="7">
        <v>1</v>
      </c>
      <c r="AI1350" s="4"/>
      <c r="AJ1350" s="4">
        <f>=ROUNDDOWN({0},0)</f>
      </c>
      <c r="AK1350" s="5"/>
      <c r="AL1350" s="2" t="s">
        <v>200</v>
      </c>
      <c r="AM1350" s="4"/>
      <c r="AN1350" s="4"/>
      <c r="AO1350" s="7"/>
      <c r="AP1350" s="4"/>
      <c r="AQ1350" s="8"/>
      <c r="AR1350" s="4"/>
      <c r="AS1350" s="8"/>
      <c r="AT1350" s="7"/>
      <c r="AU1350" s="7"/>
      <c r="AV1350" s="4" t="s">
        <v>200</v>
      </c>
      <c r="AW1350" s="8" t="s">
        <v>200</v>
      </c>
      <c r="AX1350" s="4" t="s">
        <v>200</v>
      </c>
      <c r="AY1350" s="8" t="s">
        <v>200</v>
      </c>
      <c r="AZ1350" s="7" t="s">
        <v>200</v>
      </c>
      <c r="BA1350" s="7" t="s">
        <v>200</v>
      </c>
      <c r="BB1350" s="7"/>
      <c r="BC1350" s="4" t="s">
        <v>200</v>
      </c>
      <c r="BD1350" s="8" t="s">
        <v>200</v>
      </c>
      <c r="BE1350" s="4" t="s">
        <v>200</v>
      </c>
      <c r="BF1350" s="8" t="s">
        <v>200</v>
      </c>
      <c r="BG1350" s="7" t="s">
        <v>200</v>
      </c>
      <c r="BH1350" s="7" t="s">
        <v>200</v>
      </c>
      <c r="BI1350" s="7"/>
      <c r="BJ1350" s="4">
        <v>16</v>
      </c>
      <c r="BK1350" s="8">
        <v>380.36</v>
      </c>
      <c r="BL1350" s="2" t="s">
        <v>5185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7363</v>
      </c>
      <c r="BV1350" s="2" t="s">
        <v>200</v>
      </c>
      <c r="BW1350" s="2" t="s">
        <v>200</v>
      </c>
      <c r="BX1350" s="2" t="s">
        <v>289</v>
      </c>
      <c r="BY1350" s="2" t="s">
        <v>247</v>
      </c>
      <c r="BZ1350" s="2" t="s">
        <v>212</v>
      </c>
      <c r="CA1350" s="2" t="s">
        <v>3676</v>
      </c>
      <c r="CB1350" s="2" t="s">
        <v>7364</v>
      </c>
      <c r="CC1350" s="2" t="s">
        <v>213</v>
      </c>
      <c r="CD1350" s="2" t="s">
        <v>200</v>
      </c>
      <c r="CE1350" s="4">
        <v>46</v>
      </c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  <c r="DE1350" s="4"/>
      <c r="DF1350" s="4"/>
      <c r="DG1350" s="4"/>
      <c r="DH1350" s="4"/>
      <c r="DI1350" s="4"/>
      <c r="DJ1350" s="4"/>
      <c r="DK1350" s="4"/>
      <c r="DL1350" s="4"/>
      <c r="DM1350" s="4"/>
      <c r="DN1350" s="4"/>
      <c r="DO1350" s="4"/>
      <c r="DP1350" s="4"/>
      <c r="DQ1350" s="4"/>
      <c r="DR1350" s="4"/>
      <c r="DS1350" s="4"/>
      <c r="DT1350" s="4"/>
      <c r="DU1350" s="4"/>
      <c r="DV1350" s="4"/>
      <c r="DW1350" s="4"/>
      <c r="DX1350" s="4"/>
      <c r="DY1350" s="4"/>
      <c r="DZ1350" s="4"/>
      <c r="EA1350" s="4"/>
      <c r="EB1350" s="4"/>
      <c r="EC1350" s="4"/>
      <c r="ED1350" s="4"/>
      <c r="EE1350" s="4"/>
      <c r="EF1350" s="4"/>
      <c r="EG1350" s="4"/>
      <c r="EH1350" s="4"/>
      <c r="EI1350" s="4"/>
      <c r="EJ1350" s="4"/>
      <c r="EK1350" s="4"/>
      <c r="EL1350" s="4"/>
      <c r="EM1350" s="4"/>
      <c r="EN1350" s="4"/>
      <c r="EO1350" s="4"/>
      <c r="EP1350" s="4"/>
      <c r="EQ1350" s="4"/>
      <c r="ER1350" s="4"/>
      <c r="ES1350" s="4"/>
      <c r="ET1350" s="4"/>
      <c r="EU1350" s="4"/>
      <c r="EV1350" s="4"/>
      <c r="EW1350" s="4"/>
      <c r="EX1350" s="4"/>
      <c r="EY1350" s="4"/>
      <c r="EZ1350" s="4"/>
      <c r="FA1350" s="4"/>
      <c r="FB1350" s="4"/>
      <c r="FC1350" s="4"/>
      <c r="FD1350" s="4"/>
      <c r="FE1350" s="4"/>
      <c r="FF1350" s="4"/>
      <c r="FG1350" s="4"/>
      <c r="FH1350" s="4"/>
      <c r="FI1350" s="4"/>
      <c r="FJ1350" s="4"/>
      <c r="FK1350" s="4"/>
      <c r="FL1350" s="4"/>
      <c r="FM1350" s="4"/>
      <c r="FN1350" s="4"/>
      <c r="FO1350" s="4"/>
      <c r="FP1350" s="4"/>
      <c r="FQ1350" s="4"/>
      <c r="FR1350" s="4"/>
      <c r="FS1350" s="4"/>
      <c r="FT1350" s="4"/>
      <c r="FU1350" s="4"/>
      <c r="FV1350" s="4"/>
      <c r="FW1350" s="4"/>
      <c r="FX1350" s="4"/>
      <c r="FY1350" s="4"/>
      <c r="FZ1350" s="4"/>
      <c r="GA1350" s="4"/>
      <c r="GB1350" s="4"/>
      <c r="GC1350" s="4"/>
      <c r="GD1350" s="4"/>
      <c r="GE1350" s="4"/>
      <c r="GF1350" s="4"/>
      <c r="GG1350" s="4"/>
      <c r="GH1350" s="4"/>
    </row>
    <row r="1351">
      <c r="A1351" s="2" t="s">
        <v>7365</v>
      </c>
      <c r="B1351" s="2" t="s">
        <v>230</v>
      </c>
      <c r="C1351" s="2" t="s">
        <v>231</v>
      </c>
      <c r="D1351" s="2" t="s">
        <v>232</v>
      </c>
      <c r="E1351" s="2" t="s">
        <v>233</v>
      </c>
      <c r="F1351" s="2" t="s">
        <v>7339</v>
      </c>
      <c r="G1351" s="2" t="s">
        <v>7339</v>
      </c>
      <c r="H1351" s="2" t="s">
        <v>7339</v>
      </c>
      <c r="I1351" s="2" t="s">
        <v>7340</v>
      </c>
      <c r="J1351" s="2" t="s">
        <v>277</v>
      </c>
      <c r="K1351" s="2" t="s">
        <v>223</v>
      </c>
      <c r="L1351" s="3">
        <v>27</v>
      </c>
      <c r="M1351" s="3">
        <v>28.35</v>
      </c>
      <c r="N1351" s="3">
        <v>59.99</v>
      </c>
      <c r="O1351" s="2" t="s">
        <v>212</v>
      </c>
      <c r="P1351" s="2" t="s">
        <v>285</v>
      </c>
      <c r="Q1351" s="2" t="s">
        <v>206</v>
      </c>
      <c r="R1351" s="2" t="s">
        <v>200</v>
      </c>
      <c r="S1351" s="2" t="s">
        <v>7362</v>
      </c>
      <c r="T1351" s="2" t="s">
        <v>312</v>
      </c>
      <c r="U1351" s="2" t="s">
        <v>240</v>
      </c>
      <c r="V1351" s="2" t="s">
        <v>208</v>
      </c>
      <c r="W1351" s="2" t="s">
        <v>241</v>
      </c>
      <c r="X1351" s="2" t="s">
        <v>1271</v>
      </c>
      <c r="Y1351" s="2" t="s">
        <v>4166</v>
      </c>
      <c r="Z1351" s="4">
        <v>82</v>
      </c>
      <c r="AA1351" s="4">
        <f>=ROUNDDOWN(27.3333333333333,0)</f>
      </c>
      <c r="AB1351" s="5">
        <v>3</v>
      </c>
      <c r="AC1351" s="2" t="s">
        <v>200</v>
      </c>
      <c r="AD1351" s="4"/>
      <c r="AE1351" s="4"/>
      <c r="AF1351" s="6">
        <v>70</v>
      </c>
      <c r="AG1351" s="6"/>
      <c r="AH1351" s="7">
        <v>1</v>
      </c>
      <c r="AI1351" s="4"/>
      <c r="AJ1351" s="4">
        <f>=ROUNDDOWN({0},0)</f>
      </c>
      <c r="AK1351" s="5"/>
      <c r="AL1351" s="2" t="s">
        <v>200</v>
      </c>
      <c r="AM1351" s="4"/>
      <c r="AN1351" s="4"/>
      <c r="AO1351" s="7"/>
      <c r="AP1351" s="4"/>
      <c r="AQ1351" s="8"/>
      <c r="AR1351" s="4"/>
      <c r="AS1351" s="8"/>
      <c r="AT1351" s="7"/>
      <c r="AU1351" s="7"/>
      <c r="AV1351" s="4" t="s">
        <v>200</v>
      </c>
      <c r="AW1351" s="8" t="s">
        <v>200</v>
      </c>
      <c r="AX1351" s="4" t="s">
        <v>200</v>
      </c>
      <c r="AY1351" s="8" t="s">
        <v>200</v>
      </c>
      <c r="AZ1351" s="7" t="s">
        <v>200</v>
      </c>
      <c r="BA1351" s="7" t="s">
        <v>200</v>
      </c>
      <c r="BB1351" s="7"/>
      <c r="BC1351" s="4" t="s">
        <v>200</v>
      </c>
      <c r="BD1351" s="8" t="s">
        <v>200</v>
      </c>
      <c r="BE1351" s="4" t="s">
        <v>200</v>
      </c>
      <c r="BF1351" s="8" t="s">
        <v>200</v>
      </c>
      <c r="BG1351" s="7" t="s">
        <v>200</v>
      </c>
      <c r="BH1351" s="7" t="s">
        <v>200</v>
      </c>
      <c r="BI1351" s="7"/>
      <c r="BJ1351" s="4">
        <v>8</v>
      </c>
      <c r="BK1351" s="8">
        <v>235.8</v>
      </c>
      <c r="BL1351" s="2" t="s">
        <v>515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7366</v>
      </c>
      <c r="BV1351" s="2" t="s">
        <v>200</v>
      </c>
      <c r="BW1351" s="2" t="s">
        <v>200</v>
      </c>
      <c r="BX1351" s="2" t="s">
        <v>289</v>
      </c>
      <c r="BY1351" s="2" t="s">
        <v>247</v>
      </c>
      <c r="BZ1351" s="2" t="s">
        <v>212</v>
      </c>
      <c r="CA1351" s="2" t="s">
        <v>3676</v>
      </c>
      <c r="CB1351" s="2" t="s">
        <v>7367</v>
      </c>
      <c r="CC1351" s="2" t="s">
        <v>213</v>
      </c>
      <c r="CD1351" s="2" t="s">
        <v>200</v>
      </c>
      <c r="CE1351" s="4">
        <v>82</v>
      </c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  <c r="DE1351" s="4"/>
      <c r="DF1351" s="4"/>
      <c r="DG1351" s="4"/>
      <c r="DH1351" s="4"/>
      <c r="DI1351" s="4"/>
      <c r="DJ1351" s="4"/>
      <c r="DK1351" s="4"/>
      <c r="DL1351" s="4"/>
      <c r="DM1351" s="4"/>
      <c r="DN1351" s="4"/>
      <c r="DO1351" s="4"/>
      <c r="DP1351" s="4"/>
      <c r="DQ1351" s="4"/>
      <c r="DR1351" s="4"/>
      <c r="DS1351" s="4"/>
      <c r="DT1351" s="4"/>
      <c r="DU1351" s="4"/>
      <c r="DV1351" s="4"/>
      <c r="DW1351" s="4"/>
      <c r="DX1351" s="4"/>
      <c r="DY1351" s="4"/>
      <c r="DZ1351" s="4"/>
      <c r="EA1351" s="4"/>
      <c r="EB1351" s="4"/>
      <c r="EC1351" s="4"/>
      <c r="ED1351" s="4"/>
      <c r="EE1351" s="4"/>
      <c r="EF1351" s="4"/>
      <c r="EG1351" s="4"/>
      <c r="EH1351" s="4"/>
      <c r="EI1351" s="4"/>
      <c r="EJ1351" s="4"/>
      <c r="EK1351" s="4"/>
      <c r="EL1351" s="4"/>
      <c r="EM1351" s="4"/>
      <c r="EN1351" s="4"/>
      <c r="EO1351" s="4"/>
      <c r="EP1351" s="4"/>
      <c r="EQ1351" s="4"/>
      <c r="ER1351" s="4"/>
      <c r="ES1351" s="4"/>
      <c r="ET1351" s="4"/>
      <c r="EU1351" s="4"/>
      <c r="EV1351" s="4"/>
      <c r="EW1351" s="4"/>
      <c r="EX1351" s="4"/>
      <c r="EY1351" s="4"/>
      <c r="EZ1351" s="4"/>
      <c r="FA1351" s="4"/>
      <c r="FB1351" s="4"/>
      <c r="FC1351" s="4"/>
      <c r="FD1351" s="4"/>
      <c r="FE1351" s="4"/>
      <c r="FF1351" s="4"/>
      <c r="FG1351" s="4"/>
      <c r="FH1351" s="4"/>
      <c r="FI1351" s="4"/>
      <c r="FJ1351" s="4"/>
      <c r="FK1351" s="4"/>
      <c r="FL1351" s="4"/>
      <c r="FM1351" s="4"/>
      <c r="FN1351" s="4"/>
      <c r="FO1351" s="4"/>
      <c r="FP1351" s="4"/>
      <c r="FQ1351" s="4"/>
      <c r="FR1351" s="4"/>
      <c r="FS1351" s="4"/>
      <c r="FT1351" s="4"/>
      <c r="FU1351" s="4"/>
      <c r="FV1351" s="4"/>
      <c r="FW1351" s="4"/>
      <c r="FX1351" s="4"/>
      <c r="FY1351" s="4"/>
      <c r="FZ1351" s="4"/>
      <c r="GA1351" s="4"/>
      <c r="GB1351" s="4"/>
      <c r="GC1351" s="4"/>
      <c r="GD1351" s="4"/>
      <c r="GE1351" s="4"/>
      <c r="GF1351" s="4"/>
      <c r="GG1351" s="4"/>
      <c r="GH1351" s="4"/>
    </row>
    <row r="1352">
      <c r="A1352" s="2" t="s">
        <v>7368</v>
      </c>
      <c r="B1352" s="2" t="s">
        <v>230</v>
      </c>
      <c r="C1352" s="2" t="s">
        <v>231</v>
      </c>
      <c r="D1352" s="2" t="s">
        <v>232</v>
      </c>
      <c r="E1352" s="2" t="s">
        <v>233</v>
      </c>
      <c r="F1352" s="2" t="s">
        <v>7339</v>
      </c>
      <c r="G1352" s="2" t="s">
        <v>7339</v>
      </c>
      <c r="H1352" s="2" t="s">
        <v>7339</v>
      </c>
      <c r="I1352" s="2" t="s">
        <v>7340</v>
      </c>
      <c r="J1352" s="2" t="s">
        <v>302</v>
      </c>
      <c r="K1352" s="2" t="s">
        <v>223</v>
      </c>
      <c r="L1352" s="3">
        <v>32.2</v>
      </c>
      <c r="M1352" s="3">
        <v>33.81</v>
      </c>
      <c r="N1352" s="3">
        <v>69.99</v>
      </c>
      <c r="O1352" s="2" t="s">
        <v>212</v>
      </c>
      <c r="P1352" s="2" t="s">
        <v>285</v>
      </c>
      <c r="Q1352" s="2" t="s">
        <v>206</v>
      </c>
      <c r="R1352" s="2" t="s">
        <v>200</v>
      </c>
      <c r="S1352" s="2" t="s">
        <v>7362</v>
      </c>
      <c r="T1352" s="2" t="s">
        <v>312</v>
      </c>
      <c r="U1352" s="2" t="s">
        <v>240</v>
      </c>
      <c r="V1352" s="2" t="s">
        <v>208</v>
      </c>
      <c r="W1352" s="2" t="s">
        <v>241</v>
      </c>
      <c r="X1352" s="2" t="s">
        <v>1271</v>
      </c>
      <c r="Y1352" s="2" t="s">
        <v>4166</v>
      </c>
      <c r="Z1352" s="4">
        <v>20</v>
      </c>
      <c r="AA1352" s="4">
        <f>=ROUNDDOWN(4,0)</f>
      </c>
      <c r="AB1352" s="5">
        <v>5</v>
      </c>
      <c r="AC1352" s="2" t="s">
        <v>200</v>
      </c>
      <c r="AD1352" s="4"/>
      <c r="AE1352" s="4"/>
      <c r="AF1352" s="6">
        <v>70</v>
      </c>
      <c r="AG1352" s="6"/>
      <c r="AH1352" s="7">
        <v>1</v>
      </c>
      <c r="AI1352" s="4"/>
      <c r="AJ1352" s="4">
        <f>=ROUNDDOWN({0},0)</f>
      </c>
      <c r="AK1352" s="5"/>
      <c r="AL1352" s="2" t="s">
        <v>200</v>
      </c>
      <c r="AM1352" s="4"/>
      <c r="AN1352" s="4"/>
      <c r="AO1352" s="7"/>
      <c r="AP1352" s="4"/>
      <c r="AQ1352" s="8"/>
      <c r="AR1352" s="4"/>
      <c r="AS1352" s="8"/>
      <c r="AT1352" s="7"/>
      <c r="AU1352" s="7"/>
      <c r="AV1352" s="4" t="s">
        <v>200</v>
      </c>
      <c r="AW1352" s="8" t="s">
        <v>200</v>
      </c>
      <c r="AX1352" s="4" t="s">
        <v>200</v>
      </c>
      <c r="AY1352" s="8" t="s">
        <v>200</v>
      </c>
      <c r="AZ1352" s="7" t="s">
        <v>200</v>
      </c>
      <c r="BA1352" s="7" t="s">
        <v>200</v>
      </c>
      <c r="BB1352" s="7"/>
      <c r="BC1352" s="4" t="s">
        <v>200</v>
      </c>
      <c r="BD1352" s="8" t="s">
        <v>200</v>
      </c>
      <c r="BE1352" s="4" t="s">
        <v>200</v>
      </c>
      <c r="BF1352" s="8" t="s">
        <v>200</v>
      </c>
      <c r="BG1352" s="7" t="s">
        <v>200</v>
      </c>
      <c r="BH1352" s="7" t="s">
        <v>200</v>
      </c>
      <c r="BI1352" s="7"/>
      <c r="BJ1352" s="4">
        <v>12</v>
      </c>
      <c r="BK1352" s="8">
        <v>428.29</v>
      </c>
      <c r="BL1352" s="2" t="s">
        <v>7369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7370</v>
      </c>
      <c r="BV1352" s="2" t="s">
        <v>200</v>
      </c>
      <c r="BW1352" s="2" t="s">
        <v>200</v>
      </c>
      <c r="BX1352" s="2" t="s">
        <v>289</v>
      </c>
      <c r="BY1352" s="2" t="s">
        <v>247</v>
      </c>
      <c r="BZ1352" s="2" t="s">
        <v>212</v>
      </c>
      <c r="CA1352" s="2" t="s">
        <v>3676</v>
      </c>
      <c r="CB1352" s="2" t="s">
        <v>7371</v>
      </c>
      <c r="CC1352" s="2" t="s">
        <v>213</v>
      </c>
      <c r="CD1352" s="2" t="s">
        <v>200</v>
      </c>
      <c r="CE1352" s="4">
        <v>20</v>
      </c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  <c r="DE1352" s="4"/>
      <c r="DF1352" s="4"/>
      <c r="DG1352" s="4"/>
      <c r="DH1352" s="4"/>
      <c r="DI1352" s="4"/>
      <c r="DJ1352" s="4"/>
      <c r="DK1352" s="4"/>
      <c r="DL1352" s="4"/>
      <c r="DM1352" s="4"/>
      <c r="DN1352" s="4"/>
      <c r="DO1352" s="4"/>
      <c r="DP1352" s="4"/>
      <c r="DQ1352" s="4"/>
      <c r="DR1352" s="4"/>
      <c r="DS1352" s="4"/>
      <c r="DT1352" s="4"/>
      <c r="DU1352" s="4"/>
      <c r="DV1352" s="4"/>
      <c r="DW1352" s="4"/>
      <c r="DX1352" s="4"/>
      <c r="DY1352" s="4"/>
      <c r="DZ1352" s="4"/>
      <c r="EA1352" s="4"/>
      <c r="EB1352" s="4"/>
      <c r="EC1352" s="4"/>
      <c r="ED1352" s="4"/>
      <c r="EE1352" s="4"/>
      <c r="EF1352" s="4"/>
      <c r="EG1352" s="4"/>
      <c r="EH1352" s="4"/>
      <c r="EI1352" s="4"/>
      <c r="EJ1352" s="4"/>
      <c r="EK1352" s="4"/>
      <c r="EL1352" s="4"/>
      <c r="EM1352" s="4"/>
      <c r="EN1352" s="4"/>
      <c r="EO1352" s="4"/>
      <c r="EP1352" s="4"/>
      <c r="EQ1352" s="4"/>
      <c r="ER1352" s="4"/>
      <c r="ES1352" s="4"/>
      <c r="ET1352" s="4"/>
      <c r="EU1352" s="4"/>
      <c r="EV1352" s="4"/>
      <c r="EW1352" s="4"/>
      <c r="EX1352" s="4"/>
      <c r="EY1352" s="4"/>
      <c r="EZ1352" s="4"/>
      <c r="FA1352" s="4"/>
      <c r="FB1352" s="4"/>
      <c r="FC1352" s="4"/>
      <c r="FD1352" s="4"/>
      <c r="FE1352" s="4"/>
      <c r="FF1352" s="4"/>
      <c r="FG1352" s="4"/>
      <c r="FH1352" s="4"/>
      <c r="FI1352" s="4"/>
      <c r="FJ1352" s="4"/>
      <c r="FK1352" s="4"/>
      <c r="FL1352" s="4"/>
      <c r="FM1352" s="4"/>
      <c r="FN1352" s="4"/>
      <c r="FO1352" s="4"/>
      <c r="FP1352" s="4"/>
      <c r="FQ1352" s="4"/>
      <c r="FR1352" s="4"/>
      <c r="FS1352" s="4"/>
      <c r="FT1352" s="4"/>
      <c r="FU1352" s="4"/>
      <c r="FV1352" s="4"/>
      <c r="FW1352" s="4"/>
      <c r="FX1352" s="4"/>
      <c r="FY1352" s="4"/>
      <c r="FZ1352" s="4"/>
      <c r="GA1352" s="4"/>
      <c r="GB1352" s="4"/>
      <c r="GC1352" s="4"/>
      <c r="GD1352" s="4"/>
      <c r="GE1352" s="4"/>
      <c r="GF1352" s="4"/>
      <c r="GG1352" s="4"/>
      <c r="GH1352" s="4"/>
    </row>
    <row r="1353">
      <c r="A1353" s="2" t="s">
        <v>7372</v>
      </c>
      <c r="B1353" s="2" t="s">
        <v>230</v>
      </c>
      <c r="C1353" s="2" t="s">
        <v>231</v>
      </c>
      <c r="D1353" s="2" t="s">
        <v>232</v>
      </c>
      <c r="E1353" s="2" t="s">
        <v>233</v>
      </c>
      <c r="F1353" s="2" t="s">
        <v>7339</v>
      </c>
      <c r="G1353" s="2" t="s">
        <v>7339</v>
      </c>
      <c r="H1353" s="2" t="s">
        <v>7339</v>
      </c>
      <c r="I1353" s="2" t="s">
        <v>7340</v>
      </c>
      <c r="J1353" s="2" t="s">
        <v>236</v>
      </c>
      <c r="K1353" s="2" t="s">
        <v>223</v>
      </c>
      <c r="L1353" s="3">
        <v>32.2</v>
      </c>
      <c r="M1353" s="3">
        <v>33.81</v>
      </c>
      <c r="N1353" s="3">
        <v>69.99</v>
      </c>
      <c r="O1353" s="2" t="s">
        <v>212</v>
      </c>
      <c r="P1353" s="2" t="s">
        <v>285</v>
      </c>
      <c r="Q1353" s="2" t="s">
        <v>206</v>
      </c>
      <c r="R1353" s="2" t="s">
        <v>200</v>
      </c>
      <c r="S1353" s="2" t="s">
        <v>7362</v>
      </c>
      <c r="T1353" s="2" t="s">
        <v>312</v>
      </c>
      <c r="U1353" s="2" t="s">
        <v>240</v>
      </c>
      <c r="V1353" s="2" t="s">
        <v>208</v>
      </c>
      <c r="W1353" s="2" t="s">
        <v>241</v>
      </c>
      <c r="X1353" s="2" t="s">
        <v>1271</v>
      </c>
      <c r="Y1353" s="2" t="s">
        <v>4166</v>
      </c>
      <c r="Z1353" s="4">
        <v>30</v>
      </c>
      <c r="AA1353" s="4">
        <f>=ROUNDDOWN(15,0)</f>
      </c>
      <c r="AB1353" s="5">
        <v>2</v>
      </c>
      <c r="AC1353" s="2" t="s">
        <v>200</v>
      </c>
      <c r="AD1353" s="4"/>
      <c r="AE1353" s="4"/>
      <c r="AF1353" s="6">
        <v>70</v>
      </c>
      <c r="AG1353" s="6"/>
      <c r="AH1353" s="7">
        <v>1</v>
      </c>
      <c r="AI1353" s="4"/>
      <c r="AJ1353" s="4">
        <f>=ROUNDDOWN({0},0)</f>
      </c>
      <c r="AK1353" s="5"/>
      <c r="AL1353" s="2" t="s">
        <v>200</v>
      </c>
      <c r="AM1353" s="4"/>
      <c r="AN1353" s="4"/>
      <c r="AO1353" s="7"/>
      <c r="AP1353" s="4"/>
      <c r="AQ1353" s="8"/>
      <c r="AR1353" s="4"/>
      <c r="AS1353" s="8"/>
      <c r="AT1353" s="7"/>
      <c r="AU1353" s="7"/>
      <c r="AV1353" s="4" t="s">
        <v>200</v>
      </c>
      <c r="AW1353" s="8" t="s">
        <v>200</v>
      </c>
      <c r="AX1353" s="4" t="s">
        <v>200</v>
      </c>
      <c r="AY1353" s="8" t="s">
        <v>200</v>
      </c>
      <c r="AZ1353" s="7" t="s">
        <v>200</v>
      </c>
      <c r="BA1353" s="7" t="s">
        <v>200</v>
      </c>
      <c r="BB1353" s="7"/>
      <c r="BC1353" s="4" t="s">
        <v>200</v>
      </c>
      <c r="BD1353" s="8" t="s">
        <v>200</v>
      </c>
      <c r="BE1353" s="4" t="s">
        <v>200</v>
      </c>
      <c r="BF1353" s="8" t="s">
        <v>200</v>
      </c>
      <c r="BG1353" s="7" t="s">
        <v>200</v>
      </c>
      <c r="BH1353" s="7" t="s">
        <v>200</v>
      </c>
      <c r="BI1353" s="7"/>
      <c r="BJ1353" s="4">
        <v>3</v>
      </c>
      <c r="BK1353" s="8">
        <v>104.55</v>
      </c>
      <c r="BL1353" s="2" t="s">
        <v>2509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7373</v>
      </c>
      <c r="BV1353" s="2" t="s">
        <v>200</v>
      </c>
      <c r="BW1353" s="2" t="s">
        <v>200</v>
      </c>
      <c r="BX1353" s="2" t="s">
        <v>289</v>
      </c>
      <c r="BY1353" s="2" t="s">
        <v>247</v>
      </c>
      <c r="BZ1353" s="2" t="s">
        <v>212</v>
      </c>
      <c r="CA1353" s="2" t="s">
        <v>3676</v>
      </c>
      <c r="CB1353" s="2" t="s">
        <v>7374</v>
      </c>
      <c r="CC1353" s="2" t="s">
        <v>213</v>
      </c>
      <c r="CD1353" s="2" t="s">
        <v>200</v>
      </c>
      <c r="CE1353" s="4">
        <v>30</v>
      </c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  <c r="DE1353" s="4"/>
      <c r="DF1353" s="4"/>
      <c r="DG1353" s="4"/>
      <c r="DH1353" s="4"/>
      <c r="DI1353" s="4"/>
      <c r="DJ1353" s="4"/>
      <c r="DK1353" s="4"/>
      <c r="DL1353" s="4"/>
      <c r="DM1353" s="4"/>
      <c r="DN1353" s="4"/>
      <c r="DO1353" s="4"/>
      <c r="DP1353" s="4"/>
      <c r="DQ1353" s="4"/>
      <c r="DR1353" s="4"/>
      <c r="DS1353" s="4"/>
      <c r="DT1353" s="4"/>
      <c r="DU1353" s="4"/>
      <c r="DV1353" s="4"/>
      <c r="DW1353" s="4"/>
      <c r="DX1353" s="4"/>
      <c r="DY1353" s="4"/>
      <c r="DZ1353" s="4"/>
      <c r="EA1353" s="4"/>
      <c r="EB1353" s="4"/>
      <c r="EC1353" s="4"/>
      <c r="ED1353" s="4"/>
      <c r="EE1353" s="4"/>
      <c r="EF1353" s="4"/>
      <c r="EG1353" s="4"/>
      <c r="EH1353" s="4"/>
      <c r="EI1353" s="4"/>
      <c r="EJ1353" s="4"/>
      <c r="EK1353" s="4"/>
      <c r="EL1353" s="4"/>
      <c r="EM1353" s="4"/>
      <c r="EN1353" s="4"/>
      <c r="EO1353" s="4"/>
      <c r="EP1353" s="4"/>
      <c r="EQ1353" s="4"/>
      <c r="ER1353" s="4"/>
      <c r="ES1353" s="4"/>
      <c r="ET1353" s="4"/>
      <c r="EU1353" s="4"/>
      <c r="EV1353" s="4"/>
      <c r="EW1353" s="4"/>
      <c r="EX1353" s="4"/>
      <c r="EY1353" s="4"/>
      <c r="EZ1353" s="4"/>
      <c r="FA1353" s="4"/>
      <c r="FB1353" s="4"/>
      <c r="FC1353" s="4"/>
      <c r="FD1353" s="4"/>
      <c r="FE1353" s="4"/>
      <c r="FF1353" s="4"/>
      <c r="FG1353" s="4"/>
      <c r="FH1353" s="4"/>
      <c r="FI1353" s="4"/>
      <c r="FJ1353" s="4"/>
      <c r="FK1353" s="4"/>
      <c r="FL1353" s="4"/>
      <c r="FM1353" s="4"/>
      <c r="FN1353" s="4"/>
      <c r="FO1353" s="4"/>
      <c r="FP1353" s="4"/>
      <c r="FQ1353" s="4"/>
      <c r="FR1353" s="4"/>
      <c r="FS1353" s="4"/>
      <c r="FT1353" s="4"/>
      <c r="FU1353" s="4"/>
      <c r="FV1353" s="4"/>
      <c r="FW1353" s="4"/>
      <c r="FX1353" s="4"/>
      <c r="FY1353" s="4"/>
      <c r="FZ1353" s="4"/>
      <c r="GA1353" s="4"/>
      <c r="GB1353" s="4"/>
      <c r="GC1353" s="4"/>
      <c r="GD1353" s="4"/>
      <c r="GE1353" s="4"/>
      <c r="GF1353" s="4"/>
      <c r="GG1353" s="4"/>
      <c r="GH1353" s="4"/>
    </row>
    <row r="1354">
      <c r="A1354" s="2" t="s">
        <v>7375</v>
      </c>
      <c r="B1354" s="2" t="s">
        <v>230</v>
      </c>
      <c r="C1354" s="2" t="s">
        <v>231</v>
      </c>
      <c r="D1354" s="2" t="s">
        <v>232</v>
      </c>
      <c r="E1354" s="2" t="s">
        <v>233</v>
      </c>
      <c r="F1354" s="2" t="s">
        <v>7339</v>
      </c>
      <c r="G1354" s="2" t="s">
        <v>7339</v>
      </c>
      <c r="H1354" s="2" t="s">
        <v>7339</v>
      </c>
      <c r="I1354" s="2" t="s">
        <v>7340</v>
      </c>
      <c r="J1354" s="2" t="s">
        <v>236</v>
      </c>
      <c r="K1354" s="2" t="s">
        <v>544</v>
      </c>
      <c r="L1354" s="3">
        <v>32.2</v>
      </c>
      <c r="M1354" s="3">
        <v>33.81</v>
      </c>
      <c r="N1354" s="3">
        <v>69.99</v>
      </c>
      <c r="O1354" s="2" t="s">
        <v>212</v>
      </c>
      <c r="P1354" s="2" t="s">
        <v>258</v>
      </c>
      <c r="Q1354" s="2" t="s">
        <v>206</v>
      </c>
      <c r="R1354" s="2" t="s">
        <v>200</v>
      </c>
      <c r="S1354" s="2" t="s">
        <v>7376</v>
      </c>
      <c r="T1354" s="2" t="s">
        <v>312</v>
      </c>
      <c r="U1354" s="2" t="s">
        <v>240</v>
      </c>
      <c r="V1354" s="2" t="s">
        <v>208</v>
      </c>
      <c r="W1354" s="2" t="s">
        <v>241</v>
      </c>
      <c r="X1354" s="2" t="s">
        <v>200</v>
      </c>
      <c r="Y1354" s="2" t="s">
        <v>7342</v>
      </c>
      <c r="Z1354" s="4">
        <v>59</v>
      </c>
      <c r="AA1354" s="4">
        <f>=ROUNDDOWN(20.3448275862069,0)</f>
      </c>
      <c r="AB1354" s="5">
        <v>2.9</v>
      </c>
      <c r="AC1354" s="2" t="s">
        <v>700</v>
      </c>
      <c r="AD1354" s="4">
        <v>40</v>
      </c>
      <c r="AE1354" s="4">
        <v>100</v>
      </c>
      <c r="AF1354" s="6">
        <v>65</v>
      </c>
      <c r="AG1354" s="6"/>
      <c r="AH1354" s="7">
        <v>1</v>
      </c>
      <c r="AI1354" s="4"/>
      <c r="AJ1354" s="4">
        <f>=ROUNDDOWN({0},0)</f>
      </c>
      <c r="AK1354" s="5"/>
      <c r="AL1354" s="2" t="s">
        <v>200</v>
      </c>
      <c r="AM1354" s="4"/>
      <c r="AN1354" s="4"/>
      <c r="AO1354" s="7"/>
      <c r="AP1354" s="4"/>
      <c r="AQ1354" s="8"/>
      <c r="AR1354" s="4"/>
      <c r="AS1354" s="8"/>
      <c r="AT1354" s="7"/>
      <c r="AU1354" s="7"/>
      <c r="AV1354" s="4"/>
      <c r="AW1354" s="8"/>
      <c r="AX1354" s="4"/>
      <c r="AY1354" s="8"/>
      <c r="AZ1354" s="7"/>
      <c r="BA1354" s="7"/>
      <c r="BB1354" s="7"/>
      <c r="BC1354" s="4" t="s">
        <v>200</v>
      </c>
      <c r="BD1354" s="8" t="s">
        <v>200</v>
      </c>
      <c r="BE1354" s="4" t="s">
        <v>200</v>
      </c>
      <c r="BF1354" s="8" t="s">
        <v>200</v>
      </c>
      <c r="BG1354" s="7" t="s">
        <v>200</v>
      </c>
      <c r="BH1354" s="7" t="s">
        <v>200</v>
      </c>
      <c r="BI1354" s="7"/>
      <c r="BJ1354" s="4">
        <v>4</v>
      </c>
      <c r="BK1354" s="8">
        <v>142.9</v>
      </c>
      <c r="BL1354" s="2" t="s">
        <v>7377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7378</v>
      </c>
      <c r="BV1354" s="2" t="s">
        <v>200</v>
      </c>
      <c r="BW1354" s="2" t="s">
        <v>200</v>
      </c>
      <c r="BX1354" s="2" t="s">
        <v>264</v>
      </c>
      <c r="BY1354" s="2" t="s">
        <v>247</v>
      </c>
      <c r="BZ1354" s="2" t="s">
        <v>212</v>
      </c>
      <c r="CA1354" s="2" t="s">
        <v>7344</v>
      </c>
      <c r="CB1354" s="2" t="s">
        <v>7061</v>
      </c>
      <c r="CC1354" s="2" t="s">
        <v>213</v>
      </c>
      <c r="CD1354" s="2" t="s">
        <v>200</v>
      </c>
      <c r="CE1354" s="4">
        <v>59</v>
      </c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  <c r="DE1354" s="4"/>
      <c r="DF1354" s="4"/>
      <c r="DG1354" s="4"/>
      <c r="DH1354" s="4"/>
      <c r="DI1354" s="4"/>
      <c r="DJ1354" s="4"/>
      <c r="DK1354" s="4"/>
      <c r="DL1354" s="4"/>
      <c r="DM1354" s="4"/>
      <c r="DN1354" s="4"/>
      <c r="DO1354" s="4"/>
      <c r="DP1354" s="4"/>
      <c r="DQ1354" s="4"/>
      <c r="DR1354" s="4"/>
      <c r="DS1354" s="4">
        <v>40</v>
      </c>
      <c r="DT1354" s="4"/>
      <c r="DU1354" s="4"/>
      <c r="DV1354" s="4"/>
      <c r="DW1354" s="4"/>
      <c r="DX1354" s="4"/>
      <c r="DY1354" s="4"/>
      <c r="DZ1354" s="4"/>
      <c r="EA1354" s="4"/>
      <c r="EB1354" s="4"/>
      <c r="EC1354" s="4"/>
      <c r="ED1354" s="4"/>
      <c r="EE1354" s="4"/>
      <c r="EF1354" s="4"/>
      <c r="EG1354" s="4"/>
      <c r="EH1354" s="4"/>
      <c r="EI1354" s="4"/>
      <c r="EJ1354" s="4"/>
      <c r="EK1354" s="4"/>
      <c r="EL1354" s="4"/>
      <c r="EM1354" s="4"/>
      <c r="EN1354" s="4"/>
      <c r="EO1354" s="4"/>
      <c r="EP1354" s="4"/>
      <c r="EQ1354" s="4"/>
      <c r="ER1354" s="4"/>
      <c r="ES1354" s="4"/>
      <c r="ET1354" s="4"/>
      <c r="EU1354" s="4"/>
      <c r="EV1354" s="4"/>
      <c r="EW1354" s="4"/>
      <c r="EX1354" s="4"/>
      <c r="EY1354" s="4"/>
      <c r="EZ1354" s="4"/>
      <c r="FA1354" s="4"/>
      <c r="FB1354" s="4"/>
      <c r="FC1354" s="4"/>
      <c r="FD1354" s="4"/>
      <c r="FE1354" s="4"/>
      <c r="FF1354" s="4">
        <v>60</v>
      </c>
      <c r="FG1354" s="4"/>
      <c r="FH1354" s="4"/>
      <c r="FI1354" s="4"/>
      <c r="FJ1354" s="4"/>
      <c r="FK1354" s="4"/>
      <c r="FL1354" s="4"/>
      <c r="FM1354" s="4"/>
      <c r="FN1354" s="4"/>
      <c r="FO1354" s="4"/>
      <c r="FP1354" s="4"/>
      <c r="FQ1354" s="4"/>
      <c r="FR1354" s="4"/>
      <c r="FS1354" s="4"/>
      <c r="FT1354" s="4"/>
      <c r="FU1354" s="4"/>
      <c r="FV1354" s="4"/>
      <c r="FW1354" s="4"/>
      <c r="FX1354" s="4"/>
      <c r="FY1354" s="4"/>
      <c r="FZ1354" s="4"/>
      <c r="GA1354" s="4"/>
      <c r="GB1354" s="4"/>
      <c r="GC1354" s="4"/>
      <c r="GD1354" s="4"/>
      <c r="GE1354" s="4"/>
      <c r="GF1354" s="4"/>
      <c r="GG1354" s="4"/>
      <c r="GH1354" s="4"/>
    </row>
    <row r="1355">
      <c r="A1355" s="2" t="s">
        <v>7379</v>
      </c>
      <c r="B1355" s="2" t="s">
        <v>230</v>
      </c>
      <c r="C1355" s="2" t="s">
        <v>231</v>
      </c>
      <c r="D1355" s="2" t="s">
        <v>232</v>
      </c>
      <c r="E1355" s="2" t="s">
        <v>233</v>
      </c>
      <c r="F1355" s="2" t="s">
        <v>7339</v>
      </c>
      <c r="G1355" s="2" t="s">
        <v>7339</v>
      </c>
      <c r="H1355" s="2" t="s">
        <v>7339</v>
      </c>
      <c r="I1355" s="2" t="s">
        <v>7340</v>
      </c>
      <c r="J1355" s="2" t="s">
        <v>302</v>
      </c>
      <c r="K1355" s="2" t="s">
        <v>565</v>
      </c>
      <c r="L1355" s="3">
        <v>32.2</v>
      </c>
      <c r="M1355" s="3">
        <v>33.81</v>
      </c>
      <c r="N1355" s="3">
        <v>69.99</v>
      </c>
      <c r="O1355" s="2" t="s">
        <v>212</v>
      </c>
      <c r="P1355" s="2" t="s">
        <v>258</v>
      </c>
      <c r="Q1355" s="2" t="s">
        <v>206</v>
      </c>
      <c r="R1355" s="2" t="s">
        <v>200</v>
      </c>
      <c r="S1355" s="2" t="s">
        <v>7380</v>
      </c>
      <c r="T1355" s="2" t="s">
        <v>312</v>
      </c>
      <c r="U1355" s="2" t="s">
        <v>240</v>
      </c>
      <c r="V1355" s="2" t="s">
        <v>208</v>
      </c>
      <c r="W1355" s="2" t="s">
        <v>241</v>
      </c>
      <c r="X1355" s="2" t="s">
        <v>200</v>
      </c>
      <c r="Y1355" s="2" t="s">
        <v>7342</v>
      </c>
      <c r="Z1355" s="4">
        <v>219</v>
      </c>
      <c r="AA1355" s="4">
        <f>=ROUNDDOWN(43.8,0)</f>
      </c>
      <c r="AB1355" s="5">
        <v>5</v>
      </c>
      <c r="AC1355" s="2" t="s">
        <v>200</v>
      </c>
      <c r="AD1355" s="4"/>
      <c r="AE1355" s="4"/>
      <c r="AF1355" s="6">
        <v>65</v>
      </c>
      <c r="AG1355" s="6"/>
      <c r="AH1355" s="7">
        <v>1</v>
      </c>
      <c r="AI1355" s="4"/>
      <c r="AJ1355" s="4">
        <f>=ROUNDDOWN({0},0)</f>
      </c>
      <c r="AK1355" s="5"/>
      <c r="AL1355" s="2" t="s">
        <v>200</v>
      </c>
      <c r="AM1355" s="4"/>
      <c r="AN1355" s="4"/>
      <c r="AO1355" s="7"/>
      <c r="AP1355" s="4"/>
      <c r="AQ1355" s="8"/>
      <c r="AR1355" s="4"/>
      <c r="AS1355" s="8"/>
      <c r="AT1355" s="7"/>
      <c r="AU1355" s="7"/>
      <c r="AV1355" s="4" t="s">
        <v>200</v>
      </c>
      <c r="AW1355" s="8" t="s">
        <v>200</v>
      </c>
      <c r="AX1355" s="4" t="s">
        <v>200</v>
      </c>
      <c r="AY1355" s="8" t="s">
        <v>200</v>
      </c>
      <c r="AZ1355" s="7" t="s">
        <v>200</v>
      </c>
      <c r="BA1355" s="7" t="s">
        <v>200</v>
      </c>
      <c r="BB1355" s="7"/>
      <c r="BC1355" s="4" t="s">
        <v>200</v>
      </c>
      <c r="BD1355" s="8" t="s">
        <v>200</v>
      </c>
      <c r="BE1355" s="4" t="s">
        <v>200</v>
      </c>
      <c r="BF1355" s="8" t="s">
        <v>200</v>
      </c>
      <c r="BG1355" s="7" t="s">
        <v>200</v>
      </c>
      <c r="BH1355" s="7" t="s">
        <v>200</v>
      </c>
      <c r="BI1355" s="7"/>
      <c r="BJ1355" s="4">
        <v>16</v>
      </c>
      <c r="BK1355" s="8">
        <v>551.04</v>
      </c>
      <c r="BL1355" s="2" t="s">
        <v>7381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7382</v>
      </c>
      <c r="BV1355" s="2" t="s">
        <v>200</v>
      </c>
      <c r="BW1355" s="2" t="s">
        <v>200</v>
      </c>
      <c r="BX1355" s="2" t="s">
        <v>264</v>
      </c>
      <c r="BY1355" s="2" t="s">
        <v>247</v>
      </c>
      <c r="BZ1355" s="2" t="s">
        <v>212</v>
      </c>
      <c r="CA1355" s="2" t="s">
        <v>7344</v>
      </c>
      <c r="CB1355" s="2" t="s">
        <v>2158</v>
      </c>
      <c r="CC1355" s="2" t="s">
        <v>213</v>
      </c>
      <c r="CD1355" s="2" t="s">
        <v>200</v>
      </c>
      <c r="CE1355" s="4">
        <v>219</v>
      </c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E1355" s="4"/>
      <c r="DF1355" s="4"/>
      <c r="DG1355" s="4"/>
      <c r="DH1355" s="4"/>
      <c r="DI1355" s="4"/>
      <c r="DJ1355" s="4"/>
      <c r="DK1355" s="4"/>
      <c r="DL1355" s="4"/>
      <c r="DM1355" s="4"/>
      <c r="DN1355" s="4"/>
      <c r="DO1355" s="4"/>
      <c r="DP1355" s="4"/>
      <c r="DQ1355" s="4"/>
      <c r="DR1355" s="4"/>
      <c r="DS1355" s="4"/>
      <c r="DT1355" s="4"/>
      <c r="DU1355" s="4"/>
      <c r="DV1355" s="4"/>
      <c r="DW1355" s="4"/>
      <c r="DX1355" s="4"/>
      <c r="DY1355" s="4"/>
      <c r="DZ1355" s="4"/>
      <c r="EA1355" s="4"/>
      <c r="EB1355" s="4"/>
      <c r="EC1355" s="4"/>
      <c r="ED1355" s="4"/>
      <c r="EE1355" s="4"/>
      <c r="EF1355" s="4"/>
      <c r="EG1355" s="4"/>
      <c r="EH1355" s="4"/>
      <c r="EI1355" s="4"/>
      <c r="EJ1355" s="4"/>
      <c r="EK1355" s="4"/>
      <c r="EL1355" s="4"/>
      <c r="EM1355" s="4"/>
      <c r="EN1355" s="4"/>
      <c r="EO1355" s="4"/>
      <c r="EP1355" s="4"/>
      <c r="EQ1355" s="4"/>
      <c r="ER1355" s="4"/>
      <c r="ES1355" s="4"/>
      <c r="ET1355" s="4"/>
      <c r="EU1355" s="4"/>
      <c r="EV1355" s="4"/>
      <c r="EW1355" s="4"/>
      <c r="EX1355" s="4"/>
      <c r="EY1355" s="4"/>
      <c r="EZ1355" s="4"/>
      <c r="FA1355" s="4"/>
      <c r="FB1355" s="4"/>
      <c r="FC1355" s="4"/>
      <c r="FD1355" s="4"/>
      <c r="FE1355" s="4"/>
      <c r="FF1355" s="4"/>
      <c r="FG1355" s="4"/>
      <c r="FH1355" s="4"/>
      <c r="FI1355" s="4"/>
      <c r="FJ1355" s="4"/>
      <c r="FK1355" s="4"/>
      <c r="FL1355" s="4"/>
      <c r="FM1355" s="4"/>
      <c r="FN1355" s="4"/>
      <c r="FO1355" s="4"/>
      <c r="FP1355" s="4"/>
      <c r="FQ1355" s="4"/>
      <c r="FR1355" s="4"/>
      <c r="FS1355" s="4"/>
      <c r="FT1355" s="4"/>
      <c r="FU1355" s="4"/>
      <c r="FV1355" s="4"/>
      <c r="FW1355" s="4"/>
      <c r="FX1355" s="4"/>
      <c r="FY1355" s="4"/>
      <c r="FZ1355" s="4"/>
      <c r="GA1355" s="4"/>
      <c r="GB1355" s="4"/>
      <c r="GC1355" s="4"/>
      <c r="GD1355" s="4"/>
      <c r="GE1355" s="4"/>
      <c r="GF1355" s="4"/>
      <c r="GG1355" s="4"/>
      <c r="GH1355" s="4"/>
    </row>
    <row r="1356">
      <c r="A1356" s="2" t="s">
        <v>7383</v>
      </c>
      <c r="B1356" s="2" t="s">
        <v>230</v>
      </c>
      <c r="C1356" s="2" t="s">
        <v>231</v>
      </c>
      <c r="D1356" s="2" t="s">
        <v>232</v>
      </c>
      <c r="E1356" s="2" t="s">
        <v>233</v>
      </c>
      <c r="F1356" s="2" t="s">
        <v>7339</v>
      </c>
      <c r="G1356" s="2" t="s">
        <v>7339</v>
      </c>
      <c r="H1356" s="2" t="s">
        <v>7339</v>
      </c>
      <c r="I1356" s="2" t="s">
        <v>7340</v>
      </c>
      <c r="J1356" s="2" t="s">
        <v>236</v>
      </c>
      <c r="K1356" s="2" t="s">
        <v>565</v>
      </c>
      <c r="L1356" s="3">
        <v>32.2</v>
      </c>
      <c r="M1356" s="3">
        <v>33.81</v>
      </c>
      <c r="N1356" s="3">
        <v>69.99</v>
      </c>
      <c r="O1356" s="2" t="s">
        <v>212</v>
      </c>
      <c r="P1356" s="2" t="s">
        <v>258</v>
      </c>
      <c r="Q1356" s="2" t="s">
        <v>206</v>
      </c>
      <c r="R1356" s="2" t="s">
        <v>200</v>
      </c>
      <c r="S1356" s="2" t="s">
        <v>7380</v>
      </c>
      <c r="T1356" s="2" t="s">
        <v>312</v>
      </c>
      <c r="U1356" s="2" t="s">
        <v>240</v>
      </c>
      <c r="V1356" s="2" t="s">
        <v>208</v>
      </c>
      <c r="W1356" s="2" t="s">
        <v>241</v>
      </c>
      <c r="X1356" s="2" t="s">
        <v>200</v>
      </c>
      <c r="Y1356" s="2" t="s">
        <v>7342</v>
      </c>
      <c r="Z1356" s="4">
        <v>80</v>
      </c>
      <c r="AA1356" s="4">
        <f>=ROUNDDOWN(25,0)</f>
      </c>
      <c r="AB1356" s="5">
        <v>3.2</v>
      </c>
      <c r="AC1356" s="2" t="s">
        <v>200</v>
      </c>
      <c r="AD1356" s="4"/>
      <c r="AE1356" s="4"/>
      <c r="AF1356" s="6">
        <v>65</v>
      </c>
      <c r="AG1356" s="6"/>
      <c r="AH1356" s="7">
        <v>1</v>
      </c>
      <c r="AI1356" s="4"/>
      <c r="AJ1356" s="4">
        <f>=ROUNDDOWN({0},0)</f>
      </c>
      <c r="AK1356" s="5"/>
      <c r="AL1356" s="2" t="s">
        <v>200</v>
      </c>
      <c r="AM1356" s="4"/>
      <c r="AN1356" s="4"/>
      <c r="AO1356" s="7"/>
      <c r="AP1356" s="4"/>
      <c r="AQ1356" s="8"/>
      <c r="AR1356" s="4"/>
      <c r="AS1356" s="8"/>
      <c r="AT1356" s="7"/>
      <c r="AU1356" s="7"/>
      <c r="AV1356" s="4" t="s">
        <v>200</v>
      </c>
      <c r="AW1356" s="8" t="s">
        <v>200</v>
      </c>
      <c r="AX1356" s="4" t="s">
        <v>200</v>
      </c>
      <c r="AY1356" s="8" t="s">
        <v>200</v>
      </c>
      <c r="AZ1356" s="7" t="s">
        <v>200</v>
      </c>
      <c r="BA1356" s="7" t="s">
        <v>200</v>
      </c>
      <c r="BB1356" s="7"/>
      <c r="BC1356" s="4" t="s">
        <v>200</v>
      </c>
      <c r="BD1356" s="8" t="s">
        <v>200</v>
      </c>
      <c r="BE1356" s="4" t="s">
        <v>200</v>
      </c>
      <c r="BF1356" s="8" t="s">
        <v>200</v>
      </c>
      <c r="BG1356" s="7" t="s">
        <v>200</v>
      </c>
      <c r="BH1356" s="7" t="s">
        <v>200</v>
      </c>
      <c r="BI1356" s="7"/>
      <c r="BJ1356" s="4">
        <v>12</v>
      </c>
      <c r="BK1356" s="8">
        <v>454.95</v>
      </c>
      <c r="BL1356" s="2" t="s">
        <v>7384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7385</v>
      </c>
      <c r="BV1356" s="2" t="s">
        <v>200</v>
      </c>
      <c r="BW1356" s="2" t="s">
        <v>200</v>
      </c>
      <c r="BX1356" s="2" t="s">
        <v>264</v>
      </c>
      <c r="BY1356" s="2" t="s">
        <v>247</v>
      </c>
      <c r="BZ1356" s="2" t="s">
        <v>212</v>
      </c>
      <c r="CA1356" s="2" t="s">
        <v>7344</v>
      </c>
      <c r="CB1356" s="2" t="s">
        <v>7386</v>
      </c>
      <c r="CC1356" s="2" t="s">
        <v>213</v>
      </c>
      <c r="CD1356" s="2" t="s">
        <v>200</v>
      </c>
      <c r="CE1356" s="4">
        <v>80</v>
      </c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/>
      <c r="DE1356" s="4"/>
      <c r="DF1356" s="4"/>
      <c r="DG1356" s="4"/>
      <c r="DH1356" s="4"/>
      <c r="DI1356" s="4"/>
      <c r="DJ1356" s="4"/>
      <c r="DK1356" s="4"/>
      <c r="DL1356" s="4"/>
      <c r="DM1356" s="4"/>
      <c r="DN1356" s="4"/>
      <c r="DO1356" s="4"/>
      <c r="DP1356" s="4"/>
      <c r="DQ1356" s="4"/>
      <c r="DR1356" s="4"/>
      <c r="DS1356" s="4"/>
      <c r="DT1356" s="4"/>
      <c r="DU1356" s="4"/>
      <c r="DV1356" s="4"/>
      <c r="DW1356" s="4"/>
      <c r="DX1356" s="4"/>
      <c r="DY1356" s="4"/>
      <c r="DZ1356" s="4"/>
      <c r="EA1356" s="4"/>
      <c r="EB1356" s="4"/>
      <c r="EC1356" s="4"/>
      <c r="ED1356" s="4"/>
      <c r="EE1356" s="4"/>
      <c r="EF1356" s="4"/>
      <c r="EG1356" s="4"/>
      <c r="EH1356" s="4"/>
      <c r="EI1356" s="4"/>
      <c r="EJ1356" s="4"/>
      <c r="EK1356" s="4"/>
      <c r="EL1356" s="4"/>
      <c r="EM1356" s="4"/>
      <c r="EN1356" s="4"/>
      <c r="EO1356" s="4"/>
      <c r="EP1356" s="4"/>
      <c r="EQ1356" s="4"/>
      <c r="ER1356" s="4"/>
      <c r="ES1356" s="4"/>
      <c r="ET1356" s="4"/>
      <c r="EU1356" s="4"/>
      <c r="EV1356" s="4"/>
      <c r="EW1356" s="4"/>
      <c r="EX1356" s="4"/>
      <c r="EY1356" s="4"/>
      <c r="EZ1356" s="4"/>
      <c r="FA1356" s="4"/>
      <c r="FB1356" s="4"/>
      <c r="FC1356" s="4"/>
      <c r="FD1356" s="4"/>
      <c r="FE1356" s="4"/>
      <c r="FF1356" s="4"/>
      <c r="FG1356" s="4"/>
      <c r="FH1356" s="4"/>
      <c r="FI1356" s="4"/>
      <c r="FJ1356" s="4"/>
      <c r="FK1356" s="4"/>
      <c r="FL1356" s="4"/>
      <c r="FM1356" s="4"/>
      <c r="FN1356" s="4"/>
      <c r="FO1356" s="4"/>
      <c r="FP1356" s="4"/>
      <c r="FQ1356" s="4"/>
      <c r="FR1356" s="4"/>
      <c r="FS1356" s="4"/>
      <c r="FT1356" s="4"/>
      <c r="FU1356" s="4"/>
      <c r="FV1356" s="4"/>
      <c r="FW1356" s="4"/>
      <c r="FX1356" s="4"/>
      <c r="FY1356" s="4"/>
      <c r="FZ1356" s="4"/>
      <c r="GA1356" s="4"/>
      <c r="GB1356" s="4"/>
      <c r="GC1356" s="4"/>
      <c r="GD1356" s="4"/>
      <c r="GE1356" s="4"/>
      <c r="GF1356" s="4"/>
      <c r="GG1356" s="4"/>
      <c r="GH1356" s="4"/>
    </row>
    <row r="1357">
      <c r="A1357" s="2" t="s">
        <v>7387</v>
      </c>
      <c r="B1357" s="2" t="s">
        <v>230</v>
      </c>
      <c r="C1357" s="2" t="s">
        <v>231</v>
      </c>
      <c r="D1357" s="2" t="s">
        <v>232</v>
      </c>
      <c r="E1357" s="2" t="s">
        <v>233</v>
      </c>
      <c r="F1357" s="2" t="s">
        <v>7339</v>
      </c>
      <c r="G1357" s="2" t="s">
        <v>7339</v>
      </c>
      <c r="H1357" s="2" t="s">
        <v>7339</v>
      </c>
      <c r="I1357" s="2" t="s">
        <v>7340</v>
      </c>
      <c r="J1357" s="2" t="s">
        <v>256</v>
      </c>
      <c r="K1357" s="2" t="s">
        <v>257</v>
      </c>
      <c r="L1357" s="3">
        <v>21.6</v>
      </c>
      <c r="M1357" s="3">
        <v>22.68</v>
      </c>
      <c r="N1357" s="3">
        <v>47.99</v>
      </c>
      <c r="O1357" s="2" t="s">
        <v>212</v>
      </c>
      <c r="P1357" s="2" t="s">
        <v>258</v>
      </c>
      <c r="Q1357" s="2" t="s">
        <v>206</v>
      </c>
      <c r="R1357" s="2" t="s">
        <v>200</v>
      </c>
      <c r="S1357" s="2" t="s">
        <v>7388</v>
      </c>
      <c r="T1357" s="2" t="s">
        <v>312</v>
      </c>
      <c r="U1357" s="2" t="s">
        <v>454</v>
      </c>
      <c r="V1357" s="2" t="s">
        <v>208</v>
      </c>
      <c r="W1357" s="2" t="s">
        <v>241</v>
      </c>
      <c r="X1357" s="2" t="s">
        <v>200</v>
      </c>
      <c r="Y1357" s="2" t="s">
        <v>7342</v>
      </c>
      <c r="Z1357" s="4">
        <v>32</v>
      </c>
      <c r="AA1357" s="4">
        <f>=ROUNDDOWN(4,0)</f>
      </c>
      <c r="AB1357" s="5">
        <v>8</v>
      </c>
      <c r="AC1357" s="2" t="s">
        <v>700</v>
      </c>
      <c r="AD1357" s="4">
        <v>80</v>
      </c>
      <c r="AE1357" s="4">
        <v>214</v>
      </c>
      <c r="AF1357" s="6">
        <v>65</v>
      </c>
      <c r="AG1357" s="6"/>
      <c r="AH1357" s="7">
        <v>0.7667</v>
      </c>
      <c r="AI1357" s="4"/>
      <c r="AJ1357" s="4">
        <f>=ROUNDDOWN({0},0)</f>
      </c>
      <c r="AK1357" s="5"/>
      <c r="AL1357" s="2" t="s">
        <v>200</v>
      </c>
      <c r="AM1357" s="4"/>
      <c r="AN1357" s="4"/>
      <c r="AO1357" s="7"/>
      <c r="AP1357" s="4"/>
      <c r="AQ1357" s="8"/>
      <c r="AR1357" s="4"/>
      <c r="AS1357" s="8"/>
      <c r="AT1357" s="7"/>
      <c r="AU1357" s="7"/>
      <c r="AV1357" s="4" t="s">
        <v>200</v>
      </c>
      <c r="AW1357" s="8" t="s">
        <v>200</v>
      </c>
      <c r="AX1357" s="4" t="s">
        <v>200</v>
      </c>
      <c r="AY1357" s="8" t="s">
        <v>200</v>
      </c>
      <c r="AZ1357" s="7" t="s">
        <v>200</v>
      </c>
      <c r="BA1357" s="7" t="s">
        <v>200</v>
      </c>
      <c r="BB1357" s="7"/>
      <c r="BC1357" s="4" t="s">
        <v>200</v>
      </c>
      <c r="BD1357" s="8" t="s">
        <v>200</v>
      </c>
      <c r="BE1357" s="4" t="s">
        <v>200</v>
      </c>
      <c r="BF1357" s="8" t="s">
        <v>200</v>
      </c>
      <c r="BG1357" s="7" t="s">
        <v>200</v>
      </c>
      <c r="BH1357" s="7" t="s">
        <v>200</v>
      </c>
      <c r="BI1357" s="7"/>
      <c r="BJ1357" s="4">
        <v>22</v>
      </c>
      <c r="BK1357" s="8">
        <v>513.93</v>
      </c>
      <c r="BL1357" s="2" t="s">
        <v>515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7389</v>
      </c>
      <c r="BV1357" s="2" t="s">
        <v>200</v>
      </c>
      <c r="BW1357" s="2" t="s">
        <v>200</v>
      </c>
      <c r="BX1357" s="2" t="s">
        <v>264</v>
      </c>
      <c r="BY1357" s="2" t="s">
        <v>247</v>
      </c>
      <c r="BZ1357" s="2" t="s">
        <v>212</v>
      </c>
      <c r="CA1357" s="2" t="s">
        <v>7344</v>
      </c>
      <c r="CB1357" s="2" t="s">
        <v>1704</v>
      </c>
      <c r="CC1357" s="2" t="s">
        <v>213</v>
      </c>
      <c r="CD1357" s="2" t="s">
        <v>200</v>
      </c>
      <c r="CE1357" s="4">
        <v>32</v>
      </c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E1357" s="4"/>
      <c r="DF1357" s="4"/>
      <c r="DG1357" s="4"/>
      <c r="DH1357" s="4"/>
      <c r="DI1357" s="4"/>
      <c r="DJ1357" s="4"/>
      <c r="DK1357" s="4"/>
      <c r="DL1357" s="4"/>
      <c r="DM1357" s="4"/>
      <c r="DN1357" s="4"/>
      <c r="DO1357" s="4"/>
      <c r="DP1357" s="4"/>
      <c r="DQ1357" s="4"/>
      <c r="DR1357" s="4"/>
      <c r="DS1357" s="4">
        <v>80</v>
      </c>
      <c r="DT1357" s="4"/>
      <c r="DU1357" s="4"/>
      <c r="DV1357" s="4"/>
      <c r="DW1357" s="4"/>
      <c r="DX1357" s="4"/>
      <c r="DY1357" s="4"/>
      <c r="DZ1357" s="4"/>
      <c r="EA1357" s="4"/>
      <c r="EB1357" s="4"/>
      <c r="EC1357" s="4"/>
      <c r="ED1357" s="4"/>
      <c r="EE1357" s="4"/>
      <c r="EF1357" s="4"/>
      <c r="EG1357" s="4"/>
      <c r="EH1357" s="4"/>
      <c r="EI1357" s="4"/>
      <c r="EJ1357" s="4"/>
      <c r="EK1357" s="4"/>
      <c r="EL1357" s="4"/>
      <c r="EM1357" s="4"/>
      <c r="EN1357" s="4"/>
      <c r="EO1357" s="4"/>
      <c r="EP1357" s="4"/>
      <c r="EQ1357" s="4"/>
      <c r="ER1357" s="4"/>
      <c r="ES1357" s="4"/>
      <c r="ET1357" s="4"/>
      <c r="EU1357" s="4"/>
      <c r="EV1357" s="4">
        <v>134</v>
      </c>
      <c r="EW1357" s="4"/>
      <c r="EX1357" s="4"/>
      <c r="EY1357" s="4"/>
      <c r="EZ1357" s="4"/>
      <c r="FA1357" s="4"/>
      <c r="FB1357" s="4"/>
      <c r="FC1357" s="4"/>
      <c r="FD1357" s="4"/>
      <c r="FE1357" s="4"/>
      <c r="FF1357" s="4"/>
      <c r="FG1357" s="4"/>
      <c r="FH1357" s="4"/>
      <c r="FI1357" s="4"/>
      <c r="FJ1357" s="4"/>
      <c r="FK1357" s="4"/>
      <c r="FL1357" s="4"/>
      <c r="FM1357" s="4"/>
      <c r="FN1357" s="4"/>
      <c r="FO1357" s="4"/>
      <c r="FP1357" s="4"/>
      <c r="FQ1357" s="4"/>
      <c r="FR1357" s="4"/>
      <c r="FS1357" s="4"/>
      <c r="FT1357" s="4"/>
      <c r="FU1357" s="4"/>
      <c r="FV1357" s="4"/>
      <c r="FW1357" s="4"/>
      <c r="FX1357" s="4"/>
      <c r="FY1357" s="4"/>
      <c r="FZ1357" s="4"/>
      <c r="GA1357" s="4"/>
      <c r="GB1357" s="4"/>
      <c r="GC1357" s="4"/>
      <c r="GD1357" s="4"/>
      <c r="GE1357" s="4"/>
      <c r="GF1357" s="4"/>
      <c r="GG1357" s="4"/>
      <c r="GH1357" s="4"/>
    </row>
    <row r="1358">
      <c r="A1358" s="2" t="s">
        <v>7390</v>
      </c>
      <c r="B1358" s="2" t="s">
        <v>230</v>
      </c>
      <c r="C1358" s="2" t="s">
        <v>231</v>
      </c>
      <c r="D1358" s="2" t="s">
        <v>232</v>
      </c>
      <c r="E1358" s="2" t="s">
        <v>233</v>
      </c>
      <c r="F1358" s="2" t="s">
        <v>7339</v>
      </c>
      <c r="G1358" s="2" t="s">
        <v>7339</v>
      </c>
      <c r="H1358" s="2" t="s">
        <v>7339</v>
      </c>
      <c r="I1358" s="2" t="s">
        <v>7340</v>
      </c>
      <c r="J1358" s="2" t="s">
        <v>302</v>
      </c>
      <c r="K1358" s="2" t="s">
        <v>257</v>
      </c>
      <c r="L1358" s="3">
        <v>32.2</v>
      </c>
      <c r="M1358" s="3">
        <v>33.81</v>
      </c>
      <c r="N1358" s="3">
        <v>69.99</v>
      </c>
      <c r="O1358" s="2" t="s">
        <v>212</v>
      </c>
      <c r="P1358" s="2" t="s">
        <v>258</v>
      </c>
      <c r="Q1358" s="2" t="s">
        <v>206</v>
      </c>
      <c r="R1358" s="2" t="s">
        <v>200</v>
      </c>
      <c r="S1358" s="2" t="s">
        <v>7388</v>
      </c>
      <c r="T1358" s="2" t="s">
        <v>312</v>
      </c>
      <c r="U1358" s="2" t="s">
        <v>240</v>
      </c>
      <c r="V1358" s="2" t="s">
        <v>208</v>
      </c>
      <c r="W1358" s="2" t="s">
        <v>241</v>
      </c>
      <c r="X1358" s="2" t="s">
        <v>200</v>
      </c>
      <c r="Y1358" s="2" t="s">
        <v>7342</v>
      </c>
      <c r="Z1358" s="4">
        <v>258</v>
      </c>
      <c r="AA1358" s="4">
        <f>=ROUNDDOWN(21.5,0)</f>
      </c>
      <c r="AB1358" s="5">
        <v>12</v>
      </c>
      <c r="AC1358" s="2" t="s">
        <v>7391</v>
      </c>
      <c r="AD1358" s="4">
        <v>92</v>
      </c>
      <c r="AE1358" s="4">
        <v>92</v>
      </c>
      <c r="AF1358" s="6">
        <v>65</v>
      </c>
      <c r="AG1358" s="6"/>
      <c r="AH1358" s="7">
        <v>1</v>
      </c>
      <c r="AI1358" s="4"/>
      <c r="AJ1358" s="4">
        <f>=ROUNDDOWN({0},0)</f>
      </c>
      <c r="AK1358" s="5"/>
      <c r="AL1358" s="2" t="s">
        <v>200</v>
      </c>
      <c r="AM1358" s="4"/>
      <c r="AN1358" s="4"/>
      <c r="AO1358" s="7"/>
      <c r="AP1358" s="4"/>
      <c r="AQ1358" s="8"/>
      <c r="AR1358" s="4"/>
      <c r="AS1358" s="8"/>
      <c r="AT1358" s="7"/>
      <c r="AU1358" s="7"/>
      <c r="AV1358" s="4" t="s">
        <v>200</v>
      </c>
      <c r="AW1358" s="8" t="s">
        <v>200</v>
      </c>
      <c r="AX1358" s="4" t="s">
        <v>200</v>
      </c>
      <c r="AY1358" s="8" t="s">
        <v>200</v>
      </c>
      <c r="AZ1358" s="7" t="s">
        <v>200</v>
      </c>
      <c r="BA1358" s="7" t="s">
        <v>200</v>
      </c>
      <c r="BB1358" s="7"/>
      <c r="BC1358" s="4" t="s">
        <v>200</v>
      </c>
      <c r="BD1358" s="8" t="s">
        <v>200</v>
      </c>
      <c r="BE1358" s="4" t="s">
        <v>200</v>
      </c>
      <c r="BF1358" s="8" t="s">
        <v>200</v>
      </c>
      <c r="BG1358" s="7" t="s">
        <v>200</v>
      </c>
      <c r="BH1358" s="7" t="s">
        <v>200</v>
      </c>
      <c r="BI1358" s="7"/>
      <c r="BJ1358" s="4">
        <v>34</v>
      </c>
      <c r="BK1358" s="8">
        <v>1265.27</v>
      </c>
      <c r="BL1358" s="2" t="s">
        <v>7392</v>
      </c>
      <c r="BM1358" s="7"/>
      <c r="BN1358" s="7"/>
      <c r="BO1358" s="4"/>
      <c r="BP1358" s="8"/>
      <c r="BQ1358" s="4"/>
      <c r="BR1358" s="8"/>
      <c r="BS1358" s="7"/>
      <c r="BT1358" s="7"/>
      <c r="BU1358" s="2" t="s">
        <v>7393</v>
      </c>
      <c r="BV1358" s="2" t="s">
        <v>200</v>
      </c>
      <c r="BW1358" s="2" t="s">
        <v>200</v>
      </c>
      <c r="BX1358" s="2" t="s">
        <v>264</v>
      </c>
      <c r="BY1358" s="2" t="s">
        <v>247</v>
      </c>
      <c r="BZ1358" s="2" t="s">
        <v>212</v>
      </c>
      <c r="CA1358" s="2" t="s">
        <v>7344</v>
      </c>
      <c r="CB1358" s="2" t="s">
        <v>7394</v>
      </c>
      <c r="CC1358" s="2" t="s">
        <v>213</v>
      </c>
      <c r="CD1358" s="2" t="s">
        <v>200</v>
      </c>
      <c r="CE1358" s="4">
        <v>258</v>
      </c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/>
      <c r="DE1358" s="4"/>
      <c r="DF1358" s="4"/>
      <c r="DG1358" s="4"/>
      <c r="DH1358" s="4"/>
      <c r="DI1358" s="4"/>
      <c r="DJ1358" s="4"/>
      <c r="DK1358" s="4"/>
      <c r="DL1358" s="4"/>
      <c r="DM1358" s="4"/>
      <c r="DN1358" s="4"/>
      <c r="DO1358" s="4"/>
      <c r="DP1358" s="4"/>
      <c r="DQ1358" s="4"/>
      <c r="DR1358" s="4"/>
      <c r="DS1358" s="4"/>
      <c r="DT1358" s="4"/>
      <c r="DU1358" s="4"/>
      <c r="DV1358" s="4"/>
      <c r="DW1358" s="4"/>
      <c r="DX1358" s="4"/>
      <c r="DY1358" s="4"/>
      <c r="DZ1358" s="4"/>
      <c r="EA1358" s="4"/>
      <c r="EB1358" s="4"/>
      <c r="EC1358" s="4"/>
      <c r="ED1358" s="4"/>
      <c r="EE1358" s="4"/>
      <c r="EF1358" s="4"/>
      <c r="EG1358" s="4"/>
      <c r="EH1358" s="4"/>
      <c r="EI1358" s="4"/>
      <c r="EJ1358" s="4"/>
      <c r="EK1358" s="4"/>
      <c r="EL1358" s="4"/>
      <c r="EM1358" s="4"/>
      <c r="EN1358" s="4"/>
      <c r="EO1358" s="4"/>
      <c r="EP1358" s="4"/>
      <c r="EQ1358" s="4"/>
      <c r="ER1358" s="4"/>
      <c r="ES1358" s="4"/>
      <c r="ET1358" s="4"/>
      <c r="EU1358" s="4"/>
      <c r="EV1358" s="4">
        <v>92</v>
      </c>
      <c r="EW1358" s="4"/>
      <c r="EX1358" s="4"/>
      <c r="EY1358" s="4"/>
      <c r="EZ1358" s="4"/>
      <c r="FA1358" s="4"/>
      <c r="FB1358" s="4"/>
      <c r="FC1358" s="4"/>
      <c r="FD1358" s="4"/>
      <c r="FE1358" s="4"/>
      <c r="FF1358" s="4"/>
      <c r="FG1358" s="4"/>
      <c r="FH1358" s="4"/>
      <c r="FI1358" s="4"/>
      <c r="FJ1358" s="4"/>
      <c r="FK1358" s="4"/>
      <c r="FL1358" s="4"/>
      <c r="FM1358" s="4"/>
      <c r="FN1358" s="4"/>
      <c r="FO1358" s="4"/>
      <c r="FP1358" s="4"/>
      <c r="FQ1358" s="4"/>
      <c r="FR1358" s="4"/>
      <c r="FS1358" s="4"/>
      <c r="FT1358" s="4"/>
      <c r="FU1358" s="4"/>
      <c r="FV1358" s="4"/>
      <c r="FW1358" s="4"/>
      <c r="FX1358" s="4"/>
      <c r="FY1358" s="4"/>
      <c r="FZ1358" s="4"/>
      <c r="GA1358" s="4"/>
      <c r="GB1358" s="4"/>
      <c r="GC1358" s="4"/>
      <c r="GD1358" s="4"/>
      <c r="GE1358" s="4"/>
      <c r="GF1358" s="4"/>
      <c r="GG1358" s="4"/>
      <c r="GH1358" s="4"/>
    </row>
    <row r="1359">
      <c r="A1359" s="2" t="s">
        <v>7395</v>
      </c>
      <c r="B1359" s="2" t="s">
        <v>744</v>
      </c>
      <c r="C1359" s="2" t="s">
        <v>231</v>
      </c>
      <c r="D1359" s="2" t="s">
        <v>746</v>
      </c>
      <c r="E1359" s="2" t="s">
        <v>7396</v>
      </c>
      <c r="F1359" s="2" t="s">
        <v>7397</v>
      </c>
      <c r="G1359" s="2" t="s">
        <v>7398</v>
      </c>
      <c r="H1359" s="2" t="s">
        <v>7399</v>
      </c>
      <c r="I1359" s="2" t="s">
        <v>7400</v>
      </c>
      <c r="J1359" s="2" t="s">
        <v>711</v>
      </c>
      <c r="K1359" s="2" t="s">
        <v>387</v>
      </c>
      <c r="L1359" s="3">
        <v>171</v>
      </c>
      <c r="M1359" s="3">
        <v>179.55</v>
      </c>
      <c r="N1359" s="3">
        <v>369</v>
      </c>
      <c r="O1359" s="2" t="s">
        <v>212</v>
      </c>
      <c r="P1359" s="2" t="s">
        <v>285</v>
      </c>
      <c r="Q1359" s="2" t="s">
        <v>206</v>
      </c>
      <c r="R1359" s="2" t="s">
        <v>200</v>
      </c>
      <c r="S1359" s="2" t="s">
        <v>200</v>
      </c>
      <c r="T1359" s="2" t="s">
        <v>200</v>
      </c>
      <c r="U1359" s="2" t="s">
        <v>270</v>
      </c>
      <c r="V1359" s="2" t="s">
        <v>616</v>
      </c>
      <c r="W1359" s="2" t="s">
        <v>419</v>
      </c>
      <c r="X1359" s="2" t="s">
        <v>200</v>
      </c>
      <c r="Y1359" s="2" t="s">
        <v>4298</v>
      </c>
      <c r="Z1359" s="4">
        <v>55</v>
      </c>
      <c r="AA1359" s="4">
        <f>=ROUNDDOWN(20.3703703703704,0)</f>
      </c>
      <c r="AB1359" s="5">
        <v>2.7</v>
      </c>
      <c r="AC1359" s="2" t="s">
        <v>200</v>
      </c>
      <c r="AD1359" s="4"/>
      <c r="AE1359" s="4"/>
      <c r="AF1359" s="6">
        <v>66</v>
      </c>
      <c r="AG1359" s="6"/>
      <c r="AH1359" s="7">
        <v>1</v>
      </c>
      <c r="AI1359" s="4"/>
      <c r="AJ1359" s="4">
        <f>=ROUNDDOWN({0},0)</f>
      </c>
      <c r="AK1359" s="5"/>
      <c r="AL1359" s="2" t="s">
        <v>200</v>
      </c>
      <c r="AM1359" s="4"/>
      <c r="AN1359" s="4"/>
      <c r="AO1359" s="7"/>
      <c r="AP1359" s="4"/>
      <c r="AQ1359" s="8"/>
      <c r="AR1359" s="4"/>
      <c r="AS1359" s="8"/>
      <c r="AT1359" s="7"/>
      <c r="AU1359" s="7"/>
      <c r="AV1359" s="4" t="s">
        <v>200</v>
      </c>
      <c r="AW1359" s="8" t="s">
        <v>200</v>
      </c>
      <c r="AX1359" s="4" t="s">
        <v>200</v>
      </c>
      <c r="AY1359" s="8" t="s">
        <v>200</v>
      </c>
      <c r="AZ1359" s="7" t="s">
        <v>200</v>
      </c>
      <c r="BA1359" s="7" t="s">
        <v>200</v>
      </c>
      <c r="BB1359" s="7" t="s">
        <v>200</v>
      </c>
      <c r="BC1359" s="4" t="s">
        <v>200</v>
      </c>
      <c r="BD1359" s="8" t="s">
        <v>200</v>
      </c>
      <c r="BE1359" s="4" t="s">
        <v>200</v>
      </c>
      <c r="BF1359" s="8" t="s">
        <v>200</v>
      </c>
      <c r="BG1359" s="7" t="s">
        <v>200</v>
      </c>
      <c r="BH1359" s="7" t="s">
        <v>200</v>
      </c>
      <c r="BI1359" s="7"/>
      <c r="BJ1359" s="4">
        <v>25</v>
      </c>
      <c r="BK1359" s="8">
        <v>3876.18</v>
      </c>
      <c r="BL1359" s="2" t="s">
        <v>752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7401</v>
      </c>
      <c r="BV1359" s="2" t="s">
        <v>200</v>
      </c>
      <c r="BW1359" s="2" t="s">
        <v>200</v>
      </c>
      <c r="BX1359" s="2" t="s">
        <v>289</v>
      </c>
      <c r="BY1359" s="2" t="s">
        <v>247</v>
      </c>
      <c r="BZ1359" s="2" t="s">
        <v>212</v>
      </c>
      <c r="CA1359" s="2" t="s">
        <v>5351</v>
      </c>
      <c r="CB1359" s="2" t="s">
        <v>7402</v>
      </c>
      <c r="CC1359" s="2" t="s">
        <v>213</v>
      </c>
      <c r="CD1359" s="2" t="s">
        <v>200</v>
      </c>
      <c r="CE1359" s="4"/>
      <c r="CF1359" s="4">
        <v>55</v>
      </c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  <c r="DE1359" s="4"/>
      <c r="DF1359" s="4"/>
      <c r="DG1359" s="4"/>
      <c r="DH1359" s="4"/>
      <c r="DI1359" s="4"/>
      <c r="DJ1359" s="4"/>
      <c r="DK1359" s="4"/>
      <c r="DL1359" s="4"/>
      <c r="DM1359" s="4"/>
      <c r="DN1359" s="4"/>
      <c r="DO1359" s="4"/>
      <c r="DP1359" s="4"/>
      <c r="DQ1359" s="4"/>
      <c r="DR1359" s="4"/>
      <c r="DS1359" s="4"/>
      <c r="DT1359" s="4"/>
      <c r="DU1359" s="4"/>
      <c r="DV1359" s="4"/>
      <c r="DW1359" s="4"/>
      <c r="DX1359" s="4"/>
      <c r="DY1359" s="4"/>
      <c r="DZ1359" s="4"/>
      <c r="EA1359" s="4"/>
      <c r="EB1359" s="4"/>
      <c r="EC1359" s="4"/>
      <c r="ED1359" s="4"/>
      <c r="EE1359" s="4"/>
      <c r="EF1359" s="4"/>
      <c r="EG1359" s="4"/>
      <c r="EH1359" s="4"/>
      <c r="EI1359" s="4"/>
      <c r="EJ1359" s="4"/>
      <c r="EK1359" s="4"/>
      <c r="EL1359" s="4"/>
      <c r="EM1359" s="4"/>
      <c r="EN1359" s="4"/>
      <c r="EO1359" s="4"/>
      <c r="EP1359" s="4"/>
      <c r="EQ1359" s="4"/>
      <c r="ER1359" s="4"/>
      <c r="ES1359" s="4"/>
      <c r="ET1359" s="4"/>
      <c r="EU1359" s="4"/>
      <c r="EV1359" s="4"/>
      <c r="EW1359" s="4"/>
      <c r="EX1359" s="4"/>
      <c r="EY1359" s="4"/>
      <c r="EZ1359" s="4"/>
      <c r="FA1359" s="4"/>
      <c r="FB1359" s="4"/>
      <c r="FC1359" s="4"/>
      <c r="FD1359" s="4"/>
      <c r="FE1359" s="4"/>
      <c r="FF1359" s="4"/>
      <c r="FG1359" s="4"/>
      <c r="FH1359" s="4"/>
      <c r="FI1359" s="4"/>
      <c r="FJ1359" s="4"/>
      <c r="FK1359" s="4"/>
      <c r="FL1359" s="4"/>
      <c r="FM1359" s="4"/>
      <c r="FN1359" s="4"/>
      <c r="FO1359" s="4"/>
      <c r="FP1359" s="4"/>
      <c r="FQ1359" s="4"/>
      <c r="FR1359" s="4"/>
      <c r="FS1359" s="4"/>
      <c r="FT1359" s="4"/>
      <c r="FU1359" s="4"/>
      <c r="FV1359" s="4"/>
      <c r="FW1359" s="4"/>
      <c r="FX1359" s="4"/>
      <c r="FY1359" s="4"/>
      <c r="FZ1359" s="4"/>
      <c r="GA1359" s="4"/>
      <c r="GB1359" s="4"/>
      <c r="GC1359" s="4"/>
      <c r="GD1359" s="4"/>
      <c r="GE1359" s="4"/>
      <c r="GF1359" s="4"/>
      <c r="GG1359" s="4"/>
      <c r="GH1359" s="4"/>
    </row>
    <row r="1360">
      <c r="A1360" s="2" t="s">
        <v>7403</v>
      </c>
      <c r="B1360" s="2" t="s">
        <v>744</v>
      </c>
      <c r="C1360" s="2" t="s">
        <v>231</v>
      </c>
      <c r="D1360" s="2" t="s">
        <v>746</v>
      </c>
      <c r="E1360" s="2" t="s">
        <v>747</v>
      </c>
      <c r="F1360" s="2" t="s">
        <v>7397</v>
      </c>
      <c r="G1360" s="2" t="s">
        <v>7398</v>
      </c>
      <c r="H1360" s="2" t="s">
        <v>7399</v>
      </c>
      <c r="I1360" s="2" t="s">
        <v>7404</v>
      </c>
      <c r="J1360" s="2" t="s">
        <v>711</v>
      </c>
      <c r="K1360" s="2" t="s">
        <v>387</v>
      </c>
      <c r="L1360" s="3">
        <v>162</v>
      </c>
      <c r="M1360" s="3">
        <v>170.1</v>
      </c>
      <c r="N1360" s="3">
        <v>349</v>
      </c>
      <c r="O1360" s="2" t="s">
        <v>212</v>
      </c>
      <c r="P1360" s="2" t="s">
        <v>258</v>
      </c>
      <c r="Q1360" s="2" t="s">
        <v>206</v>
      </c>
      <c r="R1360" s="2" t="s">
        <v>200</v>
      </c>
      <c r="S1360" s="2" t="s">
        <v>200</v>
      </c>
      <c r="T1360" s="2" t="s">
        <v>200</v>
      </c>
      <c r="U1360" s="2" t="s">
        <v>270</v>
      </c>
      <c r="V1360" s="2" t="s">
        <v>616</v>
      </c>
      <c r="W1360" s="2" t="s">
        <v>419</v>
      </c>
      <c r="X1360" s="2" t="s">
        <v>200</v>
      </c>
      <c r="Y1360" s="2" t="s">
        <v>7405</v>
      </c>
      <c r="Z1360" s="4">
        <v>351</v>
      </c>
      <c r="AA1360" s="4">
        <f>=ROUNDDOWN(45,0)</f>
      </c>
      <c r="AB1360" s="5">
        <v>7.8</v>
      </c>
      <c r="AC1360" s="2" t="s">
        <v>200</v>
      </c>
      <c r="AD1360" s="4"/>
      <c r="AE1360" s="4"/>
      <c r="AF1360" s="6">
        <v>66</v>
      </c>
      <c r="AG1360" s="6"/>
      <c r="AH1360" s="7">
        <v>1</v>
      </c>
      <c r="AI1360" s="4"/>
      <c r="AJ1360" s="4">
        <f>=ROUNDDOWN({0},0)</f>
      </c>
      <c r="AK1360" s="5"/>
      <c r="AL1360" s="2" t="s">
        <v>200</v>
      </c>
      <c r="AM1360" s="4"/>
      <c r="AN1360" s="4"/>
      <c r="AO1360" s="7"/>
      <c r="AP1360" s="4"/>
      <c r="AQ1360" s="8"/>
      <c r="AR1360" s="4"/>
      <c r="AS1360" s="8"/>
      <c r="AT1360" s="7"/>
      <c r="AU1360" s="7"/>
      <c r="AV1360" s="4" t="s">
        <v>200</v>
      </c>
      <c r="AW1360" s="8" t="s">
        <v>200</v>
      </c>
      <c r="AX1360" s="4" t="s">
        <v>200</v>
      </c>
      <c r="AY1360" s="8" t="s">
        <v>200</v>
      </c>
      <c r="AZ1360" s="7" t="s">
        <v>200</v>
      </c>
      <c r="BA1360" s="7" t="s">
        <v>200</v>
      </c>
      <c r="BB1360" s="7" t="s">
        <v>200</v>
      </c>
      <c r="BC1360" s="4" t="s">
        <v>200</v>
      </c>
      <c r="BD1360" s="8" t="s">
        <v>200</v>
      </c>
      <c r="BE1360" s="4" t="s">
        <v>200</v>
      </c>
      <c r="BF1360" s="8" t="s">
        <v>200</v>
      </c>
      <c r="BG1360" s="7" t="s">
        <v>200</v>
      </c>
      <c r="BH1360" s="7" t="s">
        <v>200</v>
      </c>
      <c r="BI1360" s="7"/>
      <c r="BJ1360" s="4">
        <v>10</v>
      </c>
      <c r="BK1360" s="8">
        <v>1589.71</v>
      </c>
      <c r="BL1360" s="2" t="s">
        <v>7406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7407</v>
      </c>
      <c r="BV1360" s="2" t="s">
        <v>200</v>
      </c>
      <c r="BW1360" s="2" t="s">
        <v>200</v>
      </c>
      <c r="BX1360" s="2" t="s">
        <v>620</v>
      </c>
      <c r="BY1360" s="2" t="s">
        <v>247</v>
      </c>
      <c r="BZ1360" s="2" t="s">
        <v>212</v>
      </c>
      <c r="CA1360" s="2" t="s">
        <v>4009</v>
      </c>
      <c r="CB1360" s="2" t="s">
        <v>7408</v>
      </c>
      <c r="CC1360" s="2" t="s">
        <v>213</v>
      </c>
      <c r="CD1360" s="2" t="s">
        <v>200</v>
      </c>
      <c r="CE1360" s="4"/>
      <c r="CF1360" s="4">
        <v>351</v>
      </c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  <c r="DE1360" s="4"/>
      <c r="DF1360" s="4"/>
      <c r="DG1360" s="4"/>
      <c r="DH1360" s="4"/>
      <c r="DI1360" s="4"/>
      <c r="DJ1360" s="4"/>
      <c r="DK1360" s="4"/>
      <c r="DL1360" s="4"/>
      <c r="DM1360" s="4"/>
      <c r="DN1360" s="4"/>
      <c r="DO1360" s="4"/>
      <c r="DP1360" s="4"/>
      <c r="DQ1360" s="4"/>
      <c r="DR1360" s="4"/>
      <c r="DS1360" s="4"/>
      <c r="DT1360" s="4"/>
      <c r="DU1360" s="4"/>
      <c r="DV1360" s="4"/>
      <c r="DW1360" s="4"/>
      <c r="DX1360" s="4"/>
      <c r="DY1360" s="4"/>
      <c r="DZ1360" s="4"/>
      <c r="EA1360" s="4"/>
      <c r="EB1360" s="4"/>
      <c r="EC1360" s="4"/>
      <c r="ED1360" s="4"/>
      <c r="EE1360" s="4"/>
      <c r="EF1360" s="4"/>
      <c r="EG1360" s="4"/>
      <c r="EH1360" s="4"/>
      <c r="EI1360" s="4"/>
      <c r="EJ1360" s="4"/>
      <c r="EK1360" s="4"/>
      <c r="EL1360" s="4"/>
      <c r="EM1360" s="4"/>
      <c r="EN1360" s="4"/>
      <c r="EO1360" s="4"/>
      <c r="EP1360" s="4"/>
      <c r="EQ1360" s="4"/>
      <c r="ER1360" s="4"/>
      <c r="ES1360" s="4"/>
      <c r="ET1360" s="4"/>
      <c r="EU1360" s="4"/>
      <c r="EV1360" s="4"/>
      <c r="EW1360" s="4"/>
      <c r="EX1360" s="4"/>
      <c r="EY1360" s="4"/>
      <c r="EZ1360" s="4"/>
      <c r="FA1360" s="4"/>
      <c r="FB1360" s="4"/>
      <c r="FC1360" s="4"/>
      <c r="FD1360" s="4"/>
      <c r="FE1360" s="4"/>
      <c r="FF1360" s="4"/>
      <c r="FG1360" s="4"/>
      <c r="FH1360" s="4"/>
      <c r="FI1360" s="4"/>
      <c r="FJ1360" s="4"/>
      <c r="FK1360" s="4"/>
      <c r="FL1360" s="4"/>
      <c r="FM1360" s="4"/>
      <c r="FN1360" s="4"/>
      <c r="FO1360" s="4"/>
      <c r="FP1360" s="4"/>
      <c r="FQ1360" s="4"/>
      <c r="FR1360" s="4"/>
      <c r="FS1360" s="4"/>
      <c r="FT1360" s="4"/>
      <c r="FU1360" s="4"/>
      <c r="FV1360" s="4"/>
      <c r="FW1360" s="4"/>
      <c r="FX1360" s="4"/>
      <c r="FY1360" s="4"/>
      <c r="FZ1360" s="4"/>
      <c r="GA1360" s="4"/>
      <c r="GB1360" s="4"/>
      <c r="GC1360" s="4"/>
      <c r="GD1360" s="4"/>
      <c r="GE1360" s="4"/>
      <c r="GF1360" s="4"/>
      <c r="GG1360" s="4"/>
      <c r="GH1360" s="4"/>
    </row>
    <row r="1361">
      <c r="A1361" s="2" t="s">
        <v>7409</v>
      </c>
      <c r="B1361" s="2" t="s">
        <v>744</v>
      </c>
      <c r="C1361" s="2" t="s">
        <v>231</v>
      </c>
      <c r="D1361" s="2" t="s">
        <v>746</v>
      </c>
      <c r="E1361" s="2" t="s">
        <v>747</v>
      </c>
      <c r="F1361" s="2" t="s">
        <v>7397</v>
      </c>
      <c r="G1361" s="2" t="s">
        <v>7398</v>
      </c>
      <c r="H1361" s="2" t="s">
        <v>7399</v>
      </c>
      <c r="I1361" s="2" t="s">
        <v>7410</v>
      </c>
      <c r="J1361" s="2" t="s">
        <v>711</v>
      </c>
      <c r="K1361" s="2" t="s">
        <v>387</v>
      </c>
      <c r="L1361" s="3">
        <v>317.52</v>
      </c>
      <c r="M1361" s="3">
        <v>333.4</v>
      </c>
      <c r="N1361" s="3">
        <v>669</v>
      </c>
      <c r="O1361" s="2" t="s">
        <v>212</v>
      </c>
      <c r="P1361" s="2" t="s">
        <v>802</v>
      </c>
      <c r="Q1361" s="2" t="s">
        <v>206</v>
      </c>
      <c r="R1361" s="2" t="s">
        <v>200</v>
      </c>
      <c r="S1361" s="2" t="s">
        <v>200</v>
      </c>
      <c r="T1361" s="2" t="s">
        <v>200</v>
      </c>
      <c r="U1361" s="2" t="s">
        <v>677</v>
      </c>
      <c r="V1361" s="2" t="s">
        <v>616</v>
      </c>
      <c r="W1361" s="2" t="s">
        <v>419</v>
      </c>
      <c r="X1361" s="2" t="s">
        <v>200</v>
      </c>
      <c r="Y1361" s="2" t="s">
        <v>2487</v>
      </c>
      <c r="Z1361" s="4">
        <v>174</v>
      </c>
      <c r="AA1361" s="4">
        <f>=ROUNDDOWN(116,0)</f>
      </c>
      <c r="AB1361" s="5">
        <v>1.5</v>
      </c>
      <c r="AC1361" s="2" t="s">
        <v>200</v>
      </c>
      <c r="AD1361" s="4"/>
      <c r="AE1361" s="4"/>
      <c r="AF1361" s="6"/>
      <c r="AG1361" s="6"/>
      <c r="AH1361" s="7">
        <v>1</v>
      </c>
      <c r="AI1361" s="4"/>
      <c r="AJ1361" s="4">
        <f>=ROUNDDOWN({0},0)</f>
      </c>
      <c r="AK1361" s="5"/>
      <c r="AL1361" s="2" t="s">
        <v>200</v>
      </c>
      <c r="AM1361" s="4"/>
      <c r="AN1361" s="4"/>
      <c r="AO1361" s="7"/>
      <c r="AP1361" s="4"/>
      <c r="AQ1361" s="8"/>
      <c r="AR1361" s="4"/>
      <c r="AS1361" s="8"/>
      <c r="AT1361" s="7"/>
      <c r="AU1361" s="7"/>
      <c r="AV1361" s="4" t="s">
        <v>200</v>
      </c>
      <c r="AW1361" s="8" t="s">
        <v>200</v>
      </c>
      <c r="AX1361" s="4" t="s">
        <v>200</v>
      </c>
      <c r="AY1361" s="8" t="s">
        <v>200</v>
      </c>
      <c r="AZ1361" s="7" t="s">
        <v>200</v>
      </c>
      <c r="BA1361" s="7" t="s">
        <v>200</v>
      </c>
      <c r="BB1361" s="7" t="s">
        <v>200</v>
      </c>
      <c r="BC1361" s="4" t="s">
        <v>200</v>
      </c>
      <c r="BD1361" s="8" t="s">
        <v>200</v>
      </c>
      <c r="BE1361" s="4" t="s">
        <v>200</v>
      </c>
      <c r="BF1361" s="8" t="s">
        <v>200</v>
      </c>
      <c r="BG1361" s="7" t="s">
        <v>200</v>
      </c>
      <c r="BH1361" s="7" t="s">
        <v>200</v>
      </c>
      <c r="BI1361" s="7"/>
      <c r="BJ1361" s="4">
        <v>6</v>
      </c>
      <c r="BK1361" s="8">
        <v>1739.6</v>
      </c>
      <c r="BL1361" s="2" t="s">
        <v>303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7411</v>
      </c>
      <c r="BV1361" s="2" t="s">
        <v>200</v>
      </c>
      <c r="BW1361" s="2" t="s">
        <v>200</v>
      </c>
      <c r="BX1361" s="2" t="s">
        <v>620</v>
      </c>
      <c r="BY1361" s="2" t="s">
        <v>247</v>
      </c>
      <c r="BZ1361" s="2" t="s">
        <v>212</v>
      </c>
      <c r="CA1361" s="2" t="s">
        <v>2790</v>
      </c>
      <c r="CB1361" s="2" t="s">
        <v>7412</v>
      </c>
      <c r="CC1361" s="2" t="s">
        <v>213</v>
      </c>
      <c r="CD1361" s="2" t="s">
        <v>200</v>
      </c>
      <c r="CE1361" s="4"/>
      <c r="CF1361" s="4">
        <v>174</v>
      </c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  <c r="DE1361" s="4"/>
      <c r="DF1361" s="4"/>
      <c r="DG1361" s="4"/>
      <c r="DH1361" s="4"/>
      <c r="DI1361" s="4"/>
      <c r="DJ1361" s="4"/>
      <c r="DK1361" s="4"/>
      <c r="DL1361" s="4"/>
      <c r="DM1361" s="4"/>
      <c r="DN1361" s="4"/>
      <c r="DO1361" s="4"/>
      <c r="DP1361" s="4"/>
      <c r="DQ1361" s="4"/>
      <c r="DR1361" s="4"/>
      <c r="DS1361" s="4"/>
      <c r="DT1361" s="4"/>
      <c r="DU1361" s="4"/>
      <c r="DV1361" s="4"/>
      <c r="DW1361" s="4"/>
      <c r="DX1361" s="4"/>
      <c r="DY1361" s="4"/>
      <c r="DZ1361" s="4"/>
      <c r="EA1361" s="4"/>
      <c r="EB1361" s="4"/>
      <c r="EC1361" s="4"/>
      <c r="ED1361" s="4"/>
      <c r="EE1361" s="4"/>
      <c r="EF1361" s="4"/>
      <c r="EG1361" s="4"/>
      <c r="EH1361" s="4"/>
      <c r="EI1361" s="4"/>
      <c r="EJ1361" s="4"/>
      <c r="EK1361" s="4"/>
      <c r="EL1361" s="4"/>
      <c r="EM1361" s="4"/>
      <c r="EN1361" s="4"/>
      <c r="EO1361" s="4"/>
      <c r="EP1361" s="4"/>
      <c r="EQ1361" s="4"/>
      <c r="ER1361" s="4"/>
      <c r="ES1361" s="4"/>
      <c r="ET1361" s="4"/>
      <c r="EU1361" s="4"/>
      <c r="EV1361" s="4"/>
      <c r="EW1361" s="4"/>
      <c r="EX1361" s="4"/>
      <c r="EY1361" s="4"/>
      <c r="EZ1361" s="4"/>
      <c r="FA1361" s="4"/>
      <c r="FB1361" s="4"/>
      <c r="FC1361" s="4"/>
      <c r="FD1361" s="4"/>
      <c r="FE1361" s="4"/>
      <c r="FF1361" s="4"/>
      <c r="FG1361" s="4"/>
      <c r="FH1361" s="4"/>
      <c r="FI1361" s="4"/>
      <c r="FJ1361" s="4"/>
      <c r="FK1361" s="4"/>
      <c r="FL1361" s="4"/>
      <c r="FM1361" s="4"/>
      <c r="FN1361" s="4"/>
      <c r="FO1361" s="4"/>
      <c r="FP1361" s="4"/>
      <c r="FQ1361" s="4"/>
      <c r="FR1361" s="4"/>
      <c r="FS1361" s="4"/>
      <c r="FT1361" s="4"/>
      <c r="FU1361" s="4"/>
      <c r="FV1361" s="4"/>
      <c r="FW1361" s="4"/>
      <c r="FX1361" s="4"/>
      <c r="FY1361" s="4"/>
      <c r="FZ1361" s="4"/>
      <c r="GA1361" s="4"/>
      <c r="GB1361" s="4"/>
      <c r="GC1361" s="4"/>
      <c r="GD1361" s="4"/>
      <c r="GE1361" s="4"/>
      <c r="GF1361" s="4"/>
      <c r="GG1361" s="4"/>
      <c r="GH1361" s="4"/>
    </row>
    <row r="1362">
      <c r="A1362" s="2" t="s">
        <v>7413</v>
      </c>
      <c r="B1362" s="2" t="s">
        <v>744</v>
      </c>
      <c r="C1362" s="2" t="s">
        <v>231</v>
      </c>
      <c r="D1362" s="2" t="s">
        <v>746</v>
      </c>
      <c r="E1362" s="2" t="s">
        <v>7396</v>
      </c>
      <c r="F1362" s="2" t="s">
        <v>7397</v>
      </c>
      <c r="G1362" s="2" t="s">
        <v>7398</v>
      </c>
      <c r="H1362" s="2" t="s">
        <v>7399</v>
      </c>
      <c r="I1362" s="2" t="s">
        <v>7414</v>
      </c>
      <c r="J1362" s="2" t="s">
        <v>711</v>
      </c>
      <c r="K1362" s="2" t="s">
        <v>5554</v>
      </c>
      <c r="L1362" s="3">
        <v>335.16</v>
      </c>
      <c r="M1362" s="3">
        <v>351.92</v>
      </c>
      <c r="N1362" s="3">
        <v>709</v>
      </c>
      <c r="O1362" s="2" t="s">
        <v>212</v>
      </c>
      <c r="P1362" s="2" t="s">
        <v>802</v>
      </c>
      <c r="Q1362" s="2" t="s">
        <v>206</v>
      </c>
      <c r="R1362" s="2" t="s">
        <v>200</v>
      </c>
      <c r="S1362" s="2" t="s">
        <v>200</v>
      </c>
      <c r="T1362" s="2" t="s">
        <v>200</v>
      </c>
      <c r="U1362" s="2" t="s">
        <v>677</v>
      </c>
      <c r="V1362" s="2" t="s">
        <v>208</v>
      </c>
      <c r="W1362" s="2" t="s">
        <v>419</v>
      </c>
      <c r="X1362" s="2" t="s">
        <v>379</v>
      </c>
      <c r="Y1362" s="2" t="s">
        <v>7415</v>
      </c>
      <c r="Z1362" s="4">
        <v>142</v>
      </c>
      <c r="AA1362" s="4">
        <f>=ROUNDDOWN(94.6666666666667,0)</f>
      </c>
      <c r="AB1362" s="5">
        <v>1.5</v>
      </c>
      <c r="AC1362" s="2" t="s">
        <v>200</v>
      </c>
      <c r="AD1362" s="4"/>
      <c r="AE1362" s="4"/>
      <c r="AF1362" s="6"/>
      <c r="AG1362" s="6"/>
      <c r="AH1362" s="7">
        <v>1</v>
      </c>
      <c r="AI1362" s="4"/>
      <c r="AJ1362" s="4">
        <f>=ROUNDDOWN({0},0)</f>
      </c>
      <c r="AK1362" s="5"/>
      <c r="AL1362" s="2" t="s">
        <v>200</v>
      </c>
      <c r="AM1362" s="4"/>
      <c r="AN1362" s="4"/>
      <c r="AO1362" s="7"/>
      <c r="AP1362" s="4"/>
      <c r="AQ1362" s="8"/>
      <c r="AR1362" s="4"/>
      <c r="AS1362" s="8"/>
      <c r="AT1362" s="7"/>
      <c r="AU1362" s="7"/>
      <c r="AV1362" s="4"/>
      <c r="AW1362" s="8"/>
      <c r="AX1362" s="4"/>
      <c r="AY1362" s="8"/>
      <c r="AZ1362" s="7"/>
      <c r="BA1362" s="7"/>
      <c r="BB1362" s="7"/>
      <c r="BC1362" s="4" t="s">
        <v>200</v>
      </c>
      <c r="BD1362" s="8" t="s">
        <v>200</v>
      </c>
      <c r="BE1362" s="4" t="s">
        <v>200</v>
      </c>
      <c r="BF1362" s="8" t="s">
        <v>200</v>
      </c>
      <c r="BG1362" s="7" t="s">
        <v>200</v>
      </c>
      <c r="BH1362" s="7" t="s">
        <v>200</v>
      </c>
      <c r="BI1362" s="7"/>
      <c r="BJ1362" s="4">
        <v>6</v>
      </c>
      <c r="BK1362" s="8">
        <v>1834.85</v>
      </c>
      <c r="BL1362" s="2" t="s">
        <v>303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7416</v>
      </c>
      <c r="BV1362" s="2" t="s">
        <v>200</v>
      </c>
      <c r="BW1362" s="2" t="s">
        <v>200</v>
      </c>
      <c r="BX1362" s="2" t="s">
        <v>620</v>
      </c>
      <c r="BY1362" s="2" t="s">
        <v>247</v>
      </c>
      <c r="BZ1362" s="2" t="s">
        <v>212</v>
      </c>
      <c r="CA1362" s="2" t="s">
        <v>2790</v>
      </c>
      <c r="CB1362" s="2" t="s">
        <v>7417</v>
      </c>
      <c r="CC1362" s="2" t="s">
        <v>213</v>
      </c>
      <c r="CD1362" s="2" t="s">
        <v>200</v>
      </c>
      <c r="CE1362" s="4"/>
      <c r="CF1362" s="4">
        <v>142</v>
      </c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  <c r="DD1362" s="4"/>
      <c r="DE1362" s="4"/>
      <c r="DF1362" s="4"/>
      <c r="DG1362" s="4"/>
      <c r="DH1362" s="4"/>
      <c r="DI1362" s="4"/>
      <c r="DJ1362" s="4"/>
      <c r="DK1362" s="4"/>
      <c r="DL1362" s="4"/>
      <c r="DM1362" s="4"/>
      <c r="DN1362" s="4"/>
      <c r="DO1362" s="4"/>
      <c r="DP1362" s="4"/>
      <c r="DQ1362" s="4"/>
      <c r="DR1362" s="4"/>
      <c r="DS1362" s="4"/>
      <c r="DT1362" s="4"/>
      <c r="DU1362" s="4"/>
      <c r="DV1362" s="4"/>
      <c r="DW1362" s="4"/>
      <c r="DX1362" s="4"/>
      <c r="DY1362" s="4"/>
      <c r="DZ1362" s="4"/>
      <c r="EA1362" s="4"/>
      <c r="EB1362" s="4"/>
      <c r="EC1362" s="4"/>
      <c r="ED1362" s="4"/>
      <c r="EE1362" s="4"/>
      <c r="EF1362" s="4"/>
      <c r="EG1362" s="4"/>
      <c r="EH1362" s="4"/>
      <c r="EI1362" s="4"/>
      <c r="EJ1362" s="4"/>
      <c r="EK1362" s="4"/>
      <c r="EL1362" s="4"/>
      <c r="EM1362" s="4"/>
      <c r="EN1362" s="4"/>
      <c r="EO1362" s="4"/>
      <c r="EP1362" s="4"/>
      <c r="EQ1362" s="4"/>
      <c r="ER1362" s="4"/>
      <c r="ES1362" s="4"/>
      <c r="ET1362" s="4"/>
      <c r="EU1362" s="4"/>
      <c r="EV1362" s="4"/>
      <c r="EW1362" s="4"/>
      <c r="EX1362" s="4"/>
      <c r="EY1362" s="4"/>
      <c r="EZ1362" s="4"/>
      <c r="FA1362" s="4"/>
      <c r="FB1362" s="4"/>
      <c r="FC1362" s="4"/>
      <c r="FD1362" s="4"/>
      <c r="FE1362" s="4"/>
      <c r="FF1362" s="4"/>
      <c r="FG1362" s="4"/>
      <c r="FH1362" s="4"/>
      <c r="FI1362" s="4"/>
      <c r="FJ1362" s="4"/>
      <c r="FK1362" s="4"/>
      <c r="FL1362" s="4"/>
      <c r="FM1362" s="4"/>
      <c r="FN1362" s="4"/>
      <c r="FO1362" s="4"/>
      <c r="FP1362" s="4"/>
      <c r="FQ1362" s="4"/>
      <c r="FR1362" s="4"/>
      <c r="FS1362" s="4"/>
      <c r="FT1362" s="4"/>
      <c r="FU1362" s="4"/>
      <c r="FV1362" s="4"/>
      <c r="FW1362" s="4"/>
      <c r="FX1362" s="4"/>
      <c r="FY1362" s="4"/>
      <c r="FZ1362" s="4"/>
      <c r="GA1362" s="4"/>
      <c r="GB1362" s="4"/>
      <c r="GC1362" s="4"/>
      <c r="GD1362" s="4"/>
      <c r="GE1362" s="4"/>
      <c r="GF1362" s="4"/>
      <c r="GG1362" s="4"/>
      <c r="GH1362" s="4"/>
    </row>
    <row r="1363">
      <c r="A1363" s="2" t="s">
        <v>7418</v>
      </c>
      <c r="B1363" s="2" t="s">
        <v>903</v>
      </c>
      <c r="C1363" s="2" t="s">
        <v>4514</v>
      </c>
      <c r="D1363" s="2" t="s">
        <v>2228</v>
      </c>
      <c r="E1363" s="2" t="s">
        <v>2229</v>
      </c>
      <c r="F1363" s="2" t="s">
        <v>7419</v>
      </c>
      <c r="G1363" s="2" t="s">
        <v>7419</v>
      </c>
      <c r="H1363" s="2" t="s">
        <v>7419</v>
      </c>
      <c r="I1363" s="2" t="s">
        <v>2850</v>
      </c>
      <c r="J1363" s="2" t="s">
        <v>2175</v>
      </c>
      <c r="K1363" s="2" t="s">
        <v>221</v>
      </c>
      <c r="L1363" s="3">
        <v>21.66</v>
      </c>
      <c r="M1363" s="3">
        <v>22.74</v>
      </c>
      <c r="N1363" s="3">
        <v>69.99</v>
      </c>
      <c r="O1363" s="2" t="s">
        <v>212</v>
      </c>
      <c r="P1363" s="2" t="s">
        <v>285</v>
      </c>
      <c r="Q1363" s="2" t="s">
        <v>206</v>
      </c>
      <c r="R1363" s="2" t="s">
        <v>200</v>
      </c>
      <c r="S1363" s="2" t="s">
        <v>200</v>
      </c>
      <c r="T1363" s="2" t="s">
        <v>4544</v>
      </c>
      <c r="U1363" s="2" t="s">
        <v>200</v>
      </c>
      <c r="V1363" s="2" t="s">
        <v>1077</v>
      </c>
      <c r="W1363" s="2" t="s">
        <v>379</v>
      </c>
      <c r="X1363" s="2" t="s">
        <v>200</v>
      </c>
      <c r="Y1363" s="2" t="s">
        <v>7420</v>
      </c>
      <c r="Z1363" s="4">
        <v>150</v>
      </c>
      <c r="AA1363" s="4">
        <f>=ROUNDDOWN(150,0)</f>
      </c>
      <c r="AB1363" s="5">
        <v>1</v>
      </c>
      <c r="AC1363" s="2" t="s">
        <v>200</v>
      </c>
      <c r="AD1363" s="4"/>
      <c r="AE1363" s="4"/>
      <c r="AF1363" s="6">
        <v>65</v>
      </c>
      <c r="AG1363" s="6"/>
      <c r="AH1363" s="7">
        <v>1</v>
      </c>
      <c r="AI1363" s="4"/>
      <c r="AJ1363" s="4">
        <f>=ROUNDDOWN({0},0)</f>
      </c>
      <c r="AK1363" s="5"/>
      <c r="AL1363" s="2" t="s">
        <v>200</v>
      </c>
      <c r="AM1363" s="4"/>
      <c r="AN1363" s="4"/>
      <c r="AO1363" s="7"/>
      <c r="AP1363" s="4"/>
      <c r="AQ1363" s="8"/>
      <c r="AR1363" s="4"/>
      <c r="AS1363" s="8"/>
      <c r="AT1363" s="7"/>
      <c r="AU1363" s="7"/>
      <c r="AV1363" s="4"/>
      <c r="AW1363" s="8"/>
      <c r="AX1363" s="4"/>
      <c r="AY1363" s="8"/>
      <c r="AZ1363" s="7"/>
      <c r="BA1363" s="7"/>
      <c r="BB1363" s="7"/>
      <c r="BC1363" s="4"/>
      <c r="BD1363" s="8"/>
      <c r="BE1363" s="4"/>
      <c r="BF1363" s="8"/>
      <c r="BG1363" s="7"/>
      <c r="BH1363" s="7"/>
      <c r="BI1363" s="7"/>
      <c r="BJ1363" s="4">
        <v>2</v>
      </c>
      <c r="BK1363" s="8">
        <v>47.76</v>
      </c>
      <c r="BL1363" s="2" t="s">
        <v>421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7421</v>
      </c>
      <c r="BV1363" s="2" t="s">
        <v>200</v>
      </c>
      <c r="BW1363" s="2" t="s">
        <v>200</v>
      </c>
      <c r="BX1363" s="2" t="s">
        <v>289</v>
      </c>
      <c r="BY1363" s="2" t="s">
        <v>247</v>
      </c>
      <c r="BZ1363" s="2" t="s">
        <v>212</v>
      </c>
      <c r="CA1363" s="2" t="s">
        <v>1218</v>
      </c>
      <c r="CB1363" s="2" t="s">
        <v>4548</v>
      </c>
      <c r="CC1363" s="2" t="s">
        <v>213</v>
      </c>
      <c r="CD1363" s="2" t="s">
        <v>200</v>
      </c>
      <c r="CE1363" s="4">
        <v>150</v>
      </c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E1363" s="4"/>
      <c r="DF1363" s="4"/>
      <c r="DG1363" s="4"/>
      <c r="DH1363" s="4"/>
      <c r="DI1363" s="4"/>
      <c r="DJ1363" s="4"/>
      <c r="DK1363" s="4"/>
      <c r="DL1363" s="4"/>
      <c r="DM1363" s="4"/>
      <c r="DN1363" s="4"/>
      <c r="DO1363" s="4"/>
      <c r="DP1363" s="4"/>
      <c r="DQ1363" s="4"/>
      <c r="DR1363" s="4"/>
      <c r="DS1363" s="4"/>
      <c r="DT1363" s="4"/>
      <c r="DU1363" s="4"/>
      <c r="DV1363" s="4"/>
      <c r="DW1363" s="4"/>
      <c r="DX1363" s="4"/>
      <c r="DY1363" s="4"/>
      <c r="DZ1363" s="4"/>
      <c r="EA1363" s="4"/>
      <c r="EB1363" s="4"/>
      <c r="EC1363" s="4"/>
      <c r="ED1363" s="4"/>
      <c r="EE1363" s="4"/>
      <c r="EF1363" s="4"/>
      <c r="EG1363" s="4"/>
      <c r="EH1363" s="4"/>
      <c r="EI1363" s="4"/>
      <c r="EJ1363" s="4"/>
      <c r="EK1363" s="4"/>
      <c r="EL1363" s="4"/>
      <c r="EM1363" s="4"/>
      <c r="EN1363" s="4"/>
      <c r="EO1363" s="4"/>
      <c r="EP1363" s="4"/>
      <c r="EQ1363" s="4"/>
      <c r="ER1363" s="4"/>
      <c r="ES1363" s="4"/>
      <c r="ET1363" s="4"/>
      <c r="EU1363" s="4"/>
      <c r="EV1363" s="4"/>
      <c r="EW1363" s="4"/>
      <c r="EX1363" s="4"/>
      <c r="EY1363" s="4"/>
      <c r="EZ1363" s="4"/>
      <c r="FA1363" s="4"/>
      <c r="FB1363" s="4"/>
      <c r="FC1363" s="4"/>
      <c r="FD1363" s="4"/>
      <c r="FE1363" s="4"/>
      <c r="FF1363" s="4"/>
      <c r="FG1363" s="4"/>
      <c r="FH1363" s="4"/>
      <c r="FI1363" s="4"/>
      <c r="FJ1363" s="4"/>
      <c r="FK1363" s="4"/>
      <c r="FL1363" s="4"/>
      <c r="FM1363" s="4"/>
      <c r="FN1363" s="4"/>
      <c r="FO1363" s="4"/>
      <c r="FP1363" s="4"/>
      <c r="FQ1363" s="4"/>
      <c r="FR1363" s="4"/>
      <c r="FS1363" s="4"/>
      <c r="FT1363" s="4"/>
      <c r="FU1363" s="4"/>
      <c r="FV1363" s="4"/>
      <c r="FW1363" s="4"/>
      <c r="FX1363" s="4"/>
      <c r="FY1363" s="4"/>
      <c r="FZ1363" s="4"/>
      <c r="GA1363" s="4"/>
      <c r="GB1363" s="4"/>
      <c r="GC1363" s="4"/>
      <c r="GD1363" s="4"/>
      <c r="GE1363" s="4"/>
      <c r="GF1363" s="4"/>
      <c r="GG1363" s="4"/>
      <c r="GH1363" s="4"/>
    </row>
    <row r="1364">
      <c r="A1364" s="2" t="s">
        <v>7422</v>
      </c>
      <c r="B1364" s="2" t="s">
        <v>903</v>
      </c>
      <c r="C1364" s="2" t="s">
        <v>607</v>
      </c>
      <c r="D1364" s="2" t="s">
        <v>608</v>
      </c>
      <c r="E1364" s="2" t="s">
        <v>609</v>
      </c>
      <c r="F1364" s="2" t="s">
        <v>7423</v>
      </c>
      <c r="G1364" s="2" t="s">
        <v>7423</v>
      </c>
      <c r="H1364" s="2" t="s">
        <v>7423</v>
      </c>
      <c r="I1364" s="2" t="s">
        <v>7424</v>
      </c>
      <c r="J1364" s="2" t="s">
        <v>612</v>
      </c>
      <c r="K1364" s="2" t="s">
        <v>1928</v>
      </c>
      <c r="L1364" s="3">
        <v>150</v>
      </c>
      <c r="M1364" s="3">
        <v>157.5</v>
      </c>
      <c r="N1364" s="3">
        <v>299.99</v>
      </c>
      <c r="O1364" s="2" t="s">
        <v>212</v>
      </c>
      <c r="P1364" s="2" t="s">
        <v>205</v>
      </c>
      <c r="Q1364" s="2" t="s">
        <v>206</v>
      </c>
      <c r="R1364" s="2" t="s">
        <v>200</v>
      </c>
      <c r="S1364" s="2" t="s">
        <v>7425</v>
      </c>
      <c r="T1364" s="2" t="s">
        <v>2935</v>
      </c>
      <c r="U1364" s="2" t="s">
        <v>689</v>
      </c>
      <c r="V1364" s="2" t="s">
        <v>885</v>
      </c>
      <c r="W1364" s="2" t="s">
        <v>736</v>
      </c>
      <c r="X1364" s="2" t="s">
        <v>242</v>
      </c>
      <c r="Y1364" s="2" t="s">
        <v>6631</v>
      </c>
      <c r="Z1364" s="4">
        <v>124</v>
      </c>
      <c r="AA1364" s="4">
        <f>=ROUNDDOWN(41.3333333333333,0)</f>
      </c>
      <c r="AB1364" s="5">
        <v>3</v>
      </c>
      <c r="AC1364" s="2" t="s">
        <v>200</v>
      </c>
      <c r="AD1364" s="4"/>
      <c r="AE1364" s="4"/>
      <c r="AF1364" s="6">
        <v>67</v>
      </c>
      <c r="AG1364" s="6"/>
      <c r="AH1364" s="7">
        <v>1</v>
      </c>
      <c r="AI1364" s="4"/>
      <c r="AJ1364" s="4">
        <f>=ROUNDDOWN({0},0)</f>
      </c>
      <c r="AK1364" s="5"/>
      <c r="AL1364" s="2" t="s">
        <v>200</v>
      </c>
      <c r="AM1364" s="4"/>
      <c r="AN1364" s="4"/>
      <c r="AO1364" s="7"/>
      <c r="AP1364" s="4"/>
      <c r="AQ1364" s="8"/>
      <c r="AR1364" s="4"/>
      <c r="AS1364" s="8"/>
      <c r="AT1364" s="7"/>
      <c r="AU1364" s="7"/>
      <c r="AV1364" s="4"/>
      <c r="AW1364" s="8"/>
      <c r="AX1364" s="4"/>
      <c r="AY1364" s="8"/>
      <c r="AZ1364" s="7"/>
      <c r="BA1364" s="7"/>
      <c r="BB1364" s="7"/>
      <c r="BC1364" s="4"/>
      <c r="BD1364" s="8"/>
      <c r="BE1364" s="4"/>
      <c r="BF1364" s="8"/>
      <c r="BG1364" s="7"/>
      <c r="BH1364" s="7"/>
      <c r="BI1364" s="7"/>
      <c r="BJ1364" s="4">
        <v>3</v>
      </c>
      <c r="BK1364" s="8">
        <v>515.1</v>
      </c>
      <c r="BL1364" s="2" t="s">
        <v>1491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7426</v>
      </c>
      <c r="BV1364" s="2" t="s">
        <v>200</v>
      </c>
      <c r="BW1364" s="2" t="s">
        <v>200</v>
      </c>
      <c r="BX1364" s="2" t="s">
        <v>264</v>
      </c>
      <c r="BY1364" s="2" t="s">
        <v>247</v>
      </c>
      <c r="BZ1364" s="2" t="s">
        <v>212</v>
      </c>
      <c r="CA1364" s="2" t="s">
        <v>6084</v>
      </c>
      <c r="CB1364" s="2" t="s">
        <v>200</v>
      </c>
      <c r="CC1364" s="2" t="s">
        <v>7427</v>
      </c>
      <c r="CD1364" s="2" t="s">
        <v>200</v>
      </c>
      <c r="CE1364" s="4">
        <v>124</v>
      </c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  <c r="DE1364" s="4"/>
      <c r="DF1364" s="4"/>
      <c r="DG1364" s="4"/>
      <c r="DH1364" s="4"/>
      <c r="DI1364" s="4"/>
      <c r="DJ1364" s="4"/>
      <c r="DK1364" s="4"/>
      <c r="DL1364" s="4"/>
      <c r="DM1364" s="4"/>
      <c r="DN1364" s="4"/>
      <c r="DO1364" s="4"/>
      <c r="DP1364" s="4"/>
      <c r="DQ1364" s="4"/>
      <c r="DR1364" s="4"/>
      <c r="DS1364" s="4"/>
      <c r="DT1364" s="4"/>
      <c r="DU1364" s="4"/>
      <c r="DV1364" s="4"/>
      <c r="DW1364" s="4"/>
      <c r="DX1364" s="4"/>
      <c r="DY1364" s="4"/>
      <c r="DZ1364" s="4"/>
      <c r="EA1364" s="4"/>
      <c r="EB1364" s="4"/>
      <c r="EC1364" s="4"/>
      <c r="ED1364" s="4"/>
      <c r="EE1364" s="4"/>
      <c r="EF1364" s="4"/>
      <c r="EG1364" s="4"/>
      <c r="EH1364" s="4"/>
      <c r="EI1364" s="4"/>
      <c r="EJ1364" s="4"/>
      <c r="EK1364" s="4"/>
      <c r="EL1364" s="4"/>
      <c r="EM1364" s="4"/>
      <c r="EN1364" s="4"/>
      <c r="EO1364" s="4"/>
      <c r="EP1364" s="4"/>
      <c r="EQ1364" s="4"/>
      <c r="ER1364" s="4"/>
      <c r="ES1364" s="4"/>
      <c r="ET1364" s="4"/>
      <c r="EU1364" s="4"/>
      <c r="EV1364" s="4"/>
      <c r="EW1364" s="4"/>
      <c r="EX1364" s="4"/>
      <c r="EY1364" s="4"/>
      <c r="EZ1364" s="4"/>
      <c r="FA1364" s="4"/>
      <c r="FB1364" s="4"/>
      <c r="FC1364" s="4"/>
      <c r="FD1364" s="4"/>
      <c r="FE1364" s="4"/>
      <c r="FF1364" s="4"/>
      <c r="FG1364" s="4"/>
      <c r="FH1364" s="4"/>
      <c r="FI1364" s="4"/>
      <c r="FJ1364" s="4"/>
      <c r="FK1364" s="4"/>
      <c r="FL1364" s="4"/>
      <c r="FM1364" s="4"/>
      <c r="FN1364" s="4"/>
      <c r="FO1364" s="4"/>
      <c r="FP1364" s="4"/>
      <c r="FQ1364" s="4"/>
      <c r="FR1364" s="4"/>
      <c r="FS1364" s="4"/>
      <c r="FT1364" s="4"/>
      <c r="FU1364" s="4"/>
      <c r="FV1364" s="4"/>
      <c r="FW1364" s="4"/>
      <c r="FX1364" s="4"/>
      <c r="FY1364" s="4"/>
      <c r="FZ1364" s="4"/>
      <c r="GA1364" s="4"/>
      <c r="GB1364" s="4"/>
      <c r="GC1364" s="4"/>
      <c r="GD1364" s="4"/>
      <c r="GE1364" s="4"/>
      <c r="GF1364" s="4"/>
      <c r="GG1364" s="4"/>
      <c r="GH1364" s="4"/>
    </row>
    <row r="1365">
      <c r="A1365" s="2" t="s">
        <v>7428</v>
      </c>
      <c r="B1365" s="2" t="s">
        <v>719</v>
      </c>
      <c r="C1365" s="2" t="s">
        <v>231</v>
      </c>
      <c r="D1365" s="2" t="s">
        <v>1554</v>
      </c>
      <c r="E1365" s="2" t="s">
        <v>721</v>
      </c>
      <c r="F1365" s="2" t="s">
        <v>7429</v>
      </c>
      <c r="G1365" s="2" t="s">
        <v>7429</v>
      </c>
      <c r="H1365" s="2" t="s">
        <v>7429</v>
      </c>
      <c r="I1365" s="2" t="s">
        <v>7430</v>
      </c>
      <c r="J1365" s="2" t="s">
        <v>711</v>
      </c>
      <c r="K1365" s="2" t="s">
        <v>7431</v>
      </c>
      <c r="L1365" s="3">
        <v>14</v>
      </c>
      <c r="M1365" s="3">
        <v>14.7</v>
      </c>
      <c r="N1365" s="3">
        <v>34.99</v>
      </c>
      <c r="O1365" s="2" t="s">
        <v>212</v>
      </c>
      <c r="P1365" s="2" t="s">
        <v>750</v>
      </c>
      <c r="Q1365" s="2" t="s">
        <v>206</v>
      </c>
      <c r="R1365" s="2" t="s">
        <v>200</v>
      </c>
      <c r="S1365" s="2" t="s">
        <v>200</v>
      </c>
      <c r="T1365" s="2" t="s">
        <v>200</v>
      </c>
      <c r="U1365" s="2" t="s">
        <v>270</v>
      </c>
      <c r="V1365" s="2" t="s">
        <v>1726</v>
      </c>
      <c r="W1365" s="2" t="s">
        <v>241</v>
      </c>
      <c r="X1365" s="2" t="s">
        <v>1271</v>
      </c>
      <c r="Y1365" s="2" t="s">
        <v>1734</v>
      </c>
      <c r="Z1365" s="4">
        <v>203</v>
      </c>
      <c r="AA1365" s="4">
        <f>=ROUNDDOWN(225.555555555556,0)</f>
      </c>
      <c r="AB1365" s="5">
        <v>0.9</v>
      </c>
      <c r="AC1365" s="2" t="s">
        <v>200</v>
      </c>
      <c r="AD1365" s="4"/>
      <c r="AE1365" s="4"/>
      <c r="AF1365" s="6">
        <v>61</v>
      </c>
      <c r="AG1365" s="6"/>
      <c r="AH1365" s="7">
        <v>1</v>
      </c>
      <c r="AI1365" s="4"/>
      <c r="AJ1365" s="4">
        <f>=ROUNDDOWN({0},0)</f>
      </c>
      <c r="AK1365" s="5"/>
      <c r="AL1365" s="2" t="s">
        <v>200</v>
      </c>
      <c r="AM1365" s="4"/>
      <c r="AN1365" s="4"/>
      <c r="AO1365" s="7"/>
      <c r="AP1365" s="4"/>
      <c r="AQ1365" s="8"/>
      <c r="AR1365" s="4"/>
      <c r="AS1365" s="8"/>
      <c r="AT1365" s="7"/>
      <c r="AU1365" s="7"/>
      <c r="AV1365" s="4"/>
      <c r="AW1365" s="8"/>
      <c r="AX1365" s="4"/>
      <c r="AY1365" s="8"/>
      <c r="AZ1365" s="7"/>
      <c r="BA1365" s="7"/>
      <c r="BB1365" s="7"/>
      <c r="BC1365" s="4" t="s">
        <v>200</v>
      </c>
      <c r="BD1365" s="8" t="s">
        <v>200</v>
      </c>
      <c r="BE1365" s="4" t="s">
        <v>200</v>
      </c>
      <c r="BF1365" s="8" t="s">
        <v>200</v>
      </c>
      <c r="BG1365" s="7" t="s">
        <v>200</v>
      </c>
      <c r="BH1365" s="7" t="s">
        <v>200</v>
      </c>
      <c r="BI1365" s="7"/>
      <c r="BJ1365" s="4">
        <v>5</v>
      </c>
      <c r="BK1365" s="8">
        <v>99.81</v>
      </c>
      <c r="BL1365" s="2" t="s">
        <v>7432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7433</v>
      </c>
      <c r="BV1365" s="2" t="s">
        <v>200</v>
      </c>
      <c r="BW1365" s="2" t="s">
        <v>200</v>
      </c>
      <c r="BX1365" s="2" t="s">
        <v>264</v>
      </c>
      <c r="BY1365" s="2" t="s">
        <v>247</v>
      </c>
      <c r="BZ1365" s="2" t="s">
        <v>212</v>
      </c>
      <c r="CA1365" s="2" t="s">
        <v>1730</v>
      </c>
      <c r="CB1365" s="2" t="s">
        <v>200</v>
      </c>
      <c r="CC1365" s="2" t="s">
        <v>213</v>
      </c>
      <c r="CD1365" s="2" t="s">
        <v>200</v>
      </c>
      <c r="CE1365" s="4"/>
      <c r="CF1365" s="4">
        <v>203</v>
      </c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E1365" s="4"/>
      <c r="DF1365" s="4"/>
      <c r="DG1365" s="4"/>
      <c r="DH1365" s="4"/>
      <c r="DI1365" s="4"/>
      <c r="DJ1365" s="4"/>
      <c r="DK1365" s="4"/>
      <c r="DL1365" s="4"/>
      <c r="DM1365" s="4"/>
      <c r="DN1365" s="4"/>
      <c r="DO1365" s="4"/>
      <c r="DP1365" s="4"/>
      <c r="DQ1365" s="4"/>
      <c r="DR1365" s="4"/>
      <c r="DS1365" s="4"/>
      <c r="DT1365" s="4"/>
      <c r="DU1365" s="4"/>
      <c r="DV1365" s="4"/>
      <c r="DW1365" s="4"/>
      <c r="DX1365" s="4"/>
      <c r="DY1365" s="4"/>
      <c r="DZ1365" s="4"/>
      <c r="EA1365" s="4"/>
      <c r="EB1365" s="4"/>
      <c r="EC1365" s="4"/>
      <c r="ED1365" s="4"/>
      <c r="EE1365" s="4"/>
      <c r="EF1365" s="4"/>
      <c r="EG1365" s="4"/>
      <c r="EH1365" s="4"/>
      <c r="EI1365" s="4"/>
      <c r="EJ1365" s="4"/>
      <c r="EK1365" s="4"/>
      <c r="EL1365" s="4"/>
      <c r="EM1365" s="4"/>
      <c r="EN1365" s="4"/>
      <c r="EO1365" s="4"/>
      <c r="EP1365" s="4"/>
      <c r="EQ1365" s="4"/>
      <c r="ER1365" s="4"/>
      <c r="ES1365" s="4"/>
      <c r="ET1365" s="4"/>
      <c r="EU1365" s="4"/>
      <c r="EV1365" s="4"/>
      <c r="EW1365" s="4"/>
      <c r="EX1365" s="4"/>
      <c r="EY1365" s="4"/>
      <c r="EZ1365" s="4"/>
      <c r="FA1365" s="4"/>
      <c r="FB1365" s="4"/>
      <c r="FC1365" s="4"/>
      <c r="FD1365" s="4"/>
      <c r="FE1365" s="4"/>
      <c r="FF1365" s="4"/>
      <c r="FG1365" s="4"/>
      <c r="FH1365" s="4"/>
      <c r="FI1365" s="4"/>
      <c r="FJ1365" s="4"/>
      <c r="FK1365" s="4"/>
      <c r="FL1365" s="4"/>
      <c r="FM1365" s="4"/>
      <c r="FN1365" s="4"/>
      <c r="FO1365" s="4"/>
      <c r="FP1365" s="4"/>
      <c r="FQ1365" s="4"/>
      <c r="FR1365" s="4"/>
      <c r="FS1365" s="4"/>
      <c r="FT1365" s="4"/>
      <c r="FU1365" s="4"/>
      <c r="FV1365" s="4"/>
      <c r="FW1365" s="4"/>
      <c r="FX1365" s="4"/>
      <c r="FY1365" s="4"/>
      <c r="FZ1365" s="4"/>
      <c r="GA1365" s="4"/>
      <c r="GB1365" s="4"/>
      <c r="GC1365" s="4"/>
      <c r="GD1365" s="4"/>
      <c r="GE1365" s="4"/>
      <c r="GF1365" s="4"/>
      <c r="GG1365" s="4"/>
      <c r="GH1365" s="4"/>
    </row>
    <row r="1366">
      <c r="A1366" s="2" t="s">
        <v>7434</v>
      </c>
      <c r="B1366" s="2" t="s">
        <v>719</v>
      </c>
      <c r="C1366" s="2" t="s">
        <v>231</v>
      </c>
      <c r="D1366" s="2" t="s">
        <v>1554</v>
      </c>
      <c r="E1366" s="2" t="s">
        <v>721</v>
      </c>
      <c r="F1366" s="2" t="s">
        <v>7429</v>
      </c>
      <c r="G1366" s="2" t="s">
        <v>7429</v>
      </c>
      <c r="H1366" s="2" t="s">
        <v>7429</v>
      </c>
      <c r="I1366" s="2" t="s">
        <v>7435</v>
      </c>
      <c r="J1366" s="2" t="s">
        <v>711</v>
      </c>
      <c r="K1366" s="2" t="s">
        <v>7436</v>
      </c>
      <c r="L1366" s="3">
        <v>14</v>
      </c>
      <c r="M1366" s="3">
        <v>14.7</v>
      </c>
      <c r="N1366" s="3">
        <v>34.99</v>
      </c>
      <c r="O1366" s="2" t="s">
        <v>212</v>
      </c>
      <c r="P1366" s="2" t="s">
        <v>285</v>
      </c>
      <c r="Q1366" s="2" t="s">
        <v>206</v>
      </c>
      <c r="R1366" s="2" t="s">
        <v>200</v>
      </c>
      <c r="S1366" s="2" t="s">
        <v>200</v>
      </c>
      <c r="T1366" s="2" t="s">
        <v>200</v>
      </c>
      <c r="U1366" s="2" t="s">
        <v>270</v>
      </c>
      <c r="V1366" s="2" t="s">
        <v>1726</v>
      </c>
      <c r="W1366" s="2" t="s">
        <v>241</v>
      </c>
      <c r="X1366" s="2" t="s">
        <v>379</v>
      </c>
      <c r="Y1366" s="2" t="s">
        <v>1734</v>
      </c>
      <c r="Z1366" s="4">
        <v>126</v>
      </c>
      <c r="AA1366" s="4">
        <f>=ROUNDDOWN(126,0)</f>
      </c>
      <c r="AB1366" s="5">
        <v>1</v>
      </c>
      <c r="AC1366" s="2" t="s">
        <v>200</v>
      </c>
      <c r="AD1366" s="4"/>
      <c r="AE1366" s="4"/>
      <c r="AF1366" s="6">
        <v>63</v>
      </c>
      <c r="AG1366" s="6"/>
      <c r="AH1366" s="7">
        <v>1</v>
      </c>
      <c r="AI1366" s="4"/>
      <c r="AJ1366" s="4">
        <f>=ROUNDDOWN({0},0)</f>
      </c>
      <c r="AK1366" s="5"/>
      <c r="AL1366" s="2" t="s">
        <v>200</v>
      </c>
      <c r="AM1366" s="4"/>
      <c r="AN1366" s="4"/>
      <c r="AO1366" s="7"/>
      <c r="AP1366" s="4"/>
      <c r="AQ1366" s="8"/>
      <c r="AR1366" s="4"/>
      <c r="AS1366" s="8"/>
      <c r="AT1366" s="7"/>
      <c r="AU1366" s="7"/>
      <c r="AV1366" s="4"/>
      <c r="AW1366" s="8"/>
      <c r="AX1366" s="4"/>
      <c r="AY1366" s="8"/>
      <c r="AZ1366" s="7"/>
      <c r="BA1366" s="7"/>
      <c r="BB1366" s="7"/>
      <c r="BC1366" s="4" t="s">
        <v>200</v>
      </c>
      <c r="BD1366" s="8" t="s">
        <v>200</v>
      </c>
      <c r="BE1366" s="4" t="s">
        <v>200</v>
      </c>
      <c r="BF1366" s="8" t="s">
        <v>200</v>
      </c>
      <c r="BG1366" s="7" t="s">
        <v>200</v>
      </c>
      <c r="BH1366" s="7" t="s">
        <v>200</v>
      </c>
      <c r="BI1366" s="7"/>
      <c r="BJ1366" s="4"/>
      <c r="BK1366" s="8"/>
      <c r="BL1366" s="2" t="s">
        <v>1259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7437</v>
      </c>
      <c r="BV1366" s="2" t="s">
        <v>200</v>
      </c>
      <c r="BW1366" s="2" t="s">
        <v>200</v>
      </c>
      <c r="BX1366" s="2" t="s">
        <v>289</v>
      </c>
      <c r="BY1366" s="2" t="s">
        <v>247</v>
      </c>
      <c r="BZ1366" s="2" t="s">
        <v>212</v>
      </c>
      <c r="CA1366" s="2" t="s">
        <v>1730</v>
      </c>
      <c r="CB1366" s="2" t="s">
        <v>200</v>
      </c>
      <c r="CC1366" s="2" t="s">
        <v>213</v>
      </c>
      <c r="CD1366" s="2" t="s">
        <v>200</v>
      </c>
      <c r="CE1366" s="4"/>
      <c r="CF1366" s="4">
        <v>126</v>
      </c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  <c r="DE1366" s="4"/>
      <c r="DF1366" s="4"/>
      <c r="DG1366" s="4"/>
      <c r="DH1366" s="4"/>
      <c r="DI1366" s="4"/>
      <c r="DJ1366" s="4"/>
      <c r="DK1366" s="4"/>
      <c r="DL1366" s="4"/>
      <c r="DM1366" s="4"/>
      <c r="DN1366" s="4"/>
      <c r="DO1366" s="4"/>
      <c r="DP1366" s="4"/>
      <c r="DQ1366" s="4"/>
      <c r="DR1366" s="4"/>
      <c r="DS1366" s="4"/>
      <c r="DT1366" s="4"/>
      <c r="DU1366" s="4"/>
      <c r="DV1366" s="4"/>
      <c r="DW1366" s="4"/>
      <c r="DX1366" s="4"/>
      <c r="DY1366" s="4"/>
      <c r="DZ1366" s="4"/>
      <c r="EA1366" s="4"/>
      <c r="EB1366" s="4"/>
      <c r="EC1366" s="4"/>
      <c r="ED1366" s="4"/>
      <c r="EE1366" s="4"/>
      <c r="EF1366" s="4"/>
      <c r="EG1366" s="4"/>
      <c r="EH1366" s="4"/>
      <c r="EI1366" s="4"/>
      <c r="EJ1366" s="4"/>
      <c r="EK1366" s="4"/>
      <c r="EL1366" s="4"/>
      <c r="EM1366" s="4"/>
      <c r="EN1366" s="4"/>
      <c r="EO1366" s="4"/>
      <c r="EP1366" s="4"/>
      <c r="EQ1366" s="4"/>
      <c r="ER1366" s="4"/>
      <c r="ES1366" s="4"/>
      <c r="ET1366" s="4"/>
      <c r="EU1366" s="4"/>
      <c r="EV1366" s="4"/>
      <c r="EW1366" s="4"/>
      <c r="EX1366" s="4"/>
      <c r="EY1366" s="4"/>
      <c r="EZ1366" s="4"/>
      <c r="FA1366" s="4"/>
      <c r="FB1366" s="4"/>
      <c r="FC1366" s="4"/>
      <c r="FD1366" s="4"/>
      <c r="FE1366" s="4"/>
      <c r="FF1366" s="4"/>
      <c r="FG1366" s="4"/>
      <c r="FH1366" s="4"/>
      <c r="FI1366" s="4"/>
      <c r="FJ1366" s="4"/>
      <c r="FK1366" s="4"/>
      <c r="FL1366" s="4"/>
      <c r="FM1366" s="4"/>
      <c r="FN1366" s="4"/>
      <c r="FO1366" s="4"/>
      <c r="FP1366" s="4"/>
      <c r="FQ1366" s="4"/>
      <c r="FR1366" s="4"/>
      <c r="FS1366" s="4"/>
      <c r="FT1366" s="4"/>
      <c r="FU1366" s="4"/>
      <c r="FV1366" s="4"/>
      <c r="FW1366" s="4"/>
      <c r="FX1366" s="4"/>
      <c r="FY1366" s="4"/>
      <c r="FZ1366" s="4"/>
      <c r="GA1366" s="4"/>
      <c r="GB1366" s="4"/>
      <c r="GC1366" s="4"/>
      <c r="GD1366" s="4"/>
      <c r="GE1366" s="4"/>
      <c r="GF1366" s="4"/>
      <c r="GG1366" s="4"/>
      <c r="GH1366" s="4"/>
    </row>
    <row r="1367">
      <c r="A1367" s="2" t="s">
        <v>7438</v>
      </c>
      <c r="B1367" s="2" t="s">
        <v>719</v>
      </c>
      <c r="C1367" s="2" t="s">
        <v>231</v>
      </c>
      <c r="D1367" s="2" t="s">
        <v>1554</v>
      </c>
      <c r="E1367" s="2" t="s">
        <v>721</v>
      </c>
      <c r="F1367" s="2" t="s">
        <v>7429</v>
      </c>
      <c r="G1367" s="2" t="s">
        <v>7429</v>
      </c>
      <c r="H1367" s="2" t="s">
        <v>7429</v>
      </c>
      <c r="I1367" s="2" t="s">
        <v>7439</v>
      </c>
      <c r="J1367" s="2" t="s">
        <v>711</v>
      </c>
      <c r="K1367" s="2" t="s">
        <v>7440</v>
      </c>
      <c r="L1367" s="3">
        <v>14</v>
      </c>
      <c r="M1367" s="3">
        <v>14.7</v>
      </c>
      <c r="N1367" s="3">
        <v>34.99</v>
      </c>
      <c r="O1367" s="2" t="s">
        <v>212</v>
      </c>
      <c r="P1367" s="2" t="s">
        <v>285</v>
      </c>
      <c r="Q1367" s="2" t="s">
        <v>206</v>
      </c>
      <c r="R1367" s="2" t="s">
        <v>200</v>
      </c>
      <c r="S1367" s="2" t="s">
        <v>200</v>
      </c>
      <c r="T1367" s="2" t="s">
        <v>200</v>
      </c>
      <c r="U1367" s="2" t="s">
        <v>270</v>
      </c>
      <c r="V1367" s="2" t="s">
        <v>1726</v>
      </c>
      <c r="W1367" s="2" t="s">
        <v>241</v>
      </c>
      <c r="X1367" s="2" t="s">
        <v>419</v>
      </c>
      <c r="Y1367" s="2" t="s">
        <v>1734</v>
      </c>
      <c r="Z1367" s="4">
        <v>87</v>
      </c>
      <c r="AA1367" s="4">
        <f>=ROUNDDOWN(217.5,0)</f>
      </c>
      <c r="AB1367" s="5">
        <v>0.4</v>
      </c>
      <c r="AC1367" s="2" t="s">
        <v>200</v>
      </c>
      <c r="AD1367" s="4"/>
      <c r="AE1367" s="4"/>
      <c r="AF1367" s="6">
        <v>63</v>
      </c>
      <c r="AG1367" s="6"/>
      <c r="AH1367" s="7">
        <v>1</v>
      </c>
      <c r="AI1367" s="4"/>
      <c r="AJ1367" s="4">
        <f>=ROUNDDOWN({0},0)</f>
      </c>
      <c r="AK1367" s="5"/>
      <c r="AL1367" s="2" t="s">
        <v>200</v>
      </c>
      <c r="AM1367" s="4"/>
      <c r="AN1367" s="4"/>
      <c r="AO1367" s="7"/>
      <c r="AP1367" s="4"/>
      <c r="AQ1367" s="8"/>
      <c r="AR1367" s="4"/>
      <c r="AS1367" s="8"/>
      <c r="AT1367" s="7"/>
      <c r="AU1367" s="7"/>
      <c r="AV1367" s="4"/>
      <c r="AW1367" s="8"/>
      <c r="AX1367" s="4"/>
      <c r="AY1367" s="8"/>
      <c r="AZ1367" s="7"/>
      <c r="BA1367" s="7"/>
      <c r="BB1367" s="7"/>
      <c r="BC1367" s="4" t="s">
        <v>200</v>
      </c>
      <c r="BD1367" s="8" t="s">
        <v>200</v>
      </c>
      <c r="BE1367" s="4" t="s">
        <v>200</v>
      </c>
      <c r="BF1367" s="8" t="s">
        <v>200</v>
      </c>
      <c r="BG1367" s="7" t="s">
        <v>200</v>
      </c>
      <c r="BH1367" s="7" t="s">
        <v>200</v>
      </c>
      <c r="BI1367" s="7"/>
      <c r="BJ1367" s="4">
        <v>1</v>
      </c>
      <c r="BK1367" s="8">
        <v>16.46</v>
      </c>
      <c r="BL1367" s="2" t="s">
        <v>953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7441</v>
      </c>
      <c r="BV1367" s="2" t="s">
        <v>200</v>
      </c>
      <c r="BW1367" s="2" t="s">
        <v>200</v>
      </c>
      <c r="BX1367" s="2" t="s">
        <v>289</v>
      </c>
      <c r="BY1367" s="2" t="s">
        <v>247</v>
      </c>
      <c r="BZ1367" s="2" t="s">
        <v>212</v>
      </c>
      <c r="CA1367" s="2" t="s">
        <v>1730</v>
      </c>
      <c r="CB1367" s="2" t="s">
        <v>200</v>
      </c>
      <c r="CC1367" s="2" t="s">
        <v>213</v>
      </c>
      <c r="CD1367" s="2" t="s">
        <v>200</v>
      </c>
      <c r="CE1367" s="4"/>
      <c r="CF1367" s="4">
        <v>87</v>
      </c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  <c r="DE1367" s="4"/>
      <c r="DF1367" s="4"/>
      <c r="DG1367" s="4"/>
      <c r="DH1367" s="4"/>
      <c r="DI1367" s="4"/>
      <c r="DJ1367" s="4"/>
      <c r="DK1367" s="4"/>
      <c r="DL1367" s="4"/>
      <c r="DM1367" s="4"/>
      <c r="DN1367" s="4"/>
      <c r="DO1367" s="4"/>
      <c r="DP1367" s="4"/>
      <c r="DQ1367" s="4"/>
      <c r="DR1367" s="4"/>
      <c r="DS1367" s="4"/>
      <c r="DT1367" s="4"/>
      <c r="DU1367" s="4"/>
      <c r="DV1367" s="4"/>
      <c r="DW1367" s="4"/>
      <c r="DX1367" s="4"/>
      <c r="DY1367" s="4"/>
      <c r="DZ1367" s="4"/>
      <c r="EA1367" s="4"/>
      <c r="EB1367" s="4"/>
      <c r="EC1367" s="4"/>
      <c r="ED1367" s="4"/>
      <c r="EE1367" s="4"/>
      <c r="EF1367" s="4"/>
      <c r="EG1367" s="4"/>
      <c r="EH1367" s="4"/>
      <c r="EI1367" s="4"/>
      <c r="EJ1367" s="4"/>
      <c r="EK1367" s="4"/>
      <c r="EL1367" s="4"/>
      <c r="EM1367" s="4"/>
      <c r="EN1367" s="4"/>
      <c r="EO1367" s="4"/>
      <c r="EP1367" s="4"/>
      <c r="EQ1367" s="4"/>
      <c r="ER1367" s="4"/>
      <c r="ES1367" s="4"/>
      <c r="ET1367" s="4"/>
      <c r="EU1367" s="4"/>
      <c r="EV1367" s="4"/>
      <c r="EW1367" s="4"/>
      <c r="EX1367" s="4"/>
      <c r="EY1367" s="4"/>
      <c r="EZ1367" s="4"/>
      <c r="FA1367" s="4"/>
      <c r="FB1367" s="4"/>
      <c r="FC1367" s="4"/>
      <c r="FD1367" s="4"/>
      <c r="FE1367" s="4"/>
      <c r="FF1367" s="4"/>
      <c r="FG1367" s="4"/>
      <c r="FH1367" s="4"/>
      <c r="FI1367" s="4"/>
      <c r="FJ1367" s="4"/>
      <c r="FK1367" s="4"/>
      <c r="FL1367" s="4"/>
      <c r="FM1367" s="4"/>
      <c r="FN1367" s="4"/>
      <c r="FO1367" s="4"/>
      <c r="FP1367" s="4"/>
      <c r="FQ1367" s="4"/>
      <c r="FR1367" s="4"/>
      <c r="FS1367" s="4"/>
      <c r="FT1367" s="4"/>
      <c r="FU1367" s="4"/>
      <c r="FV1367" s="4"/>
      <c r="FW1367" s="4"/>
      <c r="FX1367" s="4"/>
      <c r="FY1367" s="4"/>
      <c r="FZ1367" s="4"/>
      <c r="GA1367" s="4"/>
      <c r="GB1367" s="4"/>
      <c r="GC1367" s="4"/>
      <c r="GD1367" s="4"/>
      <c r="GE1367" s="4"/>
      <c r="GF1367" s="4"/>
      <c r="GG1367" s="4"/>
      <c r="GH1367" s="4"/>
    </row>
    <row r="1368">
      <c r="A1368" s="2" t="s">
        <v>7442</v>
      </c>
      <c r="B1368" s="2" t="s">
        <v>719</v>
      </c>
      <c r="C1368" s="2" t="s">
        <v>231</v>
      </c>
      <c r="D1368" s="2" t="s">
        <v>1554</v>
      </c>
      <c r="E1368" s="2" t="s">
        <v>721</v>
      </c>
      <c r="F1368" s="2" t="s">
        <v>7429</v>
      </c>
      <c r="G1368" s="2" t="s">
        <v>7429</v>
      </c>
      <c r="H1368" s="2" t="s">
        <v>7429</v>
      </c>
      <c r="I1368" s="2" t="s">
        <v>7443</v>
      </c>
      <c r="J1368" s="2" t="s">
        <v>711</v>
      </c>
      <c r="K1368" s="2" t="s">
        <v>7444</v>
      </c>
      <c r="L1368" s="3">
        <v>14</v>
      </c>
      <c r="M1368" s="3">
        <v>14.7</v>
      </c>
      <c r="N1368" s="3">
        <v>34.99</v>
      </c>
      <c r="O1368" s="2" t="s">
        <v>212</v>
      </c>
      <c r="P1368" s="2" t="s">
        <v>285</v>
      </c>
      <c r="Q1368" s="2" t="s">
        <v>206</v>
      </c>
      <c r="R1368" s="2" t="s">
        <v>200</v>
      </c>
      <c r="S1368" s="2" t="s">
        <v>200</v>
      </c>
      <c r="T1368" s="2" t="s">
        <v>200</v>
      </c>
      <c r="U1368" s="2" t="s">
        <v>270</v>
      </c>
      <c r="V1368" s="2" t="s">
        <v>1726</v>
      </c>
      <c r="W1368" s="2" t="s">
        <v>241</v>
      </c>
      <c r="X1368" s="2" t="s">
        <v>419</v>
      </c>
      <c r="Y1368" s="2" t="s">
        <v>1734</v>
      </c>
      <c r="Z1368" s="4">
        <v>77</v>
      </c>
      <c r="AA1368" s="4">
        <f>=ROUNDDOWN(51.3333333333333,0)</f>
      </c>
      <c r="AB1368" s="5">
        <v>1.5</v>
      </c>
      <c r="AC1368" s="2" t="s">
        <v>200</v>
      </c>
      <c r="AD1368" s="4"/>
      <c r="AE1368" s="4"/>
      <c r="AF1368" s="6">
        <v>63</v>
      </c>
      <c r="AG1368" s="6"/>
      <c r="AH1368" s="7">
        <v>1</v>
      </c>
      <c r="AI1368" s="4"/>
      <c r="AJ1368" s="4">
        <f>=ROUNDDOWN({0},0)</f>
      </c>
      <c r="AK1368" s="5"/>
      <c r="AL1368" s="2" t="s">
        <v>200</v>
      </c>
      <c r="AM1368" s="4"/>
      <c r="AN1368" s="4"/>
      <c r="AO1368" s="7"/>
      <c r="AP1368" s="4"/>
      <c r="AQ1368" s="8"/>
      <c r="AR1368" s="4"/>
      <c r="AS1368" s="8"/>
      <c r="AT1368" s="7"/>
      <c r="AU1368" s="7"/>
      <c r="AV1368" s="4"/>
      <c r="AW1368" s="8"/>
      <c r="AX1368" s="4"/>
      <c r="AY1368" s="8"/>
      <c r="AZ1368" s="7"/>
      <c r="BA1368" s="7"/>
      <c r="BB1368" s="7"/>
      <c r="BC1368" s="4" t="s">
        <v>200</v>
      </c>
      <c r="BD1368" s="8" t="s">
        <v>200</v>
      </c>
      <c r="BE1368" s="4" t="s">
        <v>200</v>
      </c>
      <c r="BF1368" s="8" t="s">
        <v>200</v>
      </c>
      <c r="BG1368" s="7" t="s">
        <v>200</v>
      </c>
      <c r="BH1368" s="7" t="s">
        <v>200</v>
      </c>
      <c r="BI1368" s="7"/>
      <c r="BJ1368" s="4">
        <v>3</v>
      </c>
      <c r="BK1368" s="8">
        <v>75.42</v>
      </c>
      <c r="BL1368" s="2" t="s">
        <v>7445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7446</v>
      </c>
      <c r="BV1368" s="2" t="s">
        <v>200</v>
      </c>
      <c r="BW1368" s="2" t="s">
        <v>200</v>
      </c>
      <c r="BX1368" s="2" t="s">
        <v>289</v>
      </c>
      <c r="BY1368" s="2" t="s">
        <v>247</v>
      </c>
      <c r="BZ1368" s="2" t="s">
        <v>212</v>
      </c>
      <c r="CA1368" s="2" t="s">
        <v>1730</v>
      </c>
      <c r="CB1368" s="2" t="s">
        <v>200</v>
      </c>
      <c r="CC1368" s="2" t="s">
        <v>213</v>
      </c>
      <c r="CD1368" s="2" t="s">
        <v>200</v>
      </c>
      <c r="CE1368" s="4"/>
      <c r="CF1368" s="4">
        <v>77</v>
      </c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  <c r="DE1368" s="4"/>
      <c r="DF1368" s="4"/>
      <c r="DG1368" s="4"/>
      <c r="DH1368" s="4"/>
      <c r="DI1368" s="4"/>
      <c r="DJ1368" s="4"/>
      <c r="DK1368" s="4"/>
      <c r="DL1368" s="4"/>
      <c r="DM1368" s="4"/>
      <c r="DN1368" s="4"/>
      <c r="DO1368" s="4"/>
      <c r="DP1368" s="4"/>
      <c r="DQ1368" s="4"/>
      <c r="DR1368" s="4"/>
      <c r="DS1368" s="4"/>
      <c r="DT1368" s="4"/>
      <c r="DU1368" s="4"/>
      <c r="DV1368" s="4"/>
      <c r="DW1368" s="4"/>
      <c r="DX1368" s="4"/>
      <c r="DY1368" s="4"/>
      <c r="DZ1368" s="4"/>
      <c r="EA1368" s="4"/>
      <c r="EB1368" s="4"/>
      <c r="EC1368" s="4"/>
      <c r="ED1368" s="4"/>
      <c r="EE1368" s="4"/>
      <c r="EF1368" s="4"/>
      <c r="EG1368" s="4"/>
      <c r="EH1368" s="4"/>
      <c r="EI1368" s="4"/>
      <c r="EJ1368" s="4"/>
      <c r="EK1368" s="4"/>
      <c r="EL1368" s="4"/>
      <c r="EM1368" s="4"/>
      <c r="EN1368" s="4"/>
      <c r="EO1368" s="4"/>
      <c r="EP1368" s="4"/>
      <c r="EQ1368" s="4"/>
      <c r="ER1368" s="4"/>
      <c r="ES1368" s="4"/>
      <c r="ET1368" s="4"/>
      <c r="EU1368" s="4"/>
      <c r="EV1368" s="4"/>
      <c r="EW1368" s="4"/>
      <c r="EX1368" s="4"/>
      <c r="EY1368" s="4"/>
      <c r="EZ1368" s="4"/>
      <c r="FA1368" s="4"/>
      <c r="FB1368" s="4"/>
      <c r="FC1368" s="4"/>
      <c r="FD1368" s="4"/>
      <c r="FE1368" s="4"/>
      <c r="FF1368" s="4"/>
      <c r="FG1368" s="4"/>
      <c r="FH1368" s="4"/>
      <c r="FI1368" s="4"/>
      <c r="FJ1368" s="4"/>
      <c r="FK1368" s="4"/>
      <c r="FL1368" s="4"/>
      <c r="FM1368" s="4"/>
      <c r="FN1368" s="4"/>
      <c r="FO1368" s="4"/>
      <c r="FP1368" s="4"/>
      <c r="FQ1368" s="4"/>
      <c r="FR1368" s="4"/>
      <c r="FS1368" s="4"/>
      <c r="FT1368" s="4"/>
      <c r="FU1368" s="4"/>
      <c r="FV1368" s="4"/>
      <c r="FW1368" s="4"/>
      <c r="FX1368" s="4"/>
      <c r="FY1368" s="4"/>
      <c r="FZ1368" s="4"/>
      <c r="GA1368" s="4"/>
      <c r="GB1368" s="4"/>
      <c r="GC1368" s="4"/>
      <c r="GD1368" s="4"/>
      <c r="GE1368" s="4"/>
      <c r="GF1368" s="4"/>
      <c r="GG1368" s="4"/>
      <c r="GH1368" s="4"/>
    </row>
    <row r="1369">
      <c r="A1369" s="2" t="s">
        <v>7447</v>
      </c>
      <c r="B1369" s="2" t="s">
        <v>719</v>
      </c>
      <c r="C1369" s="2" t="s">
        <v>231</v>
      </c>
      <c r="D1369" s="2" t="s">
        <v>1554</v>
      </c>
      <c r="E1369" s="2" t="s">
        <v>721</v>
      </c>
      <c r="F1369" s="2" t="s">
        <v>7429</v>
      </c>
      <c r="G1369" s="2" t="s">
        <v>7429</v>
      </c>
      <c r="H1369" s="2" t="s">
        <v>7429</v>
      </c>
      <c r="I1369" s="2" t="s">
        <v>7448</v>
      </c>
      <c r="J1369" s="2" t="s">
        <v>711</v>
      </c>
      <c r="K1369" s="2" t="s">
        <v>7449</v>
      </c>
      <c r="L1369" s="3">
        <v>14</v>
      </c>
      <c r="M1369" s="3">
        <v>14.7</v>
      </c>
      <c r="N1369" s="3">
        <v>34.99</v>
      </c>
      <c r="O1369" s="2" t="s">
        <v>212</v>
      </c>
      <c r="P1369" s="2" t="s">
        <v>285</v>
      </c>
      <c r="Q1369" s="2" t="s">
        <v>206</v>
      </c>
      <c r="R1369" s="2" t="s">
        <v>200</v>
      </c>
      <c r="S1369" s="2" t="s">
        <v>200</v>
      </c>
      <c r="T1369" s="2" t="s">
        <v>200</v>
      </c>
      <c r="U1369" s="2" t="s">
        <v>270</v>
      </c>
      <c r="V1369" s="2" t="s">
        <v>1726</v>
      </c>
      <c r="W1369" s="2" t="s">
        <v>241</v>
      </c>
      <c r="X1369" s="2" t="s">
        <v>419</v>
      </c>
      <c r="Y1369" s="2" t="s">
        <v>1734</v>
      </c>
      <c r="Z1369" s="4">
        <v>62</v>
      </c>
      <c r="AA1369" s="4">
        <f>=ROUNDDOWN(31,0)</f>
      </c>
      <c r="AB1369" s="5">
        <v>2</v>
      </c>
      <c r="AC1369" s="2" t="s">
        <v>200</v>
      </c>
      <c r="AD1369" s="4"/>
      <c r="AE1369" s="4"/>
      <c r="AF1369" s="6">
        <v>63</v>
      </c>
      <c r="AG1369" s="6"/>
      <c r="AH1369" s="7">
        <v>1</v>
      </c>
      <c r="AI1369" s="4"/>
      <c r="AJ1369" s="4">
        <f>=ROUNDDOWN({0},0)</f>
      </c>
      <c r="AK1369" s="5"/>
      <c r="AL1369" s="2" t="s">
        <v>200</v>
      </c>
      <c r="AM1369" s="4"/>
      <c r="AN1369" s="4"/>
      <c r="AO1369" s="7"/>
      <c r="AP1369" s="4"/>
      <c r="AQ1369" s="8"/>
      <c r="AR1369" s="4"/>
      <c r="AS1369" s="8"/>
      <c r="AT1369" s="7"/>
      <c r="AU1369" s="7"/>
      <c r="AV1369" s="4"/>
      <c r="AW1369" s="8"/>
      <c r="AX1369" s="4"/>
      <c r="AY1369" s="8"/>
      <c r="AZ1369" s="7"/>
      <c r="BA1369" s="7"/>
      <c r="BB1369" s="7"/>
      <c r="BC1369" s="4" t="s">
        <v>200</v>
      </c>
      <c r="BD1369" s="8" t="s">
        <v>200</v>
      </c>
      <c r="BE1369" s="4" t="s">
        <v>200</v>
      </c>
      <c r="BF1369" s="8" t="s">
        <v>200</v>
      </c>
      <c r="BG1369" s="7" t="s">
        <v>200</v>
      </c>
      <c r="BH1369" s="7" t="s">
        <v>200</v>
      </c>
      <c r="BI1369" s="7"/>
      <c r="BJ1369" s="4">
        <v>3</v>
      </c>
      <c r="BK1369" s="8">
        <v>75.42</v>
      </c>
      <c r="BL1369" s="2" t="s">
        <v>7445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7450</v>
      </c>
      <c r="BV1369" s="2" t="s">
        <v>200</v>
      </c>
      <c r="BW1369" s="2" t="s">
        <v>200</v>
      </c>
      <c r="BX1369" s="2" t="s">
        <v>289</v>
      </c>
      <c r="BY1369" s="2" t="s">
        <v>247</v>
      </c>
      <c r="BZ1369" s="2" t="s">
        <v>212</v>
      </c>
      <c r="CA1369" s="2" t="s">
        <v>1730</v>
      </c>
      <c r="CB1369" s="2" t="s">
        <v>200</v>
      </c>
      <c r="CC1369" s="2" t="s">
        <v>213</v>
      </c>
      <c r="CD1369" s="2" t="s">
        <v>200</v>
      </c>
      <c r="CE1369" s="4"/>
      <c r="CF1369" s="4">
        <v>62</v>
      </c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  <c r="DD1369" s="4"/>
      <c r="DE1369" s="4"/>
      <c r="DF1369" s="4"/>
      <c r="DG1369" s="4"/>
      <c r="DH1369" s="4"/>
      <c r="DI1369" s="4"/>
      <c r="DJ1369" s="4"/>
      <c r="DK1369" s="4"/>
      <c r="DL1369" s="4"/>
      <c r="DM1369" s="4"/>
      <c r="DN1369" s="4"/>
      <c r="DO1369" s="4"/>
      <c r="DP1369" s="4"/>
      <c r="DQ1369" s="4"/>
      <c r="DR1369" s="4"/>
      <c r="DS1369" s="4"/>
      <c r="DT1369" s="4"/>
      <c r="DU1369" s="4"/>
      <c r="DV1369" s="4"/>
      <c r="DW1369" s="4"/>
      <c r="DX1369" s="4"/>
      <c r="DY1369" s="4"/>
      <c r="DZ1369" s="4"/>
      <c r="EA1369" s="4"/>
      <c r="EB1369" s="4"/>
      <c r="EC1369" s="4"/>
      <c r="ED1369" s="4"/>
      <c r="EE1369" s="4"/>
      <c r="EF1369" s="4"/>
      <c r="EG1369" s="4"/>
      <c r="EH1369" s="4"/>
      <c r="EI1369" s="4"/>
      <c r="EJ1369" s="4"/>
      <c r="EK1369" s="4"/>
      <c r="EL1369" s="4"/>
      <c r="EM1369" s="4"/>
      <c r="EN1369" s="4"/>
      <c r="EO1369" s="4"/>
      <c r="EP1369" s="4"/>
      <c r="EQ1369" s="4"/>
      <c r="ER1369" s="4"/>
      <c r="ES1369" s="4"/>
      <c r="ET1369" s="4"/>
      <c r="EU1369" s="4"/>
      <c r="EV1369" s="4"/>
      <c r="EW1369" s="4"/>
      <c r="EX1369" s="4"/>
      <c r="EY1369" s="4"/>
      <c r="EZ1369" s="4"/>
      <c r="FA1369" s="4"/>
      <c r="FB1369" s="4"/>
      <c r="FC1369" s="4"/>
      <c r="FD1369" s="4"/>
      <c r="FE1369" s="4"/>
      <c r="FF1369" s="4"/>
      <c r="FG1369" s="4"/>
      <c r="FH1369" s="4"/>
      <c r="FI1369" s="4"/>
      <c r="FJ1369" s="4"/>
      <c r="FK1369" s="4"/>
      <c r="FL1369" s="4"/>
      <c r="FM1369" s="4"/>
      <c r="FN1369" s="4"/>
      <c r="FO1369" s="4"/>
      <c r="FP1369" s="4"/>
      <c r="FQ1369" s="4"/>
      <c r="FR1369" s="4"/>
      <c r="FS1369" s="4"/>
      <c r="FT1369" s="4"/>
      <c r="FU1369" s="4"/>
      <c r="FV1369" s="4"/>
      <c r="FW1369" s="4"/>
      <c r="FX1369" s="4"/>
      <c r="FY1369" s="4"/>
      <c r="FZ1369" s="4"/>
      <c r="GA1369" s="4"/>
      <c r="GB1369" s="4"/>
      <c r="GC1369" s="4"/>
      <c r="GD1369" s="4"/>
      <c r="GE1369" s="4"/>
      <c r="GF1369" s="4"/>
      <c r="GG1369" s="4"/>
      <c r="GH1369" s="4"/>
    </row>
    <row r="1370">
      <c r="A1370" s="2" t="s">
        <v>7451</v>
      </c>
      <c r="B1370" s="2" t="s">
        <v>719</v>
      </c>
      <c r="C1370" s="2" t="s">
        <v>231</v>
      </c>
      <c r="D1370" s="2" t="s">
        <v>1554</v>
      </c>
      <c r="E1370" s="2" t="s">
        <v>721</v>
      </c>
      <c r="F1370" s="2" t="s">
        <v>7429</v>
      </c>
      <c r="G1370" s="2" t="s">
        <v>7429</v>
      </c>
      <c r="H1370" s="2" t="s">
        <v>7429</v>
      </c>
      <c r="I1370" s="2" t="s">
        <v>7452</v>
      </c>
      <c r="J1370" s="2" t="s">
        <v>711</v>
      </c>
      <c r="K1370" s="2" t="s">
        <v>7453</v>
      </c>
      <c r="L1370" s="3">
        <v>14</v>
      </c>
      <c r="M1370" s="3">
        <v>14.7</v>
      </c>
      <c r="N1370" s="3">
        <v>34.99</v>
      </c>
      <c r="O1370" s="2" t="s">
        <v>212</v>
      </c>
      <c r="P1370" s="2" t="s">
        <v>285</v>
      </c>
      <c r="Q1370" s="2" t="s">
        <v>206</v>
      </c>
      <c r="R1370" s="2" t="s">
        <v>200</v>
      </c>
      <c r="S1370" s="2" t="s">
        <v>200</v>
      </c>
      <c r="T1370" s="2" t="s">
        <v>200</v>
      </c>
      <c r="U1370" s="2" t="s">
        <v>270</v>
      </c>
      <c r="V1370" s="2" t="s">
        <v>1726</v>
      </c>
      <c r="W1370" s="2" t="s">
        <v>241</v>
      </c>
      <c r="X1370" s="2" t="s">
        <v>419</v>
      </c>
      <c r="Y1370" s="2" t="s">
        <v>1734</v>
      </c>
      <c r="Z1370" s="4">
        <v>98</v>
      </c>
      <c r="AA1370" s="4">
        <f>=ROUNDDOWN(49,0)</f>
      </c>
      <c r="AB1370" s="5">
        <v>2</v>
      </c>
      <c r="AC1370" s="2" t="s">
        <v>200</v>
      </c>
      <c r="AD1370" s="4"/>
      <c r="AE1370" s="4"/>
      <c r="AF1370" s="6">
        <v>63</v>
      </c>
      <c r="AG1370" s="6"/>
      <c r="AH1370" s="7">
        <v>1</v>
      </c>
      <c r="AI1370" s="4"/>
      <c r="AJ1370" s="4">
        <f>=ROUNDDOWN({0},0)</f>
      </c>
      <c r="AK1370" s="5"/>
      <c r="AL1370" s="2" t="s">
        <v>200</v>
      </c>
      <c r="AM1370" s="4"/>
      <c r="AN1370" s="4"/>
      <c r="AO1370" s="7"/>
      <c r="AP1370" s="4"/>
      <c r="AQ1370" s="8"/>
      <c r="AR1370" s="4"/>
      <c r="AS1370" s="8"/>
      <c r="AT1370" s="7"/>
      <c r="AU1370" s="7"/>
      <c r="AV1370" s="4"/>
      <c r="AW1370" s="8"/>
      <c r="AX1370" s="4"/>
      <c r="AY1370" s="8"/>
      <c r="AZ1370" s="7"/>
      <c r="BA1370" s="7"/>
      <c r="BB1370" s="7"/>
      <c r="BC1370" s="4" t="s">
        <v>200</v>
      </c>
      <c r="BD1370" s="8" t="s">
        <v>200</v>
      </c>
      <c r="BE1370" s="4" t="s">
        <v>200</v>
      </c>
      <c r="BF1370" s="8" t="s">
        <v>200</v>
      </c>
      <c r="BG1370" s="7" t="s">
        <v>200</v>
      </c>
      <c r="BH1370" s="7" t="s">
        <v>200</v>
      </c>
      <c r="BI1370" s="7"/>
      <c r="BJ1370" s="4">
        <v>4</v>
      </c>
      <c r="BK1370" s="8">
        <v>106.07</v>
      </c>
      <c r="BL1370" s="2" t="s">
        <v>958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7454</v>
      </c>
      <c r="BV1370" s="2" t="s">
        <v>200</v>
      </c>
      <c r="BW1370" s="2" t="s">
        <v>200</v>
      </c>
      <c r="BX1370" s="2" t="s">
        <v>289</v>
      </c>
      <c r="BY1370" s="2" t="s">
        <v>247</v>
      </c>
      <c r="BZ1370" s="2" t="s">
        <v>212</v>
      </c>
      <c r="CA1370" s="2" t="s">
        <v>1730</v>
      </c>
      <c r="CB1370" s="2" t="s">
        <v>200</v>
      </c>
      <c r="CC1370" s="2" t="s">
        <v>213</v>
      </c>
      <c r="CD1370" s="2" t="s">
        <v>200</v>
      </c>
      <c r="CE1370" s="4"/>
      <c r="CF1370" s="4">
        <v>98</v>
      </c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  <c r="DE1370" s="4"/>
      <c r="DF1370" s="4"/>
      <c r="DG1370" s="4"/>
      <c r="DH1370" s="4"/>
      <c r="DI1370" s="4"/>
      <c r="DJ1370" s="4"/>
      <c r="DK1370" s="4"/>
      <c r="DL1370" s="4"/>
      <c r="DM1370" s="4"/>
      <c r="DN1370" s="4"/>
      <c r="DO1370" s="4"/>
      <c r="DP1370" s="4"/>
      <c r="DQ1370" s="4"/>
      <c r="DR1370" s="4"/>
      <c r="DS1370" s="4"/>
      <c r="DT1370" s="4"/>
      <c r="DU1370" s="4"/>
      <c r="DV1370" s="4"/>
      <c r="DW1370" s="4"/>
      <c r="DX1370" s="4"/>
      <c r="DY1370" s="4"/>
      <c r="DZ1370" s="4"/>
      <c r="EA1370" s="4"/>
      <c r="EB1370" s="4"/>
      <c r="EC1370" s="4"/>
      <c r="ED1370" s="4"/>
      <c r="EE1370" s="4"/>
      <c r="EF1370" s="4"/>
      <c r="EG1370" s="4"/>
      <c r="EH1370" s="4"/>
      <c r="EI1370" s="4"/>
      <c r="EJ1370" s="4"/>
      <c r="EK1370" s="4"/>
      <c r="EL1370" s="4"/>
      <c r="EM1370" s="4"/>
      <c r="EN1370" s="4"/>
      <c r="EO1370" s="4"/>
      <c r="EP1370" s="4"/>
      <c r="EQ1370" s="4"/>
      <c r="ER1370" s="4"/>
      <c r="ES1370" s="4"/>
      <c r="ET1370" s="4"/>
      <c r="EU1370" s="4"/>
      <c r="EV1370" s="4"/>
      <c r="EW1370" s="4"/>
      <c r="EX1370" s="4"/>
      <c r="EY1370" s="4"/>
      <c r="EZ1370" s="4"/>
      <c r="FA1370" s="4"/>
      <c r="FB1370" s="4"/>
      <c r="FC1370" s="4"/>
      <c r="FD1370" s="4"/>
      <c r="FE1370" s="4"/>
      <c r="FF1370" s="4"/>
      <c r="FG1370" s="4"/>
      <c r="FH1370" s="4"/>
      <c r="FI1370" s="4"/>
      <c r="FJ1370" s="4"/>
      <c r="FK1370" s="4"/>
      <c r="FL1370" s="4"/>
      <c r="FM1370" s="4"/>
      <c r="FN1370" s="4"/>
      <c r="FO1370" s="4"/>
      <c r="FP1370" s="4"/>
      <c r="FQ1370" s="4"/>
      <c r="FR1370" s="4"/>
      <c r="FS1370" s="4"/>
      <c r="FT1370" s="4"/>
      <c r="FU1370" s="4"/>
      <c r="FV1370" s="4"/>
      <c r="FW1370" s="4"/>
      <c r="FX1370" s="4"/>
      <c r="FY1370" s="4"/>
      <c r="FZ1370" s="4"/>
      <c r="GA1370" s="4"/>
      <c r="GB1370" s="4"/>
      <c r="GC1370" s="4"/>
      <c r="GD1370" s="4"/>
      <c r="GE1370" s="4"/>
      <c r="GF1370" s="4"/>
      <c r="GG1370" s="4"/>
      <c r="GH1370" s="4"/>
    </row>
    <row r="1371">
      <c r="A1371" s="2" t="s">
        <v>7455</v>
      </c>
      <c r="B1371" s="2" t="s">
        <v>719</v>
      </c>
      <c r="C1371" s="2" t="s">
        <v>231</v>
      </c>
      <c r="D1371" s="2" t="s">
        <v>1554</v>
      </c>
      <c r="E1371" s="2" t="s">
        <v>721</v>
      </c>
      <c r="F1371" s="2" t="s">
        <v>7429</v>
      </c>
      <c r="G1371" s="2" t="s">
        <v>7429</v>
      </c>
      <c r="H1371" s="2" t="s">
        <v>7429</v>
      </c>
      <c r="I1371" s="2" t="s">
        <v>7456</v>
      </c>
      <c r="J1371" s="2" t="s">
        <v>711</v>
      </c>
      <c r="K1371" s="2" t="s">
        <v>7457</v>
      </c>
      <c r="L1371" s="3">
        <v>14</v>
      </c>
      <c r="M1371" s="3">
        <v>14.7</v>
      </c>
      <c r="N1371" s="3">
        <v>34.99</v>
      </c>
      <c r="O1371" s="2" t="s">
        <v>212</v>
      </c>
      <c r="P1371" s="2" t="s">
        <v>750</v>
      </c>
      <c r="Q1371" s="2" t="s">
        <v>206</v>
      </c>
      <c r="R1371" s="2" t="s">
        <v>200</v>
      </c>
      <c r="S1371" s="2" t="s">
        <v>200</v>
      </c>
      <c r="T1371" s="2" t="s">
        <v>200</v>
      </c>
      <c r="U1371" s="2" t="s">
        <v>270</v>
      </c>
      <c r="V1371" s="2" t="s">
        <v>1726</v>
      </c>
      <c r="W1371" s="2" t="s">
        <v>241</v>
      </c>
      <c r="X1371" s="2" t="s">
        <v>1399</v>
      </c>
      <c r="Y1371" s="2" t="s">
        <v>1734</v>
      </c>
      <c r="Z1371" s="4">
        <v>90</v>
      </c>
      <c r="AA1371" s="4">
        <f>=ROUNDDOWN(18,0)</f>
      </c>
      <c r="AB1371" s="5">
        <v>5</v>
      </c>
      <c r="AC1371" s="2" t="s">
        <v>200</v>
      </c>
      <c r="AD1371" s="4"/>
      <c r="AE1371" s="4"/>
      <c r="AF1371" s="6">
        <v>61</v>
      </c>
      <c r="AG1371" s="6">
        <v>44</v>
      </c>
      <c r="AH1371" s="7">
        <v>1</v>
      </c>
      <c r="AI1371" s="4"/>
      <c r="AJ1371" s="4">
        <f>=ROUNDDOWN({0},0)</f>
      </c>
      <c r="AK1371" s="5"/>
      <c r="AL1371" s="2" t="s">
        <v>200</v>
      </c>
      <c r="AM1371" s="4"/>
      <c r="AN1371" s="4"/>
      <c r="AO1371" s="7"/>
      <c r="AP1371" s="4"/>
      <c r="AQ1371" s="8"/>
      <c r="AR1371" s="4"/>
      <c r="AS1371" s="8"/>
      <c r="AT1371" s="7"/>
      <c r="AU1371" s="7"/>
      <c r="AV1371" s="4"/>
      <c r="AW1371" s="8"/>
      <c r="AX1371" s="4"/>
      <c r="AY1371" s="8"/>
      <c r="AZ1371" s="7"/>
      <c r="BA1371" s="7"/>
      <c r="BB1371" s="7"/>
      <c r="BC1371" s="4" t="s">
        <v>200</v>
      </c>
      <c r="BD1371" s="8" t="s">
        <v>200</v>
      </c>
      <c r="BE1371" s="4" t="s">
        <v>200</v>
      </c>
      <c r="BF1371" s="8" t="s">
        <v>200</v>
      </c>
      <c r="BG1371" s="7" t="s">
        <v>200</v>
      </c>
      <c r="BH1371" s="7" t="s">
        <v>200</v>
      </c>
      <c r="BI1371" s="7"/>
      <c r="BJ1371" s="4">
        <v>30</v>
      </c>
      <c r="BK1371" s="8">
        <v>484.14</v>
      </c>
      <c r="BL1371" s="2" t="s">
        <v>7458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7459</v>
      </c>
      <c r="BV1371" s="2" t="s">
        <v>200</v>
      </c>
      <c r="BW1371" s="2" t="s">
        <v>200</v>
      </c>
      <c r="BX1371" s="2" t="s">
        <v>264</v>
      </c>
      <c r="BY1371" s="2" t="s">
        <v>247</v>
      </c>
      <c r="BZ1371" s="2" t="s">
        <v>212</v>
      </c>
      <c r="CA1371" s="2" t="s">
        <v>1730</v>
      </c>
      <c r="CB1371" s="2" t="s">
        <v>2516</v>
      </c>
      <c r="CC1371" s="2" t="s">
        <v>213</v>
      </c>
      <c r="CD1371" s="2" t="s">
        <v>200</v>
      </c>
      <c r="CE1371" s="4"/>
      <c r="CF1371" s="4"/>
      <c r="CG1371" s="4"/>
      <c r="CH1371" s="4">
        <v>90</v>
      </c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  <c r="DE1371" s="4"/>
      <c r="DF1371" s="4"/>
      <c r="DG1371" s="4"/>
      <c r="DH1371" s="4"/>
      <c r="DI1371" s="4"/>
      <c r="DJ1371" s="4"/>
      <c r="DK1371" s="4"/>
      <c r="DL1371" s="4"/>
      <c r="DM1371" s="4"/>
      <c r="DN1371" s="4"/>
      <c r="DO1371" s="4"/>
      <c r="DP1371" s="4"/>
      <c r="DQ1371" s="4"/>
      <c r="DR1371" s="4"/>
      <c r="DS1371" s="4"/>
      <c r="DT1371" s="4"/>
      <c r="DU1371" s="4"/>
      <c r="DV1371" s="4"/>
      <c r="DW1371" s="4"/>
      <c r="DX1371" s="4"/>
      <c r="DY1371" s="4"/>
      <c r="DZ1371" s="4"/>
      <c r="EA1371" s="4"/>
      <c r="EB1371" s="4"/>
      <c r="EC1371" s="4"/>
      <c r="ED1371" s="4"/>
      <c r="EE1371" s="4"/>
      <c r="EF1371" s="4"/>
      <c r="EG1371" s="4"/>
      <c r="EH1371" s="4"/>
      <c r="EI1371" s="4"/>
      <c r="EJ1371" s="4"/>
      <c r="EK1371" s="4"/>
      <c r="EL1371" s="4"/>
      <c r="EM1371" s="4"/>
      <c r="EN1371" s="4"/>
      <c r="EO1371" s="4"/>
      <c r="EP1371" s="4"/>
      <c r="EQ1371" s="4"/>
      <c r="ER1371" s="4"/>
      <c r="ES1371" s="4"/>
      <c r="ET1371" s="4"/>
      <c r="EU1371" s="4"/>
      <c r="EV1371" s="4"/>
      <c r="EW1371" s="4"/>
      <c r="EX1371" s="4"/>
      <c r="EY1371" s="4"/>
      <c r="EZ1371" s="4"/>
      <c r="FA1371" s="4"/>
      <c r="FB1371" s="4"/>
      <c r="FC1371" s="4"/>
      <c r="FD1371" s="4"/>
      <c r="FE1371" s="4"/>
      <c r="FF1371" s="4"/>
      <c r="FG1371" s="4"/>
      <c r="FH1371" s="4"/>
      <c r="FI1371" s="4"/>
      <c r="FJ1371" s="4"/>
      <c r="FK1371" s="4"/>
      <c r="FL1371" s="4"/>
      <c r="FM1371" s="4"/>
      <c r="FN1371" s="4"/>
      <c r="FO1371" s="4"/>
      <c r="FP1371" s="4"/>
      <c r="FQ1371" s="4"/>
      <c r="FR1371" s="4"/>
      <c r="FS1371" s="4"/>
      <c r="FT1371" s="4"/>
      <c r="FU1371" s="4"/>
      <c r="FV1371" s="4"/>
      <c r="FW1371" s="4"/>
      <c r="FX1371" s="4"/>
      <c r="FY1371" s="4"/>
      <c r="FZ1371" s="4"/>
      <c r="GA1371" s="4"/>
      <c r="GB1371" s="4"/>
      <c r="GC1371" s="4"/>
      <c r="GD1371" s="4"/>
      <c r="GE1371" s="4"/>
      <c r="GF1371" s="4"/>
      <c r="GG1371" s="4"/>
      <c r="GH1371" s="4"/>
    </row>
    <row r="1372">
      <c r="A1372" s="2" t="s">
        <v>7460</v>
      </c>
      <c r="B1372" s="2" t="s">
        <v>744</v>
      </c>
      <c r="C1372" s="2" t="s">
        <v>730</v>
      </c>
      <c r="D1372" s="2" t="s">
        <v>7461</v>
      </c>
      <c r="E1372" s="2" t="s">
        <v>7462</v>
      </c>
      <c r="F1372" s="2" t="s">
        <v>7463</v>
      </c>
      <c r="G1372" s="2" t="s">
        <v>7463</v>
      </c>
      <c r="H1372" s="2" t="s">
        <v>7463</v>
      </c>
      <c r="I1372" s="2" t="s">
        <v>7464</v>
      </c>
      <c r="J1372" s="2" t="s">
        <v>711</v>
      </c>
      <c r="K1372" s="2" t="s">
        <v>7465</v>
      </c>
      <c r="L1372" s="3">
        <v>278</v>
      </c>
      <c r="M1372" s="3">
        <v>291.9</v>
      </c>
      <c r="N1372" s="3">
        <v>599</v>
      </c>
      <c r="O1372" s="2" t="s">
        <v>212</v>
      </c>
      <c r="P1372" s="2" t="s">
        <v>205</v>
      </c>
      <c r="Q1372" s="2" t="s">
        <v>206</v>
      </c>
      <c r="R1372" s="2" t="s">
        <v>200</v>
      </c>
      <c r="S1372" s="2" t="s">
        <v>200</v>
      </c>
      <c r="T1372" s="2" t="s">
        <v>200</v>
      </c>
      <c r="U1372" s="2" t="s">
        <v>270</v>
      </c>
      <c r="V1372" s="2" t="s">
        <v>616</v>
      </c>
      <c r="W1372" s="2" t="s">
        <v>736</v>
      </c>
      <c r="X1372" s="2" t="s">
        <v>4808</v>
      </c>
      <c r="Y1372" s="2" t="s">
        <v>1368</v>
      </c>
      <c r="Z1372" s="4">
        <v>57</v>
      </c>
      <c r="AA1372" s="4">
        <f>=ROUNDDOWN(19.6551724137931,0)</f>
      </c>
      <c r="AB1372" s="5">
        <v>2.9</v>
      </c>
      <c r="AC1372" s="2" t="s">
        <v>200</v>
      </c>
      <c r="AD1372" s="4"/>
      <c r="AE1372" s="4"/>
      <c r="AF1372" s="6">
        <v>74</v>
      </c>
      <c r="AG1372" s="6"/>
      <c r="AH1372" s="7">
        <v>1</v>
      </c>
      <c r="AI1372" s="4"/>
      <c r="AJ1372" s="4">
        <f>=ROUNDDOWN({0},0)</f>
      </c>
      <c r="AK1372" s="5"/>
      <c r="AL1372" s="2" t="s">
        <v>200</v>
      </c>
      <c r="AM1372" s="4"/>
      <c r="AN1372" s="4"/>
      <c r="AO1372" s="7"/>
      <c r="AP1372" s="4"/>
      <c r="AQ1372" s="8"/>
      <c r="AR1372" s="4"/>
      <c r="AS1372" s="8"/>
      <c r="AT1372" s="7"/>
      <c r="AU1372" s="7"/>
      <c r="AV1372" s="4"/>
      <c r="AW1372" s="8"/>
      <c r="AX1372" s="4"/>
      <c r="AY1372" s="8"/>
      <c r="AZ1372" s="7"/>
      <c r="BA1372" s="7"/>
      <c r="BB1372" s="7"/>
      <c r="BC1372" s="4"/>
      <c r="BD1372" s="8"/>
      <c r="BE1372" s="4"/>
      <c r="BF1372" s="8"/>
      <c r="BG1372" s="7"/>
      <c r="BH1372" s="7"/>
      <c r="BI1372" s="7"/>
      <c r="BJ1372" s="4">
        <v>14</v>
      </c>
      <c r="BK1372" s="8">
        <v>4370.56</v>
      </c>
      <c r="BL1372" s="2" t="s">
        <v>7466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7467</v>
      </c>
      <c r="BV1372" s="2" t="s">
        <v>200</v>
      </c>
      <c r="BW1372" s="2" t="s">
        <v>200</v>
      </c>
      <c r="BX1372" s="2" t="s">
        <v>264</v>
      </c>
      <c r="BY1372" s="2" t="s">
        <v>247</v>
      </c>
      <c r="BZ1372" s="2" t="s">
        <v>212</v>
      </c>
      <c r="CA1372" s="2" t="s">
        <v>3598</v>
      </c>
      <c r="CB1372" s="2" t="s">
        <v>200</v>
      </c>
      <c r="CC1372" s="2" t="s">
        <v>213</v>
      </c>
      <c r="CD1372" s="2" t="s">
        <v>200</v>
      </c>
      <c r="CE1372" s="4"/>
      <c r="CF1372" s="4">
        <v>57</v>
      </c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  <c r="DE1372" s="4"/>
      <c r="DF1372" s="4"/>
      <c r="DG1372" s="4"/>
      <c r="DH1372" s="4"/>
      <c r="DI1372" s="4"/>
      <c r="DJ1372" s="4"/>
      <c r="DK1372" s="4"/>
      <c r="DL1372" s="4"/>
      <c r="DM1372" s="4"/>
      <c r="DN1372" s="4"/>
      <c r="DO1372" s="4"/>
      <c r="DP1372" s="4"/>
      <c r="DQ1372" s="4"/>
      <c r="DR1372" s="4"/>
      <c r="DS1372" s="4"/>
      <c r="DT1372" s="4"/>
      <c r="DU1372" s="4"/>
      <c r="DV1372" s="4"/>
      <c r="DW1372" s="4"/>
      <c r="DX1372" s="4"/>
      <c r="DY1372" s="4"/>
      <c r="DZ1372" s="4"/>
      <c r="EA1372" s="4"/>
      <c r="EB1372" s="4"/>
      <c r="EC1372" s="4"/>
      <c r="ED1372" s="4"/>
      <c r="EE1372" s="4"/>
      <c r="EF1372" s="4"/>
      <c r="EG1372" s="4"/>
      <c r="EH1372" s="4"/>
      <c r="EI1372" s="4"/>
      <c r="EJ1372" s="4"/>
      <c r="EK1372" s="4"/>
      <c r="EL1372" s="4"/>
      <c r="EM1372" s="4"/>
      <c r="EN1372" s="4"/>
      <c r="EO1372" s="4"/>
      <c r="EP1372" s="4"/>
      <c r="EQ1372" s="4"/>
      <c r="ER1372" s="4"/>
      <c r="ES1372" s="4"/>
      <c r="ET1372" s="4"/>
      <c r="EU1372" s="4"/>
      <c r="EV1372" s="4"/>
      <c r="EW1372" s="4"/>
      <c r="EX1372" s="4"/>
      <c r="EY1372" s="4"/>
      <c r="EZ1372" s="4"/>
      <c r="FA1372" s="4"/>
      <c r="FB1372" s="4"/>
      <c r="FC1372" s="4"/>
      <c r="FD1372" s="4"/>
      <c r="FE1372" s="4"/>
      <c r="FF1372" s="4"/>
      <c r="FG1372" s="4"/>
      <c r="FH1372" s="4"/>
      <c r="FI1372" s="4"/>
      <c r="FJ1372" s="4"/>
      <c r="FK1372" s="4"/>
      <c r="FL1372" s="4"/>
      <c r="FM1372" s="4"/>
      <c r="FN1372" s="4"/>
      <c r="FO1372" s="4"/>
      <c r="FP1372" s="4"/>
      <c r="FQ1372" s="4"/>
      <c r="FR1372" s="4"/>
      <c r="FS1372" s="4"/>
      <c r="FT1372" s="4"/>
      <c r="FU1372" s="4"/>
      <c r="FV1372" s="4"/>
      <c r="FW1372" s="4"/>
      <c r="FX1372" s="4"/>
      <c r="FY1372" s="4"/>
      <c r="FZ1372" s="4"/>
      <c r="GA1372" s="4"/>
      <c r="GB1372" s="4"/>
      <c r="GC1372" s="4"/>
      <c r="GD1372" s="4"/>
      <c r="GE1372" s="4"/>
      <c r="GF1372" s="4"/>
      <c r="GG1372" s="4"/>
      <c r="GH1372" s="4"/>
    </row>
    <row r="1373">
      <c r="A1373" s="2" t="s">
        <v>7468</v>
      </c>
      <c r="B1373" s="2" t="s">
        <v>903</v>
      </c>
      <c r="C1373" s="2" t="s">
        <v>1759</v>
      </c>
      <c r="D1373" s="2" t="s">
        <v>918</v>
      </c>
      <c r="E1373" s="2" t="s">
        <v>934</v>
      </c>
      <c r="F1373" s="2" t="s">
        <v>7469</v>
      </c>
      <c r="G1373" s="2" t="s">
        <v>7469</v>
      </c>
      <c r="H1373" s="2" t="s">
        <v>7469</v>
      </c>
      <c r="I1373" s="2" t="s">
        <v>7470</v>
      </c>
      <c r="J1373" s="2" t="s">
        <v>612</v>
      </c>
      <c r="K1373" s="2" t="s">
        <v>7471</v>
      </c>
      <c r="L1373" s="3">
        <v>72</v>
      </c>
      <c r="M1373" s="3">
        <v>75.6</v>
      </c>
      <c r="N1373" s="3">
        <v>149.99</v>
      </c>
      <c r="O1373" s="2" t="s">
        <v>212</v>
      </c>
      <c r="P1373" s="2" t="s">
        <v>285</v>
      </c>
      <c r="Q1373" s="2" t="s">
        <v>206</v>
      </c>
      <c r="R1373" s="2" t="s">
        <v>200</v>
      </c>
      <c r="S1373" s="2" t="s">
        <v>7472</v>
      </c>
      <c r="T1373" s="2" t="s">
        <v>312</v>
      </c>
      <c r="U1373" s="2" t="s">
        <v>615</v>
      </c>
      <c r="V1373" s="2" t="s">
        <v>313</v>
      </c>
      <c r="W1373" s="2" t="s">
        <v>313</v>
      </c>
      <c r="X1373" s="2" t="s">
        <v>200</v>
      </c>
      <c r="Y1373" s="2" t="s">
        <v>2913</v>
      </c>
      <c r="Z1373" s="4">
        <v>30</v>
      </c>
      <c r="AA1373" s="4">
        <f>=ROUNDDOWN(15,0)</f>
      </c>
      <c r="AB1373" s="5">
        <v>2</v>
      </c>
      <c r="AC1373" s="2" t="s">
        <v>200</v>
      </c>
      <c r="AD1373" s="4"/>
      <c r="AE1373" s="4"/>
      <c r="AF1373" s="6">
        <v>67</v>
      </c>
      <c r="AG1373" s="6"/>
      <c r="AH1373" s="7">
        <v>1</v>
      </c>
      <c r="AI1373" s="4"/>
      <c r="AJ1373" s="4">
        <f>=ROUNDDOWN({0},0)</f>
      </c>
      <c r="AK1373" s="5"/>
      <c r="AL1373" s="2" t="s">
        <v>200</v>
      </c>
      <c r="AM1373" s="4"/>
      <c r="AN1373" s="4"/>
      <c r="AO1373" s="7"/>
      <c r="AP1373" s="4"/>
      <c r="AQ1373" s="8"/>
      <c r="AR1373" s="4"/>
      <c r="AS1373" s="8"/>
      <c r="AT1373" s="7"/>
      <c r="AU1373" s="7"/>
      <c r="AV1373" s="4"/>
      <c r="AW1373" s="8"/>
      <c r="AX1373" s="4"/>
      <c r="AY1373" s="8"/>
      <c r="AZ1373" s="7"/>
      <c r="BA1373" s="7"/>
      <c r="BB1373" s="7"/>
      <c r="BC1373" s="4"/>
      <c r="BD1373" s="8"/>
      <c r="BE1373" s="4"/>
      <c r="BF1373" s="8"/>
      <c r="BG1373" s="7"/>
      <c r="BH1373" s="7"/>
      <c r="BI1373" s="7"/>
      <c r="BJ1373" s="4">
        <v>3</v>
      </c>
      <c r="BK1373" s="8">
        <v>217.7</v>
      </c>
      <c r="BL1373" s="2" t="s">
        <v>872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7473</v>
      </c>
      <c r="BV1373" s="2" t="s">
        <v>200</v>
      </c>
      <c r="BW1373" s="2" t="s">
        <v>200</v>
      </c>
      <c r="BX1373" s="2" t="s">
        <v>289</v>
      </c>
      <c r="BY1373" s="2" t="s">
        <v>247</v>
      </c>
      <c r="BZ1373" s="2" t="s">
        <v>212</v>
      </c>
      <c r="CA1373" s="2" t="s">
        <v>4604</v>
      </c>
      <c r="CB1373" s="2" t="s">
        <v>6904</v>
      </c>
      <c r="CC1373" s="2" t="s">
        <v>213</v>
      </c>
      <c r="CD1373" s="2" t="s">
        <v>200</v>
      </c>
      <c r="CE1373" s="4">
        <v>30</v>
      </c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  <c r="DE1373" s="4"/>
      <c r="DF1373" s="4"/>
      <c r="DG1373" s="4"/>
      <c r="DH1373" s="4"/>
      <c r="DI1373" s="4"/>
      <c r="DJ1373" s="4"/>
      <c r="DK1373" s="4"/>
      <c r="DL1373" s="4"/>
      <c r="DM1373" s="4"/>
      <c r="DN1373" s="4"/>
      <c r="DO1373" s="4"/>
      <c r="DP1373" s="4"/>
      <c r="DQ1373" s="4"/>
      <c r="DR1373" s="4"/>
      <c r="DS1373" s="4"/>
      <c r="DT1373" s="4"/>
      <c r="DU1373" s="4"/>
      <c r="DV1373" s="4"/>
      <c r="DW1373" s="4"/>
      <c r="DX1373" s="4"/>
      <c r="DY1373" s="4"/>
      <c r="DZ1373" s="4"/>
      <c r="EA1373" s="4"/>
      <c r="EB1373" s="4"/>
      <c r="EC1373" s="4"/>
      <c r="ED1373" s="4"/>
      <c r="EE1373" s="4"/>
      <c r="EF1373" s="4"/>
      <c r="EG1373" s="4"/>
      <c r="EH1373" s="4"/>
      <c r="EI1373" s="4"/>
      <c r="EJ1373" s="4"/>
      <c r="EK1373" s="4"/>
      <c r="EL1373" s="4"/>
      <c r="EM1373" s="4"/>
      <c r="EN1373" s="4"/>
      <c r="EO1373" s="4"/>
      <c r="EP1373" s="4"/>
      <c r="EQ1373" s="4"/>
      <c r="ER1373" s="4"/>
      <c r="ES1373" s="4"/>
      <c r="ET1373" s="4"/>
      <c r="EU1373" s="4"/>
      <c r="EV1373" s="4"/>
      <c r="EW1373" s="4"/>
      <c r="EX1373" s="4"/>
      <c r="EY1373" s="4"/>
      <c r="EZ1373" s="4"/>
      <c r="FA1373" s="4"/>
      <c r="FB1373" s="4"/>
      <c r="FC1373" s="4"/>
      <c r="FD1373" s="4"/>
      <c r="FE1373" s="4"/>
      <c r="FF1373" s="4"/>
      <c r="FG1373" s="4"/>
      <c r="FH1373" s="4"/>
      <c r="FI1373" s="4"/>
      <c r="FJ1373" s="4"/>
      <c r="FK1373" s="4"/>
      <c r="FL1373" s="4"/>
      <c r="FM1373" s="4"/>
      <c r="FN1373" s="4"/>
      <c r="FO1373" s="4"/>
      <c r="FP1373" s="4"/>
      <c r="FQ1373" s="4"/>
      <c r="FR1373" s="4"/>
      <c r="FS1373" s="4"/>
      <c r="FT1373" s="4"/>
      <c r="FU1373" s="4"/>
      <c r="FV1373" s="4"/>
      <c r="FW1373" s="4"/>
      <c r="FX1373" s="4"/>
      <c r="FY1373" s="4"/>
      <c r="FZ1373" s="4"/>
      <c r="GA1373" s="4"/>
      <c r="GB1373" s="4"/>
      <c r="GC1373" s="4"/>
      <c r="GD1373" s="4"/>
      <c r="GE1373" s="4"/>
      <c r="GF1373" s="4"/>
      <c r="GG1373" s="4"/>
      <c r="GH1373" s="4"/>
    </row>
    <row r="1374">
      <c r="A1374" s="2" t="s">
        <v>7474</v>
      </c>
      <c r="B1374" s="2" t="s">
        <v>669</v>
      </c>
      <c r="C1374" s="2" t="s">
        <v>624</v>
      </c>
      <c r="D1374" s="2" t="s">
        <v>670</v>
      </c>
      <c r="E1374" s="2" t="s">
        <v>671</v>
      </c>
      <c r="F1374" s="2" t="s">
        <v>7475</v>
      </c>
      <c r="G1374" s="2" t="s">
        <v>7475</v>
      </c>
      <c r="H1374" s="2" t="s">
        <v>7475</v>
      </c>
      <c r="I1374" s="2" t="s">
        <v>7476</v>
      </c>
      <c r="J1374" s="2" t="s">
        <v>7007</v>
      </c>
      <c r="K1374" s="2" t="s">
        <v>436</v>
      </c>
      <c r="L1374" s="3">
        <v>38</v>
      </c>
      <c r="M1374" s="3">
        <v>39.9</v>
      </c>
      <c r="N1374" s="3">
        <v>79.99</v>
      </c>
      <c r="O1374" s="2" t="s">
        <v>212</v>
      </c>
      <c r="P1374" s="2" t="s">
        <v>285</v>
      </c>
      <c r="Q1374" s="2" t="s">
        <v>206</v>
      </c>
      <c r="R1374" s="2" t="s">
        <v>200</v>
      </c>
      <c r="S1374" s="2" t="s">
        <v>7477</v>
      </c>
      <c r="T1374" s="2" t="s">
        <v>312</v>
      </c>
      <c r="U1374" s="2" t="s">
        <v>662</v>
      </c>
      <c r="V1374" s="2" t="s">
        <v>208</v>
      </c>
      <c r="W1374" s="2" t="s">
        <v>419</v>
      </c>
      <c r="X1374" s="2" t="s">
        <v>200</v>
      </c>
      <c r="Y1374" s="2" t="s">
        <v>1050</v>
      </c>
      <c r="Z1374" s="4">
        <v>678</v>
      </c>
      <c r="AA1374" s="4">
        <f>=ROUNDDOWN(96.8571428571428,0)</f>
      </c>
      <c r="AB1374" s="5">
        <v>7</v>
      </c>
      <c r="AC1374" s="2" t="s">
        <v>200</v>
      </c>
      <c r="AD1374" s="4"/>
      <c r="AE1374" s="4"/>
      <c r="AF1374" s="6">
        <v>67</v>
      </c>
      <c r="AG1374" s="6"/>
      <c r="AH1374" s="7">
        <v>1</v>
      </c>
      <c r="AI1374" s="4"/>
      <c r="AJ1374" s="4">
        <f>=ROUNDDOWN({0},0)</f>
      </c>
      <c r="AK1374" s="5"/>
      <c r="AL1374" s="2" t="s">
        <v>200</v>
      </c>
      <c r="AM1374" s="4"/>
      <c r="AN1374" s="4"/>
      <c r="AO1374" s="7"/>
      <c r="AP1374" s="4"/>
      <c r="AQ1374" s="8"/>
      <c r="AR1374" s="4"/>
      <c r="AS1374" s="8"/>
      <c r="AT1374" s="7"/>
      <c r="AU1374" s="7"/>
      <c r="AV1374" s="4"/>
      <c r="AW1374" s="8"/>
      <c r="AX1374" s="4"/>
      <c r="AY1374" s="8"/>
      <c r="AZ1374" s="7"/>
      <c r="BA1374" s="7"/>
      <c r="BB1374" s="7"/>
      <c r="BC1374" s="4" t="s">
        <v>200</v>
      </c>
      <c r="BD1374" s="8" t="s">
        <v>200</v>
      </c>
      <c r="BE1374" s="4" t="s">
        <v>200</v>
      </c>
      <c r="BF1374" s="8" t="s">
        <v>200</v>
      </c>
      <c r="BG1374" s="7" t="s">
        <v>200</v>
      </c>
      <c r="BH1374" s="7" t="s">
        <v>200</v>
      </c>
      <c r="BI1374" s="7"/>
      <c r="BJ1374" s="4">
        <v>12</v>
      </c>
      <c r="BK1374" s="8">
        <v>526.67</v>
      </c>
      <c r="BL1374" s="2" t="s">
        <v>7478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7479</v>
      </c>
      <c r="BV1374" s="2" t="s">
        <v>200</v>
      </c>
      <c r="BW1374" s="2" t="s">
        <v>200</v>
      </c>
      <c r="BX1374" s="2" t="s">
        <v>289</v>
      </c>
      <c r="BY1374" s="2" t="s">
        <v>247</v>
      </c>
      <c r="BZ1374" s="2" t="s">
        <v>212</v>
      </c>
      <c r="CA1374" s="2" t="s">
        <v>1050</v>
      </c>
      <c r="CB1374" s="2" t="s">
        <v>4295</v>
      </c>
      <c r="CC1374" s="2" t="s">
        <v>213</v>
      </c>
      <c r="CD1374" s="2" t="s">
        <v>200</v>
      </c>
      <c r="CE1374" s="4">
        <v>678</v>
      </c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E1374" s="4"/>
      <c r="DF1374" s="4"/>
      <c r="DG1374" s="4"/>
      <c r="DH1374" s="4"/>
      <c r="DI1374" s="4"/>
      <c r="DJ1374" s="4"/>
      <c r="DK1374" s="4"/>
      <c r="DL1374" s="4"/>
      <c r="DM1374" s="4"/>
      <c r="DN1374" s="4"/>
      <c r="DO1374" s="4"/>
      <c r="DP1374" s="4"/>
      <c r="DQ1374" s="4"/>
      <c r="DR1374" s="4"/>
      <c r="DS1374" s="4"/>
      <c r="DT1374" s="4"/>
      <c r="DU1374" s="4"/>
      <c r="DV1374" s="4"/>
      <c r="DW1374" s="4"/>
      <c r="DX1374" s="4"/>
      <c r="DY1374" s="4"/>
      <c r="DZ1374" s="4"/>
      <c r="EA1374" s="4"/>
      <c r="EB1374" s="4"/>
      <c r="EC1374" s="4"/>
      <c r="ED1374" s="4"/>
      <c r="EE1374" s="4"/>
      <c r="EF1374" s="4"/>
      <c r="EG1374" s="4"/>
      <c r="EH1374" s="4"/>
      <c r="EI1374" s="4"/>
      <c r="EJ1374" s="4"/>
      <c r="EK1374" s="4"/>
      <c r="EL1374" s="4"/>
      <c r="EM1374" s="4"/>
      <c r="EN1374" s="4"/>
      <c r="EO1374" s="4"/>
      <c r="EP1374" s="4"/>
      <c r="EQ1374" s="4"/>
      <c r="ER1374" s="4"/>
      <c r="ES1374" s="4"/>
      <c r="ET1374" s="4"/>
      <c r="EU1374" s="4"/>
      <c r="EV1374" s="4"/>
      <c r="EW1374" s="4"/>
      <c r="EX1374" s="4"/>
      <c r="EY1374" s="4"/>
      <c r="EZ1374" s="4"/>
      <c r="FA1374" s="4"/>
      <c r="FB1374" s="4"/>
      <c r="FC1374" s="4"/>
      <c r="FD1374" s="4"/>
      <c r="FE1374" s="4"/>
      <c r="FF1374" s="4"/>
      <c r="FG1374" s="4"/>
      <c r="FH1374" s="4"/>
      <c r="FI1374" s="4"/>
      <c r="FJ1374" s="4"/>
      <c r="FK1374" s="4"/>
      <c r="FL1374" s="4"/>
      <c r="FM1374" s="4"/>
      <c r="FN1374" s="4"/>
      <c r="FO1374" s="4"/>
      <c r="FP1374" s="4"/>
      <c r="FQ1374" s="4"/>
      <c r="FR1374" s="4"/>
      <c r="FS1374" s="4"/>
      <c r="FT1374" s="4"/>
      <c r="FU1374" s="4"/>
      <c r="FV1374" s="4"/>
      <c r="FW1374" s="4"/>
      <c r="FX1374" s="4"/>
      <c r="FY1374" s="4"/>
      <c r="FZ1374" s="4"/>
      <c r="GA1374" s="4"/>
      <c r="GB1374" s="4"/>
      <c r="GC1374" s="4"/>
      <c r="GD1374" s="4"/>
      <c r="GE1374" s="4"/>
      <c r="GF1374" s="4"/>
      <c r="GG1374" s="4"/>
      <c r="GH1374" s="4"/>
    </row>
    <row r="1375">
      <c r="A1375" s="2" t="s">
        <v>7480</v>
      </c>
      <c r="B1375" s="2" t="s">
        <v>669</v>
      </c>
      <c r="C1375" s="2" t="s">
        <v>624</v>
      </c>
      <c r="D1375" s="2" t="s">
        <v>670</v>
      </c>
      <c r="E1375" s="2" t="s">
        <v>671</v>
      </c>
      <c r="F1375" s="2" t="s">
        <v>7475</v>
      </c>
      <c r="G1375" s="2" t="s">
        <v>7475</v>
      </c>
      <c r="H1375" s="2" t="s">
        <v>7475</v>
      </c>
      <c r="I1375" s="2" t="s">
        <v>7476</v>
      </c>
      <c r="J1375" s="2" t="s">
        <v>7007</v>
      </c>
      <c r="K1375" s="2" t="s">
        <v>223</v>
      </c>
      <c r="L1375" s="3">
        <v>38</v>
      </c>
      <c r="M1375" s="3">
        <v>39.9</v>
      </c>
      <c r="N1375" s="3">
        <v>79.99</v>
      </c>
      <c r="O1375" s="2" t="s">
        <v>212</v>
      </c>
      <c r="P1375" s="2" t="s">
        <v>285</v>
      </c>
      <c r="Q1375" s="2" t="s">
        <v>206</v>
      </c>
      <c r="R1375" s="2" t="s">
        <v>200</v>
      </c>
      <c r="S1375" s="2" t="s">
        <v>7481</v>
      </c>
      <c r="T1375" s="2" t="s">
        <v>312</v>
      </c>
      <c r="U1375" s="2" t="s">
        <v>662</v>
      </c>
      <c r="V1375" s="2" t="s">
        <v>208</v>
      </c>
      <c r="W1375" s="2" t="s">
        <v>419</v>
      </c>
      <c r="X1375" s="2" t="s">
        <v>200</v>
      </c>
      <c r="Y1375" s="2" t="s">
        <v>2914</v>
      </c>
      <c r="Z1375" s="4">
        <v>496</v>
      </c>
      <c r="AA1375" s="4">
        <f>=ROUNDDOWN(70.8571428571428,0)</f>
      </c>
      <c r="AB1375" s="5">
        <v>7</v>
      </c>
      <c r="AC1375" s="2" t="s">
        <v>200</v>
      </c>
      <c r="AD1375" s="4"/>
      <c r="AE1375" s="4"/>
      <c r="AF1375" s="6">
        <v>67</v>
      </c>
      <c r="AG1375" s="6"/>
      <c r="AH1375" s="7">
        <v>1</v>
      </c>
      <c r="AI1375" s="4"/>
      <c r="AJ1375" s="4">
        <f>=ROUNDDOWN({0},0)</f>
      </c>
      <c r="AK1375" s="5"/>
      <c r="AL1375" s="2" t="s">
        <v>200</v>
      </c>
      <c r="AM1375" s="4"/>
      <c r="AN1375" s="4"/>
      <c r="AO1375" s="7"/>
      <c r="AP1375" s="4"/>
      <c r="AQ1375" s="8"/>
      <c r="AR1375" s="4"/>
      <c r="AS1375" s="8"/>
      <c r="AT1375" s="7"/>
      <c r="AU1375" s="7"/>
      <c r="AV1375" s="4"/>
      <c r="AW1375" s="8"/>
      <c r="AX1375" s="4"/>
      <c r="AY1375" s="8"/>
      <c r="AZ1375" s="7"/>
      <c r="BA1375" s="7"/>
      <c r="BB1375" s="7"/>
      <c r="BC1375" s="4" t="s">
        <v>200</v>
      </c>
      <c r="BD1375" s="8" t="s">
        <v>200</v>
      </c>
      <c r="BE1375" s="4" t="s">
        <v>200</v>
      </c>
      <c r="BF1375" s="8" t="s">
        <v>200</v>
      </c>
      <c r="BG1375" s="7" t="s">
        <v>200</v>
      </c>
      <c r="BH1375" s="7" t="s">
        <v>200</v>
      </c>
      <c r="BI1375" s="7"/>
      <c r="BJ1375" s="4">
        <v>23</v>
      </c>
      <c r="BK1375" s="8">
        <v>978.78</v>
      </c>
      <c r="BL1375" s="2" t="s">
        <v>7482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210</v>
      </c>
      <c r="BV1375" s="2" t="s">
        <v>200</v>
      </c>
      <c r="BW1375" s="2" t="s">
        <v>200</v>
      </c>
      <c r="BX1375" s="2" t="s">
        <v>289</v>
      </c>
      <c r="BY1375" s="2" t="s">
        <v>7483</v>
      </c>
      <c r="BZ1375" s="2" t="s">
        <v>212</v>
      </c>
      <c r="CA1375" s="2" t="s">
        <v>200</v>
      </c>
      <c r="CB1375" s="2" t="s">
        <v>200</v>
      </c>
      <c r="CC1375" s="2" t="s">
        <v>213</v>
      </c>
      <c r="CD1375" s="2" t="s">
        <v>200</v>
      </c>
      <c r="CE1375" s="4">
        <v>496</v>
      </c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  <c r="DE1375" s="4"/>
      <c r="DF1375" s="4"/>
      <c r="DG1375" s="4"/>
      <c r="DH1375" s="4"/>
      <c r="DI1375" s="4"/>
      <c r="DJ1375" s="4"/>
      <c r="DK1375" s="4"/>
      <c r="DL1375" s="4"/>
      <c r="DM1375" s="4"/>
      <c r="DN1375" s="4"/>
      <c r="DO1375" s="4"/>
      <c r="DP1375" s="4"/>
      <c r="DQ1375" s="4"/>
      <c r="DR1375" s="4"/>
      <c r="DS1375" s="4"/>
      <c r="DT1375" s="4"/>
      <c r="DU1375" s="4"/>
      <c r="DV1375" s="4"/>
      <c r="DW1375" s="4"/>
      <c r="DX1375" s="4"/>
      <c r="DY1375" s="4"/>
      <c r="DZ1375" s="4"/>
      <c r="EA1375" s="4"/>
      <c r="EB1375" s="4"/>
      <c r="EC1375" s="4"/>
      <c r="ED1375" s="4"/>
      <c r="EE1375" s="4"/>
      <c r="EF1375" s="4"/>
      <c r="EG1375" s="4"/>
      <c r="EH1375" s="4"/>
      <c r="EI1375" s="4"/>
      <c r="EJ1375" s="4"/>
      <c r="EK1375" s="4"/>
      <c r="EL1375" s="4"/>
      <c r="EM1375" s="4"/>
      <c r="EN1375" s="4"/>
      <c r="EO1375" s="4"/>
      <c r="EP1375" s="4"/>
      <c r="EQ1375" s="4"/>
      <c r="ER1375" s="4"/>
      <c r="ES1375" s="4"/>
      <c r="ET1375" s="4"/>
      <c r="EU1375" s="4"/>
      <c r="EV1375" s="4"/>
      <c r="EW1375" s="4"/>
      <c r="EX1375" s="4"/>
      <c r="EY1375" s="4"/>
      <c r="EZ1375" s="4"/>
      <c r="FA1375" s="4"/>
      <c r="FB1375" s="4"/>
      <c r="FC1375" s="4"/>
      <c r="FD1375" s="4"/>
      <c r="FE1375" s="4"/>
      <c r="FF1375" s="4"/>
      <c r="FG1375" s="4"/>
      <c r="FH1375" s="4"/>
      <c r="FI1375" s="4"/>
      <c r="FJ1375" s="4"/>
      <c r="FK1375" s="4"/>
      <c r="FL1375" s="4"/>
      <c r="FM1375" s="4"/>
      <c r="FN1375" s="4"/>
      <c r="FO1375" s="4"/>
      <c r="FP1375" s="4"/>
      <c r="FQ1375" s="4"/>
      <c r="FR1375" s="4"/>
      <c r="FS1375" s="4"/>
      <c r="FT1375" s="4"/>
      <c r="FU1375" s="4"/>
      <c r="FV1375" s="4"/>
      <c r="FW1375" s="4"/>
      <c r="FX1375" s="4"/>
      <c r="FY1375" s="4"/>
      <c r="FZ1375" s="4"/>
      <c r="GA1375" s="4"/>
      <c r="GB1375" s="4"/>
      <c r="GC1375" s="4"/>
      <c r="GD1375" s="4"/>
      <c r="GE1375" s="4"/>
      <c r="GF1375" s="4"/>
      <c r="GG1375" s="4"/>
      <c r="GH1375" s="4"/>
    </row>
    <row r="1376">
      <c r="A1376" s="2" t="s">
        <v>7484</v>
      </c>
      <c r="B1376" s="2" t="s">
        <v>669</v>
      </c>
      <c r="C1376" s="2" t="s">
        <v>624</v>
      </c>
      <c r="D1376" s="2" t="s">
        <v>670</v>
      </c>
      <c r="E1376" s="2" t="s">
        <v>671</v>
      </c>
      <c r="F1376" s="2" t="s">
        <v>7475</v>
      </c>
      <c r="G1376" s="2" t="s">
        <v>7475</v>
      </c>
      <c r="H1376" s="2" t="s">
        <v>7475</v>
      </c>
      <c r="I1376" s="2" t="s">
        <v>7476</v>
      </c>
      <c r="J1376" s="2" t="s">
        <v>7007</v>
      </c>
      <c r="K1376" s="2" t="s">
        <v>464</v>
      </c>
      <c r="L1376" s="3">
        <v>38</v>
      </c>
      <c r="M1376" s="3">
        <v>39.9</v>
      </c>
      <c r="N1376" s="3">
        <v>79.99</v>
      </c>
      <c r="O1376" s="2" t="s">
        <v>212</v>
      </c>
      <c r="P1376" s="2" t="s">
        <v>285</v>
      </c>
      <c r="Q1376" s="2" t="s">
        <v>206</v>
      </c>
      <c r="R1376" s="2" t="s">
        <v>200</v>
      </c>
      <c r="S1376" s="2" t="s">
        <v>7485</v>
      </c>
      <c r="T1376" s="2" t="s">
        <v>312</v>
      </c>
      <c r="U1376" s="2" t="s">
        <v>662</v>
      </c>
      <c r="V1376" s="2" t="s">
        <v>208</v>
      </c>
      <c r="W1376" s="2" t="s">
        <v>419</v>
      </c>
      <c r="X1376" s="2" t="s">
        <v>200</v>
      </c>
      <c r="Y1376" s="2" t="s">
        <v>1050</v>
      </c>
      <c r="Z1376" s="4">
        <v>713</v>
      </c>
      <c r="AA1376" s="4">
        <f>=ROUNDDOWN(79.2222222222222,0)</f>
      </c>
      <c r="AB1376" s="5">
        <v>9</v>
      </c>
      <c r="AC1376" s="2" t="s">
        <v>200</v>
      </c>
      <c r="AD1376" s="4"/>
      <c r="AE1376" s="4"/>
      <c r="AF1376" s="6">
        <v>67</v>
      </c>
      <c r="AG1376" s="6"/>
      <c r="AH1376" s="7">
        <v>1</v>
      </c>
      <c r="AI1376" s="4"/>
      <c r="AJ1376" s="4">
        <f>=ROUNDDOWN({0},0)</f>
      </c>
      <c r="AK1376" s="5"/>
      <c r="AL1376" s="2" t="s">
        <v>200</v>
      </c>
      <c r="AM1376" s="4"/>
      <c r="AN1376" s="4"/>
      <c r="AO1376" s="7"/>
      <c r="AP1376" s="4"/>
      <c r="AQ1376" s="8"/>
      <c r="AR1376" s="4"/>
      <c r="AS1376" s="8"/>
      <c r="AT1376" s="7"/>
      <c r="AU1376" s="7"/>
      <c r="AV1376" s="4"/>
      <c r="AW1376" s="8"/>
      <c r="AX1376" s="4"/>
      <c r="AY1376" s="8"/>
      <c r="AZ1376" s="7"/>
      <c r="BA1376" s="7"/>
      <c r="BB1376" s="7"/>
      <c r="BC1376" s="4" t="s">
        <v>200</v>
      </c>
      <c r="BD1376" s="8" t="s">
        <v>200</v>
      </c>
      <c r="BE1376" s="4" t="s">
        <v>200</v>
      </c>
      <c r="BF1376" s="8" t="s">
        <v>200</v>
      </c>
      <c r="BG1376" s="7" t="s">
        <v>200</v>
      </c>
      <c r="BH1376" s="7" t="s">
        <v>200</v>
      </c>
      <c r="BI1376" s="7"/>
      <c r="BJ1376" s="4">
        <v>18</v>
      </c>
      <c r="BK1376" s="8">
        <v>747.4</v>
      </c>
      <c r="BL1376" s="2" t="s">
        <v>7486</v>
      </c>
      <c r="BM1376" s="7"/>
      <c r="BN1376" s="7"/>
      <c r="BO1376" s="4"/>
      <c r="BP1376" s="8"/>
      <c r="BQ1376" s="4"/>
      <c r="BR1376" s="8"/>
      <c r="BS1376" s="7"/>
      <c r="BT1376" s="7"/>
      <c r="BU1376" s="2" t="s">
        <v>7487</v>
      </c>
      <c r="BV1376" s="2" t="s">
        <v>200</v>
      </c>
      <c r="BW1376" s="2" t="s">
        <v>200</v>
      </c>
      <c r="BX1376" s="2" t="s">
        <v>289</v>
      </c>
      <c r="BY1376" s="2" t="s">
        <v>247</v>
      </c>
      <c r="BZ1376" s="2" t="s">
        <v>212</v>
      </c>
      <c r="CA1376" s="2" t="s">
        <v>1050</v>
      </c>
      <c r="CB1376" s="2" t="s">
        <v>7488</v>
      </c>
      <c r="CC1376" s="2" t="s">
        <v>213</v>
      </c>
      <c r="CD1376" s="2" t="s">
        <v>200</v>
      </c>
      <c r="CE1376" s="4">
        <v>713</v>
      </c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  <c r="DE1376" s="4"/>
      <c r="DF1376" s="4"/>
      <c r="DG1376" s="4"/>
      <c r="DH1376" s="4"/>
      <c r="DI1376" s="4"/>
      <c r="DJ1376" s="4"/>
      <c r="DK1376" s="4"/>
      <c r="DL1376" s="4"/>
      <c r="DM1376" s="4"/>
      <c r="DN1376" s="4"/>
      <c r="DO1376" s="4"/>
      <c r="DP1376" s="4"/>
      <c r="DQ1376" s="4"/>
      <c r="DR1376" s="4"/>
      <c r="DS1376" s="4"/>
      <c r="DT1376" s="4"/>
      <c r="DU1376" s="4"/>
      <c r="DV1376" s="4"/>
      <c r="DW1376" s="4"/>
      <c r="DX1376" s="4"/>
      <c r="DY1376" s="4"/>
      <c r="DZ1376" s="4"/>
      <c r="EA1376" s="4"/>
      <c r="EB1376" s="4"/>
      <c r="EC1376" s="4"/>
      <c r="ED1376" s="4"/>
      <c r="EE1376" s="4"/>
      <c r="EF1376" s="4"/>
      <c r="EG1376" s="4"/>
      <c r="EH1376" s="4"/>
      <c r="EI1376" s="4"/>
      <c r="EJ1376" s="4"/>
      <c r="EK1376" s="4"/>
      <c r="EL1376" s="4"/>
      <c r="EM1376" s="4"/>
      <c r="EN1376" s="4"/>
      <c r="EO1376" s="4"/>
      <c r="EP1376" s="4"/>
      <c r="EQ1376" s="4"/>
      <c r="ER1376" s="4"/>
      <c r="ES1376" s="4"/>
      <c r="ET1376" s="4"/>
      <c r="EU1376" s="4"/>
      <c r="EV1376" s="4"/>
      <c r="EW1376" s="4"/>
      <c r="EX1376" s="4"/>
      <c r="EY1376" s="4"/>
      <c r="EZ1376" s="4"/>
      <c r="FA1376" s="4"/>
      <c r="FB1376" s="4"/>
      <c r="FC1376" s="4"/>
      <c r="FD1376" s="4"/>
      <c r="FE1376" s="4"/>
      <c r="FF1376" s="4"/>
      <c r="FG1376" s="4"/>
      <c r="FH1376" s="4"/>
      <c r="FI1376" s="4"/>
      <c r="FJ1376" s="4"/>
      <c r="FK1376" s="4"/>
      <c r="FL1376" s="4"/>
      <c r="FM1376" s="4"/>
      <c r="FN1376" s="4"/>
      <c r="FO1376" s="4"/>
      <c r="FP1376" s="4"/>
      <c r="FQ1376" s="4"/>
      <c r="FR1376" s="4"/>
      <c r="FS1376" s="4"/>
      <c r="FT1376" s="4"/>
      <c r="FU1376" s="4"/>
      <c r="FV1376" s="4"/>
      <c r="FW1376" s="4"/>
      <c r="FX1376" s="4"/>
      <c r="FY1376" s="4"/>
      <c r="FZ1376" s="4"/>
      <c r="GA1376" s="4"/>
      <c r="GB1376" s="4"/>
      <c r="GC1376" s="4"/>
      <c r="GD1376" s="4"/>
      <c r="GE1376" s="4"/>
      <c r="GF1376" s="4"/>
      <c r="GG1376" s="4"/>
      <c r="GH1376" s="4"/>
    </row>
    <row r="1377">
      <c r="A1377" s="2" t="s">
        <v>7489</v>
      </c>
      <c r="B1377" s="2" t="s">
        <v>195</v>
      </c>
      <c r="C1377" s="2" t="s">
        <v>3397</v>
      </c>
      <c r="D1377" s="2" t="s">
        <v>1168</v>
      </c>
      <c r="E1377" s="2" t="s">
        <v>1169</v>
      </c>
      <c r="F1377" s="2" t="s">
        <v>7490</v>
      </c>
      <c r="G1377" s="2" t="s">
        <v>7490</v>
      </c>
      <c r="H1377" s="2" t="s">
        <v>7490</v>
      </c>
      <c r="I1377" s="2" t="s">
        <v>7491</v>
      </c>
      <c r="J1377" s="2" t="s">
        <v>7492</v>
      </c>
      <c r="K1377" s="2" t="s">
        <v>221</v>
      </c>
      <c r="L1377" s="3">
        <v>36.42</v>
      </c>
      <c r="M1377" s="3">
        <v>38.24</v>
      </c>
      <c r="N1377" s="3">
        <v>74.99</v>
      </c>
      <c r="O1377" s="2" t="s">
        <v>460</v>
      </c>
      <c r="P1377" s="2" t="s">
        <v>285</v>
      </c>
      <c r="Q1377" s="2" t="s">
        <v>206</v>
      </c>
      <c r="R1377" s="2" t="s">
        <v>200</v>
      </c>
      <c r="S1377" s="2" t="s">
        <v>200</v>
      </c>
      <c r="T1377" s="2" t="s">
        <v>2604</v>
      </c>
      <c r="U1377" s="2" t="s">
        <v>270</v>
      </c>
      <c r="V1377" s="2" t="s">
        <v>208</v>
      </c>
      <c r="W1377" s="2" t="s">
        <v>241</v>
      </c>
      <c r="X1377" s="2" t="s">
        <v>200</v>
      </c>
      <c r="Y1377" s="2" t="s">
        <v>5716</v>
      </c>
      <c r="Z1377" s="4">
        <v>763</v>
      </c>
      <c r="AA1377" s="4">
        <f>=ROUNDDOWN(72.6666666666667,0)</f>
      </c>
      <c r="AB1377" s="5">
        <v>10.5</v>
      </c>
      <c r="AC1377" s="2" t="s">
        <v>200</v>
      </c>
      <c r="AD1377" s="4"/>
      <c r="AE1377" s="4"/>
      <c r="AF1377" s="6">
        <v>58</v>
      </c>
      <c r="AG1377" s="6"/>
      <c r="AH1377" s="7">
        <v>1</v>
      </c>
      <c r="AI1377" s="4"/>
      <c r="AJ1377" s="4">
        <f>=ROUNDDOWN({0},0)</f>
      </c>
      <c r="AK1377" s="5"/>
      <c r="AL1377" s="2" t="s">
        <v>200</v>
      </c>
      <c r="AM1377" s="4"/>
      <c r="AN1377" s="4"/>
      <c r="AO1377" s="7"/>
      <c r="AP1377" s="4"/>
      <c r="AQ1377" s="8"/>
      <c r="AR1377" s="4"/>
      <c r="AS1377" s="8"/>
      <c r="AT1377" s="7"/>
      <c r="AU1377" s="7"/>
      <c r="AV1377" s="4"/>
      <c r="AW1377" s="8"/>
      <c r="AX1377" s="4"/>
      <c r="AY1377" s="8"/>
      <c r="AZ1377" s="7"/>
      <c r="BA1377" s="7"/>
      <c r="BB1377" s="7"/>
      <c r="BC1377" s="4"/>
      <c r="BD1377" s="8"/>
      <c r="BE1377" s="4"/>
      <c r="BF1377" s="8"/>
      <c r="BG1377" s="7"/>
      <c r="BH1377" s="7"/>
      <c r="BI1377" s="7"/>
      <c r="BJ1377" s="4">
        <v>3</v>
      </c>
      <c r="BK1377" s="8">
        <v>89.77</v>
      </c>
      <c r="BL1377" s="2" t="s">
        <v>7493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7494</v>
      </c>
      <c r="BV1377" s="2" t="s">
        <v>200</v>
      </c>
      <c r="BW1377" s="2" t="s">
        <v>200</v>
      </c>
      <c r="BX1377" s="2" t="s">
        <v>289</v>
      </c>
      <c r="BY1377" s="2" t="s">
        <v>247</v>
      </c>
      <c r="BZ1377" s="2" t="s">
        <v>212</v>
      </c>
      <c r="CA1377" s="2" t="s">
        <v>383</v>
      </c>
      <c r="CB1377" s="2" t="s">
        <v>3221</v>
      </c>
      <c r="CC1377" s="2" t="s">
        <v>213</v>
      </c>
      <c r="CD1377" s="2" t="s">
        <v>200</v>
      </c>
      <c r="CE1377" s="4">
        <v>763</v>
      </c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  <c r="DE1377" s="4"/>
      <c r="DF1377" s="4"/>
      <c r="DG1377" s="4"/>
      <c r="DH1377" s="4"/>
      <c r="DI1377" s="4"/>
      <c r="DJ1377" s="4"/>
      <c r="DK1377" s="4"/>
      <c r="DL1377" s="4"/>
      <c r="DM1377" s="4"/>
      <c r="DN1377" s="4"/>
      <c r="DO1377" s="4"/>
      <c r="DP1377" s="4"/>
      <c r="DQ1377" s="4"/>
      <c r="DR1377" s="4"/>
      <c r="DS1377" s="4"/>
      <c r="DT1377" s="4"/>
      <c r="DU1377" s="4"/>
      <c r="DV1377" s="4"/>
      <c r="DW1377" s="4"/>
      <c r="DX1377" s="4"/>
      <c r="DY1377" s="4"/>
      <c r="DZ1377" s="4"/>
      <c r="EA1377" s="4"/>
      <c r="EB1377" s="4"/>
      <c r="EC1377" s="4"/>
      <c r="ED1377" s="4"/>
      <c r="EE1377" s="4"/>
      <c r="EF1377" s="4"/>
      <c r="EG1377" s="4"/>
      <c r="EH1377" s="4"/>
      <c r="EI1377" s="4"/>
      <c r="EJ1377" s="4"/>
      <c r="EK1377" s="4"/>
      <c r="EL1377" s="4"/>
      <c r="EM1377" s="4"/>
      <c r="EN1377" s="4"/>
      <c r="EO1377" s="4"/>
      <c r="EP1377" s="4"/>
      <c r="EQ1377" s="4"/>
      <c r="ER1377" s="4"/>
      <c r="ES1377" s="4"/>
      <c r="ET1377" s="4"/>
      <c r="EU1377" s="4"/>
      <c r="EV1377" s="4"/>
      <c r="EW1377" s="4"/>
      <c r="EX1377" s="4"/>
      <c r="EY1377" s="4"/>
      <c r="EZ1377" s="4"/>
      <c r="FA1377" s="4"/>
      <c r="FB1377" s="4"/>
      <c r="FC1377" s="4"/>
      <c r="FD1377" s="4"/>
      <c r="FE1377" s="4"/>
      <c r="FF1377" s="4"/>
      <c r="FG1377" s="4"/>
      <c r="FH1377" s="4"/>
      <c r="FI1377" s="4"/>
      <c r="FJ1377" s="4"/>
      <c r="FK1377" s="4"/>
      <c r="FL1377" s="4"/>
      <c r="FM1377" s="4"/>
      <c r="FN1377" s="4"/>
      <c r="FO1377" s="4"/>
      <c r="FP1377" s="4"/>
      <c r="FQ1377" s="4"/>
      <c r="FR1377" s="4"/>
      <c r="FS1377" s="4"/>
      <c r="FT1377" s="4"/>
      <c r="FU1377" s="4"/>
      <c r="FV1377" s="4"/>
      <c r="FW1377" s="4"/>
      <c r="FX1377" s="4"/>
      <c r="FY1377" s="4"/>
      <c r="FZ1377" s="4"/>
      <c r="GA1377" s="4"/>
      <c r="GB1377" s="4"/>
      <c r="GC1377" s="4"/>
      <c r="GD1377" s="4"/>
      <c r="GE1377" s="4"/>
      <c r="GF1377" s="4"/>
      <c r="GG1377" s="4"/>
      <c r="GH1377" s="4"/>
    </row>
    <row r="1378">
      <c r="A1378" s="2" t="s">
        <v>7495</v>
      </c>
      <c r="B1378" s="2" t="s">
        <v>230</v>
      </c>
      <c r="C1378" s="2" t="s">
        <v>933</v>
      </c>
      <c r="D1378" s="2" t="s">
        <v>232</v>
      </c>
      <c r="E1378" s="2" t="s">
        <v>233</v>
      </c>
      <c r="F1378" s="2" t="s">
        <v>7496</v>
      </c>
      <c r="G1378" s="2" t="s">
        <v>7496</v>
      </c>
      <c r="H1378" s="2" t="s">
        <v>7496</v>
      </c>
      <c r="I1378" s="2" t="s">
        <v>7497</v>
      </c>
      <c r="J1378" s="2" t="s">
        <v>277</v>
      </c>
      <c r="K1378" s="2" t="s">
        <v>7498</v>
      </c>
      <c r="L1378" s="3">
        <v>24.75</v>
      </c>
      <c r="M1378" s="3">
        <v>25.99</v>
      </c>
      <c r="N1378" s="3">
        <v>54.99</v>
      </c>
      <c r="O1378" s="2" t="s">
        <v>212</v>
      </c>
      <c r="P1378" s="2" t="s">
        <v>285</v>
      </c>
      <c r="Q1378" s="2" t="s">
        <v>206</v>
      </c>
      <c r="R1378" s="2" t="s">
        <v>200</v>
      </c>
      <c r="S1378" s="2" t="s">
        <v>7499</v>
      </c>
      <c r="T1378" s="2" t="s">
        <v>312</v>
      </c>
      <c r="U1378" s="2" t="s">
        <v>200</v>
      </c>
      <c r="V1378" s="2" t="s">
        <v>3191</v>
      </c>
      <c r="W1378" s="2" t="s">
        <v>241</v>
      </c>
      <c r="X1378" s="2" t="s">
        <v>200</v>
      </c>
      <c r="Y1378" s="2" t="s">
        <v>261</v>
      </c>
      <c r="Z1378" s="4">
        <v>187</v>
      </c>
      <c r="AA1378" s="4">
        <f>=ROUNDDOWN(50.5405405405405,0)</f>
      </c>
      <c r="AB1378" s="5">
        <v>3.7</v>
      </c>
      <c r="AC1378" s="2" t="s">
        <v>200</v>
      </c>
      <c r="AD1378" s="4"/>
      <c r="AE1378" s="4"/>
      <c r="AF1378" s="6">
        <v>67</v>
      </c>
      <c r="AG1378" s="6"/>
      <c r="AH1378" s="7">
        <v>1</v>
      </c>
      <c r="AI1378" s="4"/>
      <c r="AJ1378" s="4">
        <f>=ROUNDDOWN({0},0)</f>
      </c>
      <c r="AK1378" s="5"/>
      <c r="AL1378" s="2" t="s">
        <v>200</v>
      </c>
      <c r="AM1378" s="4"/>
      <c r="AN1378" s="4"/>
      <c r="AO1378" s="7"/>
      <c r="AP1378" s="4"/>
      <c r="AQ1378" s="8"/>
      <c r="AR1378" s="4"/>
      <c r="AS1378" s="8"/>
      <c r="AT1378" s="7"/>
      <c r="AU1378" s="7"/>
      <c r="AV1378" s="4" t="s">
        <v>200</v>
      </c>
      <c r="AW1378" s="8" t="s">
        <v>200</v>
      </c>
      <c r="AX1378" s="4" t="s">
        <v>200</v>
      </c>
      <c r="AY1378" s="8" t="s">
        <v>200</v>
      </c>
      <c r="AZ1378" s="7" t="s">
        <v>200</v>
      </c>
      <c r="BA1378" s="7" t="s">
        <v>200</v>
      </c>
      <c r="BB1378" s="7"/>
      <c r="BC1378" s="4" t="s">
        <v>200</v>
      </c>
      <c r="BD1378" s="8" t="s">
        <v>200</v>
      </c>
      <c r="BE1378" s="4" t="s">
        <v>200</v>
      </c>
      <c r="BF1378" s="8" t="s">
        <v>200</v>
      </c>
      <c r="BG1378" s="7" t="s">
        <v>200</v>
      </c>
      <c r="BH1378" s="7" t="s">
        <v>200</v>
      </c>
      <c r="BI1378" s="7"/>
      <c r="BJ1378" s="4">
        <v>19</v>
      </c>
      <c r="BK1378" s="8">
        <v>461.61</v>
      </c>
      <c r="BL1378" s="2" t="s">
        <v>1869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7500</v>
      </c>
      <c r="BV1378" s="2" t="s">
        <v>200</v>
      </c>
      <c r="BW1378" s="2" t="s">
        <v>200</v>
      </c>
      <c r="BX1378" s="2" t="s">
        <v>289</v>
      </c>
      <c r="BY1378" s="2" t="s">
        <v>247</v>
      </c>
      <c r="BZ1378" s="2" t="s">
        <v>212</v>
      </c>
      <c r="CA1378" s="2" t="s">
        <v>7501</v>
      </c>
      <c r="CB1378" s="2" t="s">
        <v>6240</v>
      </c>
      <c r="CC1378" s="2" t="s">
        <v>213</v>
      </c>
      <c r="CD1378" s="2" t="s">
        <v>200</v>
      </c>
      <c r="CE1378" s="4">
        <v>187</v>
      </c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E1378" s="4"/>
      <c r="DF1378" s="4"/>
      <c r="DG1378" s="4"/>
      <c r="DH1378" s="4"/>
      <c r="DI1378" s="4"/>
      <c r="DJ1378" s="4"/>
      <c r="DK1378" s="4"/>
      <c r="DL1378" s="4"/>
      <c r="DM1378" s="4"/>
      <c r="DN1378" s="4"/>
      <c r="DO1378" s="4"/>
      <c r="DP1378" s="4"/>
      <c r="DQ1378" s="4"/>
      <c r="DR1378" s="4"/>
      <c r="DS1378" s="4"/>
      <c r="DT1378" s="4"/>
      <c r="DU1378" s="4"/>
      <c r="DV1378" s="4"/>
      <c r="DW1378" s="4"/>
      <c r="DX1378" s="4"/>
      <c r="DY1378" s="4"/>
      <c r="DZ1378" s="4"/>
      <c r="EA1378" s="4"/>
      <c r="EB1378" s="4"/>
      <c r="EC1378" s="4"/>
      <c r="ED1378" s="4"/>
      <c r="EE1378" s="4"/>
      <c r="EF1378" s="4"/>
      <c r="EG1378" s="4"/>
      <c r="EH1378" s="4"/>
      <c r="EI1378" s="4"/>
      <c r="EJ1378" s="4"/>
      <c r="EK1378" s="4"/>
      <c r="EL1378" s="4"/>
      <c r="EM1378" s="4"/>
      <c r="EN1378" s="4"/>
      <c r="EO1378" s="4"/>
      <c r="EP1378" s="4"/>
      <c r="EQ1378" s="4"/>
      <c r="ER1378" s="4"/>
      <c r="ES1378" s="4"/>
      <c r="ET1378" s="4"/>
      <c r="EU1378" s="4"/>
      <c r="EV1378" s="4"/>
      <c r="EW1378" s="4"/>
      <c r="EX1378" s="4"/>
      <c r="EY1378" s="4"/>
      <c r="EZ1378" s="4"/>
      <c r="FA1378" s="4"/>
      <c r="FB1378" s="4"/>
      <c r="FC1378" s="4"/>
      <c r="FD1378" s="4"/>
      <c r="FE1378" s="4"/>
      <c r="FF1378" s="4"/>
      <c r="FG1378" s="4"/>
      <c r="FH1378" s="4"/>
      <c r="FI1378" s="4"/>
      <c r="FJ1378" s="4"/>
      <c r="FK1378" s="4"/>
      <c r="FL1378" s="4"/>
      <c r="FM1378" s="4"/>
      <c r="FN1378" s="4"/>
      <c r="FO1378" s="4"/>
      <c r="FP1378" s="4"/>
      <c r="FQ1378" s="4"/>
      <c r="FR1378" s="4"/>
      <c r="FS1378" s="4"/>
      <c r="FT1378" s="4"/>
      <c r="FU1378" s="4"/>
      <c r="FV1378" s="4"/>
      <c r="FW1378" s="4"/>
      <c r="FX1378" s="4"/>
      <c r="FY1378" s="4"/>
      <c r="FZ1378" s="4"/>
      <c r="GA1378" s="4"/>
      <c r="GB1378" s="4"/>
      <c r="GC1378" s="4"/>
      <c r="GD1378" s="4"/>
      <c r="GE1378" s="4"/>
      <c r="GF1378" s="4"/>
      <c r="GG1378" s="4"/>
      <c r="GH1378" s="4"/>
    </row>
    <row r="1379">
      <c r="A1379" s="2" t="s">
        <v>7502</v>
      </c>
      <c r="B1379" s="2" t="s">
        <v>230</v>
      </c>
      <c r="C1379" s="2" t="s">
        <v>933</v>
      </c>
      <c r="D1379" s="2" t="s">
        <v>232</v>
      </c>
      <c r="E1379" s="2" t="s">
        <v>233</v>
      </c>
      <c r="F1379" s="2" t="s">
        <v>7496</v>
      </c>
      <c r="G1379" s="2" t="s">
        <v>7496</v>
      </c>
      <c r="H1379" s="2" t="s">
        <v>7496</v>
      </c>
      <c r="I1379" s="2" t="s">
        <v>7497</v>
      </c>
      <c r="J1379" s="2" t="s">
        <v>297</v>
      </c>
      <c r="K1379" s="2" t="s">
        <v>7498</v>
      </c>
      <c r="L1379" s="3">
        <v>27</v>
      </c>
      <c r="M1379" s="3">
        <v>28.35</v>
      </c>
      <c r="N1379" s="3">
        <v>59.99</v>
      </c>
      <c r="O1379" s="2" t="s">
        <v>212</v>
      </c>
      <c r="P1379" s="2" t="s">
        <v>285</v>
      </c>
      <c r="Q1379" s="2" t="s">
        <v>206</v>
      </c>
      <c r="R1379" s="2" t="s">
        <v>200</v>
      </c>
      <c r="S1379" s="2" t="s">
        <v>7499</v>
      </c>
      <c r="T1379" s="2" t="s">
        <v>312</v>
      </c>
      <c r="U1379" s="2" t="s">
        <v>200</v>
      </c>
      <c r="V1379" s="2" t="s">
        <v>3191</v>
      </c>
      <c r="W1379" s="2" t="s">
        <v>241</v>
      </c>
      <c r="X1379" s="2" t="s">
        <v>200</v>
      </c>
      <c r="Y1379" s="2" t="s">
        <v>261</v>
      </c>
      <c r="Z1379" s="4">
        <v>223</v>
      </c>
      <c r="AA1379" s="4">
        <f>=ROUNDDOWN(44.6,0)</f>
      </c>
      <c r="AB1379" s="5">
        <v>5</v>
      </c>
      <c r="AC1379" s="2" t="s">
        <v>200</v>
      </c>
      <c r="AD1379" s="4"/>
      <c r="AE1379" s="4"/>
      <c r="AF1379" s="6">
        <v>67</v>
      </c>
      <c r="AG1379" s="6"/>
      <c r="AH1379" s="7">
        <v>1</v>
      </c>
      <c r="AI1379" s="4"/>
      <c r="AJ1379" s="4">
        <f>=ROUNDDOWN({0},0)</f>
      </c>
      <c r="AK1379" s="5"/>
      <c r="AL1379" s="2" t="s">
        <v>200</v>
      </c>
      <c r="AM1379" s="4"/>
      <c r="AN1379" s="4"/>
      <c r="AO1379" s="7"/>
      <c r="AP1379" s="4"/>
      <c r="AQ1379" s="8"/>
      <c r="AR1379" s="4"/>
      <c r="AS1379" s="8"/>
      <c r="AT1379" s="7"/>
      <c r="AU1379" s="7"/>
      <c r="AV1379" s="4" t="s">
        <v>200</v>
      </c>
      <c r="AW1379" s="8" t="s">
        <v>200</v>
      </c>
      <c r="AX1379" s="4" t="s">
        <v>200</v>
      </c>
      <c r="AY1379" s="8" t="s">
        <v>200</v>
      </c>
      <c r="AZ1379" s="7" t="s">
        <v>200</v>
      </c>
      <c r="BA1379" s="7" t="s">
        <v>200</v>
      </c>
      <c r="BB1379" s="7"/>
      <c r="BC1379" s="4" t="s">
        <v>200</v>
      </c>
      <c r="BD1379" s="8" t="s">
        <v>200</v>
      </c>
      <c r="BE1379" s="4" t="s">
        <v>200</v>
      </c>
      <c r="BF1379" s="8" t="s">
        <v>200</v>
      </c>
      <c r="BG1379" s="7" t="s">
        <v>200</v>
      </c>
      <c r="BH1379" s="7" t="s">
        <v>200</v>
      </c>
      <c r="BI1379" s="7"/>
      <c r="BJ1379" s="4">
        <v>25</v>
      </c>
      <c r="BK1379" s="8">
        <v>700.36</v>
      </c>
      <c r="BL1379" s="2" t="s">
        <v>359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7503</v>
      </c>
      <c r="BV1379" s="2" t="s">
        <v>200</v>
      </c>
      <c r="BW1379" s="2" t="s">
        <v>200</v>
      </c>
      <c r="BX1379" s="2" t="s">
        <v>289</v>
      </c>
      <c r="BY1379" s="2" t="s">
        <v>247</v>
      </c>
      <c r="BZ1379" s="2" t="s">
        <v>212</v>
      </c>
      <c r="CA1379" s="2" t="s">
        <v>7501</v>
      </c>
      <c r="CB1379" s="2" t="s">
        <v>7504</v>
      </c>
      <c r="CC1379" s="2" t="s">
        <v>213</v>
      </c>
      <c r="CD1379" s="2" t="s">
        <v>200</v>
      </c>
      <c r="CE1379" s="4">
        <v>223</v>
      </c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  <c r="DE1379" s="4"/>
      <c r="DF1379" s="4"/>
      <c r="DG1379" s="4"/>
      <c r="DH1379" s="4"/>
      <c r="DI1379" s="4"/>
      <c r="DJ1379" s="4"/>
      <c r="DK1379" s="4"/>
      <c r="DL1379" s="4"/>
      <c r="DM1379" s="4"/>
      <c r="DN1379" s="4"/>
      <c r="DO1379" s="4"/>
      <c r="DP1379" s="4"/>
      <c r="DQ1379" s="4"/>
      <c r="DR1379" s="4"/>
      <c r="DS1379" s="4"/>
      <c r="DT1379" s="4"/>
      <c r="DU1379" s="4"/>
      <c r="DV1379" s="4"/>
      <c r="DW1379" s="4"/>
      <c r="DX1379" s="4"/>
      <c r="DY1379" s="4"/>
      <c r="DZ1379" s="4"/>
      <c r="EA1379" s="4"/>
      <c r="EB1379" s="4"/>
      <c r="EC1379" s="4"/>
      <c r="ED1379" s="4"/>
      <c r="EE1379" s="4"/>
      <c r="EF1379" s="4"/>
      <c r="EG1379" s="4"/>
      <c r="EH1379" s="4"/>
      <c r="EI1379" s="4"/>
      <c r="EJ1379" s="4"/>
      <c r="EK1379" s="4"/>
      <c r="EL1379" s="4"/>
      <c r="EM1379" s="4"/>
      <c r="EN1379" s="4"/>
      <c r="EO1379" s="4"/>
      <c r="EP1379" s="4"/>
      <c r="EQ1379" s="4"/>
      <c r="ER1379" s="4"/>
      <c r="ES1379" s="4"/>
      <c r="ET1379" s="4"/>
      <c r="EU1379" s="4"/>
      <c r="EV1379" s="4"/>
      <c r="EW1379" s="4"/>
      <c r="EX1379" s="4"/>
      <c r="EY1379" s="4"/>
      <c r="EZ1379" s="4"/>
      <c r="FA1379" s="4"/>
      <c r="FB1379" s="4"/>
      <c r="FC1379" s="4"/>
      <c r="FD1379" s="4"/>
      <c r="FE1379" s="4"/>
      <c r="FF1379" s="4"/>
      <c r="FG1379" s="4"/>
      <c r="FH1379" s="4"/>
      <c r="FI1379" s="4"/>
      <c r="FJ1379" s="4"/>
      <c r="FK1379" s="4"/>
      <c r="FL1379" s="4"/>
      <c r="FM1379" s="4"/>
      <c r="FN1379" s="4"/>
      <c r="FO1379" s="4"/>
      <c r="FP1379" s="4"/>
      <c r="FQ1379" s="4"/>
      <c r="FR1379" s="4"/>
      <c r="FS1379" s="4"/>
      <c r="FT1379" s="4"/>
      <c r="FU1379" s="4"/>
      <c r="FV1379" s="4"/>
      <c r="FW1379" s="4"/>
      <c r="FX1379" s="4"/>
      <c r="FY1379" s="4"/>
      <c r="FZ1379" s="4"/>
      <c r="GA1379" s="4"/>
      <c r="GB1379" s="4"/>
      <c r="GC1379" s="4"/>
      <c r="GD1379" s="4"/>
      <c r="GE1379" s="4"/>
      <c r="GF1379" s="4"/>
      <c r="GG1379" s="4"/>
      <c r="GH1379" s="4"/>
    </row>
    <row r="1380">
      <c r="A1380" s="2" t="s">
        <v>7505</v>
      </c>
      <c r="B1380" s="2" t="s">
        <v>230</v>
      </c>
      <c r="C1380" s="2" t="s">
        <v>933</v>
      </c>
      <c r="D1380" s="2" t="s">
        <v>232</v>
      </c>
      <c r="E1380" s="2" t="s">
        <v>233</v>
      </c>
      <c r="F1380" s="2" t="s">
        <v>7496</v>
      </c>
      <c r="G1380" s="2" t="s">
        <v>7496</v>
      </c>
      <c r="H1380" s="2" t="s">
        <v>7496</v>
      </c>
      <c r="I1380" s="2" t="s">
        <v>7497</v>
      </c>
      <c r="J1380" s="2" t="s">
        <v>256</v>
      </c>
      <c r="K1380" s="2" t="s">
        <v>2359</v>
      </c>
      <c r="L1380" s="3">
        <v>21.6</v>
      </c>
      <c r="M1380" s="3">
        <v>22.68</v>
      </c>
      <c r="N1380" s="3">
        <v>47.99</v>
      </c>
      <c r="O1380" s="2" t="s">
        <v>212</v>
      </c>
      <c r="P1380" s="2" t="s">
        <v>258</v>
      </c>
      <c r="Q1380" s="2" t="s">
        <v>206</v>
      </c>
      <c r="R1380" s="2" t="s">
        <v>200</v>
      </c>
      <c r="S1380" s="2" t="s">
        <v>7506</v>
      </c>
      <c r="T1380" s="2" t="s">
        <v>312</v>
      </c>
      <c r="U1380" s="2" t="s">
        <v>200</v>
      </c>
      <c r="V1380" s="2" t="s">
        <v>3191</v>
      </c>
      <c r="W1380" s="2" t="s">
        <v>241</v>
      </c>
      <c r="X1380" s="2" t="s">
        <v>200</v>
      </c>
      <c r="Y1380" s="2" t="s">
        <v>261</v>
      </c>
      <c r="Z1380" s="4">
        <v>182</v>
      </c>
      <c r="AA1380" s="4">
        <f>=ROUNDDOWN(6.74074074074074,0)</f>
      </c>
      <c r="AB1380" s="5">
        <v>27</v>
      </c>
      <c r="AC1380" s="2" t="s">
        <v>114</v>
      </c>
      <c r="AD1380" s="4">
        <v>250</v>
      </c>
      <c r="AE1380" s="4">
        <v>550</v>
      </c>
      <c r="AF1380" s="6">
        <v>65</v>
      </c>
      <c r="AG1380" s="6"/>
      <c r="AH1380" s="7">
        <v>0.8667</v>
      </c>
      <c r="AI1380" s="4"/>
      <c r="AJ1380" s="4">
        <f>=ROUNDDOWN({0},0)</f>
      </c>
      <c r="AK1380" s="5"/>
      <c r="AL1380" s="2" t="s">
        <v>200</v>
      </c>
      <c r="AM1380" s="4"/>
      <c r="AN1380" s="4"/>
      <c r="AO1380" s="7"/>
      <c r="AP1380" s="4"/>
      <c r="AQ1380" s="8"/>
      <c r="AR1380" s="4"/>
      <c r="AS1380" s="8"/>
      <c r="AT1380" s="7"/>
      <c r="AU1380" s="7"/>
      <c r="AV1380" s="4"/>
      <c r="AW1380" s="8"/>
      <c r="AX1380" s="4"/>
      <c r="AY1380" s="8"/>
      <c r="AZ1380" s="7"/>
      <c r="BA1380" s="7"/>
      <c r="BB1380" s="7"/>
      <c r="BC1380" s="4" t="s">
        <v>200</v>
      </c>
      <c r="BD1380" s="8" t="s">
        <v>200</v>
      </c>
      <c r="BE1380" s="4" t="s">
        <v>200</v>
      </c>
      <c r="BF1380" s="8" t="s">
        <v>200</v>
      </c>
      <c r="BG1380" s="7" t="s">
        <v>200</v>
      </c>
      <c r="BH1380" s="7" t="s">
        <v>200</v>
      </c>
      <c r="BI1380" s="7"/>
      <c r="BJ1380" s="4">
        <v>101</v>
      </c>
      <c r="BK1380" s="8">
        <v>2258.85</v>
      </c>
      <c r="BL1380" s="2" t="s">
        <v>7507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7508</v>
      </c>
      <c r="BV1380" s="2" t="s">
        <v>200</v>
      </c>
      <c r="BW1380" s="2" t="s">
        <v>200</v>
      </c>
      <c r="BX1380" s="2" t="s">
        <v>264</v>
      </c>
      <c r="BY1380" s="2" t="s">
        <v>247</v>
      </c>
      <c r="BZ1380" s="2" t="s">
        <v>212</v>
      </c>
      <c r="CA1380" s="2" t="s">
        <v>265</v>
      </c>
      <c r="CB1380" s="2" t="s">
        <v>2695</v>
      </c>
      <c r="CC1380" s="2" t="s">
        <v>213</v>
      </c>
      <c r="CD1380" s="2" t="s">
        <v>200</v>
      </c>
      <c r="CE1380" s="4">
        <v>102</v>
      </c>
      <c r="CF1380" s="4"/>
      <c r="CG1380" s="4"/>
      <c r="CH1380" s="4"/>
      <c r="CI1380" s="4"/>
      <c r="CJ1380" s="4"/>
      <c r="CK1380" s="4">
        <v>80</v>
      </c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>
        <v>250</v>
      </c>
      <c r="DB1380" s="4"/>
      <c r="DC1380" s="4"/>
      <c r="DD1380" s="4"/>
      <c r="DE1380" s="4"/>
      <c r="DF1380" s="4"/>
      <c r="DG1380" s="4"/>
      <c r="DH1380" s="4"/>
      <c r="DI1380" s="4"/>
      <c r="DJ1380" s="4"/>
      <c r="DK1380" s="4"/>
      <c r="DL1380" s="4"/>
      <c r="DM1380" s="4"/>
      <c r="DN1380" s="4"/>
      <c r="DO1380" s="4"/>
      <c r="DP1380" s="4"/>
      <c r="DQ1380" s="4"/>
      <c r="DR1380" s="4"/>
      <c r="DS1380" s="4"/>
      <c r="DT1380" s="4"/>
      <c r="DU1380" s="4"/>
      <c r="DV1380" s="4"/>
      <c r="DW1380" s="4"/>
      <c r="DX1380" s="4"/>
      <c r="DY1380" s="4"/>
      <c r="DZ1380" s="4"/>
      <c r="EA1380" s="4">
        <v>200</v>
      </c>
      <c r="EB1380" s="4"/>
      <c r="EC1380" s="4"/>
      <c r="ED1380" s="4"/>
      <c r="EE1380" s="4"/>
      <c r="EF1380" s="4"/>
      <c r="EG1380" s="4"/>
      <c r="EH1380" s="4"/>
      <c r="EI1380" s="4"/>
      <c r="EJ1380" s="4"/>
      <c r="EK1380" s="4"/>
      <c r="EL1380" s="4"/>
      <c r="EM1380" s="4"/>
      <c r="EN1380" s="4"/>
      <c r="EO1380" s="4"/>
      <c r="EP1380" s="4"/>
      <c r="EQ1380" s="4"/>
      <c r="ER1380" s="4"/>
      <c r="ES1380" s="4"/>
      <c r="ET1380" s="4"/>
      <c r="EU1380" s="4"/>
      <c r="EV1380" s="4"/>
      <c r="EW1380" s="4"/>
      <c r="EX1380" s="4"/>
      <c r="EY1380" s="4"/>
      <c r="EZ1380" s="4"/>
      <c r="FA1380" s="4"/>
      <c r="FB1380" s="4"/>
      <c r="FC1380" s="4"/>
      <c r="FD1380" s="4"/>
      <c r="FE1380" s="4"/>
      <c r="FF1380" s="4">
        <v>100</v>
      </c>
      <c r="FG1380" s="4"/>
      <c r="FH1380" s="4"/>
      <c r="FI1380" s="4"/>
      <c r="FJ1380" s="4"/>
      <c r="FK1380" s="4"/>
      <c r="FL1380" s="4"/>
      <c r="FM1380" s="4"/>
      <c r="FN1380" s="4"/>
      <c r="FO1380" s="4"/>
      <c r="FP1380" s="4"/>
      <c r="FQ1380" s="4"/>
      <c r="FR1380" s="4"/>
      <c r="FS1380" s="4"/>
      <c r="FT1380" s="4"/>
      <c r="FU1380" s="4"/>
      <c r="FV1380" s="4"/>
      <c r="FW1380" s="4"/>
      <c r="FX1380" s="4"/>
      <c r="FY1380" s="4"/>
      <c r="FZ1380" s="4"/>
      <c r="GA1380" s="4"/>
      <c r="GB1380" s="4"/>
      <c r="GC1380" s="4"/>
      <c r="GD1380" s="4"/>
      <c r="GE1380" s="4"/>
      <c r="GF1380" s="4"/>
      <c r="GG1380" s="4"/>
      <c r="GH1380" s="4"/>
    </row>
    <row r="1381">
      <c r="A1381" s="2" t="s">
        <v>7509</v>
      </c>
      <c r="B1381" s="2" t="s">
        <v>230</v>
      </c>
      <c r="C1381" s="2" t="s">
        <v>933</v>
      </c>
      <c r="D1381" s="2" t="s">
        <v>232</v>
      </c>
      <c r="E1381" s="2" t="s">
        <v>233</v>
      </c>
      <c r="F1381" s="2" t="s">
        <v>7496</v>
      </c>
      <c r="G1381" s="2" t="s">
        <v>7496</v>
      </c>
      <c r="H1381" s="2" t="s">
        <v>7496</v>
      </c>
      <c r="I1381" s="2" t="s">
        <v>7497</v>
      </c>
      <c r="J1381" s="2" t="s">
        <v>297</v>
      </c>
      <c r="K1381" s="2" t="s">
        <v>464</v>
      </c>
      <c r="L1381" s="3">
        <v>27</v>
      </c>
      <c r="M1381" s="3">
        <v>28.35</v>
      </c>
      <c r="N1381" s="3">
        <v>59.99</v>
      </c>
      <c r="O1381" s="2" t="s">
        <v>212</v>
      </c>
      <c r="P1381" s="2" t="s">
        <v>285</v>
      </c>
      <c r="Q1381" s="2" t="s">
        <v>206</v>
      </c>
      <c r="R1381" s="2" t="s">
        <v>200</v>
      </c>
      <c r="S1381" s="2" t="s">
        <v>7510</v>
      </c>
      <c r="T1381" s="2" t="s">
        <v>312</v>
      </c>
      <c r="U1381" s="2" t="s">
        <v>200</v>
      </c>
      <c r="V1381" s="2" t="s">
        <v>3191</v>
      </c>
      <c r="W1381" s="2" t="s">
        <v>241</v>
      </c>
      <c r="X1381" s="2" t="s">
        <v>200</v>
      </c>
      <c r="Y1381" s="2" t="s">
        <v>261</v>
      </c>
      <c r="Z1381" s="4">
        <v>37</v>
      </c>
      <c r="AA1381" s="4">
        <f>=ROUNDDOWN(9.02439024390244,0)</f>
      </c>
      <c r="AB1381" s="5">
        <v>4.1</v>
      </c>
      <c r="AC1381" s="2" t="s">
        <v>200</v>
      </c>
      <c r="AD1381" s="4"/>
      <c r="AE1381" s="4"/>
      <c r="AF1381" s="6">
        <v>67</v>
      </c>
      <c r="AG1381" s="6"/>
      <c r="AH1381" s="7">
        <v>1</v>
      </c>
      <c r="AI1381" s="4"/>
      <c r="AJ1381" s="4">
        <f>=ROUNDDOWN({0},0)</f>
      </c>
      <c r="AK1381" s="5"/>
      <c r="AL1381" s="2" t="s">
        <v>200</v>
      </c>
      <c r="AM1381" s="4"/>
      <c r="AN1381" s="4"/>
      <c r="AO1381" s="7"/>
      <c r="AP1381" s="4"/>
      <c r="AQ1381" s="8"/>
      <c r="AR1381" s="4"/>
      <c r="AS1381" s="8"/>
      <c r="AT1381" s="7"/>
      <c r="AU1381" s="7"/>
      <c r="AV1381" s="4"/>
      <c r="AW1381" s="8"/>
      <c r="AX1381" s="4"/>
      <c r="AY1381" s="8"/>
      <c r="AZ1381" s="7"/>
      <c r="BA1381" s="7"/>
      <c r="BB1381" s="7"/>
      <c r="BC1381" s="4" t="s">
        <v>200</v>
      </c>
      <c r="BD1381" s="8" t="s">
        <v>200</v>
      </c>
      <c r="BE1381" s="4" t="s">
        <v>200</v>
      </c>
      <c r="BF1381" s="8" t="s">
        <v>200</v>
      </c>
      <c r="BG1381" s="7" t="s">
        <v>200</v>
      </c>
      <c r="BH1381" s="7" t="s">
        <v>200</v>
      </c>
      <c r="BI1381" s="7"/>
      <c r="BJ1381" s="4">
        <v>44</v>
      </c>
      <c r="BK1381" s="8">
        <v>1271.28</v>
      </c>
      <c r="BL1381" s="2" t="s">
        <v>7511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7512</v>
      </c>
      <c r="BV1381" s="2" t="s">
        <v>200</v>
      </c>
      <c r="BW1381" s="2" t="s">
        <v>200</v>
      </c>
      <c r="BX1381" s="2" t="s">
        <v>289</v>
      </c>
      <c r="BY1381" s="2" t="s">
        <v>247</v>
      </c>
      <c r="BZ1381" s="2" t="s">
        <v>212</v>
      </c>
      <c r="CA1381" s="2" t="s">
        <v>4803</v>
      </c>
      <c r="CB1381" s="2" t="s">
        <v>7513</v>
      </c>
      <c r="CC1381" s="2" t="s">
        <v>213</v>
      </c>
      <c r="CD1381" s="2" t="s">
        <v>200</v>
      </c>
      <c r="CE1381" s="4">
        <v>37</v>
      </c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  <c r="DE1381" s="4"/>
      <c r="DF1381" s="4"/>
      <c r="DG1381" s="4"/>
      <c r="DH1381" s="4"/>
      <c r="DI1381" s="4"/>
      <c r="DJ1381" s="4"/>
      <c r="DK1381" s="4"/>
      <c r="DL1381" s="4"/>
      <c r="DM1381" s="4"/>
      <c r="DN1381" s="4"/>
      <c r="DO1381" s="4"/>
      <c r="DP1381" s="4"/>
      <c r="DQ1381" s="4"/>
      <c r="DR1381" s="4"/>
      <c r="DS1381" s="4"/>
      <c r="DT1381" s="4"/>
      <c r="DU1381" s="4"/>
      <c r="DV1381" s="4"/>
      <c r="DW1381" s="4"/>
      <c r="DX1381" s="4"/>
      <c r="DY1381" s="4"/>
      <c r="DZ1381" s="4"/>
      <c r="EA1381" s="4"/>
      <c r="EB1381" s="4"/>
      <c r="EC1381" s="4"/>
      <c r="ED1381" s="4"/>
      <c r="EE1381" s="4"/>
      <c r="EF1381" s="4"/>
      <c r="EG1381" s="4"/>
      <c r="EH1381" s="4"/>
      <c r="EI1381" s="4"/>
      <c r="EJ1381" s="4"/>
      <c r="EK1381" s="4"/>
      <c r="EL1381" s="4"/>
      <c r="EM1381" s="4"/>
      <c r="EN1381" s="4"/>
      <c r="EO1381" s="4"/>
      <c r="EP1381" s="4"/>
      <c r="EQ1381" s="4"/>
      <c r="ER1381" s="4"/>
      <c r="ES1381" s="4"/>
      <c r="ET1381" s="4"/>
      <c r="EU1381" s="4"/>
      <c r="EV1381" s="4"/>
      <c r="EW1381" s="4"/>
      <c r="EX1381" s="4"/>
      <c r="EY1381" s="4"/>
      <c r="EZ1381" s="4"/>
      <c r="FA1381" s="4"/>
      <c r="FB1381" s="4"/>
      <c r="FC1381" s="4"/>
      <c r="FD1381" s="4"/>
      <c r="FE1381" s="4"/>
      <c r="FF1381" s="4"/>
      <c r="FG1381" s="4"/>
      <c r="FH1381" s="4"/>
      <c r="FI1381" s="4"/>
      <c r="FJ1381" s="4"/>
      <c r="FK1381" s="4"/>
      <c r="FL1381" s="4"/>
      <c r="FM1381" s="4"/>
      <c r="FN1381" s="4"/>
      <c r="FO1381" s="4"/>
      <c r="FP1381" s="4"/>
      <c r="FQ1381" s="4"/>
      <c r="FR1381" s="4"/>
      <c r="FS1381" s="4"/>
      <c r="FT1381" s="4"/>
      <c r="FU1381" s="4"/>
      <c r="FV1381" s="4"/>
      <c r="FW1381" s="4"/>
      <c r="FX1381" s="4"/>
      <c r="FY1381" s="4"/>
      <c r="FZ1381" s="4"/>
      <c r="GA1381" s="4"/>
      <c r="GB1381" s="4"/>
      <c r="GC1381" s="4"/>
      <c r="GD1381" s="4"/>
      <c r="GE1381" s="4"/>
      <c r="GF1381" s="4"/>
      <c r="GG1381" s="4"/>
      <c r="GH1381" s="4"/>
    </row>
    <row r="1382">
      <c r="A1382" s="2" t="s">
        <v>7514</v>
      </c>
      <c r="B1382" s="2" t="s">
        <v>827</v>
      </c>
      <c r="C1382" s="2" t="s">
        <v>7515</v>
      </c>
      <c r="D1382" s="2" t="s">
        <v>828</v>
      </c>
      <c r="E1382" s="2" t="s">
        <v>1011</v>
      </c>
      <c r="F1382" s="2" t="s">
        <v>7516</v>
      </c>
      <c r="G1382" s="2" t="s">
        <v>200</v>
      </c>
      <c r="H1382" s="2" t="s">
        <v>200</v>
      </c>
      <c r="I1382" s="2" t="s">
        <v>7517</v>
      </c>
      <c r="J1382" s="2" t="s">
        <v>5918</v>
      </c>
      <c r="K1382" s="2" t="s">
        <v>499</v>
      </c>
      <c r="L1382" s="3">
        <v>19.99</v>
      </c>
      <c r="M1382" s="3">
        <v>20.99</v>
      </c>
      <c r="N1382" s="3"/>
      <c r="O1382" s="2" t="s">
        <v>212</v>
      </c>
      <c r="P1382" s="2" t="s">
        <v>205</v>
      </c>
      <c r="Q1382" s="2" t="s">
        <v>206</v>
      </c>
      <c r="R1382" s="2" t="s">
        <v>7518</v>
      </c>
      <c r="S1382" s="2" t="s">
        <v>200</v>
      </c>
      <c r="T1382" s="2" t="s">
        <v>200</v>
      </c>
      <c r="U1382" s="2" t="s">
        <v>200</v>
      </c>
      <c r="V1382" s="2" t="s">
        <v>208</v>
      </c>
      <c r="W1382" s="2" t="s">
        <v>200</v>
      </c>
      <c r="X1382" s="2" t="s">
        <v>200</v>
      </c>
      <c r="Y1382" s="2" t="s">
        <v>7519</v>
      </c>
      <c r="Z1382" s="4"/>
      <c r="AA1382" s="4">
        <f>=ROUNDDOWN({0},0)</f>
      </c>
      <c r="AB1382" s="5"/>
      <c r="AC1382" s="2" t="s">
        <v>200</v>
      </c>
      <c r="AD1382" s="4"/>
      <c r="AE1382" s="4"/>
      <c r="AF1382" s="6"/>
      <c r="AG1382" s="6"/>
      <c r="AH1382" s="7"/>
      <c r="AI1382" s="4"/>
      <c r="AJ1382" s="4">
        <f>=ROUNDDOWN({0},0)</f>
      </c>
      <c r="AK1382" s="5"/>
      <c r="AL1382" s="2" t="s">
        <v>200</v>
      </c>
      <c r="AM1382" s="4"/>
      <c r="AN1382" s="4"/>
      <c r="AO1382" s="7"/>
      <c r="AP1382" s="4"/>
      <c r="AQ1382" s="8"/>
      <c r="AR1382" s="4"/>
      <c r="AS1382" s="8"/>
      <c r="AT1382" s="7"/>
      <c r="AU1382" s="7"/>
      <c r="AV1382" s="4" t="s">
        <v>200</v>
      </c>
      <c r="AW1382" s="8" t="s">
        <v>200</v>
      </c>
      <c r="AX1382" s="4" t="s">
        <v>200</v>
      </c>
      <c r="AY1382" s="8" t="s">
        <v>200</v>
      </c>
      <c r="AZ1382" s="7" t="s">
        <v>200</v>
      </c>
      <c r="BA1382" s="7" t="s">
        <v>200</v>
      </c>
      <c r="BB1382" s="7"/>
      <c r="BC1382" s="4" t="s">
        <v>200</v>
      </c>
      <c r="BD1382" s="8" t="s">
        <v>200</v>
      </c>
      <c r="BE1382" s="4" t="s">
        <v>200</v>
      </c>
      <c r="BF1382" s="8" t="s">
        <v>200</v>
      </c>
      <c r="BG1382" s="7" t="s">
        <v>200</v>
      </c>
      <c r="BH1382" s="7" t="s">
        <v>200</v>
      </c>
      <c r="BI1382" s="7"/>
      <c r="BJ1382" s="4"/>
      <c r="BK1382" s="8"/>
      <c r="BL1382" s="2" t="s">
        <v>200</v>
      </c>
      <c r="BM1382" s="7"/>
      <c r="BN1382" s="7"/>
      <c r="BO1382" s="4"/>
      <c r="BP1382" s="8"/>
      <c r="BQ1382" s="4"/>
      <c r="BR1382" s="8"/>
      <c r="BS1382" s="7"/>
      <c r="BT1382" s="7"/>
      <c r="BU1382" s="2" t="s">
        <v>210</v>
      </c>
      <c r="BV1382" s="2" t="s">
        <v>200</v>
      </c>
      <c r="BW1382" s="2" t="s">
        <v>200</v>
      </c>
      <c r="BX1382" s="2" t="s">
        <v>200</v>
      </c>
      <c r="BY1382" s="2" t="s">
        <v>211</v>
      </c>
      <c r="BZ1382" s="2" t="s">
        <v>212</v>
      </c>
      <c r="CA1382" s="2" t="s">
        <v>200</v>
      </c>
      <c r="CB1382" s="2" t="s">
        <v>200</v>
      </c>
      <c r="CC1382" s="2" t="s">
        <v>213</v>
      </c>
      <c r="CD1382" s="2" t="s">
        <v>200</v>
      </c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  <c r="DE1382" s="4"/>
      <c r="DF1382" s="4"/>
      <c r="DG1382" s="4"/>
      <c r="DH1382" s="4"/>
      <c r="DI1382" s="4"/>
      <c r="DJ1382" s="4"/>
      <c r="DK1382" s="4"/>
      <c r="DL1382" s="4"/>
      <c r="DM1382" s="4"/>
      <c r="DN1382" s="4"/>
      <c r="DO1382" s="4"/>
      <c r="DP1382" s="4"/>
      <c r="DQ1382" s="4"/>
      <c r="DR1382" s="4"/>
      <c r="DS1382" s="4"/>
      <c r="DT1382" s="4"/>
      <c r="DU1382" s="4"/>
      <c r="DV1382" s="4"/>
      <c r="DW1382" s="4"/>
      <c r="DX1382" s="4"/>
      <c r="DY1382" s="4"/>
      <c r="DZ1382" s="4"/>
      <c r="EA1382" s="4"/>
      <c r="EB1382" s="4"/>
      <c r="EC1382" s="4"/>
      <c r="ED1382" s="4"/>
      <c r="EE1382" s="4"/>
      <c r="EF1382" s="4"/>
      <c r="EG1382" s="4"/>
      <c r="EH1382" s="4"/>
      <c r="EI1382" s="4"/>
      <c r="EJ1382" s="4"/>
      <c r="EK1382" s="4"/>
      <c r="EL1382" s="4"/>
      <c r="EM1382" s="4"/>
      <c r="EN1382" s="4"/>
      <c r="EO1382" s="4"/>
      <c r="EP1382" s="4"/>
      <c r="EQ1382" s="4"/>
      <c r="ER1382" s="4"/>
      <c r="ES1382" s="4"/>
      <c r="ET1382" s="4"/>
      <c r="EU1382" s="4"/>
      <c r="EV1382" s="4"/>
      <c r="EW1382" s="4"/>
      <c r="EX1382" s="4"/>
      <c r="EY1382" s="4"/>
      <c r="EZ1382" s="4"/>
      <c r="FA1382" s="4"/>
      <c r="FB1382" s="4"/>
      <c r="FC1382" s="4"/>
      <c r="FD1382" s="4"/>
      <c r="FE1382" s="4"/>
      <c r="FF1382" s="4"/>
      <c r="FG1382" s="4"/>
      <c r="FH1382" s="4"/>
      <c r="FI1382" s="4"/>
      <c r="FJ1382" s="4"/>
      <c r="FK1382" s="4"/>
      <c r="FL1382" s="4"/>
      <c r="FM1382" s="4"/>
      <c r="FN1382" s="4"/>
      <c r="FO1382" s="4"/>
      <c r="FP1382" s="4"/>
      <c r="FQ1382" s="4"/>
      <c r="FR1382" s="4"/>
      <c r="FS1382" s="4"/>
      <c r="FT1382" s="4"/>
      <c r="FU1382" s="4"/>
      <c r="FV1382" s="4"/>
      <c r="FW1382" s="4"/>
      <c r="FX1382" s="4"/>
      <c r="FY1382" s="4"/>
      <c r="FZ1382" s="4"/>
      <c r="GA1382" s="4"/>
      <c r="GB1382" s="4"/>
      <c r="GC1382" s="4"/>
      <c r="GD1382" s="4"/>
      <c r="GE1382" s="4"/>
      <c r="GF1382" s="4"/>
      <c r="GG1382" s="4"/>
      <c r="GH1382" s="4"/>
    </row>
    <row r="1383">
      <c r="A1383" s="2" t="s">
        <v>7520</v>
      </c>
      <c r="B1383" s="2" t="s">
        <v>827</v>
      </c>
      <c r="C1383" s="2" t="s">
        <v>7515</v>
      </c>
      <c r="D1383" s="2" t="s">
        <v>828</v>
      </c>
      <c r="E1383" s="2" t="s">
        <v>1011</v>
      </c>
      <c r="F1383" s="2" t="s">
        <v>7516</v>
      </c>
      <c r="G1383" s="2" t="s">
        <v>200</v>
      </c>
      <c r="H1383" s="2" t="s">
        <v>200</v>
      </c>
      <c r="I1383" s="2" t="s">
        <v>7521</v>
      </c>
      <c r="J1383" s="2" t="s">
        <v>1613</v>
      </c>
      <c r="K1383" s="2" t="s">
        <v>499</v>
      </c>
      <c r="L1383" s="3">
        <v>22.99</v>
      </c>
      <c r="M1383" s="3">
        <v>24.14</v>
      </c>
      <c r="N1383" s="3"/>
      <c r="O1383" s="2" t="s">
        <v>212</v>
      </c>
      <c r="P1383" s="2" t="s">
        <v>205</v>
      </c>
      <c r="Q1383" s="2" t="s">
        <v>206</v>
      </c>
      <c r="R1383" s="2" t="s">
        <v>7518</v>
      </c>
      <c r="S1383" s="2" t="s">
        <v>200</v>
      </c>
      <c r="T1383" s="2" t="s">
        <v>200</v>
      </c>
      <c r="U1383" s="2" t="s">
        <v>200</v>
      </c>
      <c r="V1383" s="2" t="s">
        <v>208</v>
      </c>
      <c r="W1383" s="2" t="s">
        <v>200</v>
      </c>
      <c r="X1383" s="2" t="s">
        <v>200</v>
      </c>
      <c r="Y1383" s="2" t="s">
        <v>7519</v>
      </c>
      <c r="Z1383" s="4"/>
      <c r="AA1383" s="4">
        <f>=ROUNDDOWN({0},0)</f>
      </c>
      <c r="AB1383" s="5"/>
      <c r="AC1383" s="2" t="s">
        <v>200</v>
      </c>
      <c r="AD1383" s="4"/>
      <c r="AE1383" s="4"/>
      <c r="AF1383" s="6"/>
      <c r="AG1383" s="6"/>
      <c r="AH1383" s="7"/>
      <c r="AI1383" s="4"/>
      <c r="AJ1383" s="4">
        <f>=ROUNDDOWN({0},0)</f>
      </c>
      <c r="AK1383" s="5"/>
      <c r="AL1383" s="2" t="s">
        <v>200</v>
      </c>
      <c r="AM1383" s="4"/>
      <c r="AN1383" s="4"/>
      <c r="AO1383" s="7"/>
      <c r="AP1383" s="4"/>
      <c r="AQ1383" s="8"/>
      <c r="AR1383" s="4"/>
      <c r="AS1383" s="8"/>
      <c r="AT1383" s="7"/>
      <c r="AU1383" s="7"/>
      <c r="AV1383" s="4" t="s">
        <v>200</v>
      </c>
      <c r="AW1383" s="8" t="s">
        <v>200</v>
      </c>
      <c r="AX1383" s="4" t="s">
        <v>200</v>
      </c>
      <c r="AY1383" s="8" t="s">
        <v>200</v>
      </c>
      <c r="AZ1383" s="7" t="s">
        <v>200</v>
      </c>
      <c r="BA1383" s="7" t="s">
        <v>200</v>
      </c>
      <c r="BB1383" s="7"/>
      <c r="BC1383" s="4" t="s">
        <v>200</v>
      </c>
      <c r="BD1383" s="8" t="s">
        <v>200</v>
      </c>
      <c r="BE1383" s="4" t="s">
        <v>200</v>
      </c>
      <c r="BF1383" s="8" t="s">
        <v>200</v>
      </c>
      <c r="BG1383" s="7" t="s">
        <v>200</v>
      </c>
      <c r="BH1383" s="7" t="s">
        <v>200</v>
      </c>
      <c r="BI1383" s="7"/>
      <c r="BJ1383" s="4"/>
      <c r="BK1383" s="8"/>
      <c r="BL1383" s="2" t="s">
        <v>200</v>
      </c>
      <c r="BM1383" s="7"/>
      <c r="BN1383" s="7"/>
      <c r="BO1383" s="4"/>
      <c r="BP1383" s="8"/>
      <c r="BQ1383" s="4"/>
      <c r="BR1383" s="8"/>
      <c r="BS1383" s="7"/>
      <c r="BT1383" s="7"/>
      <c r="BU1383" s="2" t="s">
        <v>210</v>
      </c>
      <c r="BV1383" s="2" t="s">
        <v>200</v>
      </c>
      <c r="BW1383" s="2" t="s">
        <v>200</v>
      </c>
      <c r="BX1383" s="2" t="s">
        <v>200</v>
      </c>
      <c r="BY1383" s="2" t="s">
        <v>211</v>
      </c>
      <c r="BZ1383" s="2" t="s">
        <v>212</v>
      </c>
      <c r="CA1383" s="2" t="s">
        <v>200</v>
      </c>
      <c r="CB1383" s="2" t="s">
        <v>200</v>
      </c>
      <c r="CC1383" s="2" t="s">
        <v>213</v>
      </c>
      <c r="CD1383" s="2" t="s">
        <v>200</v>
      </c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E1383" s="4"/>
      <c r="DF1383" s="4"/>
      <c r="DG1383" s="4"/>
      <c r="DH1383" s="4"/>
      <c r="DI1383" s="4"/>
      <c r="DJ1383" s="4"/>
      <c r="DK1383" s="4"/>
      <c r="DL1383" s="4"/>
      <c r="DM1383" s="4"/>
      <c r="DN1383" s="4"/>
      <c r="DO1383" s="4"/>
      <c r="DP1383" s="4"/>
      <c r="DQ1383" s="4"/>
      <c r="DR1383" s="4"/>
      <c r="DS1383" s="4"/>
      <c r="DT1383" s="4"/>
      <c r="DU1383" s="4"/>
      <c r="DV1383" s="4"/>
      <c r="DW1383" s="4"/>
      <c r="DX1383" s="4"/>
      <c r="DY1383" s="4"/>
      <c r="DZ1383" s="4"/>
      <c r="EA1383" s="4"/>
      <c r="EB1383" s="4"/>
      <c r="EC1383" s="4"/>
      <c r="ED1383" s="4"/>
      <c r="EE1383" s="4"/>
      <c r="EF1383" s="4"/>
      <c r="EG1383" s="4"/>
      <c r="EH1383" s="4"/>
      <c r="EI1383" s="4"/>
      <c r="EJ1383" s="4"/>
      <c r="EK1383" s="4"/>
      <c r="EL1383" s="4"/>
      <c r="EM1383" s="4"/>
      <c r="EN1383" s="4"/>
      <c r="EO1383" s="4"/>
      <c r="EP1383" s="4"/>
      <c r="EQ1383" s="4"/>
      <c r="ER1383" s="4"/>
      <c r="ES1383" s="4"/>
      <c r="ET1383" s="4"/>
      <c r="EU1383" s="4"/>
      <c r="EV1383" s="4"/>
      <c r="EW1383" s="4"/>
      <c r="EX1383" s="4"/>
      <c r="EY1383" s="4"/>
      <c r="EZ1383" s="4"/>
      <c r="FA1383" s="4"/>
      <c r="FB1383" s="4"/>
      <c r="FC1383" s="4"/>
      <c r="FD1383" s="4"/>
      <c r="FE1383" s="4"/>
      <c r="FF1383" s="4"/>
      <c r="FG1383" s="4"/>
      <c r="FH1383" s="4"/>
      <c r="FI1383" s="4"/>
      <c r="FJ1383" s="4"/>
      <c r="FK1383" s="4"/>
      <c r="FL1383" s="4"/>
      <c r="FM1383" s="4"/>
      <c r="FN1383" s="4"/>
      <c r="FO1383" s="4"/>
      <c r="FP1383" s="4"/>
      <c r="FQ1383" s="4"/>
      <c r="FR1383" s="4"/>
      <c r="FS1383" s="4"/>
      <c r="FT1383" s="4"/>
      <c r="FU1383" s="4"/>
      <c r="FV1383" s="4"/>
      <c r="FW1383" s="4"/>
      <c r="FX1383" s="4"/>
      <c r="FY1383" s="4"/>
      <c r="FZ1383" s="4"/>
      <c r="GA1383" s="4"/>
      <c r="GB1383" s="4"/>
      <c r="GC1383" s="4"/>
      <c r="GD1383" s="4"/>
      <c r="GE1383" s="4"/>
      <c r="GF1383" s="4"/>
      <c r="GG1383" s="4"/>
      <c r="GH1383" s="4"/>
    </row>
    <row r="1384">
      <c r="A1384" s="2" t="s">
        <v>7522</v>
      </c>
      <c r="B1384" s="2" t="s">
        <v>827</v>
      </c>
      <c r="C1384" s="2" t="s">
        <v>7515</v>
      </c>
      <c r="D1384" s="2" t="s">
        <v>828</v>
      </c>
      <c r="E1384" s="2" t="s">
        <v>1011</v>
      </c>
      <c r="F1384" s="2" t="s">
        <v>7516</v>
      </c>
      <c r="G1384" s="2" t="s">
        <v>200</v>
      </c>
      <c r="H1384" s="2" t="s">
        <v>200</v>
      </c>
      <c r="I1384" s="2" t="s">
        <v>7521</v>
      </c>
      <c r="J1384" s="2" t="s">
        <v>5918</v>
      </c>
      <c r="K1384" s="2" t="s">
        <v>1135</v>
      </c>
      <c r="L1384" s="3">
        <v>19.99</v>
      </c>
      <c r="M1384" s="3">
        <v>20.99</v>
      </c>
      <c r="N1384" s="3"/>
      <c r="O1384" s="2" t="s">
        <v>212</v>
      </c>
      <c r="P1384" s="2" t="s">
        <v>205</v>
      </c>
      <c r="Q1384" s="2" t="s">
        <v>206</v>
      </c>
      <c r="R1384" s="2" t="s">
        <v>7518</v>
      </c>
      <c r="S1384" s="2" t="s">
        <v>200</v>
      </c>
      <c r="T1384" s="2" t="s">
        <v>200</v>
      </c>
      <c r="U1384" s="2" t="s">
        <v>200</v>
      </c>
      <c r="V1384" s="2" t="s">
        <v>208</v>
      </c>
      <c r="W1384" s="2" t="s">
        <v>200</v>
      </c>
      <c r="X1384" s="2" t="s">
        <v>200</v>
      </c>
      <c r="Y1384" s="2" t="s">
        <v>7519</v>
      </c>
      <c r="Z1384" s="4"/>
      <c r="AA1384" s="4">
        <f>=ROUNDDOWN({0},0)</f>
      </c>
      <c r="AB1384" s="5"/>
      <c r="AC1384" s="2" t="s">
        <v>200</v>
      </c>
      <c r="AD1384" s="4"/>
      <c r="AE1384" s="4"/>
      <c r="AF1384" s="6"/>
      <c r="AG1384" s="6"/>
      <c r="AH1384" s="7"/>
      <c r="AI1384" s="4"/>
      <c r="AJ1384" s="4">
        <f>=ROUNDDOWN({0},0)</f>
      </c>
      <c r="AK1384" s="5"/>
      <c r="AL1384" s="2" t="s">
        <v>200</v>
      </c>
      <c r="AM1384" s="4"/>
      <c r="AN1384" s="4"/>
      <c r="AO1384" s="7"/>
      <c r="AP1384" s="4"/>
      <c r="AQ1384" s="8"/>
      <c r="AR1384" s="4"/>
      <c r="AS1384" s="8"/>
      <c r="AT1384" s="7"/>
      <c r="AU1384" s="7"/>
      <c r="AV1384" s="4" t="s">
        <v>200</v>
      </c>
      <c r="AW1384" s="8" t="s">
        <v>200</v>
      </c>
      <c r="AX1384" s="4" t="s">
        <v>200</v>
      </c>
      <c r="AY1384" s="8" t="s">
        <v>200</v>
      </c>
      <c r="AZ1384" s="7" t="s">
        <v>200</v>
      </c>
      <c r="BA1384" s="7" t="s">
        <v>200</v>
      </c>
      <c r="BB1384" s="7"/>
      <c r="BC1384" s="4" t="s">
        <v>200</v>
      </c>
      <c r="BD1384" s="8" t="s">
        <v>200</v>
      </c>
      <c r="BE1384" s="4" t="s">
        <v>200</v>
      </c>
      <c r="BF1384" s="8" t="s">
        <v>200</v>
      </c>
      <c r="BG1384" s="7" t="s">
        <v>200</v>
      </c>
      <c r="BH1384" s="7" t="s">
        <v>200</v>
      </c>
      <c r="BI1384" s="7"/>
      <c r="BJ1384" s="4"/>
      <c r="BK1384" s="8"/>
      <c r="BL1384" s="2" t="s">
        <v>200</v>
      </c>
      <c r="BM1384" s="7"/>
      <c r="BN1384" s="7"/>
      <c r="BO1384" s="4"/>
      <c r="BP1384" s="8"/>
      <c r="BQ1384" s="4"/>
      <c r="BR1384" s="8"/>
      <c r="BS1384" s="7"/>
      <c r="BT1384" s="7"/>
      <c r="BU1384" s="2" t="s">
        <v>210</v>
      </c>
      <c r="BV1384" s="2" t="s">
        <v>200</v>
      </c>
      <c r="BW1384" s="2" t="s">
        <v>200</v>
      </c>
      <c r="BX1384" s="2" t="s">
        <v>200</v>
      </c>
      <c r="BY1384" s="2" t="s">
        <v>211</v>
      </c>
      <c r="BZ1384" s="2" t="s">
        <v>212</v>
      </c>
      <c r="CA1384" s="2" t="s">
        <v>200</v>
      </c>
      <c r="CB1384" s="2" t="s">
        <v>200</v>
      </c>
      <c r="CC1384" s="2" t="s">
        <v>213</v>
      </c>
      <c r="CD1384" s="2" t="s">
        <v>200</v>
      </c>
      <c r="CE1384" s="4"/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  <c r="DE1384" s="4"/>
      <c r="DF1384" s="4"/>
      <c r="DG1384" s="4"/>
      <c r="DH1384" s="4"/>
      <c r="DI1384" s="4"/>
      <c r="DJ1384" s="4"/>
      <c r="DK1384" s="4"/>
      <c r="DL1384" s="4"/>
      <c r="DM1384" s="4"/>
      <c r="DN1384" s="4"/>
      <c r="DO1384" s="4"/>
      <c r="DP1384" s="4"/>
      <c r="DQ1384" s="4"/>
      <c r="DR1384" s="4"/>
      <c r="DS1384" s="4"/>
      <c r="DT1384" s="4"/>
      <c r="DU1384" s="4"/>
      <c r="DV1384" s="4"/>
      <c r="DW1384" s="4"/>
      <c r="DX1384" s="4"/>
      <c r="DY1384" s="4"/>
      <c r="DZ1384" s="4"/>
      <c r="EA1384" s="4"/>
      <c r="EB1384" s="4"/>
      <c r="EC1384" s="4"/>
      <c r="ED1384" s="4"/>
      <c r="EE1384" s="4"/>
      <c r="EF1384" s="4"/>
      <c r="EG1384" s="4"/>
      <c r="EH1384" s="4"/>
      <c r="EI1384" s="4"/>
      <c r="EJ1384" s="4"/>
      <c r="EK1384" s="4"/>
      <c r="EL1384" s="4"/>
      <c r="EM1384" s="4"/>
      <c r="EN1384" s="4"/>
      <c r="EO1384" s="4"/>
      <c r="EP1384" s="4"/>
      <c r="EQ1384" s="4"/>
      <c r="ER1384" s="4"/>
      <c r="ES1384" s="4"/>
      <c r="ET1384" s="4"/>
      <c r="EU1384" s="4"/>
      <c r="EV1384" s="4"/>
      <c r="EW1384" s="4"/>
      <c r="EX1384" s="4"/>
      <c r="EY1384" s="4"/>
      <c r="EZ1384" s="4"/>
      <c r="FA1384" s="4"/>
      <c r="FB1384" s="4"/>
      <c r="FC1384" s="4"/>
      <c r="FD1384" s="4"/>
      <c r="FE1384" s="4"/>
      <c r="FF1384" s="4"/>
      <c r="FG1384" s="4"/>
      <c r="FH1384" s="4"/>
      <c r="FI1384" s="4"/>
      <c r="FJ1384" s="4"/>
      <c r="FK1384" s="4"/>
      <c r="FL1384" s="4"/>
      <c r="FM1384" s="4"/>
      <c r="FN1384" s="4"/>
      <c r="FO1384" s="4"/>
      <c r="FP1384" s="4"/>
      <c r="FQ1384" s="4"/>
      <c r="FR1384" s="4"/>
      <c r="FS1384" s="4"/>
      <c r="FT1384" s="4"/>
      <c r="FU1384" s="4"/>
      <c r="FV1384" s="4"/>
      <c r="FW1384" s="4"/>
      <c r="FX1384" s="4"/>
      <c r="FY1384" s="4"/>
      <c r="FZ1384" s="4"/>
      <c r="GA1384" s="4"/>
      <c r="GB1384" s="4"/>
      <c r="GC1384" s="4"/>
      <c r="GD1384" s="4"/>
      <c r="GE1384" s="4"/>
      <c r="GF1384" s="4"/>
      <c r="GG1384" s="4"/>
      <c r="GH1384" s="4"/>
    </row>
    <row r="1385">
      <c r="A1385" s="2" t="s">
        <v>7523</v>
      </c>
      <c r="B1385" s="2" t="s">
        <v>827</v>
      </c>
      <c r="C1385" s="2" t="s">
        <v>7515</v>
      </c>
      <c r="D1385" s="2" t="s">
        <v>828</v>
      </c>
      <c r="E1385" s="2" t="s">
        <v>1011</v>
      </c>
      <c r="F1385" s="2" t="s">
        <v>7516</v>
      </c>
      <c r="G1385" s="2" t="s">
        <v>200</v>
      </c>
      <c r="H1385" s="2" t="s">
        <v>200</v>
      </c>
      <c r="I1385" s="2" t="s">
        <v>7521</v>
      </c>
      <c r="J1385" s="2" t="s">
        <v>1613</v>
      </c>
      <c r="K1385" s="2" t="s">
        <v>1135</v>
      </c>
      <c r="L1385" s="3">
        <v>22.99</v>
      </c>
      <c r="M1385" s="3">
        <v>24.14</v>
      </c>
      <c r="N1385" s="3"/>
      <c r="O1385" s="2" t="s">
        <v>212</v>
      </c>
      <c r="P1385" s="2" t="s">
        <v>205</v>
      </c>
      <c r="Q1385" s="2" t="s">
        <v>206</v>
      </c>
      <c r="R1385" s="2" t="s">
        <v>7518</v>
      </c>
      <c r="S1385" s="2" t="s">
        <v>200</v>
      </c>
      <c r="T1385" s="2" t="s">
        <v>200</v>
      </c>
      <c r="U1385" s="2" t="s">
        <v>200</v>
      </c>
      <c r="V1385" s="2" t="s">
        <v>208</v>
      </c>
      <c r="W1385" s="2" t="s">
        <v>200</v>
      </c>
      <c r="X1385" s="2" t="s">
        <v>200</v>
      </c>
      <c r="Y1385" s="2" t="s">
        <v>7519</v>
      </c>
      <c r="Z1385" s="4"/>
      <c r="AA1385" s="4">
        <f>=ROUNDDOWN({0},0)</f>
      </c>
      <c r="AB1385" s="5"/>
      <c r="AC1385" s="2" t="s">
        <v>200</v>
      </c>
      <c r="AD1385" s="4"/>
      <c r="AE1385" s="4"/>
      <c r="AF1385" s="6"/>
      <c r="AG1385" s="6"/>
      <c r="AH1385" s="7"/>
      <c r="AI1385" s="4"/>
      <c r="AJ1385" s="4">
        <f>=ROUNDDOWN({0},0)</f>
      </c>
      <c r="AK1385" s="5"/>
      <c r="AL1385" s="2" t="s">
        <v>200</v>
      </c>
      <c r="AM1385" s="4"/>
      <c r="AN1385" s="4"/>
      <c r="AO1385" s="7"/>
      <c r="AP1385" s="4"/>
      <c r="AQ1385" s="8"/>
      <c r="AR1385" s="4"/>
      <c r="AS1385" s="8"/>
      <c r="AT1385" s="7"/>
      <c r="AU1385" s="7"/>
      <c r="AV1385" s="4" t="s">
        <v>200</v>
      </c>
      <c r="AW1385" s="8" t="s">
        <v>200</v>
      </c>
      <c r="AX1385" s="4" t="s">
        <v>200</v>
      </c>
      <c r="AY1385" s="8" t="s">
        <v>200</v>
      </c>
      <c r="AZ1385" s="7" t="s">
        <v>200</v>
      </c>
      <c r="BA1385" s="7" t="s">
        <v>200</v>
      </c>
      <c r="BB1385" s="7"/>
      <c r="BC1385" s="4" t="s">
        <v>200</v>
      </c>
      <c r="BD1385" s="8" t="s">
        <v>200</v>
      </c>
      <c r="BE1385" s="4" t="s">
        <v>200</v>
      </c>
      <c r="BF1385" s="8" t="s">
        <v>200</v>
      </c>
      <c r="BG1385" s="7" t="s">
        <v>200</v>
      </c>
      <c r="BH1385" s="7" t="s">
        <v>200</v>
      </c>
      <c r="BI1385" s="7"/>
      <c r="BJ1385" s="4"/>
      <c r="BK1385" s="8"/>
      <c r="BL1385" s="2" t="s">
        <v>200</v>
      </c>
      <c r="BM1385" s="7"/>
      <c r="BN1385" s="7"/>
      <c r="BO1385" s="4"/>
      <c r="BP1385" s="8"/>
      <c r="BQ1385" s="4"/>
      <c r="BR1385" s="8"/>
      <c r="BS1385" s="7"/>
      <c r="BT1385" s="7"/>
      <c r="BU1385" s="2" t="s">
        <v>210</v>
      </c>
      <c r="BV1385" s="2" t="s">
        <v>200</v>
      </c>
      <c r="BW1385" s="2" t="s">
        <v>200</v>
      </c>
      <c r="BX1385" s="2" t="s">
        <v>200</v>
      </c>
      <c r="BY1385" s="2" t="s">
        <v>211</v>
      </c>
      <c r="BZ1385" s="2" t="s">
        <v>212</v>
      </c>
      <c r="CA1385" s="2" t="s">
        <v>200</v>
      </c>
      <c r="CB1385" s="2" t="s">
        <v>200</v>
      </c>
      <c r="CC1385" s="2" t="s">
        <v>213</v>
      </c>
      <c r="CD1385" s="2" t="s">
        <v>200</v>
      </c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  <c r="DE1385" s="4"/>
      <c r="DF1385" s="4"/>
      <c r="DG1385" s="4"/>
      <c r="DH1385" s="4"/>
      <c r="DI1385" s="4"/>
      <c r="DJ1385" s="4"/>
      <c r="DK1385" s="4"/>
      <c r="DL1385" s="4"/>
      <c r="DM1385" s="4"/>
      <c r="DN1385" s="4"/>
      <c r="DO1385" s="4"/>
      <c r="DP1385" s="4"/>
      <c r="DQ1385" s="4"/>
      <c r="DR1385" s="4"/>
      <c r="DS1385" s="4"/>
      <c r="DT1385" s="4"/>
      <c r="DU1385" s="4"/>
      <c r="DV1385" s="4"/>
      <c r="DW1385" s="4"/>
      <c r="DX1385" s="4"/>
      <c r="DY1385" s="4"/>
      <c r="DZ1385" s="4"/>
      <c r="EA1385" s="4"/>
      <c r="EB1385" s="4"/>
      <c r="EC1385" s="4"/>
      <c r="ED1385" s="4"/>
      <c r="EE1385" s="4"/>
      <c r="EF1385" s="4"/>
      <c r="EG1385" s="4"/>
      <c r="EH1385" s="4"/>
      <c r="EI1385" s="4"/>
      <c r="EJ1385" s="4"/>
      <c r="EK1385" s="4"/>
      <c r="EL1385" s="4"/>
      <c r="EM1385" s="4"/>
      <c r="EN1385" s="4"/>
      <c r="EO1385" s="4"/>
      <c r="EP1385" s="4"/>
      <c r="EQ1385" s="4"/>
      <c r="ER1385" s="4"/>
      <c r="ES1385" s="4"/>
      <c r="ET1385" s="4"/>
      <c r="EU1385" s="4"/>
      <c r="EV1385" s="4"/>
      <c r="EW1385" s="4"/>
      <c r="EX1385" s="4"/>
      <c r="EY1385" s="4"/>
      <c r="EZ1385" s="4"/>
      <c r="FA1385" s="4"/>
      <c r="FB1385" s="4"/>
      <c r="FC1385" s="4"/>
      <c r="FD1385" s="4"/>
      <c r="FE1385" s="4"/>
      <c r="FF1385" s="4"/>
      <c r="FG1385" s="4"/>
      <c r="FH1385" s="4"/>
      <c r="FI1385" s="4"/>
      <c r="FJ1385" s="4"/>
      <c r="FK1385" s="4"/>
      <c r="FL1385" s="4"/>
      <c r="FM1385" s="4"/>
      <c r="FN1385" s="4"/>
      <c r="FO1385" s="4"/>
      <c r="FP1385" s="4"/>
      <c r="FQ1385" s="4"/>
      <c r="FR1385" s="4"/>
      <c r="FS1385" s="4"/>
      <c r="FT1385" s="4"/>
      <c r="FU1385" s="4"/>
      <c r="FV1385" s="4"/>
      <c r="FW1385" s="4"/>
      <c r="FX1385" s="4"/>
      <c r="FY1385" s="4"/>
      <c r="FZ1385" s="4"/>
      <c r="GA1385" s="4"/>
      <c r="GB1385" s="4"/>
      <c r="GC1385" s="4"/>
      <c r="GD1385" s="4"/>
      <c r="GE1385" s="4"/>
      <c r="GF1385" s="4"/>
      <c r="GG1385" s="4"/>
      <c r="GH1385" s="4"/>
    </row>
    <row r="1386">
      <c r="A1386" s="2" t="s">
        <v>7524</v>
      </c>
      <c r="B1386" s="2" t="s">
        <v>827</v>
      </c>
      <c r="C1386" s="2" t="s">
        <v>7515</v>
      </c>
      <c r="D1386" s="2" t="s">
        <v>828</v>
      </c>
      <c r="E1386" s="2" t="s">
        <v>1011</v>
      </c>
      <c r="F1386" s="2" t="s">
        <v>7516</v>
      </c>
      <c r="G1386" s="2" t="s">
        <v>200</v>
      </c>
      <c r="H1386" s="2" t="s">
        <v>200</v>
      </c>
      <c r="I1386" s="2" t="s">
        <v>7521</v>
      </c>
      <c r="J1386" s="2" t="s">
        <v>5918</v>
      </c>
      <c r="K1386" s="2" t="s">
        <v>257</v>
      </c>
      <c r="L1386" s="3">
        <v>19.99</v>
      </c>
      <c r="M1386" s="3">
        <v>20.99</v>
      </c>
      <c r="N1386" s="3"/>
      <c r="O1386" s="2" t="s">
        <v>212</v>
      </c>
      <c r="P1386" s="2" t="s">
        <v>205</v>
      </c>
      <c r="Q1386" s="2" t="s">
        <v>206</v>
      </c>
      <c r="R1386" s="2" t="s">
        <v>7518</v>
      </c>
      <c r="S1386" s="2" t="s">
        <v>200</v>
      </c>
      <c r="T1386" s="2" t="s">
        <v>200</v>
      </c>
      <c r="U1386" s="2" t="s">
        <v>200</v>
      </c>
      <c r="V1386" s="2" t="s">
        <v>208</v>
      </c>
      <c r="W1386" s="2" t="s">
        <v>200</v>
      </c>
      <c r="X1386" s="2" t="s">
        <v>200</v>
      </c>
      <c r="Y1386" s="2" t="s">
        <v>7519</v>
      </c>
      <c r="Z1386" s="4"/>
      <c r="AA1386" s="4">
        <f>=ROUNDDOWN({0},0)</f>
      </c>
      <c r="AB1386" s="5"/>
      <c r="AC1386" s="2" t="s">
        <v>200</v>
      </c>
      <c r="AD1386" s="4"/>
      <c r="AE1386" s="4"/>
      <c r="AF1386" s="6"/>
      <c r="AG1386" s="6"/>
      <c r="AH1386" s="7"/>
      <c r="AI1386" s="4"/>
      <c r="AJ1386" s="4">
        <f>=ROUNDDOWN({0},0)</f>
      </c>
      <c r="AK1386" s="5"/>
      <c r="AL1386" s="2" t="s">
        <v>200</v>
      </c>
      <c r="AM1386" s="4"/>
      <c r="AN1386" s="4"/>
      <c r="AO1386" s="7"/>
      <c r="AP1386" s="4"/>
      <c r="AQ1386" s="8"/>
      <c r="AR1386" s="4"/>
      <c r="AS1386" s="8"/>
      <c r="AT1386" s="7"/>
      <c r="AU1386" s="7"/>
      <c r="AV1386" s="4" t="s">
        <v>200</v>
      </c>
      <c r="AW1386" s="8" t="s">
        <v>200</v>
      </c>
      <c r="AX1386" s="4" t="s">
        <v>200</v>
      </c>
      <c r="AY1386" s="8" t="s">
        <v>200</v>
      </c>
      <c r="AZ1386" s="7" t="s">
        <v>200</v>
      </c>
      <c r="BA1386" s="7" t="s">
        <v>200</v>
      </c>
      <c r="BB1386" s="7"/>
      <c r="BC1386" s="4" t="s">
        <v>200</v>
      </c>
      <c r="BD1386" s="8" t="s">
        <v>200</v>
      </c>
      <c r="BE1386" s="4" t="s">
        <v>200</v>
      </c>
      <c r="BF1386" s="8" t="s">
        <v>200</v>
      </c>
      <c r="BG1386" s="7" t="s">
        <v>200</v>
      </c>
      <c r="BH1386" s="7" t="s">
        <v>200</v>
      </c>
      <c r="BI1386" s="7"/>
      <c r="BJ1386" s="4"/>
      <c r="BK1386" s="8"/>
      <c r="BL1386" s="2" t="s">
        <v>200</v>
      </c>
      <c r="BM1386" s="7"/>
      <c r="BN1386" s="7"/>
      <c r="BO1386" s="4"/>
      <c r="BP1386" s="8"/>
      <c r="BQ1386" s="4"/>
      <c r="BR1386" s="8"/>
      <c r="BS1386" s="7"/>
      <c r="BT1386" s="7"/>
      <c r="BU1386" s="2" t="s">
        <v>210</v>
      </c>
      <c r="BV1386" s="2" t="s">
        <v>200</v>
      </c>
      <c r="BW1386" s="2" t="s">
        <v>200</v>
      </c>
      <c r="BX1386" s="2" t="s">
        <v>200</v>
      </c>
      <c r="BY1386" s="2" t="s">
        <v>211</v>
      </c>
      <c r="BZ1386" s="2" t="s">
        <v>212</v>
      </c>
      <c r="CA1386" s="2" t="s">
        <v>200</v>
      </c>
      <c r="CB1386" s="2" t="s">
        <v>200</v>
      </c>
      <c r="CC1386" s="2" t="s">
        <v>213</v>
      </c>
      <c r="CD1386" s="2" t="s">
        <v>200</v>
      </c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  <c r="DE1386" s="4"/>
      <c r="DF1386" s="4"/>
      <c r="DG1386" s="4"/>
      <c r="DH1386" s="4"/>
      <c r="DI1386" s="4"/>
      <c r="DJ1386" s="4"/>
      <c r="DK1386" s="4"/>
      <c r="DL1386" s="4"/>
      <c r="DM1386" s="4"/>
      <c r="DN1386" s="4"/>
      <c r="DO1386" s="4"/>
      <c r="DP1386" s="4"/>
      <c r="DQ1386" s="4"/>
      <c r="DR1386" s="4"/>
      <c r="DS1386" s="4"/>
      <c r="DT1386" s="4"/>
      <c r="DU1386" s="4"/>
      <c r="DV1386" s="4"/>
      <c r="DW1386" s="4"/>
      <c r="DX1386" s="4"/>
      <c r="DY1386" s="4"/>
      <c r="DZ1386" s="4"/>
      <c r="EA1386" s="4"/>
      <c r="EB1386" s="4"/>
      <c r="EC1386" s="4"/>
      <c r="ED1386" s="4"/>
      <c r="EE1386" s="4"/>
      <c r="EF1386" s="4"/>
      <c r="EG1386" s="4"/>
      <c r="EH1386" s="4"/>
      <c r="EI1386" s="4"/>
      <c r="EJ1386" s="4"/>
      <c r="EK1386" s="4"/>
      <c r="EL1386" s="4"/>
      <c r="EM1386" s="4"/>
      <c r="EN1386" s="4"/>
      <c r="EO1386" s="4"/>
      <c r="EP1386" s="4"/>
      <c r="EQ1386" s="4"/>
      <c r="ER1386" s="4"/>
      <c r="ES1386" s="4"/>
      <c r="ET1386" s="4"/>
      <c r="EU1386" s="4"/>
      <c r="EV1386" s="4"/>
      <c r="EW1386" s="4"/>
      <c r="EX1386" s="4"/>
      <c r="EY1386" s="4"/>
      <c r="EZ1386" s="4"/>
      <c r="FA1386" s="4"/>
      <c r="FB1386" s="4"/>
      <c r="FC1386" s="4"/>
      <c r="FD1386" s="4"/>
      <c r="FE1386" s="4"/>
      <c r="FF1386" s="4"/>
      <c r="FG1386" s="4"/>
      <c r="FH1386" s="4"/>
      <c r="FI1386" s="4"/>
      <c r="FJ1386" s="4"/>
      <c r="FK1386" s="4"/>
      <c r="FL1386" s="4"/>
      <c r="FM1386" s="4"/>
      <c r="FN1386" s="4"/>
      <c r="FO1386" s="4"/>
      <c r="FP1386" s="4"/>
      <c r="FQ1386" s="4"/>
      <c r="FR1386" s="4"/>
      <c r="FS1386" s="4"/>
      <c r="FT1386" s="4"/>
      <c r="FU1386" s="4"/>
      <c r="FV1386" s="4"/>
      <c r="FW1386" s="4"/>
      <c r="FX1386" s="4"/>
      <c r="FY1386" s="4"/>
      <c r="FZ1386" s="4"/>
      <c r="GA1386" s="4"/>
      <c r="GB1386" s="4"/>
      <c r="GC1386" s="4"/>
      <c r="GD1386" s="4"/>
      <c r="GE1386" s="4"/>
      <c r="GF1386" s="4"/>
      <c r="GG1386" s="4"/>
      <c r="GH1386" s="4"/>
    </row>
    <row r="1387">
      <c r="A1387" s="2" t="s">
        <v>7525</v>
      </c>
      <c r="B1387" s="2" t="s">
        <v>827</v>
      </c>
      <c r="C1387" s="2" t="s">
        <v>7515</v>
      </c>
      <c r="D1387" s="2" t="s">
        <v>828</v>
      </c>
      <c r="E1387" s="2" t="s">
        <v>1011</v>
      </c>
      <c r="F1387" s="2" t="s">
        <v>7516</v>
      </c>
      <c r="G1387" s="2" t="s">
        <v>200</v>
      </c>
      <c r="H1387" s="2" t="s">
        <v>200</v>
      </c>
      <c r="I1387" s="2" t="s">
        <v>7521</v>
      </c>
      <c r="J1387" s="2" t="s">
        <v>1613</v>
      </c>
      <c r="K1387" s="2" t="s">
        <v>257</v>
      </c>
      <c r="L1387" s="3">
        <v>22.99</v>
      </c>
      <c r="M1387" s="3">
        <v>24.14</v>
      </c>
      <c r="N1387" s="3"/>
      <c r="O1387" s="2" t="s">
        <v>212</v>
      </c>
      <c r="P1387" s="2" t="s">
        <v>205</v>
      </c>
      <c r="Q1387" s="2" t="s">
        <v>206</v>
      </c>
      <c r="R1387" s="2" t="s">
        <v>7518</v>
      </c>
      <c r="S1387" s="2" t="s">
        <v>200</v>
      </c>
      <c r="T1387" s="2" t="s">
        <v>200</v>
      </c>
      <c r="U1387" s="2" t="s">
        <v>200</v>
      </c>
      <c r="V1387" s="2" t="s">
        <v>208</v>
      </c>
      <c r="W1387" s="2" t="s">
        <v>200</v>
      </c>
      <c r="X1387" s="2" t="s">
        <v>200</v>
      </c>
      <c r="Y1387" s="2" t="s">
        <v>7519</v>
      </c>
      <c r="Z1387" s="4"/>
      <c r="AA1387" s="4">
        <f>=ROUNDDOWN({0},0)</f>
      </c>
      <c r="AB1387" s="5"/>
      <c r="AC1387" s="2" t="s">
        <v>200</v>
      </c>
      <c r="AD1387" s="4"/>
      <c r="AE1387" s="4"/>
      <c r="AF1387" s="6"/>
      <c r="AG1387" s="6"/>
      <c r="AH1387" s="7"/>
      <c r="AI1387" s="4"/>
      <c r="AJ1387" s="4">
        <f>=ROUNDDOWN({0},0)</f>
      </c>
      <c r="AK1387" s="5"/>
      <c r="AL1387" s="2" t="s">
        <v>200</v>
      </c>
      <c r="AM1387" s="4"/>
      <c r="AN1387" s="4"/>
      <c r="AO1387" s="7"/>
      <c r="AP1387" s="4"/>
      <c r="AQ1387" s="8"/>
      <c r="AR1387" s="4"/>
      <c r="AS1387" s="8"/>
      <c r="AT1387" s="7"/>
      <c r="AU1387" s="7"/>
      <c r="AV1387" s="4" t="s">
        <v>200</v>
      </c>
      <c r="AW1387" s="8" t="s">
        <v>200</v>
      </c>
      <c r="AX1387" s="4" t="s">
        <v>200</v>
      </c>
      <c r="AY1387" s="8" t="s">
        <v>200</v>
      </c>
      <c r="AZ1387" s="7" t="s">
        <v>200</v>
      </c>
      <c r="BA1387" s="7" t="s">
        <v>200</v>
      </c>
      <c r="BB1387" s="7"/>
      <c r="BC1387" s="4" t="s">
        <v>200</v>
      </c>
      <c r="BD1387" s="8" t="s">
        <v>200</v>
      </c>
      <c r="BE1387" s="4" t="s">
        <v>200</v>
      </c>
      <c r="BF1387" s="8" t="s">
        <v>200</v>
      </c>
      <c r="BG1387" s="7" t="s">
        <v>200</v>
      </c>
      <c r="BH1387" s="7" t="s">
        <v>200</v>
      </c>
      <c r="BI1387" s="7"/>
      <c r="BJ1387" s="4"/>
      <c r="BK1387" s="8"/>
      <c r="BL1387" s="2" t="s">
        <v>200</v>
      </c>
      <c r="BM1387" s="7"/>
      <c r="BN1387" s="7"/>
      <c r="BO1387" s="4"/>
      <c r="BP1387" s="8"/>
      <c r="BQ1387" s="4"/>
      <c r="BR1387" s="8"/>
      <c r="BS1387" s="7"/>
      <c r="BT1387" s="7"/>
      <c r="BU1387" s="2" t="s">
        <v>210</v>
      </c>
      <c r="BV1387" s="2" t="s">
        <v>200</v>
      </c>
      <c r="BW1387" s="2" t="s">
        <v>200</v>
      </c>
      <c r="BX1387" s="2" t="s">
        <v>200</v>
      </c>
      <c r="BY1387" s="2" t="s">
        <v>211</v>
      </c>
      <c r="BZ1387" s="2" t="s">
        <v>212</v>
      </c>
      <c r="CA1387" s="2" t="s">
        <v>200</v>
      </c>
      <c r="CB1387" s="2" t="s">
        <v>200</v>
      </c>
      <c r="CC1387" s="2" t="s">
        <v>213</v>
      </c>
      <c r="CD1387" s="2" t="s">
        <v>200</v>
      </c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E1387" s="4"/>
      <c r="DF1387" s="4"/>
      <c r="DG1387" s="4"/>
      <c r="DH1387" s="4"/>
      <c r="DI1387" s="4"/>
      <c r="DJ1387" s="4"/>
      <c r="DK1387" s="4"/>
      <c r="DL1387" s="4"/>
      <c r="DM1387" s="4"/>
      <c r="DN1387" s="4"/>
      <c r="DO1387" s="4"/>
      <c r="DP1387" s="4"/>
      <c r="DQ1387" s="4"/>
      <c r="DR1387" s="4"/>
      <c r="DS1387" s="4"/>
      <c r="DT1387" s="4"/>
      <c r="DU1387" s="4"/>
      <c r="DV1387" s="4"/>
      <c r="DW1387" s="4"/>
      <c r="DX1387" s="4"/>
      <c r="DY1387" s="4"/>
      <c r="DZ1387" s="4"/>
      <c r="EA1387" s="4"/>
      <c r="EB1387" s="4"/>
      <c r="EC1387" s="4"/>
      <c r="ED1387" s="4"/>
      <c r="EE1387" s="4"/>
      <c r="EF1387" s="4"/>
      <c r="EG1387" s="4"/>
      <c r="EH1387" s="4"/>
      <c r="EI1387" s="4"/>
      <c r="EJ1387" s="4"/>
      <c r="EK1387" s="4"/>
      <c r="EL1387" s="4"/>
      <c r="EM1387" s="4"/>
      <c r="EN1387" s="4"/>
      <c r="EO1387" s="4"/>
      <c r="EP1387" s="4"/>
      <c r="EQ1387" s="4"/>
      <c r="ER1387" s="4"/>
      <c r="ES1387" s="4"/>
      <c r="ET1387" s="4"/>
      <c r="EU1387" s="4"/>
      <c r="EV1387" s="4"/>
      <c r="EW1387" s="4"/>
      <c r="EX1387" s="4"/>
      <c r="EY1387" s="4"/>
      <c r="EZ1387" s="4"/>
      <c r="FA1387" s="4"/>
      <c r="FB1387" s="4"/>
      <c r="FC1387" s="4"/>
      <c r="FD1387" s="4"/>
      <c r="FE1387" s="4"/>
      <c r="FF1387" s="4"/>
      <c r="FG1387" s="4"/>
      <c r="FH1387" s="4"/>
      <c r="FI1387" s="4"/>
      <c r="FJ1387" s="4"/>
      <c r="FK1387" s="4"/>
      <c r="FL1387" s="4"/>
      <c r="FM1387" s="4"/>
      <c r="FN1387" s="4"/>
      <c r="FO1387" s="4"/>
      <c r="FP1387" s="4"/>
      <c r="FQ1387" s="4"/>
      <c r="FR1387" s="4"/>
      <c r="FS1387" s="4"/>
      <c r="FT1387" s="4"/>
      <c r="FU1387" s="4"/>
      <c r="FV1387" s="4"/>
      <c r="FW1387" s="4"/>
      <c r="FX1387" s="4"/>
      <c r="FY1387" s="4"/>
      <c r="FZ1387" s="4"/>
      <c r="GA1387" s="4"/>
      <c r="GB1387" s="4"/>
      <c r="GC1387" s="4"/>
      <c r="GD1387" s="4"/>
      <c r="GE1387" s="4"/>
      <c r="GF1387" s="4"/>
      <c r="GG1387" s="4"/>
      <c r="GH1387" s="4"/>
    </row>
    <row r="1388">
      <c r="A1388" s="2" t="s">
        <v>7526</v>
      </c>
      <c r="B1388" s="2" t="s">
        <v>827</v>
      </c>
      <c r="C1388" s="2" t="s">
        <v>7515</v>
      </c>
      <c r="D1388" s="2" t="s">
        <v>828</v>
      </c>
      <c r="E1388" s="2" t="s">
        <v>1011</v>
      </c>
      <c r="F1388" s="2" t="s">
        <v>7516</v>
      </c>
      <c r="G1388" s="2" t="s">
        <v>200</v>
      </c>
      <c r="H1388" s="2" t="s">
        <v>200</v>
      </c>
      <c r="I1388" s="2" t="s">
        <v>7521</v>
      </c>
      <c r="J1388" s="2" t="s">
        <v>5918</v>
      </c>
      <c r="K1388" s="2" t="s">
        <v>811</v>
      </c>
      <c r="L1388" s="3">
        <v>19.99</v>
      </c>
      <c r="M1388" s="3">
        <v>20.99</v>
      </c>
      <c r="N1388" s="3"/>
      <c r="O1388" s="2" t="s">
        <v>212</v>
      </c>
      <c r="P1388" s="2" t="s">
        <v>205</v>
      </c>
      <c r="Q1388" s="2" t="s">
        <v>206</v>
      </c>
      <c r="R1388" s="2" t="s">
        <v>7518</v>
      </c>
      <c r="S1388" s="2" t="s">
        <v>200</v>
      </c>
      <c r="T1388" s="2" t="s">
        <v>200</v>
      </c>
      <c r="U1388" s="2" t="s">
        <v>200</v>
      </c>
      <c r="V1388" s="2" t="s">
        <v>208</v>
      </c>
      <c r="W1388" s="2" t="s">
        <v>200</v>
      </c>
      <c r="X1388" s="2" t="s">
        <v>200</v>
      </c>
      <c r="Y1388" s="2" t="s">
        <v>7519</v>
      </c>
      <c r="Z1388" s="4"/>
      <c r="AA1388" s="4">
        <f>=ROUNDDOWN({0},0)</f>
      </c>
      <c r="AB1388" s="5"/>
      <c r="AC1388" s="2" t="s">
        <v>200</v>
      </c>
      <c r="AD1388" s="4"/>
      <c r="AE1388" s="4"/>
      <c r="AF1388" s="6"/>
      <c r="AG1388" s="6"/>
      <c r="AH1388" s="7"/>
      <c r="AI1388" s="4"/>
      <c r="AJ1388" s="4">
        <f>=ROUNDDOWN({0},0)</f>
      </c>
      <c r="AK1388" s="5"/>
      <c r="AL1388" s="2" t="s">
        <v>200</v>
      </c>
      <c r="AM1388" s="4"/>
      <c r="AN1388" s="4"/>
      <c r="AO1388" s="7"/>
      <c r="AP1388" s="4"/>
      <c r="AQ1388" s="8"/>
      <c r="AR1388" s="4"/>
      <c r="AS1388" s="8"/>
      <c r="AT1388" s="7"/>
      <c r="AU1388" s="7"/>
      <c r="AV1388" s="4" t="s">
        <v>200</v>
      </c>
      <c r="AW1388" s="8" t="s">
        <v>200</v>
      </c>
      <c r="AX1388" s="4" t="s">
        <v>200</v>
      </c>
      <c r="AY1388" s="8" t="s">
        <v>200</v>
      </c>
      <c r="AZ1388" s="7" t="s">
        <v>200</v>
      </c>
      <c r="BA1388" s="7" t="s">
        <v>200</v>
      </c>
      <c r="BB1388" s="7"/>
      <c r="BC1388" s="4" t="s">
        <v>200</v>
      </c>
      <c r="BD1388" s="8" t="s">
        <v>200</v>
      </c>
      <c r="BE1388" s="4" t="s">
        <v>200</v>
      </c>
      <c r="BF1388" s="8" t="s">
        <v>200</v>
      </c>
      <c r="BG1388" s="7" t="s">
        <v>200</v>
      </c>
      <c r="BH1388" s="7" t="s">
        <v>200</v>
      </c>
      <c r="BI1388" s="7"/>
      <c r="BJ1388" s="4"/>
      <c r="BK1388" s="8"/>
      <c r="BL1388" s="2" t="s">
        <v>200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210</v>
      </c>
      <c r="BV1388" s="2" t="s">
        <v>200</v>
      </c>
      <c r="BW1388" s="2" t="s">
        <v>200</v>
      </c>
      <c r="BX1388" s="2" t="s">
        <v>200</v>
      </c>
      <c r="BY1388" s="2" t="s">
        <v>211</v>
      </c>
      <c r="BZ1388" s="2" t="s">
        <v>212</v>
      </c>
      <c r="CA1388" s="2" t="s">
        <v>200</v>
      </c>
      <c r="CB1388" s="2" t="s">
        <v>200</v>
      </c>
      <c r="CC1388" s="2" t="s">
        <v>213</v>
      </c>
      <c r="CD1388" s="2" t="s">
        <v>200</v>
      </c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  <c r="DE1388" s="4"/>
      <c r="DF1388" s="4"/>
      <c r="DG1388" s="4"/>
      <c r="DH1388" s="4"/>
      <c r="DI1388" s="4"/>
      <c r="DJ1388" s="4"/>
      <c r="DK1388" s="4"/>
      <c r="DL1388" s="4"/>
      <c r="DM1388" s="4"/>
      <c r="DN1388" s="4"/>
      <c r="DO1388" s="4"/>
      <c r="DP1388" s="4"/>
      <c r="DQ1388" s="4"/>
      <c r="DR1388" s="4"/>
      <c r="DS1388" s="4"/>
      <c r="DT1388" s="4"/>
      <c r="DU1388" s="4"/>
      <c r="DV1388" s="4"/>
      <c r="DW1388" s="4"/>
      <c r="DX1388" s="4"/>
      <c r="DY1388" s="4"/>
      <c r="DZ1388" s="4"/>
      <c r="EA1388" s="4"/>
      <c r="EB1388" s="4"/>
      <c r="EC1388" s="4"/>
      <c r="ED1388" s="4"/>
      <c r="EE1388" s="4"/>
      <c r="EF1388" s="4"/>
      <c r="EG1388" s="4"/>
      <c r="EH1388" s="4"/>
      <c r="EI1388" s="4"/>
      <c r="EJ1388" s="4"/>
      <c r="EK1388" s="4"/>
      <c r="EL1388" s="4"/>
      <c r="EM1388" s="4"/>
      <c r="EN1388" s="4"/>
      <c r="EO1388" s="4"/>
      <c r="EP1388" s="4"/>
      <c r="EQ1388" s="4"/>
      <c r="ER1388" s="4"/>
      <c r="ES1388" s="4"/>
      <c r="ET1388" s="4"/>
      <c r="EU1388" s="4"/>
      <c r="EV1388" s="4"/>
      <c r="EW1388" s="4"/>
      <c r="EX1388" s="4"/>
      <c r="EY1388" s="4"/>
      <c r="EZ1388" s="4"/>
      <c r="FA1388" s="4"/>
      <c r="FB1388" s="4"/>
      <c r="FC1388" s="4"/>
      <c r="FD1388" s="4"/>
      <c r="FE1388" s="4"/>
      <c r="FF1388" s="4"/>
      <c r="FG1388" s="4"/>
      <c r="FH1388" s="4"/>
      <c r="FI1388" s="4"/>
      <c r="FJ1388" s="4"/>
      <c r="FK1388" s="4"/>
      <c r="FL1388" s="4"/>
      <c r="FM1388" s="4"/>
      <c r="FN1388" s="4"/>
      <c r="FO1388" s="4"/>
      <c r="FP1388" s="4"/>
      <c r="FQ1388" s="4"/>
      <c r="FR1388" s="4"/>
      <c r="FS1388" s="4"/>
      <c r="FT1388" s="4"/>
      <c r="FU1388" s="4"/>
      <c r="FV1388" s="4"/>
      <c r="FW1388" s="4"/>
      <c r="FX1388" s="4"/>
      <c r="FY1388" s="4"/>
      <c r="FZ1388" s="4"/>
      <c r="GA1388" s="4"/>
      <c r="GB1388" s="4"/>
      <c r="GC1388" s="4"/>
      <c r="GD1388" s="4"/>
      <c r="GE1388" s="4"/>
      <c r="GF1388" s="4"/>
      <c r="GG1388" s="4"/>
      <c r="GH1388" s="4"/>
    </row>
    <row r="1389">
      <c r="A1389" s="2" t="s">
        <v>7527</v>
      </c>
      <c r="B1389" s="2" t="s">
        <v>827</v>
      </c>
      <c r="C1389" s="2" t="s">
        <v>7515</v>
      </c>
      <c r="D1389" s="2" t="s">
        <v>828</v>
      </c>
      <c r="E1389" s="2" t="s">
        <v>1011</v>
      </c>
      <c r="F1389" s="2" t="s">
        <v>7516</v>
      </c>
      <c r="G1389" s="2" t="s">
        <v>200</v>
      </c>
      <c r="H1389" s="2" t="s">
        <v>200</v>
      </c>
      <c r="I1389" s="2" t="s">
        <v>7521</v>
      </c>
      <c r="J1389" s="2" t="s">
        <v>1613</v>
      </c>
      <c r="K1389" s="2" t="s">
        <v>811</v>
      </c>
      <c r="L1389" s="3">
        <v>22.99</v>
      </c>
      <c r="M1389" s="3">
        <v>24.14</v>
      </c>
      <c r="N1389" s="3"/>
      <c r="O1389" s="2" t="s">
        <v>212</v>
      </c>
      <c r="P1389" s="2" t="s">
        <v>205</v>
      </c>
      <c r="Q1389" s="2" t="s">
        <v>206</v>
      </c>
      <c r="R1389" s="2" t="s">
        <v>7518</v>
      </c>
      <c r="S1389" s="2" t="s">
        <v>200</v>
      </c>
      <c r="T1389" s="2" t="s">
        <v>200</v>
      </c>
      <c r="U1389" s="2" t="s">
        <v>200</v>
      </c>
      <c r="V1389" s="2" t="s">
        <v>208</v>
      </c>
      <c r="W1389" s="2" t="s">
        <v>200</v>
      </c>
      <c r="X1389" s="2" t="s">
        <v>200</v>
      </c>
      <c r="Y1389" s="2" t="s">
        <v>7519</v>
      </c>
      <c r="Z1389" s="4"/>
      <c r="AA1389" s="4">
        <f>=ROUNDDOWN({0},0)</f>
      </c>
      <c r="AB1389" s="5"/>
      <c r="AC1389" s="2" t="s">
        <v>200</v>
      </c>
      <c r="AD1389" s="4"/>
      <c r="AE1389" s="4"/>
      <c r="AF1389" s="6"/>
      <c r="AG1389" s="6"/>
      <c r="AH1389" s="7"/>
      <c r="AI1389" s="4"/>
      <c r="AJ1389" s="4">
        <f>=ROUNDDOWN({0},0)</f>
      </c>
      <c r="AK1389" s="5"/>
      <c r="AL1389" s="2" t="s">
        <v>200</v>
      </c>
      <c r="AM1389" s="4"/>
      <c r="AN1389" s="4"/>
      <c r="AO1389" s="7"/>
      <c r="AP1389" s="4"/>
      <c r="AQ1389" s="8"/>
      <c r="AR1389" s="4"/>
      <c r="AS1389" s="8"/>
      <c r="AT1389" s="7"/>
      <c r="AU1389" s="7"/>
      <c r="AV1389" s="4" t="s">
        <v>200</v>
      </c>
      <c r="AW1389" s="8" t="s">
        <v>200</v>
      </c>
      <c r="AX1389" s="4" t="s">
        <v>200</v>
      </c>
      <c r="AY1389" s="8" t="s">
        <v>200</v>
      </c>
      <c r="AZ1389" s="7" t="s">
        <v>200</v>
      </c>
      <c r="BA1389" s="7" t="s">
        <v>200</v>
      </c>
      <c r="BB1389" s="7"/>
      <c r="BC1389" s="4" t="s">
        <v>200</v>
      </c>
      <c r="BD1389" s="8" t="s">
        <v>200</v>
      </c>
      <c r="BE1389" s="4" t="s">
        <v>200</v>
      </c>
      <c r="BF1389" s="8" t="s">
        <v>200</v>
      </c>
      <c r="BG1389" s="7" t="s">
        <v>200</v>
      </c>
      <c r="BH1389" s="7" t="s">
        <v>200</v>
      </c>
      <c r="BI1389" s="7"/>
      <c r="BJ1389" s="4"/>
      <c r="BK1389" s="8"/>
      <c r="BL1389" s="2" t="s">
        <v>200</v>
      </c>
      <c r="BM1389" s="7"/>
      <c r="BN1389" s="7"/>
      <c r="BO1389" s="4"/>
      <c r="BP1389" s="8"/>
      <c r="BQ1389" s="4"/>
      <c r="BR1389" s="8"/>
      <c r="BS1389" s="7"/>
      <c r="BT1389" s="7"/>
      <c r="BU1389" s="2" t="s">
        <v>210</v>
      </c>
      <c r="BV1389" s="2" t="s">
        <v>200</v>
      </c>
      <c r="BW1389" s="2" t="s">
        <v>200</v>
      </c>
      <c r="BX1389" s="2" t="s">
        <v>200</v>
      </c>
      <c r="BY1389" s="2" t="s">
        <v>211</v>
      </c>
      <c r="BZ1389" s="2" t="s">
        <v>212</v>
      </c>
      <c r="CA1389" s="2" t="s">
        <v>200</v>
      </c>
      <c r="CB1389" s="2" t="s">
        <v>200</v>
      </c>
      <c r="CC1389" s="2" t="s">
        <v>213</v>
      </c>
      <c r="CD1389" s="2" t="s">
        <v>200</v>
      </c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E1389" s="4"/>
      <c r="DF1389" s="4"/>
      <c r="DG1389" s="4"/>
      <c r="DH1389" s="4"/>
      <c r="DI1389" s="4"/>
      <c r="DJ1389" s="4"/>
      <c r="DK1389" s="4"/>
      <c r="DL1389" s="4"/>
      <c r="DM1389" s="4"/>
      <c r="DN1389" s="4"/>
      <c r="DO1389" s="4"/>
      <c r="DP1389" s="4"/>
      <c r="DQ1389" s="4"/>
      <c r="DR1389" s="4"/>
      <c r="DS1389" s="4"/>
      <c r="DT1389" s="4"/>
      <c r="DU1389" s="4"/>
      <c r="DV1389" s="4"/>
      <c r="DW1389" s="4"/>
      <c r="DX1389" s="4"/>
      <c r="DY1389" s="4"/>
      <c r="DZ1389" s="4"/>
      <c r="EA1389" s="4"/>
      <c r="EB1389" s="4"/>
      <c r="EC1389" s="4"/>
      <c r="ED1389" s="4"/>
      <c r="EE1389" s="4"/>
      <c r="EF1389" s="4"/>
      <c r="EG1389" s="4"/>
      <c r="EH1389" s="4"/>
      <c r="EI1389" s="4"/>
      <c r="EJ1389" s="4"/>
      <c r="EK1389" s="4"/>
      <c r="EL1389" s="4"/>
      <c r="EM1389" s="4"/>
      <c r="EN1389" s="4"/>
      <c r="EO1389" s="4"/>
      <c r="EP1389" s="4"/>
      <c r="EQ1389" s="4"/>
      <c r="ER1389" s="4"/>
      <c r="ES1389" s="4"/>
      <c r="ET1389" s="4"/>
      <c r="EU1389" s="4"/>
      <c r="EV1389" s="4"/>
      <c r="EW1389" s="4"/>
      <c r="EX1389" s="4"/>
      <c r="EY1389" s="4"/>
      <c r="EZ1389" s="4"/>
      <c r="FA1389" s="4"/>
      <c r="FB1389" s="4"/>
      <c r="FC1389" s="4"/>
      <c r="FD1389" s="4"/>
      <c r="FE1389" s="4"/>
      <c r="FF1389" s="4"/>
      <c r="FG1389" s="4"/>
      <c r="FH1389" s="4"/>
      <c r="FI1389" s="4"/>
      <c r="FJ1389" s="4"/>
      <c r="FK1389" s="4"/>
      <c r="FL1389" s="4"/>
      <c r="FM1389" s="4"/>
      <c r="FN1389" s="4"/>
      <c r="FO1389" s="4"/>
      <c r="FP1389" s="4"/>
      <c r="FQ1389" s="4"/>
      <c r="FR1389" s="4"/>
      <c r="FS1389" s="4"/>
      <c r="FT1389" s="4"/>
      <c r="FU1389" s="4"/>
      <c r="FV1389" s="4"/>
      <c r="FW1389" s="4"/>
      <c r="FX1389" s="4"/>
      <c r="FY1389" s="4"/>
      <c r="FZ1389" s="4"/>
      <c r="GA1389" s="4"/>
      <c r="GB1389" s="4"/>
      <c r="GC1389" s="4"/>
      <c r="GD1389" s="4"/>
      <c r="GE1389" s="4"/>
      <c r="GF1389" s="4"/>
      <c r="GG1389" s="4"/>
      <c r="GH1389" s="4"/>
    </row>
    <row r="1390">
      <c r="A1390" s="2" t="s">
        <v>7528</v>
      </c>
      <c r="B1390" s="2" t="s">
        <v>903</v>
      </c>
      <c r="C1390" s="2" t="s">
        <v>607</v>
      </c>
      <c r="D1390" s="2" t="s">
        <v>608</v>
      </c>
      <c r="E1390" s="2" t="s">
        <v>609</v>
      </c>
      <c r="F1390" s="2" t="s">
        <v>7529</v>
      </c>
      <c r="G1390" s="2" t="s">
        <v>7529</v>
      </c>
      <c r="H1390" s="2" t="s">
        <v>7529</v>
      </c>
      <c r="I1390" s="2" t="s">
        <v>2805</v>
      </c>
      <c r="J1390" s="2" t="s">
        <v>297</v>
      </c>
      <c r="K1390" s="2" t="s">
        <v>1700</v>
      </c>
      <c r="L1390" s="3">
        <v>150</v>
      </c>
      <c r="M1390" s="3">
        <v>157.5</v>
      </c>
      <c r="N1390" s="3">
        <v>299.99</v>
      </c>
      <c r="O1390" s="2" t="s">
        <v>212</v>
      </c>
      <c r="P1390" s="2" t="s">
        <v>205</v>
      </c>
      <c r="Q1390" s="2" t="s">
        <v>206</v>
      </c>
      <c r="R1390" s="2" t="s">
        <v>200</v>
      </c>
      <c r="S1390" s="2" t="s">
        <v>200</v>
      </c>
      <c r="T1390" s="2" t="s">
        <v>1176</v>
      </c>
      <c r="U1390" s="2" t="s">
        <v>689</v>
      </c>
      <c r="V1390" s="2" t="s">
        <v>616</v>
      </c>
      <c r="W1390" s="2" t="s">
        <v>200</v>
      </c>
      <c r="X1390" s="2" t="s">
        <v>200</v>
      </c>
      <c r="Y1390" s="2" t="s">
        <v>200</v>
      </c>
      <c r="Z1390" s="4"/>
      <c r="AA1390" s="4">
        <f>=ROUNDDOWN({0},0)</f>
      </c>
      <c r="AB1390" s="5"/>
      <c r="AC1390" s="2" t="s">
        <v>1435</v>
      </c>
      <c r="AD1390" s="4">
        <v>70</v>
      </c>
      <c r="AE1390" s="4">
        <v>70</v>
      </c>
      <c r="AF1390" s="6">
        <v>64</v>
      </c>
      <c r="AG1390" s="6"/>
      <c r="AH1390" s="7"/>
      <c r="AI1390" s="4"/>
      <c r="AJ1390" s="4">
        <f>=ROUNDDOWN({0},0)</f>
      </c>
      <c r="AK1390" s="5"/>
      <c r="AL1390" s="2" t="s">
        <v>200</v>
      </c>
      <c r="AM1390" s="4"/>
      <c r="AN1390" s="4"/>
      <c r="AO1390" s="7"/>
      <c r="AP1390" s="4"/>
      <c r="AQ1390" s="8"/>
      <c r="AR1390" s="4"/>
      <c r="AS1390" s="8"/>
      <c r="AT1390" s="7"/>
      <c r="AU1390" s="7"/>
      <c r="AV1390" s="4" t="s">
        <v>200</v>
      </c>
      <c r="AW1390" s="8" t="s">
        <v>200</v>
      </c>
      <c r="AX1390" s="4" t="s">
        <v>200</v>
      </c>
      <c r="AY1390" s="8" t="s">
        <v>200</v>
      </c>
      <c r="AZ1390" s="7" t="s">
        <v>200</v>
      </c>
      <c r="BA1390" s="7" t="s">
        <v>200</v>
      </c>
      <c r="BB1390" s="7"/>
      <c r="BC1390" s="4" t="s">
        <v>200</v>
      </c>
      <c r="BD1390" s="8" t="s">
        <v>200</v>
      </c>
      <c r="BE1390" s="4" t="s">
        <v>200</v>
      </c>
      <c r="BF1390" s="8" t="s">
        <v>200</v>
      </c>
      <c r="BG1390" s="7" t="s">
        <v>200</v>
      </c>
      <c r="BH1390" s="7" t="s">
        <v>200</v>
      </c>
      <c r="BI1390" s="7"/>
      <c r="BJ1390" s="4"/>
      <c r="BK1390" s="8"/>
      <c r="BL1390" s="2" t="s">
        <v>200</v>
      </c>
      <c r="BM1390" s="7"/>
      <c r="BN1390" s="7"/>
      <c r="BO1390" s="4"/>
      <c r="BP1390" s="8"/>
      <c r="BQ1390" s="4"/>
      <c r="BR1390" s="8"/>
      <c r="BS1390" s="7"/>
      <c r="BT1390" s="7"/>
      <c r="BU1390" s="2" t="s">
        <v>210</v>
      </c>
      <c r="BV1390" s="2" t="s">
        <v>200</v>
      </c>
      <c r="BW1390" s="2" t="s">
        <v>200</v>
      </c>
      <c r="BX1390" s="2" t="s">
        <v>210</v>
      </c>
      <c r="BY1390" s="2" t="s">
        <v>211</v>
      </c>
      <c r="BZ1390" s="2" t="s">
        <v>212</v>
      </c>
      <c r="CA1390" s="2" t="s">
        <v>200</v>
      </c>
      <c r="CB1390" s="2" t="s">
        <v>200</v>
      </c>
      <c r="CC1390" s="2" t="s">
        <v>213</v>
      </c>
      <c r="CD1390" s="2" t="s">
        <v>200</v>
      </c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/>
      <c r="DC1390" s="4"/>
      <c r="DD1390" s="4"/>
      <c r="DE1390" s="4"/>
      <c r="DF1390" s="4"/>
      <c r="DG1390" s="4"/>
      <c r="DH1390" s="4"/>
      <c r="DI1390" s="4"/>
      <c r="DJ1390" s="4"/>
      <c r="DK1390" s="4"/>
      <c r="DL1390" s="4"/>
      <c r="DM1390" s="4"/>
      <c r="DN1390" s="4"/>
      <c r="DO1390" s="4"/>
      <c r="DP1390" s="4"/>
      <c r="DQ1390" s="4"/>
      <c r="DR1390" s="4"/>
      <c r="DS1390" s="4"/>
      <c r="DT1390" s="4"/>
      <c r="DU1390" s="4"/>
      <c r="DV1390" s="4"/>
      <c r="DW1390" s="4"/>
      <c r="DX1390" s="4"/>
      <c r="DY1390" s="4"/>
      <c r="DZ1390" s="4"/>
      <c r="EA1390" s="4"/>
      <c r="EB1390" s="4"/>
      <c r="EC1390" s="4"/>
      <c r="ED1390" s="4"/>
      <c r="EE1390" s="4"/>
      <c r="EF1390" s="4"/>
      <c r="EG1390" s="4"/>
      <c r="EH1390" s="4"/>
      <c r="EI1390" s="4"/>
      <c r="EJ1390" s="4"/>
      <c r="EK1390" s="4"/>
      <c r="EL1390" s="4"/>
      <c r="EM1390" s="4"/>
      <c r="EN1390" s="4"/>
      <c r="EO1390" s="4"/>
      <c r="EP1390" s="4"/>
      <c r="EQ1390" s="4"/>
      <c r="ER1390" s="4"/>
      <c r="ES1390" s="4"/>
      <c r="ET1390" s="4"/>
      <c r="EU1390" s="4"/>
      <c r="EV1390" s="4"/>
      <c r="EW1390" s="4"/>
      <c r="EX1390" s="4"/>
      <c r="EY1390" s="4"/>
      <c r="EZ1390" s="4"/>
      <c r="FA1390" s="4"/>
      <c r="FB1390" s="4"/>
      <c r="FC1390" s="4"/>
      <c r="FD1390" s="4"/>
      <c r="FE1390" s="4"/>
      <c r="FF1390" s="4"/>
      <c r="FG1390" s="4"/>
      <c r="FH1390" s="4"/>
      <c r="FI1390" s="4"/>
      <c r="FJ1390" s="4"/>
      <c r="FK1390" s="4"/>
      <c r="FL1390" s="4"/>
      <c r="FM1390" s="4">
        <v>70</v>
      </c>
      <c r="FN1390" s="4"/>
      <c r="FO1390" s="4"/>
      <c r="FP1390" s="4"/>
      <c r="FQ1390" s="4"/>
      <c r="FR1390" s="4"/>
      <c r="FS1390" s="4"/>
      <c r="FT1390" s="4"/>
      <c r="FU1390" s="4"/>
      <c r="FV1390" s="4"/>
      <c r="FW1390" s="4"/>
      <c r="FX1390" s="4"/>
      <c r="FY1390" s="4"/>
      <c r="FZ1390" s="4"/>
      <c r="GA1390" s="4"/>
      <c r="GB1390" s="4"/>
      <c r="GC1390" s="4"/>
      <c r="GD1390" s="4"/>
      <c r="GE1390" s="4"/>
      <c r="GF1390" s="4"/>
      <c r="GG1390" s="4"/>
      <c r="GH1390" s="4"/>
    </row>
    <row r="1391">
      <c r="A1391" s="2" t="s">
        <v>7530</v>
      </c>
      <c r="B1391" s="2" t="s">
        <v>903</v>
      </c>
      <c r="C1391" s="2" t="s">
        <v>607</v>
      </c>
      <c r="D1391" s="2" t="s">
        <v>608</v>
      </c>
      <c r="E1391" s="2" t="s">
        <v>609</v>
      </c>
      <c r="F1391" s="2" t="s">
        <v>7529</v>
      </c>
      <c r="G1391" s="2" t="s">
        <v>7529</v>
      </c>
      <c r="H1391" s="2" t="s">
        <v>7529</v>
      </c>
      <c r="I1391" s="2" t="s">
        <v>2805</v>
      </c>
      <c r="J1391" s="2" t="s">
        <v>302</v>
      </c>
      <c r="K1391" s="2" t="s">
        <v>1700</v>
      </c>
      <c r="L1391" s="3">
        <v>175</v>
      </c>
      <c r="M1391" s="3">
        <v>183.75</v>
      </c>
      <c r="N1391" s="3">
        <v>349.99</v>
      </c>
      <c r="O1391" s="2" t="s">
        <v>212</v>
      </c>
      <c r="P1391" s="2" t="s">
        <v>205</v>
      </c>
      <c r="Q1391" s="2" t="s">
        <v>206</v>
      </c>
      <c r="R1391" s="2" t="s">
        <v>200</v>
      </c>
      <c r="S1391" s="2" t="s">
        <v>200</v>
      </c>
      <c r="T1391" s="2" t="s">
        <v>1176</v>
      </c>
      <c r="U1391" s="2" t="s">
        <v>909</v>
      </c>
      <c r="V1391" s="2" t="s">
        <v>616</v>
      </c>
      <c r="W1391" s="2" t="s">
        <v>200</v>
      </c>
      <c r="X1391" s="2" t="s">
        <v>200</v>
      </c>
      <c r="Y1391" s="2" t="s">
        <v>200</v>
      </c>
      <c r="Z1391" s="4"/>
      <c r="AA1391" s="4">
        <f>=ROUNDDOWN({0},0)</f>
      </c>
      <c r="AB1391" s="5"/>
      <c r="AC1391" s="2" t="s">
        <v>1435</v>
      </c>
      <c r="AD1391" s="4">
        <v>116</v>
      </c>
      <c r="AE1391" s="4">
        <v>116</v>
      </c>
      <c r="AF1391" s="6">
        <v>64</v>
      </c>
      <c r="AG1391" s="6"/>
      <c r="AH1391" s="7"/>
      <c r="AI1391" s="4"/>
      <c r="AJ1391" s="4">
        <f>=ROUNDDOWN({0},0)</f>
      </c>
      <c r="AK1391" s="5"/>
      <c r="AL1391" s="2" t="s">
        <v>200</v>
      </c>
      <c r="AM1391" s="4"/>
      <c r="AN1391" s="4"/>
      <c r="AO1391" s="7"/>
      <c r="AP1391" s="4"/>
      <c r="AQ1391" s="8"/>
      <c r="AR1391" s="4"/>
      <c r="AS1391" s="8"/>
      <c r="AT1391" s="7"/>
      <c r="AU1391" s="7"/>
      <c r="AV1391" s="4" t="s">
        <v>200</v>
      </c>
      <c r="AW1391" s="8" t="s">
        <v>200</v>
      </c>
      <c r="AX1391" s="4" t="s">
        <v>200</v>
      </c>
      <c r="AY1391" s="8" t="s">
        <v>200</v>
      </c>
      <c r="AZ1391" s="7" t="s">
        <v>200</v>
      </c>
      <c r="BA1391" s="7" t="s">
        <v>200</v>
      </c>
      <c r="BB1391" s="7"/>
      <c r="BC1391" s="4" t="s">
        <v>200</v>
      </c>
      <c r="BD1391" s="8" t="s">
        <v>200</v>
      </c>
      <c r="BE1391" s="4" t="s">
        <v>200</v>
      </c>
      <c r="BF1391" s="8" t="s">
        <v>200</v>
      </c>
      <c r="BG1391" s="7" t="s">
        <v>200</v>
      </c>
      <c r="BH1391" s="7" t="s">
        <v>200</v>
      </c>
      <c r="BI1391" s="7"/>
      <c r="BJ1391" s="4"/>
      <c r="BK1391" s="8"/>
      <c r="BL1391" s="2" t="s">
        <v>200</v>
      </c>
      <c r="BM1391" s="7"/>
      <c r="BN1391" s="7"/>
      <c r="BO1391" s="4"/>
      <c r="BP1391" s="8"/>
      <c r="BQ1391" s="4"/>
      <c r="BR1391" s="8"/>
      <c r="BS1391" s="7"/>
      <c r="BT1391" s="7"/>
      <c r="BU1391" s="2" t="s">
        <v>210</v>
      </c>
      <c r="BV1391" s="2" t="s">
        <v>200</v>
      </c>
      <c r="BW1391" s="2" t="s">
        <v>200</v>
      </c>
      <c r="BX1391" s="2" t="s">
        <v>210</v>
      </c>
      <c r="BY1391" s="2" t="s">
        <v>211</v>
      </c>
      <c r="BZ1391" s="2" t="s">
        <v>212</v>
      </c>
      <c r="CA1391" s="2" t="s">
        <v>200</v>
      </c>
      <c r="CB1391" s="2" t="s">
        <v>200</v>
      </c>
      <c r="CC1391" s="2" t="s">
        <v>213</v>
      </c>
      <c r="CD1391" s="2" t="s">
        <v>200</v>
      </c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E1391" s="4"/>
      <c r="DF1391" s="4"/>
      <c r="DG1391" s="4"/>
      <c r="DH1391" s="4"/>
      <c r="DI1391" s="4"/>
      <c r="DJ1391" s="4"/>
      <c r="DK1391" s="4"/>
      <c r="DL1391" s="4"/>
      <c r="DM1391" s="4"/>
      <c r="DN1391" s="4"/>
      <c r="DO1391" s="4"/>
      <c r="DP1391" s="4"/>
      <c r="DQ1391" s="4"/>
      <c r="DR1391" s="4"/>
      <c r="DS1391" s="4"/>
      <c r="DT1391" s="4"/>
      <c r="DU1391" s="4"/>
      <c r="DV1391" s="4"/>
      <c r="DW1391" s="4"/>
      <c r="DX1391" s="4"/>
      <c r="DY1391" s="4"/>
      <c r="DZ1391" s="4"/>
      <c r="EA1391" s="4"/>
      <c r="EB1391" s="4"/>
      <c r="EC1391" s="4"/>
      <c r="ED1391" s="4"/>
      <c r="EE1391" s="4"/>
      <c r="EF1391" s="4"/>
      <c r="EG1391" s="4"/>
      <c r="EH1391" s="4"/>
      <c r="EI1391" s="4"/>
      <c r="EJ1391" s="4"/>
      <c r="EK1391" s="4"/>
      <c r="EL1391" s="4"/>
      <c r="EM1391" s="4"/>
      <c r="EN1391" s="4"/>
      <c r="EO1391" s="4"/>
      <c r="EP1391" s="4"/>
      <c r="EQ1391" s="4"/>
      <c r="ER1391" s="4"/>
      <c r="ES1391" s="4"/>
      <c r="ET1391" s="4"/>
      <c r="EU1391" s="4"/>
      <c r="EV1391" s="4"/>
      <c r="EW1391" s="4"/>
      <c r="EX1391" s="4"/>
      <c r="EY1391" s="4"/>
      <c r="EZ1391" s="4"/>
      <c r="FA1391" s="4"/>
      <c r="FB1391" s="4"/>
      <c r="FC1391" s="4"/>
      <c r="FD1391" s="4"/>
      <c r="FE1391" s="4"/>
      <c r="FF1391" s="4"/>
      <c r="FG1391" s="4"/>
      <c r="FH1391" s="4"/>
      <c r="FI1391" s="4"/>
      <c r="FJ1391" s="4"/>
      <c r="FK1391" s="4"/>
      <c r="FL1391" s="4"/>
      <c r="FM1391" s="4">
        <v>116</v>
      </c>
      <c r="FN1391" s="4"/>
      <c r="FO1391" s="4"/>
      <c r="FP1391" s="4"/>
      <c r="FQ1391" s="4"/>
      <c r="FR1391" s="4"/>
      <c r="FS1391" s="4"/>
      <c r="FT1391" s="4"/>
      <c r="FU1391" s="4"/>
      <c r="FV1391" s="4"/>
      <c r="FW1391" s="4"/>
      <c r="FX1391" s="4"/>
      <c r="FY1391" s="4"/>
      <c r="FZ1391" s="4"/>
      <c r="GA1391" s="4"/>
      <c r="GB1391" s="4"/>
      <c r="GC1391" s="4"/>
      <c r="GD1391" s="4"/>
      <c r="GE1391" s="4"/>
      <c r="GF1391" s="4"/>
      <c r="GG1391" s="4"/>
      <c r="GH1391" s="4"/>
    </row>
    <row r="1392">
      <c r="A1392" s="2" t="s">
        <v>7531</v>
      </c>
      <c r="B1392" s="2" t="s">
        <v>932</v>
      </c>
      <c r="C1392" s="2" t="s">
        <v>933</v>
      </c>
      <c r="D1392" s="2" t="s">
        <v>918</v>
      </c>
      <c r="E1392" s="2" t="s">
        <v>919</v>
      </c>
      <c r="F1392" s="2" t="s">
        <v>7532</v>
      </c>
      <c r="G1392" s="2" t="s">
        <v>5700</v>
      </c>
      <c r="H1392" s="2" t="s">
        <v>7533</v>
      </c>
      <c r="I1392" s="2" t="s">
        <v>7534</v>
      </c>
      <c r="J1392" s="2" t="s">
        <v>1390</v>
      </c>
      <c r="K1392" s="2" t="s">
        <v>7535</v>
      </c>
      <c r="L1392" s="3">
        <v>23.8</v>
      </c>
      <c r="M1392" s="3">
        <v>24.99</v>
      </c>
      <c r="N1392" s="3">
        <v>49.99</v>
      </c>
      <c r="O1392" s="2" t="s">
        <v>212</v>
      </c>
      <c r="P1392" s="2" t="s">
        <v>258</v>
      </c>
      <c r="Q1392" s="2" t="s">
        <v>206</v>
      </c>
      <c r="R1392" s="2" t="s">
        <v>200</v>
      </c>
      <c r="S1392" s="2" t="s">
        <v>7536</v>
      </c>
      <c r="T1392" s="2" t="s">
        <v>1899</v>
      </c>
      <c r="U1392" s="2" t="s">
        <v>677</v>
      </c>
      <c r="V1392" s="2" t="s">
        <v>7537</v>
      </c>
      <c r="W1392" s="2" t="s">
        <v>379</v>
      </c>
      <c r="X1392" s="2" t="s">
        <v>241</v>
      </c>
      <c r="Y1392" s="2" t="s">
        <v>5760</v>
      </c>
      <c r="Z1392" s="4">
        <v>42</v>
      </c>
      <c r="AA1392" s="4">
        <f>=ROUNDDOWN(8.4,0)</f>
      </c>
      <c r="AB1392" s="5">
        <v>5</v>
      </c>
      <c r="AC1392" s="2" t="s">
        <v>1088</v>
      </c>
      <c r="AD1392" s="4">
        <v>70</v>
      </c>
      <c r="AE1392" s="4">
        <v>70</v>
      </c>
      <c r="AF1392" s="6">
        <v>65</v>
      </c>
      <c r="AG1392" s="6"/>
      <c r="AH1392" s="7">
        <v>1</v>
      </c>
      <c r="AI1392" s="4"/>
      <c r="AJ1392" s="4">
        <f>=ROUNDDOWN({0},0)</f>
      </c>
      <c r="AK1392" s="5"/>
      <c r="AL1392" s="2" t="s">
        <v>200</v>
      </c>
      <c r="AM1392" s="4"/>
      <c r="AN1392" s="4"/>
      <c r="AO1392" s="7"/>
      <c r="AP1392" s="4"/>
      <c r="AQ1392" s="8"/>
      <c r="AR1392" s="4"/>
      <c r="AS1392" s="8"/>
      <c r="AT1392" s="7"/>
      <c r="AU1392" s="7"/>
      <c r="AV1392" s="4"/>
      <c r="AW1392" s="8"/>
      <c r="AX1392" s="4"/>
      <c r="AY1392" s="8"/>
      <c r="AZ1392" s="7"/>
      <c r="BA1392" s="7"/>
      <c r="BB1392" s="7"/>
      <c r="BC1392" s="4"/>
      <c r="BD1392" s="8"/>
      <c r="BE1392" s="4"/>
      <c r="BF1392" s="8"/>
      <c r="BG1392" s="7"/>
      <c r="BH1392" s="7"/>
      <c r="BI1392" s="7"/>
      <c r="BJ1392" s="4">
        <v>66</v>
      </c>
      <c r="BK1392" s="8">
        <v>1711.53</v>
      </c>
      <c r="BL1392" s="2" t="s">
        <v>3175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7538</v>
      </c>
      <c r="BV1392" s="2" t="s">
        <v>200</v>
      </c>
      <c r="BW1392" s="2" t="s">
        <v>200</v>
      </c>
      <c r="BX1392" s="2" t="s">
        <v>264</v>
      </c>
      <c r="BY1392" s="2" t="s">
        <v>247</v>
      </c>
      <c r="BZ1392" s="2" t="s">
        <v>212</v>
      </c>
      <c r="CA1392" s="2" t="s">
        <v>4811</v>
      </c>
      <c r="CB1392" s="2" t="s">
        <v>3811</v>
      </c>
      <c r="CC1392" s="2" t="s">
        <v>213</v>
      </c>
      <c r="CD1392" s="2" t="s">
        <v>200</v>
      </c>
      <c r="CE1392" s="4">
        <v>42</v>
      </c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/>
      <c r="DC1392" s="4"/>
      <c r="DD1392" s="4"/>
      <c r="DE1392" s="4"/>
      <c r="DF1392" s="4"/>
      <c r="DG1392" s="4"/>
      <c r="DH1392" s="4"/>
      <c r="DI1392" s="4"/>
      <c r="DJ1392" s="4"/>
      <c r="DK1392" s="4"/>
      <c r="DL1392" s="4"/>
      <c r="DM1392" s="4"/>
      <c r="DN1392" s="4"/>
      <c r="DO1392" s="4"/>
      <c r="DP1392" s="4"/>
      <c r="DQ1392" s="4"/>
      <c r="DR1392" s="4"/>
      <c r="DS1392" s="4"/>
      <c r="DT1392" s="4"/>
      <c r="DU1392" s="4"/>
      <c r="DV1392" s="4"/>
      <c r="DW1392" s="4"/>
      <c r="DX1392" s="4"/>
      <c r="DY1392" s="4"/>
      <c r="DZ1392" s="4"/>
      <c r="EA1392" s="4"/>
      <c r="EB1392" s="4"/>
      <c r="EC1392" s="4"/>
      <c r="ED1392" s="4"/>
      <c r="EE1392" s="4"/>
      <c r="EF1392" s="4"/>
      <c r="EG1392" s="4"/>
      <c r="EH1392" s="4"/>
      <c r="EI1392" s="4"/>
      <c r="EJ1392" s="4"/>
      <c r="EK1392" s="4"/>
      <c r="EL1392" s="4"/>
      <c r="EM1392" s="4"/>
      <c r="EN1392" s="4"/>
      <c r="EO1392" s="4"/>
      <c r="EP1392" s="4"/>
      <c r="EQ1392" s="4"/>
      <c r="ER1392" s="4"/>
      <c r="ES1392" s="4"/>
      <c r="ET1392" s="4"/>
      <c r="EU1392" s="4"/>
      <c r="EV1392" s="4"/>
      <c r="EW1392" s="4"/>
      <c r="EX1392" s="4"/>
      <c r="EY1392" s="4"/>
      <c r="EZ1392" s="4"/>
      <c r="FA1392" s="4"/>
      <c r="FB1392" s="4"/>
      <c r="FC1392" s="4">
        <v>70</v>
      </c>
      <c r="FD1392" s="4"/>
      <c r="FE1392" s="4"/>
      <c r="FF1392" s="4"/>
      <c r="FG1392" s="4"/>
      <c r="FH1392" s="4"/>
      <c r="FI1392" s="4"/>
      <c r="FJ1392" s="4"/>
      <c r="FK1392" s="4"/>
      <c r="FL1392" s="4"/>
      <c r="FM1392" s="4"/>
      <c r="FN1392" s="4"/>
      <c r="FO1392" s="4"/>
      <c r="FP1392" s="4"/>
      <c r="FQ1392" s="4"/>
      <c r="FR1392" s="4"/>
      <c r="FS1392" s="4"/>
      <c r="FT1392" s="4"/>
      <c r="FU1392" s="4"/>
      <c r="FV1392" s="4"/>
      <c r="FW1392" s="4"/>
      <c r="FX1392" s="4"/>
      <c r="FY1392" s="4"/>
      <c r="FZ1392" s="4"/>
      <c r="GA1392" s="4"/>
      <c r="GB1392" s="4"/>
      <c r="GC1392" s="4"/>
      <c r="GD1392" s="4"/>
      <c r="GE1392" s="4"/>
      <c r="GF1392" s="4"/>
      <c r="GG1392" s="4"/>
      <c r="GH1392" s="4"/>
    </row>
    <row r="1393">
      <c r="A1393" s="2" t="s">
        <v>7539</v>
      </c>
      <c r="B1393" s="2" t="s">
        <v>230</v>
      </c>
      <c r="C1393" s="2" t="s">
        <v>933</v>
      </c>
      <c r="D1393" s="2" t="s">
        <v>232</v>
      </c>
      <c r="E1393" s="2" t="s">
        <v>233</v>
      </c>
      <c r="F1393" s="2" t="s">
        <v>7540</v>
      </c>
      <c r="G1393" s="2" t="s">
        <v>7540</v>
      </c>
      <c r="H1393" s="2" t="s">
        <v>7540</v>
      </c>
      <c r="I1393" s="2" t="s">
        <v>7541</v>
      </c>
      <c r="J1393" s="2" t="s">
        <v>256</v>
      </c>
      <c r="K1393" s="2" t="s">
        <v>7542</v>
      </c>
      <c r="L1393" s="3">
        <v>12.88</v>
      </c>
      <c r="M1393" s="3">
        <v>13.52</v>
      </c>
      <c r="N1393" s="3">
        <v>27.99</v>
      </c>
      <c r="O1393" s="2" t="s">
        <v>460</v>
      </c>
      <c r="P1393" s="2" t="s">
        <v>285</v>
      </c>
      <c r="Q1393" s="2" t="s">
        <v>206</v>
      </c>
      <c r="R1393" s="2" t="s">
        <v>200</v>
      </c>
      <c r="S1393" s="2" t="s">
        <v>7543</v>
      </c>
      <c r="T1393" s="2" t="s">
        <v>378</v>
      </c>
      <c r="U1393" s="2" t="s">
        <v>200</v>
      </c>
      <c r="V1393" s="2" t="s">
        <v>3270</v>
      </c>
      <c r="W1393" s="2" t="s">
        <v>241</v>
      </c>
      <c r="X1393" s="2" t="s">
        <v>200</v>
      </c>
      <c r="Y1393" s="2" t="s">
        <v>7544</v>
      </c>
      <c r="Z1393" s="4">
        <v>201</v>
      </c>
      <c r="AA1393" s="4">
        <f>=ROUNDDOWN(25.7692307692308,0)</f>
      </c>
      <c r="AB1393" s="5">
        <v>7.8</v>
      </c>
      <c r="AC1393" s="2" t="s">
        <v>200</v>
      </c>
      <c r="AD1393" s="4"/>
      <c r="AE1393" s="4"/>
      <c r="AF1393" s="6">
        <v>65</v>
      </c>
      <c r="AG1393" s="6"/>
      <c r="AH1393" s="7">
        <v>1</v>
      </c>
      <c r="AI1393" s="4"/>
      <c r="AJ1393" s="4">
        <f>=ROUNDDOWN({0},0)</f>
      </c>
      <c r="AK1393" s="5"/>
      <c r="AL1393" s="2" t="s">
        <v>200</v>
      </c>
      <c r="AM1393" s="4"/>
      <c r="AN1393" s="4"/>
      <c r="AO1393" s="7"/>
      <c r="AP1393" s="4"/>
      <c r="AQ1393" s="8"/>
      <c r="AR1393" s="4"/>
      <c r="AS1393" s="8"/>
      <c r="AT1393" s="7"/>
      <c r="AU1393" s="7"/>
      <c r="AV1393" s="4"/>
      <c r="AW1393" s="8"/>
      <c r="AX1393" s="4"/>
      <c r="AY1393" s="8"/>
      <c r="AZ1393" s="7"/>
      <c r="BA1393" s="7"/>
      <c r="BB1393" s="7"/>
      <c r="BC1393" s="4" t="s">
        <v>200</v>
      </c>
      <c r="BD1393" s="8" t="s">
        <v>200</v>
      </c>
      <c r="BE1393" s="4" t="s">
        <v>200</v>
      </c>
      <c r="BF1393" s="8" t="s">
        <v>200</v>
      </c>
      <c r="BG1393" s="7" t="s">
        <v>200</v>
      </c>
      <c r="BH1393" s="7" t="s">
        <v>200</v>
      </c>
      <c r="BI1393" s="7"/>
      <c r="BJ1393" s="4">
        <v>20</v>
      </c>
      <c r="BK1393" s="8">
        <v>210.63</v>
      </c>
      <c r="BL1393" s="2" t="s">
        <v>7545</v>
      </c>
      <c r="BM1393" s="7"/>
      <c r="BN1393" s="7"/>
      <c r="BO1393" s="4"/>
      <c r="BP1393" s="8"/>
      <c r="BQ1393" s="4"/>
      <c r="BR1393" s="8"/>
      <c r="BS1393" s="7"/>
      <c r="BT1393" s="7"/>
      <c r="BU1393" s="2" t="s">
        <v>7546</v>
      </c>
      <c r="BV1393" s="2" t="s">
        <v>200</v>
      </c>
      <c r="BW1393" s="2" t="s">
        <v>200</v>
      </c>
      <c r="BX1393" s="2" t="s">
        <v>289</v>
      </c>
      <c r="BY1393" s="2" t="s">
        <v>247</v>
      </c>
      <c r="BZ1393" s="2" t="s">
        <v>212</v>
      </c>
      <c r="CA1393" s="2" t="s">
        <v>7547</v>
      </c>
      <c r="CB1393" s="2" t="s">
        <v>4532</v>
      </c>
      <c r="CC1393" s="2" t="s">
        <v>213</v>
      </c>
      <c r="CD1393" s="2" t="s">
        <v>200</v>
      </c>
      <c r="CE1393" s="4">
        <v>201</v>
      </c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  <c r="DE1393" s="4"/>
      <c r="DF1393" s="4"/>
      <c r="DG1393" s="4"/>
      <c r="DH1393" s="4"/>
      <c r="DI1393" s="4"/>
      <c r="DJ1393" s="4"/>
      <c r="DK1393" s="4"/>
      <c r="DL1393" s="4"/>
      <c r="DM1393" s="4"/>
      <c r="DN1393" s="4"/>
      <c r="DO1393" s="4"/>
      <c r="DP1393" s="4"/>
      <c r="DQ1393" s="4"/>
      <c r="DR1393" s="4"/>
      <c r="DS1393" s="4"/>
      <c r="DT1393" s="4"/>
      <c r="DU1393" s="4"/>
      <c r="DV1393" s="4"/>
      <c r="DW1393" s="4"/>
      <c r="DX1393" s="4"/>
      <c r="DY1393" s="4"/>
      <c r="DZ1393" s="4"/>
      <c r="EA1393" s="4"/>
      <c r="EB1393" s="4"/>
      <c r="EC1393" s="4"/>
      <c r="ED1393" s="4"/>
      <c r="EE1393" s="4"/>
      <c r="EF1393" s="4"/>
      <c r="EG1393" s="4"/>
      <c r="EH1393" s="4"/>
      <c r="EI1393" s="4"/>
      <c r="EJ1393" s="4"/>
      <c r="EK1393" s="4"/>
      <c r="EL1393" s="4"/>
      <c r="EM1393" s="4"/>
      <c r="EN1393" s="4"/>
      <c r="EO1393" s="4"/>
      <c r="EP1393" s="4"/>
      <c r="EQ1393" s="4"/>
      <c r="ER1393" s="4"/>
      <c r="ES1393" s="4"/>
      <c r="ET1393" s="4"/>
      <c r="EU1393" s="4"/>
      <c r="EV1393" s="4"/>
      <c r="EW1393" s="4"/>
      <c r="EX1393" s="4"/>
      <c r="EY1393" s="4"/>
      <c r="EZ1393" s="4"/>
      <c r="FA1393" s="4"/>
      <c r="FB1393" s="4"/>
      <c r="FC1393" s="4"/>
      <c r="FD1393" s="4"/>
      <c r="FE1393" s="4"/>
      <c r="FF1393" s="4"/>
      <c r="FG1393" s="4"/>
      <c r="FH1393" s="4"/>
      <c r="FI1393" s="4"/>
      <c r="FJ1393" s="4"/>
      <c r="FK1393" s="4"/>
      <c r="FL1393" s="4"/>
      <c r="FM1393" s="4"/>
      <c r="FN1393" s="4"/>
      <c r="FO1393" s="4"/>
      <c r="FP1393" s="4"/>
      <c r="FQ1393" s="4"/>
      <c r="FR1393" s="4"/>
      <c r="FS1393" s="4"/>
      <c r="FT1393" s="4"/>
      <c r="FU1393" s="4"/>
      <c r="FV1393" s="4"/>
      <c r="FW1393" s="4"/>
      <c r="FX1393" s="4"/>
      <c r="FY1393" s="4"/>
      <c r="FZ1393" s="4"/>
      <c r="GA1393" s="4"/>
      <c r="GB1393" s="4"/>
      <c r="GC1393" s="4"/>
      <c r="GD1393" s="4"/>
      <c r="GE1393" s="4"/>
      <c r="GF1393" s="4"/>
      <c r="GG1393" s="4"/>
      <c r="GH1393" s="4"/>
    </row>
    <row r="1394">
      <c r="A1394" s="2" t="s">
        <v>7548</v>
      </c>
      <c r="B1394" s="2" t="s">
        <v>230</v>
      </c>
      <c r="C1394" s="2" t="s">
        <v>933</v>
      </c>
      <c r="D1394" s="2" t="s">
        <v>232</v>
      </c>
      <c r="E1394" s="2" t="s">
        <v>233</v>
      </c>
      <c r="F1394" s="2" t="s">
        <v>7540</v>
      </c>
      <c r="G1394" s="2" t="s">
        <v>7540</v>
      </c>
      <c r="H1394" s="2" t="s">
        <v>7540</v>
      </c>
      <c r="I1394" s="2" t="s">
        <v>7541</v>
      </c>
      <c r="J1394" s="2" t="s">
        <v>297</v>
      </c>
      <c r="K1394" s="2" t="s">
        <v>7549</v>
      </c>
      <c r="L1394" s="3">
        <v>15.51</v>
      </c>
      <c r="M1394" s="3">
        <v>16.29</v>
      </c>
      <c r="N1394" s="3">
        <v>32.99</v>
      </c>
      <c r="O1394" s="2" t="s">
        <v>460</v>
      </c>
      <c r="P1394" s="2" t="s">
        <v>285</v>
      </c>
      <c r="Q1394" s="2" t="s">
        <v>206</v>
      </c>
      <c r="R1394" s="2" t="s">
        <v>200</v>
      </c>
      <c r="S1394" s="2" t="s">
        <v>7550</v>
      </c>
      <c r="T1394" s="2" t="s">
        <v>378</v>
      </c>
      <c r="U1394" s="2" t="s">
        <v>240</v>
      </c>
      <c r="V1394" s="2" t="s">
        <v>3270</v>
      </c>
      <c r="W1394" s="2" t="s">
        <v>241</v>
      </c>
      <c r="X1394" s="2" t="s">
        <v>736</v>
      </c>
      <c r="Y1394" s="2" t="s">
        <v>7551</v>
      </c>
      <c r="Z1394" s="4">
        <v>47</v>
      </c>
      <c r="AA1394" s="4">
        <f>=ROUNDDOWN(12.7027027027027,0)</f>
      </c>
      <c r="AB1394" s="5">
        <v>3.7</v>
      </c>
      <c r="AC1394" s="2" t="s">
        <v>200</v>
      </c>
      <c r="AD1394" s="4"/>
      <c r="AE1394" s="4"/>
      <c r="AF1394" s="6">
        <v>65</v>
      </c>
      <c r="AG1394" s="6"/>
      <c r="AH1394" s="7">
        <v>1</v>
      </c>
      <c r="AI1394" s="4"/>
      <c r="AJ1394" s="4">
        <f>=ROUNDDOWN({0},0)</f>
      </c>
      <c r="AK1394" s="5"/>
      <c r="AL1394" s="2" t="s">
        <v>200</v>
      </c>
      <c r="AM1394" s="4"/>
      <c r="AN1394" s="4"/>
      <c r="AO1394" s="7"/>
      <c r="AP1394" s="4"/>
      <c r="AQ1394" s="8"/>
      <c r="AR1394" s="4"/>
      <c r="AS1394" s="8"/>
      <c r="AT1394" s="7"/>
      <c r="AU1394" s="7"/>
      <c r="AV1394" s="4"/>
      <c r="AW1394" s="8"/>
      <c r="AX1394" s="4"/>
      <c r="AY1394" s="8"/>
      <c r="AZ1394" s="7"/>
      <c r="BA1394" s="7"/>
      <c r="BB1394" s="7"/>
      <c r="BC1394" s="4" t="s">
        <v>200</v>
      </c>
      <c r="BD1394" s="8" t="s">
        <v>200</v>
      </c>
      <c r="BE1394" s="4" t="s">
        <v>200</v>
      </c>
      <c r="BF1394" s="8" t="s">
        <v>200</v>
      </c>
      <c r="BG1394" s="7" t="s">
        <v>200</v>
      </c>
      <c r="BH1394" s="7" t="s">
        <v>200</v>
      </c>
      <c r="BI1394" s="7"/>
      <c r="BJ1394" s="4">
        <v>7</v>
      </c>
      <c r="BK1394" s="8">
        <v>80.99</v>
      </c>
      <c r="BL1394" s="2" t="s">
        <v>2436</v>
      </c>
      <c r="BM1394" s="7"/>
      <c r="BN1394" s="7"/>
      <c r="BO1394" s="4"/>
      <c r="BP1394" s="8"/>
      <c r="BQ1394" s="4"/>
      <c r="BR1394" s="8"/>
      <c r="BS1394" s="7"/>
      <c r="BT1394" s="7"/>
      <c r="BU1394" s="2" t="s">
        <v>7552</v>
      </c>
      <c r="BV1394" s="2" t="s">
        <v>200</v>
      </c>
      <c r="BW1394" s="2" t="s">
        <v>200</v>
      </c>
      <c r="BX1394" s="2" t="s">
        <v>289</v>
      </c>
      <c r="BY1394" s="2" t="s">
        <v>247</v>
      </c>
      <c r="BZ1394" s="2" t="s">
        <v>212</v>
      </c>
      <c r="CA1394" s="2" t="s">
        <v>7553</v>
      </c>
      <c r="CB1394" s="2" t="s">
        <v>4441</v>
      </c>
      <c r="CC1394" s="2" t="s">
        <v>213</v>
      </c>
      <c r="CD1394" s="2" t="s">
        <v>200</v>
      </c>
      <c r="CE1394" s="4">
        <v>47</v>
      </c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  <c r="DE1394" s="4"/>
      <c r="DF1394" s="4"/>
      <c r="DG1394" s="4"/>
      <c r="DH1394" s="4"/>
      <c r="DI1394" s="4"/>
      <c r="DJ1394" s="4"/>
      <c r="DK1394" s="4"/>
      <c r="DL1394" s="4"/>
      <c r="DM1394" s="4"/>
      <c r="DN1394" s="4"/>
      <c r="DO1394" s="4"/>
      <c r="DP1394" s="4"/>
      <c r="DQ1394" s="4"/>
      <c r="DR1394" s="4"/>
      <c r="DS1394" s="4"/>
      <c r="DT1394" s="4"/>
      <c r="DU1394" s="4"/>
      <c r="DV1394" s="4"/>
      <c r="DW1394" s="4"/>
      <c r="DX1394" s="4"/>
      <c r="DY1394" s="4"/>
      <c r="DZ1394" s="4"/>
      <c r="EA1394" s="4"/>
      <c r="EB1394" s="4"/>
      <c r="EC1394" s="4"/>
      <c r="ED1394" s="4"/>
      <c r="EE1394" s="4"/>
      <c r="EF1394" s="4"/>
      <c r="EG1394" s="4"/>
      <c r="EH1394" s="4"/>
      <c r="EI1394" s="4"/>
      <c r="EJ1394" s="4"/>
      <c r="EK1394" s="4"/>
      <c r="EL1394" s="4"/>
      <c r="EM1394" s="4"/>
      <c r="EN1394" s="4"/>
      <c r="EO1394" s="4"/>
      <c r="EP1394" s="4"/>
      <c r="EQ1394" s="4"/>
      <c r="ER1394" s="4"/>
      <c r="ES1394" s="4"/>
      <c r="ET1394" s="4"/>
      <c r="EU1394" s="4"/>
      <c r="EV1394" s="4"/>
      <c r="EW1394" s="4"/>
      <c r="EX1394" s="4"/>
      <c r="EY1394" s="4"/>
      <c r="EZ1394" s="4"/>
      <c r="FA1394" s="4"/>
      <c r="FB1394" s="4"/>
      <c r="FC1394" s="4"/>
      <c r="FD1394" s="4"/>
      <c r="FE1394" s="4"/>
      <c r="FF1394" s="4"/>
      <c r="FG1394" s="4"/>
      <c r="FH1394" s="4"/>
      <c r="FI1394" s="4"/>
      <c r="FJ1394" s="4"/>
      <c r="FK1394" s="4"/>
      <c r="FL1394" s="4"/>
      <c r="FM1394" s="4"/>
      <c r="FN1394" s="4"/>
      <c r="FO1394" s="4"/>
      <c r="FP1394" s="4"/>
      <c r="FQ1394" s="4"/>
      <c r="FR1394" s="4"/>
      <c r="FS1394" s="4"/>
      <c r="FT1394" s="4"/>
      <c r="FU1394" s="4"/>
      <c r="FV1394" s="4"/>
      <c r="FW1394" s="4"/>
      <c r="FX1394" s="4"/>
      <c r="FY1394" s="4"/>
      <c r="FZ1394" s="4"/>
      <c r="GA1394" s="4"/>
      <c r="GB1394" s="4"/>
      <c r="GC1394" s="4"/>
      <c r="GD1394" s="4"/>
      <c r="GE1394" s="4"/>
      <c r="GF1394" s="4"/>
      <c r="GG1394" s="4"/>
      <c r="GH1394" s="4"/>
    </row>
    <row r="1395">
      <c r="A1395" s="2" t="s">
        <v>7554</v>
      </c>
      <c r="B1395" s="2" t="s">
        <v>230</v>
      </c>
      <c r="C1395" s="2" t="s">
        <v>877</v>
      </c>
      <c r="D1395" s="2" t="s">
        <v>232</v>
      </c>
      <c r="E1395" s="2" t="s">
        <v>233</v>
      </c>
      <c r="F1395" s="2" t="s">
        <v>7555</v>
      </c>
      <c r="G1395" s="2" t="s">
        <v>7555</v>
      </c>
      <c r="H1395" s="2" t="s">
        <v>7555</v>
      </c>
      <c r="I1395" s="2" t="s">
        <v>309</v>
      </c>
      <c r="J1395" s="2" t="s">
        <v>256</v>
      </c>
      <c r="K1395" s="2" t="s">
        <v>7556</v>
      </c>
      <c r="L1395" s="3">
        <v>11.95</v>
      </c>
      <c r="M1395" s="3">
        <v>12.55</v>
      </c>
      <c r="N1395" s="3">
        <v>24.99</v>
      </c>
      <c r="O1395" s="2" t="s">
        <v>212</v>
      </c>
      <c r="P1395" s="2" t="s">
        <v>205</v>
      </c>
      <c r="Q1395" s="2" t="s">
        <v>206</v>
      </c>
      <c r="R1395" s="2" t="s">
        <v>200</v>
      </c>
      <c r="S1395" s="2" t="s">
        <v>7557</v>
      </c>
      <c r="T1395" s="2" t="s">
        <v>378</v>
      </c>
      <c r="U1395" s="2" t="s">
        <v>454</v>
      </c>
      <c r="V1395" s="2" t="s">
        <v>1695</v>
      </c>
      <c r="W1395" s="2" t="s">
        <v>241</v>
      </c>
      <c r="X1395" s="2" t="s">
        <v>200</v>
      </c>
      <c r="Y1395" s="2" t="s">
        <v>955</v>
      </c>
      <c r="Z1395" s="4">
        <v>107</v>
      </c>
      <c r="AA1395" s="4">
        <f>=ROUNDDOWN(53.5,0)</f>
      </c>
      <c r="AB1395" s="5">
        <v>2</v>
      </c>
      <c r="AC1395" s="2" t="s">
        <v>200</v>
      </c>
      <c r="AD1395" s="4"/>
      <c r="AE1395" s="4"/>
      <c r="AF1395" s="6">
        <v>65</v>
      </c>
      <c r="AG1395" s="6"/>
      <c r="AH1395" s="7">
        <v>1</v>
      </c>
      <c r="AI1395" s="4"/>
      <c r="AJ1395" s="4">
        <f>=ROUNDDOWN({0},0)</f>
      </c>
      <c r="AK1395" s="5"/>
      <c r="AL1395" s="2" t="s">
        <v>200</v>
      </c>
      <c r="AM1395" s="4"/>
      <c r="AN1395" s="4"/>
      <c r="AO1395" s="7"/>
      <c r="AP1395" s="4"/>
      <c r="AQ1395" s="8"/>
      <c r="AR1395" s="4"/>
      <c r="AS1395" s="8"/>
      <c r="AT1395" s="7"/>
      <c r="AU1395" s="7"/>
      <c r="AV1395" s="4" t="s">
        <v>200</v>
      </c>
      <c r="AW1395" s="8" t="s">
        <v>200</v>
      </c>
      <c r="AX1395" s="4" t="s">
        <v>200</v>
      </c>
      <c r="AY1395" s="8" t="s">
        <v>200</v>
      </c>
      <c r="AZ1395" s="7" t="s">
        <v>200</v>
      </c>
      <c r="BA1395" s="7" t="s">
        <v>200</v>
      </c>
      <c r="BB1395" s="7"/>
      <c r="BC1395" s="4" t="s">
        <v>200</v>
      </c>
      <c r="BD1395" s="8" t="s">
        <v>200</v>
      </c>
      <c r="BE1395" s="4" t="s">
        <v>200</v>
      </c>
      <c r="BF1395" s="8" t="s">
        <v>200</v>
      </c>
      <c r="BG1395" s="7" t="s">
        <v>200</v>
      </c>
      <c r="BH1395" s="7" t="s">
        <v>200</v>
      </c>
      <c r="BI1395" s="7"/>
      <c r="BJ1395" s="4">
        <v>7</v>
      </c>
      <c r="BK1395" s="8">
        <v>90.95</v>
      </c>
      <c r="BL1395" s="2" t="s">
        <v>315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7558</v>
      </c>
      <c r="BV1395" s="2" t="s">
        <v>200</v>
      </c>
      <c r="BW1395" s="2" t="s">
        <v>200</v>
      </c>
      <c r="BX1395" s="2" t="s">
        <v>264</v>
      </c>
      <c r="BY1395" s="2" t="s">
        <v>247</v>
      </c>
      <c r="BZ1395" s="2" t="s">
        <v>212</v>
      </c>
      <c r="CA1395" s="2" t="s">
        <v>5256</v>
      </c>
      <c r="CB1395" s="2" t="s">
        <v>200</v>
      </c>
      <c r="CC1395" s="2" t="s">
        <v>213</v>
      </c>
      <c r="CD1395" s="2" t="s">
        <v>200</v>
      </c>
      <c r="CE1395" s="4">
        <v>52</v>
      </c>
      <c r="CF1395" s="4"/>
      <c r="CG1395" s="4"/>
      <c r="CH1395" s="4">
        <v>55</v>
      </c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  <c r="DE1395" s="4"/>
      <c r="DF1395" s="4"/>
      <c r="DG1395" s="4"/>
      <c r="DH1395" s="4"/>
      <c r="DI1395" s="4"/>
      <c r="DJ1395" s="4"/>
      <c r="DK1395" s="4"/>
      <c r="DL1395" s="4"/>
      <c r="DM1395" s="4"/>
      <c r="DN1395" s="4"/>
      <c r="DO1395" s="4"/>
      <c r="DP1395" s="4"/>
      <c r="DQ1395" s="4"/>
      <c r="DR1395" s="4"/>
      <c r="DS1395" s="4"/>
      <c r="DT1395" s="4"/>
      <c r="DU1395" s="4"/>
      <c r="DV1395" s="4"/>
      <c r="DW1395" s="4"/>
      <c r="DX1395" s="4"/>
      <c r="DY1395" s="4"/>
      <c r="DZ1395" s="4"/>
      <c r="EA1395" s="4"/>
      <c r="EB1395" s="4"/>
      <c r="EC1395" s="4"/>
      <c r="ED1395" s="4"/>
      <c r="EE1395" s="4"/>
      <c r="EF1395" s="4"/>
      <c r="EG1395" s="4"/>
      <c r="EH1395" s="4"/>
      <c r="EI1395" s="4"/>
      <c r="EJ1395" s="4"/>
      <c r="EK1395" s="4"/>
      <c r="EL1395" s="4"/>
      <c r="EM1395" s="4"/>
      <c r="EN1395" s="4"/>
      <c r="EO1395" s="4"/>
      <c r="EP1395" s="4"/>
      <c r="EQ1395" s="4"/>
      <c r="ER1395" s="4"/>
      <c r="ES1395" s="4"/>
      <c r="ET1395" s="4"/>
      <c r="EU1395" s="4"/>
      <c r="EV1395" s="4"/>
      <c r="EW1395" s="4"/>
      <c r="EX1395" s="4"/>
      <c r="EY1395" s="4"/>
      <c r="EZ1395" s="4"/>
      <c r="FA1395" s="4"/>
      <c r="FB1395" s="4"/>
      <c r="FC1395" s="4"/>
      <c r="FD1395" s="4"/>
      <c r="FE1395" s="4"/>
      <c r="FF1395" s="4"/>
      <c r="FG1395" s="4"/>
      <c r="FH1395" s="4"/>
      <c r="FI1395" s="4"/>
      <c r="FJ1395" s="4"/>
      <c r="FK1395" s="4"/>
      <c r="FL1395" s="4"/>
      <c r="FM1395" s="4"/>
      <c r="FN1395" s="4"/>
      <c r="FO1395" s="4"/>
      <c r="FP1395" s="4"/>
      <c r="FQ1395" s="4"/>
      <c r="FR1395" s="4"/>
      <c r="FS1395" s="4"/>
      <c r="FT1395" s="4"/>
      <c r="FU1395" s="4"/>
      <c r="FV1395" s="4"/>
      <c r="FW1395" s="4"/>
      <c r="FX1395" s="4"/>
      <c r="FY1395" s="4"/>
      <c r="FZ1395" s="4"/>
      <c r="GA1395" s="4"/>
      <c r="GB1395" s="4"/>
      <c r="GC1395" s="4"/>
      <c r="GD1395" s="4"/>
      <c r="GE1395" s="4"/>
      <c r="GF1395" s="4"/>
      <c r="GG1395" s="4"/>
      <c r="GH1395" s="4"/>
    </row>
    <row r="1396">
      <c r="A1396" s="2" t="s">
        <v>7559</v>
      </c>
      <c r="B1396" s="2" t="s">
        <v>230</v>
      </c>
      <c r="C1396" s="2" t="s">
        <v>877</v>
      </c>
      <c r="D1396" s="2" t="s">
        <v>232</v>
      </c>
      <c r="E1396" s="2" t="s">
        <v>233</v>
      </c>
      <c r="F1396" s="2" t="s">
        <v>7555</v>
      </c>
      <c r="G1396" s="2" t="s">
        <v>7555</v>
      </c>
      <c r="H1396" s="2" t="s">
        <v>7555</v>
      </c>
      <c r="I1396" s="2" t="s">
        <v>309</v>
      </c>
      <c r="J1396" s="2" t="s">
        <v>277</v>
      </c>
      <c r="K1396" s="2" t="s">
        <v>7556</v>
      </c>
      <c r="L1396" s="3">
        <v>13.55</v>
      </c>
      <c r="M1396" s="3">
        <v>14.23</v>
      </c>
      <c r="N1396" s="3">
        <v>27.99</v>
      </c>
      <c r="O1396" s="2" t="s">
        <v>212</v>
      </c>
      <c r="P1396" s="2" t="s">
        <v>205</v>
      </c>
      <c r="Q1396" s="2" t="s">
        <v>206</v>
      </c>
      <c r="R1396" s="2" t="s">
        <v>200</v>
      </c>
      <c r="S1396" s="2" t="s">
        <v>7557</v>
      </c>
      <c r="T1396" s="2" t="s">
        <v>378</v>
      </c>
      <c r="U1396" s="2" t="s">
        <v>240</v>
      </c>
      <c r="V1396" s="2" t="s">
        <v>1695</v>
      </c>
      <c r="W1396" s="2" t="s">
        <v>241</v>
      </c>
      <c r="X1396" s="2" t="s">
        <v>200</v>
      </c>
      <c r="Y1396" s="2" t="s">
        <v>955</v>
      </c>
      <c r="Z1396" s="4">
        <v>46</v>
      </c>
      <c r="AA1396" s="4">
        <f>=ROUNDDOWN(15.3333333333333,0)</f>
      </c>
      <c r="AB1396" s="5">
        <v>3</v>
      </c>
      <c r="AC1396" s="2" t="s">
        <v>200</v>
      </c>
      <c r="AD1396" s="4"/>
      <c r="AE1396" s="4"/>
      <c r="AF1396" s="6">
        <v>65</v>
      </c>
      <c r="AG1396" s="6"/>
      <c r="AH1396" s="7">
        <v>1</v>
      </c>
      <c r="AI1396" s="4"/>
      <c r="AJ1396" s="4">
        <f>=ROUNDDOWN({0},0)</f>
      </c>
      <c r="AK1396" s="5"/>
      <c r="AL1396" s="2" t="s">
        <v>200</v>
      </c>
      <c r="AM1396" s="4"/>
      <c r="AN1396" s="4"/>
      <c r="AO1396" s="7"/>
      <c r="AP1396" s="4"/>
      <c r="AQ1396" s="8"/>
      <c r="AR1396" s="4"/>
      <c r="AS1396" s="8"/>
      <c r="AT1396" s="7"/>
      <c r="AU1396" s="7"/>
      <c r="AV1396" s="4" t="s">
        <v>200</v>
      </c>
      <c r="AW1396" s="8" t="s">
        <v>200</v>
      </c>
      <c r="AX1396" s="4" t="s">
        <v>200</v>
      </c>
      <c r="AY1396" s="8" t="s">
        <v>200</v>
      </c>
      <c r="AZ1396" s="7" t="s">
        <v>200</v>
      </c>
      <c r="BA1396" s="7" t="s">
        <v>200</v>
      </c>
      <c r="BB1396" s="7"/>
      <c r="BC1396" s="4" t="s">
        <v>200</v>
      </c>
      <c r="BD1396" s="8" t="s">
        <v>200</v>
      </c>
      <c r="BE1396" s="4" t="s">
        <v>200</v>
      </c>
      <c r="BF1396" s="8" t="s">
        <v>200</v>
      </c>
      <c r="BG1396" s="7" t="s">
        <v>200</v>
      </c>
      <c r="BH1396" s="7" t="s">
        <v>200</v>
      </c>
      <c r="BI1396" s="7"/>
      <c r="BJ1396" s="4">
        <v>9</v>
      </c>
      <c r="BK1396" s="8">
        <v>134.46</v>
      </c>
      <c r="BL1396" s="2" t="s">
        <v>455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7560</v>
      </c>
      <c r="BV1396" s="2" t="s">
        <v>200</v>
      </c>
      <c r="BW1396" s="2" t="s">
        <v>200</v>
      </c>
      <c r="BX1396" s="2" t="s">
        <v>264</v>
      </c>
      <c r="BY1396" s="2" t="s">
        <v>247</v>
      </c>
      <c r="BZ1396" s="2" t="s">
        <v>212</v>
      </c>
      <c r="CA1396" s="2" t="s">
        <v>5256</v>
      </c>
      <c r="CB1396" s="2" t="s">
        <v>200</v>
      </c>
      <c r="CC1396" s="2" t="s">
        <v>213</v>
      </c>
      <c r="CD1396" s="2" t="s">
        <v>200</v>
      </c>
      <c r="CE1396" s="4">
        <v>5</v>
      </c>
      <c r="CF1396" s="4"/>
      <c r="CG1396" s="4"/>
      <c r="CH1396" s="4">
        <v>41</v>
      </c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  <c r="DE1396" s="4"/>
      <c r="DF1396" s="4"/>
      <c r="DG1396" s="4"/>
      <c r="DH1396" s="4"/>
      <c r="DI1396" s="4"/>
      <c r="DJ1396" s="4"/>
      <c r="DK1396" s="4"/>
      <c r="DL1396" s="4"/>
      <c r="DM1396" s="4"/>
      <c r="DN1396" s="4"/>
      <c r="DO1396" s="4"/>
      <c r="DP1396" s="4"/>
      <c r="DQ1396" s="4"/>
      <c r="DR1396" s="4"/>
      <c r="DS1396" s="4"/>
      <c r="DT1396" s="4"/>
      <c r="DU1396" s="4"/>
      <c r="DV1396" s="4"/>
      <c r="DW1396" s="4"/>
      <c r="DX1396" s="4"/>
      <c r="DY1396" s="4"/>
      <c r="DZ1396" s="4"/>
      <c r="EA1396" s="4"/>
      <c r="EB1396" s="4"/>
      <c r="EC1396" s="4"/>
      <c r="ED1396" s="4"/>
      <c r="EE1396" s="4"/>
      <c r="EF1396" s="4"/>
      <c r="EG1396" s="4"/>
      <c r="EH1396" s="4"/>
      <c r="EI1396" s="4"/>
      <c r="EJ1396" s="4"/>
      <c r="EK1396" s="4"/>
      <c r="EL1396" s="4"/>
      <c r="EM1396" s="4"/>
      <c r="EN1396" s="4"/>
      <c r="EO1396" s="4"/>
      <c r="EP1396" s="4"/>
      <c r="EQ1396" s="4"/>
      <c r="ER1396" s="4"/>
      <c r="ES1396" s="4"/>
      <c r="ET1396" s="4"/>
      <c r="EU1396" s="4"/>
      <c r="EV1396" s="4"/>
      <c r="EW1396" s="4"/>
      <c r="EX1396" s="4"/>
      <c r="EY1396" s="4"/>
      <c r="EZ1396" s="4"/>
      <c r="FA1396" s="4"/>
      <c r="FB1396" s="4"/>
      <c r="FC1396" s="4"/>
      <c r="FD1396" s="4"/>
      <c r="FE1396" s="4"/>
      <c r="FF1396" s="4"/>
      <c r="FG1396" s="4"/>
      <c r="FH1396" s="4"/>
      <c r="FI1396" s="4"/>
      <c r="FJ1396" s="4"/>
      <c r="FK1396" s="4"/>
      <c r="FL1396" s="4"/>
      <c r="FM1396" s="4"/>
      <c r="FN1396" s="4"/>
      <c r="FO1396" s="4"/>
      <c r="FP1396" s="4"/>
      <c r="FQ1396" s="4"/>
      <c r="FR1396" s="4"/>
      <c r="FS1396" s="4"/>
      <c r="FT1396" s="4"/>
      <c r="FU1396" s="4"/>
      <c r="FV1396" s="4"/>
      <c r="FW1396" s="4"/>
      <c r="FX1396" s="4"/>
      <c r="FY1396" s="4"/>
      <c r="FZ1396" s="4"/>
      <c r="GA1396" s="4"/>
      <c r="GB1396" s="4"/>
      <c r="GC1396" s="4"/>
      <c r="GD1396" s="4"/>
      <c r="GE1396" s="4"/>
      <c r="GF1396" s="4"/>
      <c r="GG1396" s="4"/>
      <c r="GH1396" s="4"/>
    </row>
    <row r="1397">
      <c r="A1397" s="2" t="s">
        <v>7561</v>
      </c>
      <c r="B1397" s="2" t="s">
        <v>230</v>
      </c>
      <c r="C1397" s="2" t="s">
        <v>877</v>
      </c>
      <c r="D1397" s="2" t="s">
        <v>232</v>
      </c>
      <c r="E1397" s="2" t="s">
        <v>233</v>
      </c>
      <c r="F1397" s="2" t="s">
        <v>7555</v>
      </c>
      <c r="G1397" s="2" t="s">
        <v>7555</v>
      </c>
      <c r="H1397" s="2" t="s">
        <v>7555</v>
      </c>
      <c r="I1397" s="2" t="s">
        <v>309</v>
      </c>
      <c r="J1397" s="2" t="s">
        <v>297</v>
      </c>
      <c r="K1397" s="2" t="s">
        <v>7556</v>
      </c>
      <c r="L1397" s="3">
        <v>14.75</v>
      </c>
      <c r="M1397" s="3">
        <v>15.49</v>
      </c>
      <c r="N1397" s="3">
        <v>29.99</v>
      </c>
      <c r="O1397" s="2" t="s">
        <v>212</v>
      </c>
      <c r="P1397" s="2" t="s">
        <v>205</v>
      </c>
      <c r="Q1397" s="2" t="s">
        <v>206</v>
      </c>
      <c r="R1397" s="2" t="s">
        <v>200</v>
      </c>
      <c r="S1397" s="2" t="s">
        <v>7557</v>
      </c>
      <c r="T1397" s="2" t="s">
        <v>378</v>
      </c>
      <c r="U1397" s="2" t="s">
        <v>240</v>
      </c>
      <c r="V1397" s="2" t="s">
        <v>1695</v>
      </c>
      <c r="W1397" s="2" t="s">
        <v>241</v>
      </c>
      <c r="X1397" s="2" t="s">
        <v>200</v>
      </c>
      <c r="Y1397" s="2" t="s">
        <v>955</v>
      </c>
      <c r="Z1397" s="4">
        <v>111</v>
      </c>
      <c r="AA1397" s="4">
        <f>=ROUNDDOWN(27.75,0)</f>
      </c>
      <c r="AB1397" s="5">
        <v>4</v>
      </c>
      <c r="AC1397" s="2" t="s">
        <v>200</v>
      </c>
      <c r="AD1397" s="4"/>
      <c r="AE1397" s="4"/>
      <c r="AF1397" s="6">
        <v>65</v>
      </c>
      <c r="AG1397" s="6"/>
      <c r="AH1397" s="7">
        <v>1</v>
      </c>
      <c r="AI1397" s="4"/>
      <c r="AJ1397" s="4">
        <f>=ROUNDDOWN({0},0)</f>
      </c>
      <c r="AK1397" s="5"/>
      <c r="AL1397" s="2" t="s">
        <v>200</v>
      </c>
      <c r="AM1397" s="4"/>
      <c r="AN1397" s="4"/>
      <c r="AO1397" s="7"/>
      <c r="AP1397" s="4"/>
      <c r="AQ1397" s="8"/>
      <c r="AR1397" s="4"/>
      <c r="AS1397" s="8"/>
      <c r="AT1397" s="7"/>
      <c r="AU1397" s="7"/>
      <c r="AV1397" s="4" t="s">
        <v>200</v>
      </c>
      <c r="AW1397" s="8" t="s">
        <v>200</v>
      </c>
      <c r="AX1397" s="4" t="s">
        <v>200</v>
      </c>
      <c r="AY1397" s="8" t="s">
        <v>200</v>
      </c>
      <c r="AZ1397" s="7" t="s">
        <v>200</v>
      </c>
      <c r="BA1397" s="7" t="s">
        <v>200</v>
      </c>
      <c r="BB1397" s="7"/>
      <c r="BC1397" s="4" t="s">
        <v>200</v>
      </c>
      <c r="BD1397" s="8" t="s">
        <v>200</v>
      </c>
      <c r="BE1397" s="4" t="s">
        <v>200</v>
      </c>
      <c r="BF1397" s="8" t="s">
        <v>200</v>
      </c>
      <c r="BG1397" s="7" t="s">
        <v>200</v>
      </c>
      <c r="BH1397" s="7" t="s">
        <v>200</v>
      </c>
      <c r="BI1397" s="7"/>
      <c r="BJ1397" s="4">
        <v>41</v>
      </c>
      <c r="BK1397" s="8">
        <v>665.89</v>
      </c>
      <c r="BL1397" s="2" t="s">
        <v>315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7562</v>
      </c>
      <c r="BV1397" s="2" t="s">
        <v>200</v>
      </c>
      <c r="BW1397" s="2" t="s">
        <v>200</v>
      </c>
      <c r="BX1397" s="2" t="s">
        <v>264</v>
      </c>
      <c r="BY1397" s="2" t="s">
        <v>247</v>
      </c>
      <c r="BZ1397" s="2" t="s">
        <v>212</v>
      </c>
      <c r="CA1397" s="2" t="s">
        <v>5256</v>
      </c>
      <c r="CB1397" s="2" t="s">
        <v>806</v>
      </c>
      <c r="CC1397" s="2" t="s">
        <v>213</v>
      </c>
      <c r="CD1397" s="2" t="s">
        <v>200</v>
      </c>
      <c r="CE1397" s="4">
        <v>29</v>
      </c>
      <c r="CF1397" s="4"/>
      <c r="CG1397" s="4"/>
      <c r="CH1397" s="4">
        <v>82</v>
      </c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  <c r="DD1397" s="4"/>
      <c r="DE1397" s="4"/>
      <c r="DF1397" s="4"/>
      <c r="DG1397" s="4"/>
      <c r="DH1397" s="4"/>
      <c r="DI1397" s="4"/>
      <c r="DJ1397" s="4"/>
      <c r="DK1397" s="4"/>
      <c r="DL1397" s="4"/>
      <c r="DM1397" s="4"/>
      <c r="DN1397" s="4"/>
      <c r="DO1397" s="4"/>
      <c r="DP1397" s="4"/>
      <c r="DQ1397" s="4"/>
      <c r="DR1397" s="4"/>
      <c r="DS1397" s="4"/>
      <c r="DT1397" s="4"/>
      <c r="DU1397" s="4"/>
      <c r="DV1397" s="4"/>
      <c r="DW1397" s="4"/>
      <c r="DX1397" s="4"/>
      <c r="DY1397" s="4"/>
      <c r="DZ1397" s="4"/>
      <c r="EA1397" s="4"/>
      <c r="EB1397" s="4"/>
      <c r="EC1397" s="4"/>
      <c r="ED1397" s="4"/>
      <c r="EE1397" s="4"/>
      <c r="EF1397" s="4"/>
      <c r="EG1397" s="4"/>
      <c r="EH1397" s="4"/>
      <c r="EI1397" s="4"/>
      <c r="EJ1397" s="4"/>
      <c r="EK1397" s="4"/>
      <c r="EL1397" s="4"/>
      <c r="EM1397" s="4"/>
      <c r="EN1397" s="4"/>
      <c r="EO1397" s="4"/>
      <c r="EP1397" s="4"/>
      <c r="EQ1397" s="4"/>
      <c r="ER1397" s="4"/>
      <c r="ES1397" s="4"/>
      <c r="ET1397" s="4"/>
      <c r="EU1397" s="4"/>
      <c r="EV1397" s="4"/>
      <c r="EW1397" s="4"/>
      <c r="EX1397" s="4"/>
      <c r="EY1397" s="4"/>
      <c r="EZ1397" s="4"/>
      <c r="FA1397" s="4"/>
      <c r="FB1397" s="4"/>
      <c r="FC1397" s="4"/>
      <c r="FD1397" s="4"/>
      <c r="FE1397" s="4"/>
      <c r="FF1397" s="4"/>
      <c r="FG1397" s="4"/>
      <c r="FH1397" s="4"/>
      <c r="FI1397" s="4"/>
      <c r="FJ1397" s="4"/>
      <c r="FK1397" s="4"/>
      <c r="FL1397" s="4"/>
      <c r="FM1397" s="4"/>
      <c r="FN1397" s="4"/>
      <c r="FO1397" s="4"/>
      <c r="FP1397" s="4"/>
      <c r="FQ1397" s="4"/>
      <c r="FR1397" s="4"/>
      <c r="FS1397" s="4"/>
      <c r="FT1397" s="4"/>
      <c r="FU1397" s="4"/>
      <c r="FV1397" s="4"/>
      <c r="FW1397" s="4"/>
      <c r="FX1397" s="4"/>
      <c r="FY1397" s="4"/>
      <c r="FZ1397" s="4"/>
      <c r="GA1397" s="4"/>
      <c r="GB1397" s="4"/>
      <c r="GC1397" s="4"/>
      <c r="GD1397" s="4"/>
      <c r="GE1397" s="4"/>
      <c r="GF1397" s="4"/>
      <c r="GG1397" s="4"/>
      <c r="GH1397" s="4"/>
    </row>
    <row r="1398">
      <c r="A1398" s="2" t="s">
        <v>7563</v>
      </c>
      <c r="B1398" s="2" t="s">
        <v>230</v>
      </c>
      <c r="C1398" s="2" t="s">
        <v>877</v>
      </c>
      <c r="D1398" s="2" t="s">
        <v>232</v>
      </c>
      <c r="E1398" s="2" t="s">
        <v>233</v>
      </c>
      <c r="F1398" s="2" t="s">
        <v>7555</v>
      </c>
      <c r="G1398" s="2" t="s">
        <v>7555</v>
      </c>
      <c r="H1398" s="2" t="s">
        <v>7555</v>
      </c>
      <c r="I1398" s="2" t="s">
        <v>309</v>
      </c>
      <c r="J1398" s="2" t="s">
        <v>302</v>
      </c>
      <c r="K1398" s="2" t="s">
        <v>7556</v>
      </c>
      <c r="L1398" s="3">
        <v>16.35</v>
      </c>
      <c r="M1398" s="3">
        <v>17.17</v>
      </c>
      <c r="N1398" s="3">
        <v>34.99</v>
      </c>
      <c r="O1398" s="2" t="s">
        <v>212</v>
      </c>
      <c r="P1398" s="2" t="s">
        <v>205</v>
      </c>
      <c r="Q1398" s="2" t="s">
        <v>206</v>
      </c>
      <c r="R1398" s="2" t="s">
        <v>200</v>
      </c>
      <c r="S1398" s="2" t="s">
        <v>7557</v>
      </c>
      <c r="T1398" s="2" t="s">
        <v>378</v>
      </c>
      <c r="U1398" s="2" t="s">
        <v>240</v>
      </c>
      <c r="V1398" s="2" t="s">
        <v>1695</v>
      </c>
      <c r="W1398" s="2" t="s">
        <v>241</v>
      </c>
      <c r="X1398" s="2" t="s">
        <v>200</v>
      </c>
      <c r="Y1398" s="2" t="s">
        <v>955</v>
      </c>
      <c r="Z1398" s="4">
        <v>12</v>
      </c>
      <c r="AA1398" s="4">
        <f>=ROUNDDOWN(6,0)</f>
      </c>
      <c r="AB1398" s="5">
        <v>2</v>
      </c>
      <c r="AC1398" s="2" t="s">
        <v>200</v>
      </c>
      <c r="AD1398" s="4"/>
      <c r="AE1398" s="4"/>
      <c r="AF1398" s="6">
        <v>65</v>
      </c>
      <c r="AG1398" s="6"/>
      <c r="AH1398" s="7">
        <v>1</v>
      </c>
      <c r="AI1398" s="4"/>
      <c r="AJ1398" s="4">
        <f>=ROUNDDOWN({0},0)</f>
      </c>
      <c r="AK1398" s="5"/>
      <c r="AL1398" s="2" t="s">
        <v>200</v>
      </c>
      <c r="AM1398" s="4"/>
      <c r="AN1398" s="4"/>
      <c r="AO1398" s="7"/>
      <c r="AP1398" s="4"/>
      <c r="AQ1398" s="8"/>
      <c r="AR1398" s="4"/>
      <c r="AS1398" s="8"/>
      <c r="AT1398" s="7"/>
      <c r="AU1398" s="7"/>
      <c r="AV1398" s="4" t="s">
        <v>200</v>
      </c>
      <c r="AW1398" s="8" t="s">
        <v>200</v>
      </c>
      <c r="AX1398" s="4" t="s">
        <v>200</v>
      </c>
      <c r="AY1398" s="8" t="s">
        <v>200</v>
      </c>
      <c r="AZ1398" s="7" t="s">
        <v>200</v>
      </c>
      <c r="BA1398" s="7" t="s">
        <v>200</v>
      </c>
      <c r="BB1398" s="7"/>
      <c r="BC1398" s="4" t="s">
        <v>200</v>
      </c>
      <c r="BD1398" s="8" t="s">
        <v>200</v>
      </c>
      <c r="BE1398" s="4" t="s">
        <v>200</v>
      </c>
      <c r="BF1398" s="8" t="s">
        <v>200</v>
      </c>
      <c r="BG1398" s="7" t="s">
        <v>200</v>
      </c>
      <c r="BH1398" s="7" t="s">
        <v>200</v>
      </c>
      <c r="BI1398" s="7"/>
      <c r="BJ1398" s="4">
        <v>24</v>
      </c>
      <c r="BK1398" s="8">
        <v>433.23</v>
      </c>
      <c r="BL1398" s="2" t="s">
        <v>319</v>
      </c>
      <c r="BM1398" s="7"/>
      <c r="BN1398" s="7"/>
      <c r="BO1398" s="4"/>
      <c r="BP1398" s="8"/>
      <c r="BQ1398" s="4"/>
      <c r="BR1398" s="8"/>
      <c r="BS1398" s="7"/>
      <c r="BT1398" s="7"/>
      <c r="BU1398" s="2" t="s">
        <v>7564</v>
      </c>
      <c r="BV1398" s="2" t="s">
        <v>200</v>
      </c>
      <c r="BW1398" s="2" t="s">
        <v>200</v>
      </c>
      <c r="BX1398" s="2" t="s">
        <v>264</v>
      </c>
      <c r="BY1398" s="2" t="s">
        <v>247</v>
      </c>
      <c r="BZ1398" s="2" t="s">
        <v>212</v>
      </c>
      <c r="CA1398" s="2" t="s">
        <v>5256</v>
      </c>
      <c r="CB1398" s="2" t="s">
        <v>2795</v>
      </c>
      <c r="CC1398" s="2" t="s">
        <v>213</v>
      </c>
      <c r="CD1398" s="2" t="s">
        <v>200</v>
      </c>
      <c r="CE1398" s="4"/>
      <c r="CF1398" s="4"/>
      <c r="CG1398" s="4"/>
      <c r="CH1398" s="4">
        <v>12</v>
      </c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  <c r="DE1398" s="4"/>
      <c r="DF1398" s="4"/>
      <c r="DG1398" s="4"/>
      <c r="DH1398" s="4"/>
      <c r="DI1398" s="4"/>
      <c r="DJ1398" s="4"/>
      <c r="DK1398" s="4"/>
      <c r="DL1398" s="4"/>
      <c r="DM1398" s="4"/>
      <c r="DN1398" s="4"/>
      <c r="DO1398" s="4"/>
      <c r="DP1398" s="4"/>
      <c r="DQ1398" s="4"/>
      <c r="DR1398" s="4"/>
      <c r="DS1398" s="4"/>
      <c r="DT1398" s="4"/>
      <c r="DU1398" s="4"/>
      <c r="DV1398" s="4"/>
      <c r="DW1398" s="4"/>
      <c r="DX1398" s="4"/>
      <c r="DY1398" s="4"/>
      <c r="DZ1398" s="4"/>
      <c r="EA1398" s="4"/>
      <c r="EB1398" s="4"/>
      <c r="EC1398" s="4"/>
      <c r="ED1398" s="4"/>
      <c r="EE1398" s="4"/>
      <c r="EF1398" s="4"/>
      <c r="EG1398" s="4"/>
      <c r="EH1398" s="4"/>
      <c r="EI1398" s="4"/>
      <c r="EJ1398" s="4"/>
      <c r="EK1398" s="4"/>
      <c r="EL1398" s="4"/>
      <c r="EM1398" s="4"/>
      <c r="EN1398" s="4"/>
      <c r="EO1398" s="4"/>
      <c r="EP1398" s="4"/>
      <c r="EQ1398" s="4"/>
      <c r="ER1398" s="4"/>
      <c r="ES1398" s="4"/>
      <c r="ET1398" s="4"/>
      <c r="EU1398" s="4"/>
      <c r="EV1398" s="4"/>
      <c r="EW1398" s="4"/>
      <c r="EX1398" s="4"/>
      <c r="EY1398" s="4"/>
      <c r="EZ1398" s="4"/>
      <c r="FA1398" s="4"/>
      <c r="FB1398" s="4"/>
      <c r="FC1398" s="4"/>
      <c r="FD1398" s="4"/>
      <c r="FE1398" s="4"/>
      <c r="FF1398" s="4"/>
      <c r="FG1398" s="4"/>
      <c r="FH1398" s="4"/>
      <c r="FI1398" s="4"/>
      <c r="FJ1398" s="4"/>
      <c r="FK1398" s="4"/>
      <c r="FL1398" s="4"/>
      <c r="FM1398" s="4"/>
      <c r="FN1398" s="4"/>
      <c r="FO1398" s="4"/>
      <c r="FP1398" s="4"/>
      <c r="FQ1398" s="4"/>
      <c r="FR1398" s="4"/>
      <c r="FS1398" s="4"/>
      <c r="FT1398" s="4"/>
      <c r="FU1398" s="4"/>
      <c r="FV1398" s="4"/>
      <c r="FW1398" s="4"/>
      <c r="FX1398" s="4"/>
      <c r="FY1398" s="4"/>
      <c r="FZ1398" s="4"/>
      <c r="GA1398" s="4"/>
      <c r="GB1398" s="4"/>
      <c r="GC1398" s="4"/>
      <c r="GD1398" s="4"/>
      <c r="GE1398" s="4"/>
      <c r="GF1398" s="4"/>
      <c r="GG1398" s="4"/>
      <c r="GH1398" s="4"/>
    </row>
    <row r="1399">
      <c r="A1399" s="2" t="s">
        <v>7565</v>
      </c>
      <c r="B1399" s="2" t="s">
        <v>230</v>
      </c>
      <c r="C1399" s="2" t="s">
        <v>877</v>
      </c>
      <c r="D1399" s="2" t="s">
        <v>232</v>
      </c>
      <c r="E1399" s="2" t="s">
        <v>233</v>
      </c>
      <c r="F1399" s="2" t="s">
        <v>7555</v>
      </c>
      <c r="G1399" s="2" t="s">
        <v>7555</v>
      </c>
      <c r="H1399" s="2" t="s">
        <v>7555</v>
      </c>
      <c r="I1399" s="2" t="s">
        <v>309</v>
      </c>
      <c r="J1399" s="2" t="s">
        <v>256</v>
      </c>
      <c r="K1399" s="2" t="s">
        <v>7566</v>
      </c>
      <c r="L1399" s="3">
        <v>11.95</v>
      </c>
      <c r="M1399" s="3">
        <v>12.55</v>
      </c>
      <c r="N1399" s="3">
        <v>24.99</v>
      </c>
      <c r="O1399" s="2" t="s">
        <v>212</v>
      </c>
      <c r="P1399" s="2" t="s">
        <v>258</v>
      </c>
      <c r="Q1399" s="2" t="s">
        <v>206</v>
      </c>
      <c r="R1399" s="2" t="s">
        <v>200</v>
      </c>
      <c r="S1399" s="2" t="s">
        <v>7567</v>
      </c>
      <c r="T1399" s="2" t="s">
        <v>378</v>
      </c>
      <c r="U1399" s="2" t="s">
        <v>454</v>
      </c>
      <c r="V1399" s="2" t="s">
        <v>940</v>
      </c>
      <c r="W1399" s="2" t="s">
        <v>241</v>
      </c>
      <c r="X1399" s="2" t="s">
        <v>200</v>
      </c>
      <c r="Y1399" s="2" t="s">
        <v>2904</v>
      </c>
      <c r="Z1399" s="4">
        <v>111</v>
      </c>
      <c r="AA1399" s="4">
        <f>=ROUNDDOWN(37,0)</f>
      </c>
      <c r="AB1399" s="5">
        <v>3</v>
      </c>
      <c r="AC1399" s="2" t="s">
        <v>200</v>
      </c>
      <c r="AD1399" s="4"/>
      <c r="AE1399" s="4"/>
      <c r="AF1399" s="6">
        <v>65</v>
      </c>
      <c r="AG1399" s="6"/>
      <c r="AH1399" s="7">
        <v>1</v>
      </c>
      <c r="AI1399" s="4"/>
      <c r="AJ1399" s="4">
        <f>=ROUNDDOWN({0},0)</f>
      </c>
      <c r="AK1399" s="5"/>
      <c r="AL1399" s="2" t="s">
        <v>200</v>
      </c>
      <c r="AM1399" s="4"/>
      <c r="AN1399" s="4"/>
      <c r="AO1399" s="7"/>
      <c r="AP1399" s="4"/>
      <c r="AQ1399" s="8"/>
      <c r="AR1399" s="4"/>
      <c r="AS1399" s="8"/>
      <c r="AT1399" s="7"/>
      <c r="AU1399" s="7"/>
      <c r="AV1399" s="4" t="s">
        <v>200</v>
      </c>
      <c r="AW1399" s="8" t="s">
        <v>200</v>
      </c>
      <c r="AX1399" s="4" t="s">
        <v>200</v>
      </c>
      <c r="AY1399" s="8" t="s">
        <v>200</v>
      </c>
      <c r="AZ1399" s="7" t="s">
        <v>200</v>
      </c>
      <c r="BA1399" s="7" t="s">
        <v>200</v>
      </c>
      <c r="BB1399" s="7"/>
      <c r="BC1399" s="4" t="s">
        <v>200</v>
      </c>
      <c r="BD1399" s="8" t="s">
        <v>200</v>
      </c>
      <c r="BE1399" s="4" t="s">
        <v>200</v>
      </c>
      <c r="BF1399" s="8" t="s">
        <v>200</v>
      </c>
      <c r="BG1399" s="7" t="s">
        <v>200</v>
      </c>
      <c r="BH1399" s="7" t="s">
        <v>200</v>
      </c>
      <c r="BI1399" s="7"/>
      <c r="BJ1399" s="4">
        <v>19</v>
      </c>
      <c r="BK1399" s="8">
        <v>250.65</v>
      </c>
      <c r="BL1399" s="2" t="s">
        <v>3596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7568</v>
      </c>
      <c r="BV1399" s="2" t="s">
        <v>200</v>
      </c>
      <c r="BW1399" s="2" t="s">
        <v>200</v>
      </c>
      <c r="BX1399" s="2" t="s">
        <v>264</v>
      </c>
      <c r="BY1399" s="2" t="s">
        <v>247</v>
      </c>
      <c r="BZ1399" s="2" t="s">
        <v>212</v>
      </c>
      <c r="CA1399" s="2" t="s">
        <v>343</v>
      </c>
      <c r="CB1399" s="2" t="s">
        <v>2220</v>
      </c>
      <c r="CC1399" s="2" t="s">
        <v>213</v>
      </c>
      <c r="CD1399" s="2" t="s">
        <v>200</v>
      </c>
      <c r="CE1399" s="4">
        <v>111</v>
      </c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  <c r="DE1399" s="4"/>
      <c r="DF1399" s="4"/>
      <c r="DG1399" s="4"/>
      <c r="DH1399" s="4"/>
      <c r="DI1399" s="4"/>
      <c r="DJ1399" s="4"/>
      <c r="DK1399" s="4"/>
      <c r="DL1399" s="4"/>
      <c r="DM1399" s="4"/>
      <c r="DN1399" s="4"/>
      <c r="DO1399" s="4"/>
      <c r="DP1399" s="4"/>
      <c r="DQ1399" s="4"/>
      <c r="DR1399" s="4"/>
      <c r="DS1399" s="4"/>
      <c r="DT1399" s="4"/>
      <c r="DU1399" s="4"/>
      <c r="DV1399" s="4"/>
      <c r="DW1399" s="4"/>
      <c r="DX1399" s="4"/>
      <c r="DY1399" s="4"/>
      <c r="DZ1399" s="4"/>
      <c r="EA1399" s="4"/>
      <c r="EB1399" s="4"/>
      <c r="EC1399" s="4"/>
      <c r="ED1399" s="4"/>
      <c r="EE1399" s="4"/>
      <c r="EF1399" s="4"/>
      <c r="EG1399" s="4"/>
      <c r="EH1399" s="4"/>
      <c r="EI1399" s="4"/>
      <c r="EJ1399" s="4"/>
      <c r="EK1399" s="4"/>
      <c r="EL1399" s="4"/>
      <c r="EM1399" s="4"/>
      <c r="EN1399" s="4"/>
      <c r="EO1399" s="4"/>
      <c r="EP1399" s="4"/>
      <c r="EQ1399" s="4"/>
      <c r="ER1399" s="4"/>
      <c r="ES1399" s="4"/>
      <c r="ET1399" s="4"/>
      <c r="EU1399" s="4"/>
      <c r="EV1399" s="4"/>
      <c r="EW1399" s="4"/>
      <c r="EX1399" s="4"/>
      <c r="EY1399" s="4"/>
      <c r="EZ1399" s="4"/>
      <c r="FA1399" s="4"/>
      <c r="FB1399" s="4"/>
      <c r="FC1399" s="4"/>
      <c r="FD1399" s="4"/>
      <c r="FE1399" s="4"/>
      <c r="FF1399" s="4"/>
      <c r="FG1399" s="4"/>
      <c r="FH1399" s="4"/>
      <c r="FI1399" s="4"/>
      <c r="FJ1399" s="4"/>
      <c r="FK1399" s="4"/>
      <c r="FL1399" s="4"/>
      <c r="FM1399" s="4"/>
      <c r="FN1399" s="4"/>
      <c r="FO1399" s="4"/>
      <c r="FP1399" s="4"/>
      <c r="FQ1399" s="4"/>
      <c r="FR1399" s="4"/>
      <c r="FS1399" s="4"/>
      <c r="FT1399" s="4"/>
      <c r="FU1399" s="4"/>
      <c r="FV1399" s="4"/>
      <c r="FW1399" s="4"/>
      <c r="FX1399" s="4"/>
      <c r="FY1399" s="4"/>
      <c r="FZ1399" s="4"/>
      <c r="GA1399" s="4"/>
      <c r="GB1399" s="4"/>
      <c r="GC1399" s="4"/>
      <c r="GD1399" s="4"/>
      <c r="GE1399" s="4"/>
      <c r="GF1399" s="4"/>
      <c r="GG1399" s="4"/>
      <c r="GH1399" s="4"/>
    </row>
    <row r="1400">
      <c r="A1400" s="2" t="s">
        <v>7569</v>
      </c>
      <c r="B1400" s="2" t="s">
        <v>230</v>
      </c>
      <c r="C1400" s="2" t="s">
        <v>877</v>
      </c>
      <c r="D1400" s="2" t="s">
        <v>232</v>
      </c>
      <c r="E1400" s="2" t="s">
        <v>233</v>
      </c>
      <c r="F1400" s="2" t="s">
        <v>7555</v>
      </c>
      <c r="G1400" s="2" t="s">
        <v>7555</v>
      </c>
      <c r="H1400" s="2" t="s">
        <v>7555</v>
      </c>
      <c r="I1400" s="2" t="s">
        <v>309</v>
      </c>
      <c r="J1400" s="2" t="s">
        <v>277</v>
      </c>
      <c r="K1400" s="2" t="s">
        <v>7566</v>
      </c>
      <c r="L1400" s="3">
        <v>13.55</v>
      </c>
      <c r="M1400" s="3">
        <v>14.23</v>
      </c>
      <c r="N1400" s="3">
        <v>27.99</v>
      </c>
      <c r="O1400" s="2" t="s">
        <v>212</v>
      </c>
      <c r="P1400" s="2" t="s">
        <v>258</v>
      </c>
      <c r="Q1400" s="2" t="s">
        <v>206</v>
      </c>
      <c r="R1400" s="2" t="s">
        <v>200</v>
      </c>
      <c r="S1400" s="2" t="s">
        <v>7567</v>
      </c>
      <c r="T1400" s="2" t="s">
        <v>378</v>
      </c>
      <c r="U1400" s="2" t="s">
        <v>240</v>
      </c>
      <c r="V1400" s="2" t="s">
        <v>940</v>
      </c>
      <c r="W1400" s="2" t="s">
        <v>241</v>
      </c>
      <c r="X1400" s="2" t="s">
        <v>200</v>
      </c>
      <c r="Y1400" s="2" t="s">
        <v>2904</v>
      </c>
      <c r="Z1400" s="4">
        <v>139</v>
      </c>
      <c r="AA1400" s="4">
        <f>=ROUNDDOWN(23.1666666666667,0)</f>
      </c>
      <c r="AB1400" s="5">
        <v>6</v>
      </c>
      <c r="AC1400" s="2" t="s">
        <v>200</v>
      </c>
      <c r="AD1400" s="4"/>
      <c r="AE1400" s="4"/>
      <c r="AF1400" s="6">
        <v>65</v>
      </c>
      <c r="AG1400" s="6"/>
      <c r="AH1400" s="7">
        <v>1</v>
      </c>
      <c r="AI1400" s="4"/>
      <c r="AJ1400" s="4">
        <f>=ROUNDDOWN({0},0)</f>
      </c>
      <c r="AK1400" s="5"/>
      <c r="AL1400" s="2" t="s">
        <v>200</v>
      </c>
      <c r="AM1400" s="4"/>
      <c r="AN1400" s="4"/>
      <c r="AO1400" s="7"/>
      <c r="AP1400" s="4"/>
      <c r="AQ1400" s="8"/>
      <c r="AR1400" s="4"/>
      <c r="AS1400" s="8"/>
      <c r="AT1400" s="7"/>
      <c r="AU1400" s="7"/>
      <c r="AV1400" s="4" t="s">
        <v>200</v>
      </c>
      <c r="AW1400" s="8" t="s">
        <v>200</v>
      </c>
      <c r="AX1400" s="4" t="s">
        <v>200</v>
      </c>
      <c r="AY1400" s="8" t="s">
        <v>200</v>
      </c>
      <c r="AZ1400" s="7" t="s">
        <v>200</v>
      </c>
      <c r="BA1400" s="7" t="s">
        <v>200</v>
      </c>
      <c r="BB1400" s="7"/>
      <c r="BC1400" s="4" t="s">
        <v>200</v>
      </c>
      <c r="BD1400" s="8" t="s">
        <v>200</v>
      </c>
      <c r="BE1400" s="4" t="s">
        <v>200</v>
      </c>
      <c r="BF1400" s="8" t="s">
        <v>200</v>
      </c>
      <c r="BG1400" s="7" t="s">
        <v>200</v>
      </c>
      <c r="BH1400" s="7" t="s">
        <v>200</v>
      </c>
      <c r="BI1400" s="7"/>
      <c r="BJ1400" s="4">
        <v>22</v>
      </c>
      <c r="BK1400" s="8">
        <v>323.91</v>
      </c>
      <c r="BL1400" s="2" t="s">
        <v>3596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7570</v>
      </c>
      <c r="BV1400" s="2" t="s">
        <v>200</v>
      </c>
      <c r="BW1400" s="2" t="s">
        <v>200</v>
      </c>
      <c r="BX1400" s="2" t="s">
        <v>264</v>
      </c>
      <c r="BY1400" s="2" t="s">
        <v>247</v>
      </c>
      <c r="BZ1400" s="2" t="s">
        <v>212</v>
      </c>
      <c r="CA1400" s="2" t="s">
        <v>343</v>
      </c>
      <c r="CB1400" s="2" t="s">
        <v>4987</v>
      </c>
      <c r="CC1400" s="2" t="s">
        <v>213</v>
      </c>
      <c r="CD1400" s="2" t="s">
        <v>200</v>
      </c>
      <c r="CE1400" s="4">
        <v>139</v>
      </c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  <c r="DE1400" s="4"/>
      <c r="DF1400" s="4"/>
      <c r="DG1400" s="4"/>
      <c r="DH1400" s="4"/>
      <c r="DI1400" s="4"/>
      <c r="DJ1400" s="4"/>
      <c r="DK1400" s="4"/>
      <c r="DL1400" s="4"/>
      <c r="DM1400" s="4"/>
      <c r="DN1400" s="4"/>
      <c r="DO1400" s="4"/>
      <c r="DP1400" s="4"/>
      <c r="DQ1400" s="4"/>
      <c r="DR1400" s="4"/>
      <c r="DS1400" s="4"/>
      <c r="DT1400" s="4"/>
      <c r="DU1400" s="4"/>
      <c r="DV1400" s="4"/>
      <c r="DW1400" s="4"/>
      <c r="DX1400" s="4"/>
      <c r="DY1400" s="4"/>
      <c r="DZ1400" s="4"/>
      <c r="EA1400" s="4"/>
      <c r="EB1400" s="4"/>
      <c r="EC1400" s="4"/>
      <c r="ED1400" s="4"/>
      <c r="EE1400" s="4"/>
      <c r="EF1400" s="4"/>
      <c r="EG1400" s="4"/>
      <c r="EH1400" s="4"/>
      <c r="EI1400" s="4"/>
      <c r="EJ1400" s="4"/>
      <c r="EK1400" s="4"/>
      <c r="EL1400" s="4"/>
      <c r="EM1400" s="4"/>
      <c r="EN1400" s="4"/>
      <c r="EO1400" s="4"/>
      <c r="EP1400" s="4"/>
      <c r="EQ1400" s="4"/>
      <c r="ER1400" s="4"/>
      <c r="ES1400" s="4"/>
      <c r="ET1400" s="4"/>
      <c r="EU1400" s="4"/>
      <c r="EV1400" s="4"/>
      <c r="EW1400" s="4"/>
      <c r="EX1400" s="4"/>
      <c r="EY1400" s="4"/>
      <c r="EZ1400" s="4"/>
      <c r="FA1400" s="4"/>
      <c r="FB1400" s="4"/>
      <c r="FC1400" s="4"/>
      <c r="FD1400" s="4"/>
      <c r="FE1400" s="4"/>
      <c r="FF1400" s="4"/>
      <c r="FG1400" s="4"/>
      <c r="FH1400" s="4"/>
      <c r="FI1400" s="4"/>
      <c r="FJ1400" s="4"/>
      <c r="FK1400" s="4"/>
      <c r="FL1400" s="4"/>
      <c r="FM1400" s="4"/>
      <c r="FN1400" s="4"/>
      <c r="FO1400" s="4"/>
      <c r="FP1400" s="4"/>
      <c r="FQ1400" s="4"/>
      <c r="FR1400" s="4"/>
      <c r="FS1400" s="4"/>
      <c r="FT1400" s="4"/>
      <c r="FU1400" s="4"/>
      <c r="FV1400" s="4"/>
      <c r="FW1400" s="4"/>
      <c r="FX1400" s="4"/>
      <c r="FY1400" s="4"/>
      <c r="FZ1400" s="4"/>
      <c r="GA1400" s="4"/>
      <c r="GB1400" s="4"/>
      <c r="GC1400" s="4"/>
      <c r="GD1400" s="4"/>
      <c r="GE1400" s="4"/>
      <c r="GF1400" s="4"/>
      <c r="GG1400" s="4"/>
      <c r="GH1400" s="4"/>
    </row>
    <row r="1401">
      <c r="A1401" s="2" t="s">
        <v>7571</v>
      </c>
      <c r="B1401" s="2" t="s">
        <v>230</v>
      </c>
      <c r="C1401" s="2" t="s">
        <v>877</v>
      </c>
      <c r="D1401" s="2" t="s">
        <v>232</v>
      </c>
      <c r="E1401" s="2" t="s">
        <v>233</v>
      </c>
      <c r="F1401" s="2" t="s">
        <v>7555</v>
      </c>
      <c r="G1401" s="2" t="s">
        <v>7555</v>
      </c>
      <c r="H1401" s="2" t="s">
        <v>7555</v>
      </c>
      <c r="I1401" s="2" t="s">
        <v>309</v>
      </c>
      <c r="J1401" s="2" t="s">
        <v>297</v>
      </c>
      <c r="K1401" s="2" t="s">
        <v>7566</v>
      </c>
      <c r="L1401" s="3">
        <v>14.75</v>
      </c>
      <c r="M1401" s="3">
        <v>15.49</v>
      </c>
      <c r="N1401" s="3">
        <v>29.99</v>
      </c>
      <c r="O1401" s="2" t="s">
        <v>212</v>
      </c>
      <c r="P1401" s="2" t="s">
        <v>258</v>
      </c>
      <c r="Q1401" s="2" t="s">
        <v>206</v>
      </c>
      <c r="R1401" s="2" t="s">
        <v>200</v>
      </c>
      <c r="S1401" s="2" t="s">
        <v>7567</v>
      </c>
      <c r="T1401" s="2" t="s">
        <v>378</v>
      </c>
      <c r="U1401" s="2" t="s">
        <v>240</v>
      </c>
      <c r="V1401" s="2" t="s">
        <v>940</v>
      </c>
      <c r="W1401" s="2" t="s">
        <v>241</v>
      </c>
      <c r="X1401" s="2" t="s">
        <v>200</v>
      </c>
      <c r="Y1401" s="2" t="s">
        <v>2904</v>
      </c>
      <c r="Z1401" s="4">
        <v>348</v>
      </c>
      <c r="AA1401" s="4">
        <f>=ROUNDDOWN(31.6363636363636,0)</f>
      </c>
      <c r="AB1401" s="5">
        <v>11</v>
      </c>
      <c r="AC1401" s="2" t="s">
        <v>200</v>
      </c>
      <c r="AD1401" s="4"/>
      <c r="AE1401" s="4"/>
      <c r="AF1401" s="6">
        <v>65</v>
      </c>
      <c r="AG1401" s="6"/>
      <c r="AH1401" s="7">
        <v>1</v>
      </c>
      <c r="AI1401" s="4"/>
      <c r="AJ1401" s="4">
        <f>=ROUNDDOWN({0},0)</f>
      </c>
      <c r="AK1401" s="5"/>
      <c r="AL1401" s="2" t="s">
        <v>200</v>
      </c>
      <c r="AM1401" s="4"/>
      <c r="AN1401" s="4"/>
      <c r="AO1401" s="7"/>
      <c r="AP1401" s="4"/>
      <c r="AQ1401" s="8"/>
      <c r="AR1401" s="4"/>
      <c r="AS1401" s="8"/>
      <c r="AT1401" s="7"/>
      <c r="AU1401" s="7"/>
      <c r="AV1401" s="4" t="s">
        <v>200</v>
      </c>
      <c r="AW1401" s="8" t="s">
        <v>200</v>
      </c>
      <c r="AX1401" s="4" t="s">
        <v>200</v>
      </c>
      <c r="AY1401" s="8" t="s">
        <v>200</v>
      </c>
      <c r="AZ1401" s="7" t="s">
        <v>200</v>
      </c>
      <c r="BA1401" s="7" t="s">
        <v>200</v>
      </c>
      <c r="BB1401" s="7"/>
      <c r="BC1401" s="4" t="s">
        <v>200</v>
      </c>
      <c r="BD1401" s="8" t="s">
        <v>200</v>
      </c>
      <c r="BE1401" s="4" t="s">
        <v>200</v>
      </c>
      <c r="BF1401" s="8" t="s">
        <v>200</v>
      </c>
      <c r="BG1401" s="7" t="s">
        <v>200</v>
      </c>
      <c r="BH1401" s="7" t="s">
        <v>200</v>
      </c>
      <c r="BI1401" s="7"/>
      <c r="BJ1401" s="4">
        <v>97</v>
      </c>
      <c r="BK1401" s="8">
        <v>1575.75</v>
      </c>
      <c r="BL1401" s="2" t="s">
        <v>4380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7572</v>
      </c>
      <c r="BV1401" s="2" t="s">
        <v>200</v>
      </c>
      <c r="BW1401" s="2" t="s">
        <v>200</v>
      </c>
      <c r="BX1401" s="2" t="s">
        <v>264</v>
      </c>
      <c r="BY1401" s="2" t="s">
        <v>247</v>
      </c>
      <c r="BZ1401" s="2" t="s">
        <v>212</v>
      </c>
      <c r="CA1401" s="2" t="s">
        <v>343</v>
      </c>
      <c r="CB1401" s="2" t="s">
        <v>4116</v>
      </c>
      <c r="CC1401" s="2" t="s">
        <v>213</v>
      </c>
      <c r="CD1401" s="2" t="s">
        <v>200</v>
      </c>
      <c r="CE1401" s="4">
        <v>348</v>
      </c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/>
      <c r="DC1401" s="4"/>
      <c r="DD1401" s="4"/>
      <c r="DE1401" s="4"/>
      <c r="DF1401" s="4"/>
      <c r="DG1401" s="4"/>
      <c r="DH1401" s="4"/>
      <c r="DI1401" s="4"/>
      <c r="DJ1401" s="4"/>
      <c r="DK1401" s="4"/>
      <c r="DL1401" s="4"/>
      <c r="DM1401" s="4"/>
      <c r="DN1401" s="4"/>
      <c r="DO1401" s="4"/>
      <c r="DP1401" s="4"/>
      <c r="DQ1401" s="4"/>
      <c r="DR1401" s="4"/>
      <c r="DS1401" s="4"/>
      <c r="DT1401" s="4"/>
      <c r="DU1401" s="4"/>
      <c r="DV1401" s="4"/>
      <c r="DW1401" s="4"/>
      <c r="DX1401" s="4"/>
      <c r="DY1401" s="4"/>
      <c r="DZ1401" s="4"/>
      <c r="EA1401" s="4"/>
      <c r="EB1401" s="4"/>
      <c r="EC1401" s="4"/>
      <c r="ED1401" s="4"/>
      <c r="EE1401" s="4"/>
      <c r="EF1401" s="4"/>
      <c r="EG1401" s="4"/>
      <c r="EH1401" s="4"/>
      <c r="EI1401" s="4"/>
      <c r="EJ1401" s="4"/>
      <c r="EK1401" s="4"/>
      <c r="EL1401" s="4"/>
      <c r="EM1401" s="4"/>
      <c r="EN1401" s="4"/>
      <c r="EO1401" s="4"/>
      <c r="EP1401" s="4"/>
      <c r="EQ1401" s="4"/>
      <c r="ER1401" s="4"/>
      <c r="ES1401" s="4"/>
      <c r="ET1401" s="4"/>
      <c r="EU1401" s="4"/>
      <c r="EV1401" s="4"/>
      <c r="EW1401" s="4"/>
      <c r="EX1401" s="4"/>
      <c r="EY1401" s="4"/>
      <c r="EZ1401" s="4"/>
      <c r="FA1401" s="4"/>
      <c r="FB1401" s="4"/>
      <c r="FC1401" s="4"/>
      <c r="FD1401" s="4"/>
      <c r="FE1401" s="4"/>
      <c r="FF1401" s="4"/>
      <c r="FG1401" s="4"/>
      <c r="FH1401" s="4"/>
      <c r="FI1401" s="4"/>
      <c r="FJ1401" s="4"/>
      <c r="FK1401" s="4"/>
      <c r="FL1401" s="4"/>
      <c r="FM1401" s="4"/>
      <c r="FN1401" s="4"/>
      <c r="FO1401" s="4"/>
      <c r="FP1401" s="4"/>
      <c r="FQ1401" s="4"/>
      <c r="FR1401" s="4"/>
      <c r="FS1401" s="4"/>
      <c r="FT1401" s="4"/>
      <c r="FU1401" s="4"/>
      <c r="FV1401" s="4"/>
      <c r="FW1401" s="4"/>
      <c r="FX1401" s="4"/>
      <c r="FY1401" s="4"/>
      <c r="FZ1401" s="4"/>
      <c r="GA1401" s="4"/>
      <c r="GB1401" s="4"/>
      <c r="GC1401" s="4"/>
      <c r="GD1401" s="4"/>
      <c r="GE1401" s="4"/>
      <c r="GF1401" s="4"/>
      <c r="GG1401" s="4"/>
      <c r="GH1401" s="4"/>
    </row>
    <row r="1402">
      <c r="A1402" s="2" t="s">
        <v>7573</v>
      </c>
      <c r="B1402" s="2" t="s">
        <v>230</v>
      </c>
      <c r="C1402" s="2" t="s">
        <v>877</v>
      </c>
      <c r="D1402" s="2" t="s">
        <v>232</v>
      </c>
      <c r="E1402" s="2" t="s">
        <v>233</v>
      </c>
      <c r="F1402" s="2" t="s">
        <v>7555</v>
      </c>
      <c r="G1402" s="2" t="s">
        <v>7555</v>
      </c>
      <c r="H1402" s="2" t="s">
        <v>7555</v>
      </c>
      <c r="I1402" s="2" t="s">
        <v>309</v>
      </c>
      <c r="J1402" s="2" t="s">
        <v>302</v>
      </c>
      <c r="K1402" s="2" t="s">
        <v>7566</v>
      </c>
      <c r="L1402" s="3">
        <v>16.35</v>
      </c>
      <c r="M1402" s="3">
        <v>17.17</v>
      </c>
      <c r="N1402" s="3">
        <v>34.99</v>
      </c>
      <c r="O1402" s="2" t="s">
        <v>212</v>
      </c>
      <c r="P1402" s="2" t="s">
        <v>258</v>
      </c>
      <c r="Q1402" s="2" t="s">
        <v>206</v>
      </c>
      <c r="R1402" s="2" t="s">
        <v>200</v>
      </c>
      <c r="S1402" s="2" t="s">
        <v>7567</v>
      </c>
      <c r="T1402" s="2" t="s">
        <v>378</v>
      </c>
      <c r="U1402" s="2" t="s">
        <v>240</v>
      </c>
      <c r="V1402" s="2" t="s">
        <v>940</v>
      </c>
      <c r="W1402" s="2" t="s">
        <v>241</v>
      </c>
      <c r="X1402" s="2" t="s">
        <v>200</v>
      </c>
      <c r="Y1402" s="2" t="s">
        <v>2904</v>
      </c>
      <c r="Z1402" s="4">
        <v>52</v>
      </c>
      <c r="AA1402" s="4">
        <f>=ROUNDDOWN(7.42857142857143,0)</f>
      </c>
      <c r="AB1402" s="5">
        <v>7</v>
      </c>
      <c r="AC1402" s="2" t="s">
        <v>200</v>
      </c>
      <c r="AD1402" s="4"/>
      <c r="AE1402" s="4"/>
      <c r="AF1402" s="6">
        <v>65</v>
      </c>
      <c r="AG1402" s="6"/>
      <c r="AH1402" s="7">
        <v>1</v>
      </c>
      <c r="AI1402" s="4"/>
      <c r="AJ1402" s="4">
        <f>=ROUNDDOWN({0},0)</f>
      </c>
      <c r="AK1402" s="5"/>
      <c r="AL1402" s="2" t="s">
        <v>200</v>
      </c>
      <c r="AM1402" s="4"/>
      <c r="AN1402" s="4"/>
      <c r="AO1402" s="7"/>
      <c r="AP1402" s="4"/>
      <c r="AQ1402" s="8"/>
      <c r="AR1402" s="4"/>
      <c r="AS1402" s="8"/>
      <c r="AT1402" s="7"/>
      <c r="AU1402" s="7"/>
      <c r="AV1402" s="4" t="s">
        <v>200</v>
      </c>
      <c r="AW1402" s="8" t="s">
        <v>200</v>
      </c>
      <c r="AX1402" s="4" t="s">
        <v>200</v>
      </c>
      <c r="AY1402" s="8" t="s">
        <v>200</v>
      </c>
      <c r="AZ1402" s="7" t="s">
        <v>200</v>
      </c>
      <c r="BA1402" s="7" t="s">
        <v>200</v>
      </c>
      <c r="BB1402" s="7"/>
      <c r="BC1402" s="4" t="s">
        <v>200</v>
      </c>
      <c r="BD1402" s="8" t="s">
        <v>200</v>
      </c>
      <c r="BE1402" s="4" t="s">
        <v>200</v>
      </c>
      <c r="BF1402" s="8" t="s">
        <v>200</v>
      </c>
      <c r="BG1402" s="7" t="s">
        <v>200</v>
      </c>
      <c r="BH1402" s="7" t="s">
        <v>200</v>
      </c>
      <c r="BI1402" s="7"/>
      <c r="BJ1402" s="4">
        <v>70</v>
      </c>
      <c r="BK1402" s="8">
        <v>1270.04</v>
      </c>
      <c r="BL1402" s="2" t="s">
        <v>363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7574</v>
      </c>
      <c r="BV1402" s="2" t="s">
        <v>200</v>
      </c>
      <c r="BW1402" s="2" t="s">
        <v>200</v>
      </c>
      <c r="BX1402" s="2" t="s">
        <v>264</v>
      </c>
      <c r="BY1402" s="2" t="s">
        <v>247</v>
      </c>
      <c r="BZ1402" s="2" t="s">
        <v>212</v>
      </c>
      <c r="CA1402" s="2" t="s">
        <v>343</v>
      </c>
      <c r="CB1402" s="2" t="s">
        <v>7038</v>
      </c>
      <c r="CC1402" s="2" t="s">
        <v>213</v>
      </c>
      <c r="CD1402" s="2" t="s">
        <v>200</v>
      </c>
      <c r="CE1402" s="4">
        <v>52</v>
      </c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  <c r="DD1402" s="4"/>
      <c r="DE1402" s="4"/>
      <c r="DF1402" s="4"/>
      <c r="DG1402" s="4"/>
      <c r="DH1402" s="4"/>
      <c r="DI1402" s="4"/>
      <c r="DJ1402" s="4"/>
      <c r="DK1402" s="4"/>
      <c r="DL1402" s="4"/>
      <c r="DM1402" s="4"/>
      <c r="DN1402" s="4"/>
      <c r="DO1402" s="4"/>
      <c r="DP1402" s="4"/>
      <c r="DQ1402" s="4"/>
      <c r="DR1402" s="4"/>
      <c r="DS1402" s="4"/>
      <c r="DT1402" s="4"/>
      <c r="DU1402" s="4"/>
      <c r="DV1402" s="4"/>
      <c r="DW1402" s="4"/>
      <c r="DX1402" s="4"/>
      <c r="DY1402" s="4"/>
      <c r="DZ1402" s="4"/>
      <c r="EA1402" s="4"/>
      <c r="EB1402" s="4"/>
      <c r="EC1402" s="4"/>
      <c r="ED1402" s="4"/>
      <c r="EE1402" s="4"/>
      <c r="EF1402" s="4"/>
      <c r="EG1402" s="4"/>
      <c r="EH1402" s="4"/>
      <c r="EI1402" s="4"/>
      <c r="EJ1402" s="4"/>
      <c r="EK1402" s="4"/>
      <c r="EL1402" s="4"/>
      <c r="EM1402" s="4"/>
      <c r="EN1402" s="4"/>
      <c r="EO1402" s="4"/>
      <c r="EP1402" s="4"/>
      <c r="EQ1402" s="4"/>
      <c r="ER1402" s="4"/>
      <c r="ES1402" s="4"/>
      <c r="ET1402" s="4"/>
      <c r="EU1402" s="4"/>
      <c r="EV1402" s="4"/>
      <c r="EW1402" s="4"/>
      <c r="EX1402" s="4"/>
      <c r="EY1402" s="4"/>
      <c r="EZ1402" s="4"/>
      <c r="FA1402" s="4"/>
      <c r="FB1402" s="4"/>
      <c r="FC1402" s="4"/>
      <c r="FD1402" s="4"/>
      <c r="FE1402" s="4"/>
      <c r="FF1402" s="4"/>
      <c r="FG1402" s="4"/>
      <c r="FH1402" s="4"/>
      <c r="FI1402" s="4"/>
      <c r="FJ1402" s="4"/>
      <c r="FK1402" s="4"/>
      <c r="FL1402" s="4"/>
      <c r="FM1402" s="4"/>
      <c r="FN1402" s="4"/>
      <c r="FO1402" s="4"/>
      <c r="FP1402" s="4"/>
      <c r="FQ1402" s="4"/>
      <c r="FR1402" s="4"/>
      <c r="FS1402" s="4"/>
      <c r="FT1402" s="4"/>
      <c r="FU1402" s="4"/>
      <c r="FV1402" s="4"/>
      <c r="FW1402" s="4"/>
      <c r="FX1402" s="4"/>
      <c r="FY1402" s="4"/>
      <c r="FZ1402" s="4"/>
      <c r="GA1402" s="4"/>
      <c r="GB1402" s="4"/>
      <c r="GC1402" s="4"/>
      <c r="GD1402" s="4"/>
      <c r="GE1402" s="4"/>
      <c r="GF1402" s="4"/>
      <c r="GG1402" s="4"/>
      <c r="GH1402" s="4"/>
    </row>
    <row r="1403">
      <c r="A1403" s="2" t="s">
        <v>7575</v>
      </c>
      <c r="B1403" s="2" t="s">
        <v>230</v>
      </c>
      <c r="C1403" s="2" t="s">
        <v>877</v>
      </c>
      <c r="D1403" s="2" t="s">
        <v>232</v>
      </c>
      <c r="E1403" s="2" t="s">
        <v>233</v>
      </c>
      <c r="F1403" s="2" t="s">
        <v>7555</v>
      </c>
      <c r="G1403" s="2" t="s">
        <v>7555</v>
      </c>
      <c r="H1403" s="2" t="s">
        <v>7555</v>
      </c>
      <c r="I1403" s="2" t="s">
        <v>309</v>
      </c>
      <c r="J1403" s="2" t="s">
        <v>302</v>
      </c>
      <c r="K1403" s="2" t="s">
        <v>7576</v>
      </c>
      <c r="L1403" s="3">
        <v>16.35</v>
      </c>
      <c r="M1403" s="3">
        <v>17.17</v>
      </c>
      <c r="N1403" s="3">
        <v>34.99</v>
      </c>
      <c r="O1403" s="2" t="s">
        <v>212</v>
      </c>
      <c r="P1403" s="2" t="s">
        <v>258</v>
      </c>
      <c r="Q1403" s="2" t="s">
        <v>206</v>
      </c>
      <c r="R1403" s="2" t="s">
        <v>200</v>
      </c>
      <c r="S1403" s="2" t="s">
        <v>7577</v>
      </c>
      <c r="T1403" s="2" t="s">
        <v>378</v>
      </c>
      <c r="U1403" s="2" t="s">
        <v>240</v>
      </c>
      <c r="V1403" s="2" t="s">
        <v>2763</v>
      </c>
      <c r="W1403" s="2" t="s">
        <v>241</v>
      </c>
      <c r="X1403" s="2" t="s">
        <v>200</v>
      </c>
      <c r="Y1403" s="2" t="s">
        <v>2904</v>
      </c>
      <c r="Z1403" s="4">
        <v>34</v>
      </c>
      <c r="AA1403" s="4">
        <f>=ROUNDDOWN(10,0)</f>
      </c>
      <c r="AB1403" s="5">
        <v>3.4</v>
      </c>
      <c r="AC1403" s="2" t="s">
        <v>116</v>
      </c>
      <c r="AD1403" s="4">
        <v>50</v>
      </c>
      <c r="AE1403" s="4">
        <v>50</v>
      </c>
      <c r="AF1403" s="6">
        <v>65</v>
      </c>
      <c r="AG1403" s="6"/>
      <c r="AH1403" s="7">
        <v>1</v>
      </c>
      <c r="AI1403" s="4"/>
      <c r="AJ1403" s="4">
        <f>=ROUNDDOWN({0},0)</f>
      </c>
      <c r="AK1403" s="5"/>
      <c r="AL1403" s="2" t="s">
        <v>200</v>
      </c>
      <c r="AM1403" s="4"/>
      <c r="AN1403" s="4"/>
      <c r="AO1403" s="7"/>
      <c r="AP1403" s="4"/>
      <c r="AQ1403" s="8"/>
      <c r="AR1403" s="4"/>
      <c r="AS1403" s="8"/>
      <c r="AT1403" s="7"/>
      <c r="AU1403" s="7"/>
      <c r="AV1403" s="4"/>
      <c r="AW1403" s="8"/>
      <c r="AX1403" s="4"/>
      <c r="AY1403" s="8"/>
      <c r="AZ1403" s="7"/>
      <c r="BA1403" s="7"/>
      <c r="BB1403" s="7"/>
      <c r="BC1403" s="4" t="s">
        <v>200</v>
      </c>
      <c r="BD1403" s="8" t="s">
        <v>200</v>
      </c>
      <c r="BE1403" s="4" t="s">
        <v>200</v>
      </c>
      <c r="BF1403" s="8" t="s">
        <v>200</v>
      </c>
      <c r="BG1403" s="7" t="s">
        <v>200</v>
      </c>
      <c r="BH1403" s="7" t="s">
        <v>200</v>
      </c>
      <c r="BI1403" s="7"/>
      <c r="BJ1403" s="4">
        <v>26</v>
      </c>
      <c r="BK1403" s="8">
        <v>463.28</v>
      </c>
      <c r="BL1403" s="2" t="s">
        <v>3035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7578</v>
      </c>
      <c r="BV1403" s="2" t="s">
        <v>200</v>
      </c>
      <c r="BW1403" s="2" t="s">
        <v>200</v>
      </c>
      <c r="BX1403" s="2" t="s">
        <v>264</v>
      </c>
      <c r="BY1403" s="2" t="s">
        <v>247</v>
      </c>
      <c r="BZ1403" s="2" t="s">
        <v>212</v>
      </c>
      <c r="CA1403" s="2" t="s">
        <v>343</v>
      </c>
      <c r="CB1403" s="2" t="s">
        <v>5518</v>
      </c>
      <c r="CC1403" s="2" t="s">
        <v>213</v>
      </c>
      <c r="CD1403" s="2" t="s">
        <v>200</v>
      </c>
      <c r="CE1403" s="4">
        <v>34</v>
      </c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>
        <v>50</v>
      </c>
      <c r="DD1403" s="4"/>
      <c r="DE1403" s="4"/>
      <c r="DF1403" s="4"/>
      <c r="DG1403" s="4"/>
      <c r="DH1403" s="4"/>
      <c r="DI1403" s="4"/>
      <c r="DJ1403" s="4"/>
      <c r="DK1403" s="4"/>
      <c r="DL1403" s="4"/>
      <c r="DM1403" s="4"/>
      <c r="DN1403" s="4"/>
      <c r="DO1403" s="4"/>
      <c r="DP1403" s="4"/>
      <c r="DQ1403" s="4"/>
      <c r="DR1403" s="4"/>
      <c r="DS1403" s="4"/>
      <c r="DT1403" s="4"/>
      <c r="DU1403" s="4"/>
      <c r="DV1403" s="4"/>
      <c r="DW1403" s="4"/>
      <c r="DX1403" s="4"/>
      <c r="DY1403" s="4"/>
      <c r="DZ1403" s="4"/>
      <c r="EA1403" s="4"/>
      <c r="EB1403" s="4"/>
      <c r="EC1403" s="4"/>
      <c r="ED1403" s="4"/>
      <c r="EE1403" s="4"/>
      <c r="EF1403" s="4"/>
      <c r="EG1403" s="4"/>
      <c r="EH1403" s="4"/>
      <c r="EI1403" s="4"/>
      <c r="EJ1403" s="4"/>
      <c r="EK1403" s="4"/>
      <c r="EL1403" s="4"/>
      <c r="EM1403" s="4"/>
      <c r="EN1403" s="4"/>
      <c r="EO1403" s="4"/>
      <c r="EP1403" s="4"/>
      <c r="EQ1403" s="4"/>
      <c r="ER1403" s="4"/>
      <c r="ES1403" s="4"/>
      <c r="ET1403" s="4"/>
      <c r="EU1403" s="4"/>
      <c r="EV1403" s="4"/>
      <c r="EW1403" s="4"/>
      <c r="EX1403" s="4"/>
      <c r="EY1403" s="4"/>
      <c r="EZ1403" s="4"/>
      <c r="FA1403" s="4"/>
      <c r="FB1403" s="4"/>
      <c r="FC1403" s="4"/>
      <c r="FD1403" s="4"/>
      <c r="FE1403" s="4"/>
      <c r="FF1403" s="4"/>
      <c r="FG1403" s="4"/>
      <c r="FH1403" s="4"/>
      <c r="FI1403" s="4"/>
      <c r="FJ1403" s="4"/>
      <c r="FK1403" s="4"/>
      <c r="FL1403" s="4"/>
      <c r="FM1403" s="4"/>
      <c r="FN1403" s="4"/>
      <c r="FO1403" s="4"/>
      <c r="FP1403" s="4"/>
      <c r="FQ1403" s="4"/>
      <c r="FR1403" s="4"/>
      <c r="FS1403" s="4"/>
      <c r="FT1403" s="4"/>
      <c r="FU1403" s="4"/>
      <c r="FV1403" s="4"/>
      <c r="FW1403" s="4"/>
      <c r="FX1403" s="4"/>
      <c r="FY1403" s="4"/>
      <c r="FZ1403" s="4"/>
      <c r="GA1403" s="4"/>
      <c r="GB1403" s="4"/>
      <c r="GC1403" s="4"/>
      <c r="GD1403" s="4"/>
      <c r="GE1403" s="4"/>
      <c r="GF1403" s="4"/>
      <c r="GG1403" s="4"/>
      <c r="GH1403" s="4"/>
    </row>
    <row r="1404">
      <c r="A1404" s="2" t="s">
        <v>7579</v>
      </c>
      <c r="B1404" s="2" t="s">
        <v>230</v>
      </c>
      <c r="C1404" s="2" t="s">
        <v>877</v>
      </c>
      <c r="D1404" s="2" t="s">
        <v>232</v>
      </c>
      <c r="E1404" s="2" t="s">
        <v>233</v>
      </c>
      <c r="F1404" s="2" t="s">
        <v>7555</v>
      </c>
      <c r="G1404" s="2" t="s">
        <v>7555</v>
      </c>
      <c r="H1404" s="2" t="s">
        <v>7555</v>
      </c>
      <c r="I1404" s="2" t="s">
        <v>309</v>
      </c>
      <c r="J1404" s="2" t="s">
        <v>256</v>
      </c>
      <c r="K1404" s="2" t="s">
        <v>7580</v>
      </c>
      <c r="L1404" s="3">
        <v>11.95</v>
      </c>
      <c r="M1404" s="3">
        <v>12.55</v>
      </c>
      <c r="N1404" s="3">
        <v>24.99</v>
      </c>
      <c r="O1404" s="2" t="s">
        <v>212</v>
      </c>
      <c r="P1404" s="2" t="s">
        <v>205</v>
      </c>
      <c r="Q1404" s="2" t="s">
        <v>206</v>
      </c>
      <c r="R1404" s="2" t="s">
        <v>200</v>
      </c>
      <c r="S1404" s="2" t="s">
        <v>7581</v>
      </c>
      <c r="T1404" s="2" t="s">
        <v>378</v>
      </c>
      <c r="U1404" s="2" t="s">
        <v>454</v>
      </c>
      <c r="V1404" s="2" t="s">
        <v>724</v>
      </c>
      <c r="W1404" s="2" t="s">
        <v>241</v>
      </c>
      <c r="X1404" s="2" t="s">
        <v>200</v>
      </c>
      <c r="Y1404" s="2" t="s">
        <v>955</v>
      </c>
      <c r="Z1404" s="4">
        <v>76</v>
      </c>
      <c r="AA1404" s="4">
        <f>=ROUNDDOWN(38,0)</f>
      </c>
      <c r="AB1404" s="5">
        <v>2</v>
      </c>
      <c r="AC1404" s="2" t="s">
        <v>200</v>
      </c>
      <c r="AD1404" s="4"/>
      <c r="AE1404" s="4"/>
      <c r="AF1404" s="6">
        <v>65</v>
      </c>
      <c r="AG1404" s="6"/>
      <c r="AH1404" s="7">
        <v>1</v>
      </c>
      <c r="AI1404" s="4"/>
      <c r="AJ1404" s="4">
        <f>=ROUNDDOWN({0},0)</f>
      </c>
      <c r="AK1404" s="5"/>
      <c r="AL1404" s="2" t="s">
        <v>200</v>
      </c>
      <c r="AM1404" s="4"/>
      <c r="AN1404" s="4"/>
      <c r="AO1404" s="7"/>
      <c r="AP1404" s="4"/>
      <c r="AQ1404" s="8"/>
      <c r="AR1404" s="4"/>
      <c r="AS1404" s="8"/>
      <c r="AT1404" s="7"/>
      <c r="AU1404" s="7"/>
      <c r="AV1404" s="4" t="s">
        <v>200</v>
      </c>
      <c r="AW1404" s="8" t="s">
        <v>200</v>
      </c>
      <c r="AX1404" s="4" t="s">
        <v>200</v>
      </c>
      <c r="AY1404" s="8" t="s">
        <v>200</v>
      </c>
      <c r="AZ1404" s="7" t="s">
        <v>200</v>
      </c>
      <c r="BA1404" s="7" t="s">
        <v>200</v>
      </c>
      <c r="BB1404" s="7"/>
      <c r="BC1404" s="4" t="s">
        <v>200</v>
      </c>
      <c r="BD1404" s="8" t="s">
        <v>200</v>
      </c>
      <c r="BE1404" s="4" t="s">
        <v>200</v>
      </c>
      <c r="BF1404" s="8" t="s">
        <v>200</v>
      </c>
      <c r="BG1404" s="7" t="s">
        <v>200</v>
      </c>
      <c r="BH1404" s="7" t="s">
        <v>200</v>
      </c>
      <c r="BI1404" s="7"/>
      <c r="BJ1404" s="4">
        <v>18</v>
      </c>
      <c r="BK1404" s="8">
        <v>235.76</v>
      </c>
      <c r="BL1404" s="2" t="s">
        <v>7582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7583</v>
      </c>
      <c r="BV1404" s="2" t="s">
        <v>200</v>
      </c>
      <c r="BW1404" s="2" t="s">
        <v>200</v>
      </c>
      <c r="BX1404" s="2" t="s">
        <v>264</v>
      </c>
      <c r="BY1404" s="2" t="s">
        <v>247</v>
      </c>
      <c r="BZ1404" s="2" t="s">
        <v>212</v>
      </c>
      <c r="CA1404" s="2" t="s">
        <v>5256</v>
      </c>
      <c r="CB1404" s="2" t="s">
        <v>2786</v>
      </c>
      <c r="CC1404" s="2" t="s">
        <v>213</v>
      </c>
      <c r="CD1404" s="2" t="s">
        <v>200</v>
      </c>
      <c r="CE1404" s="4">
        <v>19</v>
      </c>
      <c r="CF1404" s="4"/>
      <c r="CG1404" s="4"/>
      <c r="CH1404" s="4">
        <v>57</v>
      </c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  <c r="DD1404" s="4"/>
      <c r="DE1404" s="4"/>
      <c r="DF1404" s="4"/>
      <c r="DG1404" s="4"/>
      <c r="DH1404" s="4"/>
      <c r="DI1404" s="4"/>
      <c r="DJ1404" s="4"/>
      <c r="DK1404" s="4"/>
      <c r="DL1404" s="4"/>
      <c r="DM1404" s="4"/>
      <c r="DN1404" s="4"/>
      <c r="DO1404" s="4"/>
      <c r="DP1404" s="4"/>
      <c r="DQ1404" s="4"/>
      <c r="DR1404" s="4"/>
      <c r="DS1404" s="4"/>
      <c r="DT1404" s="4"/>
      <c r="DU1404" s="4"/>
      <c r="DV1404" s="4"/>
      <c r="DW1404" s="4"/>
      <c r="DX1404" s="4"/>
      <c r="DY1404" s="4"/>
      <c r="DZ1404" s="4"/>
      <c r="EA1404" s="4"/>
      <c r="EB1404" s="4"/>
      <c r="EC1404" s="4"/>
      <c r="ED1404" s="4"/>
      <c r="EE1404" s="4"/>
      <c r="EF1404" s="4"/>
      <c r="EG1404" s="4"/>
      <c r="EH1404" s="4"/>
      <c r="EI1404" s="4"/>
      <c r="EJ1404" s="4"/>
      <c r="EK1404" s="4"/>
      <c r="EL1404" s="4"/>
      <c r="EM1404" s="4"/>
      <c r="EN1404" s="4"/>
      <c r="EO1404" s="4"/>
      <c r="EP1404" s="4"/>
      <c r="EQ1404" s="4"/>
      <c r="ER1404" s="4"/>
      <c r="ES1404" s="4"/>
      <c r="ET1404" s="4"/>
      <c r="EU1404" s="4"/>
      <c r="EV1404" s="4"/>
      <c r="EW1404" s="4"/>
      <c r="EX1404" s="4"/>
      <c r="EY1404" s="4"/>
      <c r="EZ1404" s="4"/>
      <c r="FA1404" s="4"/>
      <c r="FB1404" s="4"/>
      <c r="FC1404" s="4"/>
      <c r="FD1404" s="4"/>
      <c r="FE1404" s="4"/>
      <c r="FF1404" s="4"/>
      <c r="FG1404" s="4"/>
      <c r="FH1404" s="4"/>
      <c r="FI1404" s="4"/>
      <c r="FJ1404" s="4"/>
      <c r="FK1404" s="4"/>
      <c r="FL1404" s="4"/>
      <c r="FM1404" s="4"/>
      <c r="FN1404" s="4"/>
      <c r="FO1404" s="4"/>
      <c r="FP1404" s="4"/>
      <c r="FQ1404" s="4"/>
      <c r="FR1404" s="4"/>
      <c r="FS1404" s="4"/>
      <c r="FT1404" s="4"/>
      <c r="FU1404" s="4"/>
      <c r="FV1404" s="4"/>
      <c r="FW1404" s="4"/>
      <c r="FX1404" s="4"/>
      <c r="FY1404" s="4"/>
      <c r="FZ1404" s="4"/>
      <c r="GA1404" s="4"/>
      <c r="GB1404" s="4"/>
      <c r="GC1404" s="4"/>
      <c r="GD1404" s="4"/>
      <c r="GE1404" s="4"/>
      <c r="GF1404" s="4"/>
      <c r="GG1404" s="4"/>
      <c r="GH1404" s="4"/>
    </row>
    <row r="1405">
      <c r="A1405" s="2" t="s">
        <v>7584</v>
      </c>
      <c r="B1405" s="2" t="s">
        <v>230</v>
      </c>
      <c r="C1405" s="2" t="s">
        <v>877</v>
      </c>
      <c r="D1405" s="2" t="s">
        <v>232</v>
      </c>
      <c r="E1405" s="2" t="s">
        <v>233</v>
      </c>
      <c r="F1405" s="2" t="s">
        <v>7555</v>
      </c>
      <c r="G1405" s="2" t="s">
        <v>7555</v>
      </c>
      <c r="H1405" s="2" t="s">
        <v>7555</v>
      </c>
      <c r="I1405" s="2" t="s">
        <v>309</v>
      </c>
      <c r="J1405" s="2" t="s">
        <v>277</v>
      </c>
      <c r="K1405" s="2" t="s">
        <v>7580</v>
      </c>
      <c r="L1405" s="3">
        <v>13.55</v>
      </c>
      <c r="M1405" s="3">
        <v>14.23</v>
      </c>
      <c r="N1405" s="3">
        <v>27.99</v>
      </c>
      <c r="O1405" s="2" t="s">
        <v>212</v>
      </c>
      <c r="P1405" s="2" t="s">
        <v>205</v>
      </c>
      <c r="Q1405" s="2" t="s">
        <v>206</v>
      </c>
      <c r="R1405" s="2" t="s">
        <v>200</v>
      </c>
      <c r="S1405" s="2" t="s">
        <v>7581</v>
      </c>
      <c r="T1405" s="2" t="s">
        <v>378</v>
      </c>
      <c r="U1405" s="2" t="s">
        <v>240</v>
      </c>
      <c r="V1405" s="2" t="s">
        <v>724</v>
      </c>
      <c r="W1405" s="2" t="s">
        <v>241</v>
      </c>
      <c r="X1405" s="2" t="s">
        <v>200</v>
      </c>
      <c r="Y1405" s="2" t="s">
        <v>955</v>
      </c>
      <c r="Z1405" s="4"/>
      <c r="AA1405" s="4">
        <f>=ROUNDDOWN({0},0)</f>
      </c>
      <c r="AB1405" s="5">
        <v>2</v>
      </c>
      <c r="AC1405" s="2" t="s">
        <v>116</v>
      </c>
      <c r="AD1405" s="4">
        <v>100</v>
      </c>
      <c r="AE1405" s="4">
        <v>100</v>
      </c>
      <c r="AF1405" s="6">
        <v>65</v>
      </c>
      <c r="AG1405" s="6"/>
      <c r="AH1405" s="7">
        <v>1</v>
      </c>
      <c r="AI1405" s="4"/>
      <c r="AJ1405" s="4">
        <f>=ROUNDDOWN({0},0)</f>
      </c>
      <c r="AK1405" s="5"/>
      <c r="AL1405" s="2" t="s">
        <v>200</v>
      </c>
      <c r="AM1405" s="4"/>
      <c r="AN1405" s="4"/>
      <c r="AO1405" s="7"/>
      <c r="AP1405" s="4"/>
      <c r="AQ1405" s="8"/>
      <c r="AR1405" s="4"/>
      <c r="AS1405" s="8"/>
      <c r="AT1405" s="7"/>
      <c r="AU1405" s="7"/>
      <c r="AV1405" s="4" t="s">
        <v>200</v>
      </c>
      <c r="AW1405" s="8" t="s">
        <v>200</v>
      </c>
      <c r="AX1405" s="4" t="s">
        <v>200</v>
      </c>
      <c r="AY1405" s="8" t="s">
        <v>200</v>
      </c>
      <c r="AZ1405" s="7" t="s">
        <v>200</v>
      </c>
      <c r="BA1405" s="7" t="s">
        <v>200</v>
      </c>
      <c r="BB1405" s="7"/>
      <c r="BC1405" s="4" t="s">
        <v>200</v>
      </c>
      <c r="BD1405" s="8" t="s">
        <v>200</v>
      </c>
      <c r="BE1405" s="4" t="s">
        <v>200</v>
      </c>
      <c r="BF1405" s="8" t="s">
        <v>200</v>
      </c>
      <c r="BG1405" s="7" t="s">
        <v>200</v>
      </c>
      <c r="BH1405" s="7" t="s">
        <v>200</v>
      </c>
      <c r="BI1405" s="7"/>
      <c r="BJ1405" s="4">
        <v>61</v>
      </c>
      <c r="BK1405" s="8">
        <v>906.79</v>
      </c>
      <c r="BL1405" s="2" t="s">
        <v>2376</v>
      </c>
      <c r="BM1405" s="7"/>
      <c r="BN1405" s="7"/>
      <c r="BO1405" s="4"/>
      <c r="BP1405" s="8"/>
      <c r="BQ1405" s="4"/>
      <c r="BR1405" s="8"/>
      <c r="BS1405" s="7"/>
      <c r="BT1405" s="7"/>
      <c r="BU1405" s="2" t="s">
        <v>7585</v>
      </c>
      <c r="BV1405" s="2" t="s">
        <v>200</v>
      </c>
      <c r="BW1405" s="2" t="s">
        <v>200</v>
      </c>
      <c r="BX1405" s="2" t="s">
        <v>264</v>
      </c>
      <c r="BY1405" s="2" t="s">
        <v>247</v>
      </c>
      <c r="BZ1405" s="2" t="s">
        <v>212</v>
      </c>
      <c r="CA1405" s="2" t="s">
        <v>5256</v>
      </c>
      <c r="CB1405" s="2" t="s">
        <v>200</v>
      </c>
      <c r="CC1405" s="2" t="s">
        <v>213</v>
      </c>
      <c r="CD1405" s="2" t="s">
        <v>200</v>
      </c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>
        <v>100</v>
      </c>
      <c r="DD1405" s="4"/>
      <c r="DE1405" s="4"/>
      <c r="DF1405" s="4"/>
      <c r="DG1405" s="4"/>
      <c r="DH1405" s="4"/>
      <c r="DI1405" s="4"/>
      <c r="DJ1405" s="4"/>
      <c r="DK1405" s="4"/>
      <c r="DL1405" s="4"/>
      <c r="DM1405" s="4"/>
      <c r="DN1405" s="4"/>
      <c r="DO1405" s="4"/>
      <c r="DP1405" s="4"/>
      <c r="DQ1405" s="4"/>
      <c r="DR1405" s="4"/>
      <c r="DS1405" s="4"/>
      <c r="DT1405" s="4"/>
      <c r="DU1405" s="4"/>
      <c r="DV1405" s="4"/>
      <c r="DW1405" s="4"/>
      <c r="DX1405" s="4"/>
      <c r="DY1405" s="4"/>
      <c r="DZ1405" s="4"/>
      <c r="EA1405" s="4"/>
      <c r="EB1405" s="4"/>
      <c r="EC1405" s="4"/>
      <c r="ED1405" s="4"/>
      <c r="EE1405" s="4"/>
      <c r="EF1405" s="4"/>
      <c r="EG1405" s="4"/>
      <c r="EH1405" s="4"/>
      <c r="EI1405" s="4"/>
      <c r="EJ1405" s="4"/>
      <c r="EK1405" s="4"/>
      <c r="EL1405" s="4"/>
      <c r="EM1405" s="4"/>
      <c r="EN1405" s="4"/>
      <c r="EO1405" s="4"/>
      <c r="EP1405" s="4"/>
      <c r="EQ1405" s="4"/>
      <c r="ER1405" s="4"/>
      <c r="ES1405" s="4"/>
      <c r="ET1405" s="4"/>
      <c r="EU1405" s="4"/>
      <c r="EV1405" s="4"/>
      <c r="EW1405" s="4"/>
      <c r="EX1405" s="4"/>
      <c r="EY1405" s="4"/>
      <c r="EZ1405" s="4"/>
      <c r="FA1405" s="4"/>
      <c r="FB1405" s="4"/>
      <c r="FC1405" s="4"/>
      <c r="FD1405" s="4"/>
      <c r="FE1405" s="4"/>
      <c r="FF1405" s="4"/>
      <c r="FG1405" s="4"/>
      <c r="FH1405" s="4"/>
      <c r="FI1405" s="4"/>
      <c r="FJ1405" s="4"/>
      <c r="FK1405" s="4"/>
      <c r="FL1405" s="4"/>
      <c r="FM1405" s="4"/>
      <c r="FN1405" s="4"/>
      <c r="FO1405" s="4"/>
      <c r="FP1405" s="4"/>
      <c r="FQ1405" s="4"/>
      <c r="FR1405" s="4"/>
      <c r="FS1405" s="4"/>
      <c r="FT1405" s="4"/>
      <c r="FU1405" s="4"/>
      <c r="FV1405" s="4"/>
      <c r="FW1405" s="4"/>
      <c r="FX1405" s="4"/>
      <c r="FY1405" s="4"/>
      <c r="FZ1405" s="4"/>
      <c r="GA1405" s="4"/>
      <c r="GB1405" s="4"/>
      <c r="GC1405" s="4"/>
      <c r="GD1405" s="4"/>
      <c r="GE1405" s="4"/>
      <c r="GF1405" s="4"/>
      <c r="GG1405" s="4"/>
      <c r="GH1405" s="4"/>
    </row>
    <row r="1406">
      <c r="A1406" s="2" t="s">
        <v>7586</v>
      </c>
      <c r="B1406" s="2" t="s">
        <v>230</v>
      </c>
      <c r="C1406" s="2" t="s">
        <v>877</v>
      </c>
      <c r="D1406" s="2" t="s">
        <v>232</v>
      </c>
      <c r="E1406" s="2" t="s">
        <v>233</v>
      </c>
      <c r="F1406" s="2" t="s">
        <v>7555</v>
      </c>
      <c r="G1406" s="2" t="s">
        <v>7555</v>
      </c>
      <c r="H1406" s="2" t="s">
        <v>7555</v>
      </c>
      <c r="I1406" s="2" t="s">
        <v>309</v>
      </c>
      <c r="J1406" s="2" t="s">
        <v>297</v>
      </c>
      <c r="K1406" s="2" t="s">
        <v>7580</v>
      </c>
      <c r="L1406" s="3">
        <v>14.75</v>
      </c>
      <c r="M1406" s="3">
        <v>15.49</v>
      </c>
      <c r="N1406" s="3">
        <v>29.99</v>
      </c>
      <c r="O1406" s="2" t="s">
        <v>212</v>
      </c>
      <c r="P1406" s="2" t="s">
        <v>205</v>
      </c>
      <c r="Q1406" s="2" t="s">
        <v>206</v>
      </c>
      <c r="R1406" s="2" t="s">
        <v>200</v>
      </c>
      <c r="S1406" s="2" t="s">
        <v>7581</v>
      </c>
      <c r="T1406" s="2" t="s">
        <v>378</v>
      </c>
      <c r="U1406" s="2" t="s">
        <v>240</v>
      </c>
      <c r="V1406" s="2" t="s">
        <v>724</v>
      </c>
      <c r="W1406" s="2" t="s">
        <v>241</v>
      </c>
      <c r="X1406" s="2" t="s">
        <v>200</v>
      </c>
      <c r="Y1406" s="2" t="s">
        <v>955</v>
      </c>
      <c r="Z1406" s="4"/>
      <c r="AA1406" s="4">
        <f>=ROUNDDOWN({0},0)</f>
      </c>
      <c r="AB1406" s="5">
        <v>3</v>
      </c>
      <c r="AC1406" s="2" t="s">
        <v>116</v>
      </c>
      <c r="AD1406" s="4">
        <v>40</v>
      </c>
      <c r="AE1406" s="4">
        <v>40</v>
      </c>
      <c r="AF1406" s="6">
        <v>65</v>
      </c>
      <c r="AG1406" s="6"/>
      <c r="AH1406" s="7">
        <v>1</v>
      </c>
      <c r="AI1406" s="4"/>
      <c r="AJ1406" s="4">
        <f>=ROUNDDOWN({0},0)</f>
      </c>
      <c r="AK1406" s="5"/>
      <c r="AL1406" s="2" t="s">
        <v>200</v>
      </c>
      <c r="AM1406" s="4"/>
      <c r="AN1406" s="4"/>
      <c r="AO1406" s="7"/>
      <c r="AP1406" s="4"/>
      <c r="AQ1406" s="8"/>
      <c r="AR1406" s="4"/>
      <c r="AS1406" s="8"/>
      <c r="AT1406" s="7"/>
      <c r="AU1406" s="7"/>
      <c r="AV1406" s="4" t="s">
        <v>200</v>
      </c>
      <c r="AW1406" s="8" t="s">
        <v>200</v>
      </c>
      <c r="AX1406" s="4" t="s">
        <v>200</v>
      </c>
      <c r="AY1406" s="8" t="s">
        <v>200</v>
      </c>
      <c r="AZ1406" s="7" t="s">
        <v>200</v>
      </c>
      <c r="BA1406" s="7" t="s">
        <v>200</v>
      </c>
      <c r="BB1406" s="7"/>
      <c r="BC1406" s="4" t="s">
        <v>200</v>
      </c>
      <c r="BD1406" s="8" t="s">
        <v>200</v>
      </c>
      <c r="BE1406" s="4" t="s">
        <v>200</v>
      </c>
      <c r="BF1406" s="8" t="s">
        <v>200</v>
      </c>
      <c r="BG1406" s="7" t="s">
        <v>200</v>
      </c>
      <c r="BH1406" s="7" t="s">
        <v>200</v>
      </c>
      <c r="BI1406" s="7"/>
      <c r="BJ1406" s="4">
        <v>178</v>
      </c>
      <c r="BK1406" s="8">
        <v>2899.15</v>
      </c>
      <c r="BL1406" s="2" t="s">
        <v>3911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7587</v>
      </c>
      <c r="BV1406" s="2" t="s">
        <v>200</v>
      </c>
      <c r="BW1406" s="2" t="s">
        <v>200</v>
      </c>
      <c r="BX1406" s="2" t="s">
        <v>264</v>
      </c>
      <c r="BY1406" s="2" t="s">
        <v>247</v>
      </c>
      <c r="BZ1406" s="2" t="s">
        <v>212</v>
      </c>
      <c r="CA1406" s="2" t="s">
        <v>5256</v>
      </c>
      <c r="CB1406" s="2" t="s">
        <v>200</v>
      </c>
      <c r="CC1406" s="2" t="s">
        <v>213</v>
      </c>
      <c r="CD1406" s="2" t="s">
        <v>200</v>
      </c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>
        <v>40</v>
      </c>
      <c r="DD1406" s="4"/>
      <c r="DE1406" s="4"/>
      <c r="DF1406" s="4"/>
      <c r="DG1406" s="4"/>
      <c r="DH1406" s="4"/>
      <c r="DI1406" s="4"/>
      <c r="DJ1406" s="4"/>
      <c r="DK1406" s="4"/>
      <c r="DL1406" s="4"/>
      <c r="DM1406" s="4"/>
      <c r="DN1406" s="4"/>
      <c r="DO1406" s="4"/>
      <c r="DP1406" s="4"/>
      <c r="DQ1406" s="4"/>
      <c r="DR1406" s="4"/>
      <c r="DS1406" s="4"/>
      <c r="DT1406" s="4"/>
      <c r="DU1406" s="4"/>
      <c r="DV1406" s="4"/>
      <c r="DW1406" s="4"/>
      <c r="DX1406" s="4"/>
      <c r="DY1406" s="4"/>
      <c r="DZ1406" s="4"/>
      <c r="EA1406" s="4"/>
      <c r="EB1406" s="4"/>
      <c r="EC1406" s="4"/>
      <c r="ED1406" s="4"/>
      <c r="EE1406" s="4"/>
      <c r="EF1406" s="4"/>
      <c r="EG1406" s="4"/>
      <c r="EH1406" s="4"/>
      <c r="EI1406" s="4"/>
      <c r="EJ1406" s="4"/>
      <c r="EK1406" s="4"/>
      <c r="EL1406" s="4"/>
      <c r="EM1406" s="4"/>
      <c r="EN1406" s="4"/>
      <c r="EO1406" s="4"/>
      <c r="EP1406" s="4"/>
      <c r="EQ1406" s="4"/>
      <c r="ER1406" s="4"/>
      <c r="ES1406" s="4"/>
      <c r="ET1406" s="4"/>
      <c r="EU1406" s="4"/>
      <c r="EV1406" s="4"/>
      <c r="EW1406" s="4"/>
      <c r="EX1406" s="4"/>
      <c r="EY1406" s="4"/>
      <c r="EZ1406" s="4"/>
      <c r="FA1406" s="4"/>
      <c r="FB1406" s="4"/>
      <c r="FC1406" s="4"/>
      <c r="FD1406" s="4"/>
      <c r="FE1406" s="4"/>
      <c r="FF1406" s="4"/>
      <c r="FG1406" s="4"/>
      <c r="FH1406" s="4"/>
      <c r="FI1406" s="4"/>
      <c r="FJ1406" s="4"/>
      <c r="FK1406" s="4"/>
      <c r="FL1406" s="4"/>
      <c r="FM1406" s="4"/>
      <c r="FN1406" s="4"/>
      <c r="FO1406" s="4"/>
      <c r="FP1406" s="4"/>
      <c r="FQ1406" s="4"/>
      <c r="FR1406" s="4"/>
      <c r="FS1406" s="4"/>
      <c r="FT1406" s="4"/>
      <c r="FU1406" s="4"/>
      <c r="FV1406" s="4"/>
      <c r="FW1406" s="4"/>
      <c r="FX1406" s="4"/>
      <c r="FY1406" s="4"/>
      <c r="FZ1406" s="4"/>
      <c r="GA1406" s="4"/>
      <c r="GB1406" s="4"/>
      <c r="GC1406" s="4"/>
      <c r="GD1406" s="4"/>
      <c r="GE1406" s="4"/>
      <c r="GF1406" s="4"/>
      <c r="GG1406" s="4"/>
      <c r="GH1406" s="4"/>
    </row>
    <row r="1407">
      <c r="A1407" s="2" t="s">
        <v>7588</v>
      </c>
      <c r="B1407" s="2" t="s">
        <v>230</v>
      </c>
      <c r="C1407" s="2" t="s">
        <v>877</v>
      </c>
      <c r="D1407" s="2" t="s">
        <v>232</v>
      </c>
      <c r="E1407" s="2" t="s">
        <v>233</v>
      </c>
      <c r="F1407" s="2" t="s">
        <v>7555</v>
      </c>
      <c r="G1407" s="2" t="s">
        <v>7555</v>
      </c>
      <c r="H1407" s="2" t="s">
        <v>7555</v>
      </c>
      <c r="I1407" s="2" t="s">
        <v>309</v>
      </c>
      <c r="J1407" s="2" t="s">
        <v>302</v>
      </c>
      <c r="K1407" s="2" t="s">
        <v>7580</v>
      </c>
      <c r="L1407" s="3">
        <v>16.35</v>
      </c>
      <c r="M1407" s="3">
        <v>17.17</v>
      </c>
      <c r="N1407" s="3">
        <v>34.99</v>
      </c>
      <c r="O1407" s="2" t="s">
        <v>212</v>
      </c>
      <c r="P1407" s="2" t="s">
        <v>205</v>
      </c>
      <c r="Q1407" s="2" t="s">
        <v>206</v>
      </c>
      <c r="R1407" s="2" t="s">
        <v>200</v>
      </c>
      <c r="S1407" s="2" t="s">
        <v>7581</v>
      </c>
      <c r="T1407" s="2" t="s">
        <v>378</v>
      </c>
      <c r="U1407" s="2" t="s">
        <v>240</v>
      </c>
      <c r="V1407" s="2" t="s">
        <v>724</v>
      </c>
      <c r="W1407" s="2" t="s">
        <v>241</v>
      </c>
      <c r="X1407" s="2" t="s">
        <v>200</v>
      </c>
      <c r="Y1407" s="2" t="s">
        <v>955</v>
      </c>
      <c r="Z1407" s="4">
        <v>3</v>
      </c>
      <c r="AA1407" s="4">
        <f>=ROUNDDOWN(1.5,0)</f>
      </c>
      <c r="AB1407" s="5">
        <v>2</v>
      </c>
      <c r="AC1407" s="2" t="s">
        <v>116</v>
      </c>
      <c r="AD1407" s="4">
        <v>30</v>
      </c>
      <c r="AE1407" s="4">
        <v>30</v>
      </c>
      <c r="AF1407" s="6">
        <v>65</v>
      </c>
      <c r="AG1407" s="6"/>
      <c r="AH1407" s="7">
        <v>0.8333</v>
      </c>
      <c r="AI1407" s="4"/>
      <c r="AJ1407" s="4">
        <f>=ROUNDDOWN({0},0)</f>
      </c>
      <c r="AK1407" s="5"/>
      <c r="AL1407" s="2" t="s">
        <v>200</v>
      </c>
      <c r="AM1407" s="4"/>
      <c r="AN1407" s="4"/>
      <c r="AO1407" s="7"/>
      <c r="AP1407" s="4"/>
      <c r="AQ1407" s="8"/>
      <c r="AR1407" s="4"/>
      <c r="AS1407" s="8"/>
      <c r="AT1407" s="7"/>
      <c r="AU1407" s="7"/>
      <c r="AV1407" s="4" t="s">
        <v>200</v>
      </c>
      <c r="AW1407" s="8" t="s">
        <v>200</v>
      </c>
      <c r="AX1407" s="4" t="s">
        <v>200</v>
      </c>
      <c r="AY1407" s="8" t="s">
        <v>200</v>
      </c>
      <c r="AZ1407" s="7" t="s">
        <v>200</v>
      </c>
      <c r="BA1407" s="7" t="s">
        <v>200</v>
      </c>
      <c r="BB1407" s="7"/>
      <c r="BC1407" s="4" t="s">
        <v>200</v>
      </c>
      <c r="BD1407" s="8" t="s">
        <v>200</v>
      </c>
      <c r="BE1407" s="4" t="s">
        <v>200</v>
      </c>
      <c r="BF1407" s="8" t="s">
        <v>200</v>
      </c>
      <c r="BG1407" s="7" t="s">
        <v>200</v>
      </c>
      <c r="BH1407" s="7" t="s">
        <v>200</v>
      </c>
      <c r="BI1407" s="7"/>
      <c r="BJ1407" s="4">
        <v>66</v>
      </c>
      <c r="BK1407" s="8">
        <v>1191</v>
      </c>
      <c r="BL1407" s="2" t="s">
        <v>319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7589</v>
      </c>
      <c r="BV1407" s="2" t="s">
        <v>200</v>
      </c>
      <c r="BW1407" s="2" t="s">
        <v>200</v>
      </c>
      <c r="BX1407" s="2" t="s">
        <v>264</v>
      </c>
      <c r="BY1407" s="2" t="s">
        <v>247</v>
      </c>
      <c r="BZ1407" s="2" t="s">
        <v>212</v>
      </c>
      <c r="CA1407" s="2" t="s">
        <v>5256</v>
      </c>
      <c r="CB1407" s="2" t="s">
        <v>200</v>
      </c>
      <c r="CC1407" s="2" t="s">
        <v>213</v>
      </c>
      <c r="CD1407" s="2" t="s">
        <v>200</v>
      </c>
      <c r="CE1407" s="4"/>
      <c r="CF1407" s="4"/>
      <c r="CG1407" s="4"/>
      <c r="CH1407" s="4">
        <v>3</v>
      </c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>
        <v>30</v>
      </c>
      <c r="DD1407" s="4"/>
      <c r="DE1407" s="4"/>
      <c r="DF1407" s="4"/>
      <c r="DG1407" s="4"/>
      <c r="DH1407" s="4"/>
      <c r="DI1407" s="4"/>
      <c r="DJ1407" s="4"/>
      <c r="DK1407" s="4"/>
      <c r="DL1407" s="4"/>
      <c r="DM1407" s="4"/>
      <c r="DN1407" s="4"/>
      <c r="DO1407" s="4"/>
      <c r="DP1407" s="4"/>
      <c r="DQ1407" s="4"/>
      <c r="DR1407" s="4"/>
      <c r="DS1407" s="4"/>
      <c r="DT1407" s="4"/>
      <c r="DU1407" s="4"/>
      <c r="DV1407" s="4"/>
      <c r="DW1407" s="4"/>
      <c r="DX1407" s="4"/>
      <c r="DY1407" s="4"/>
      <c r="DZ1407" s="4"/>
      <c r="EA1407" s="4"/>
      <c r="EB1407" s="4"/>
      <c r="EC1407" s="4"/>
      <c r="ED1407" s="4"/>
      <c r="EE1407" s="4"/>
      <c r="EF1407" s="4"/>
      <c r="EG1407" s="4"/>
      <c r="EH1407" s="4"/>
      <c r="EI1407" s="4"/>
      <c r="EJ1407" s="4"/>
      <c r="EK1407" s="4"/>
      <c r="EL1407" s="4"/>
      <c r="EM1407" s="4"/>
      <c r="EN1407" s="4"/>
      <c r="EO1407" s="4"/>
      <c r="EP1407" s="4"/>
      <c r="EQ1407" s="4"/>
      <c r="ER1407" s="4"/>
      <c r="ES1407" s="4"/>
      <c r="ET1407" s="4"/>
      <c r="EU1407" s="4"/>
      <c r="EV1407" s="4"/>
      <c r="EW1407" s="4"/>
      <c r="EX1407" s="4"/>
      <c r="EY1407" s="4"/>
      <c r="EZ1407" s="4"/>
      <c r="FA1407" s="4"/>
      <c r="FB1407" s="4"/>
      <c r="FC1407" s="4"/>
      <c r="FD1407" s="4"/>
      <c r="FE1407" s="4"/>
      <c r="FF1407" s="4"/>
      <c r="FG1407" s="4"/>
      <c r="FH1407" s="4"/>
      <c r="FI1407" s="4"/>
      <c r="FJ1407" s="4"/>
      <c r="FK1407" s="4"/>
      <c r="FL1407" s="4"/>
      <c r="FM1407" s="4"/>
      <c r="FN1407" s="4"/>
      <c r="FO1407" s="4"/>
      <c r="FP1407" s="4"/>
      <c r="FQ1407" s="4"/>
      <c r="FR1407" s="4"/>
      <c r="FS1407" s="4"/>
      <c r="FT1407" s="4"/>
      <c r="FU1407" s="4"/>
      <c r="FV1407" s="4"/>
      <c r="FW1407" s="4"/>
      <c r="FX1407" s="4"/>
      <c r="FY1407" s="4"/>
      <c r="FZ1407" s="4"/>
      <c r="GA1407" s="4"/>
      <c r="GB1407" s="4"/>
      <c r="GC1407" s="4"/>
      <c r="GD1407" s="4"/>
      <c r="GE1407" s="4"/>
      <c r="GF1407" s="4"/>
      <c r="GG1407" s="4"/>
      <c r="GH1407" s="4"/>
    </row>
    <row r="1408">
      <c r="A1408" s="2" t="s">
        <v>7590</v>
      </c>
      <c r="B1408" s="2" t="s">
        <v>705</v>
      </c>
      <c r="C1408" s="2" t="s">
        <v>730</v>
      </c>
      <c r="D1408" s="2" t="s">
        <v>817</v>
      </c>
      <c r="E1408" s="2" t="s">
        <v>818</v>
      </c>
      <c r="F1408" s="2" t="s">
        <v>7591</v>
      </c>
      <c r="G1408" s="2" t="s">
        <v>7591</v>
      </c>
      <c r="H1408" s="2" t="s">
        <v>7591</v>
      </c>
      <c r="I1408" s="2" t="s">
        <v>7592</v>
      </c>
      <c r="J1408" s="2" t="s">
        <v>711</v>
      </c>
      <c r="K1408" s="2" t="s">
        <v>7593</v>
      </c>
      <c r="L1408" s="3">
        <v>45</v>
      </c>
      <c r="M1408" s="3">
        <v>47.25</v>
      </c>
      <c r="N1408" s="3">
        <v>94.99</v>
      </c>
      <c r="O1408" s="2" t="s">
        <v>212</v>
      </c>
      <c r="P1408" s="2" t="s">
        <v>285</v>
      </c>
      <c r="Q1408" s="2" t="s">
        <v>206</v>
      </c>
      <c r="R1408" s="2" t="s">
        <v>200</v>
      </c>
      <c r="S1408" s="2" t="s">
        <v>200</v>
      </c>
      <c r="T1408" s="2" t="s">
        <v>200</v>
      </c>
      <c r="U1408" s="2" t="s">
        <v>677</v>
      </c>
      <c r="V1408" s="2" t="s">
        <v>616</v>
      </c>
      <c r="W1408" s="2" t="s">
        <v>4808</v>
      </c>
      <c r="X1408" s="2" t="s">
        <v>200</v>
      </c>
      <c r="Y1408" s="2" t="s">
        <v>7594</v>
      </c>
      <c r="Z1408" s="4">
        <v>45</v>
      </c>
      <c r="AA1408" s="4">
        <f>=ROUNDDOWN(45,0)</f>
      </c>
      <c r="AB1408" s="5">
        <v>1</v>
      </c>
      <c r="AC1408" s="2" t="s">
        <v>200</v>
      </c>
      <c r="AD1408" s="4"/>
      <c r="AE1408" s="4"/>
      <c r="AF1408" s="6">
        <v>63</v>
      </c>
      <c r="AG1408" s="6"/>
      <c r="AH1408" s="7">
        <v>1</v>
      </c>
      <c r="AI1408" s="4"/>
      <c r="AJ1408" s="4">
        <f>=ROUNDDOWN({0},0)</f>
      </c>
      <c r="AK1408" s="5"/>
      <c r="AL1408" s="2" t="s">
        <v>200</v>
      </c>
      <c r="AM1408" s="4"/>
      <c r="AN1408" s="4"/>
      <c r="AO1408" s="7"/>
      <c r="AP1408" s="4"/>
      <c r="AQ1408" s="8"/>
      <c r="AR1408" s="4"/>
      <c r="AS1408" s="8"/>
      <c r="AT1408" s="7"/>
      <c r="AU1408" s="7"/>
      <c r="AV1408" s="4"/>
      <c r="AW1408" s="8"/>
      <c r="AX1408" s="4"/>
      <c r="AY1408" s="8"/>
      <c r="AZ1408" s="7"/>
      <c r="BA1408" s="7"/>
      <c r="BB1408" s="7"/>
      <c r="BC1408" s="4"/>
      <c r="BD1408" s="8"/>
      <c r="BE1408" s="4"/>
      <c r="BF1408" s="8"/>
      <c r="BG1408" s="7"/>
      <c r="BH1408" s="7"/>
      <c r="BI1408" s="7"/>
      <c r="BJ1408" s="4">
        <v>4</v>
      </c>
      <c r="BK1408" s="8">
        <v>299.56</v>
      </c>
      <c r="BL1408" s="2" t="s">
        <v>4439</v>
      </c>
      <c r="BM1408" s="7"/>
      <c r="BN1408" s="7"/>
      <c r="BO1408" s="4"/>
      <c r="BP1408" s="8"/>
      <c r="BQ1408" s="4"/>
      <c r="BR1408" s="8"/>
      <c r="BS1408" s="7"/>
      <c r="BT1408" s="7"/>
      <c r="BU1408" s="2" t="s">
        <v>7595</v>
      </c>
      <c r="BV1408" s="2" t="s">
        <v>200</v>
      </c>
      <c r="BW1408" s="2" t="s">
        <v>200</v>
      </c>
      <c r="BX1408" s="2" t="s">
        <v>289</v>
      </c>
      <c r="BY1408" s="2" t="s">
        <v>247</v>
      </c>
      <c r="BZ1408" s="2" t="s">
        <v>212</v>
      </c>
      <c r="CA1408" s="2" t="s">
        <v>7596</v>
      </c>
      <c r="CB1408" s="2" t="s">
        <v>200</v>
      </c>
      <c r="CC1408" s="2" t="s">
        <v>213</v>
      </c>
      <c r="CD1408" s="2" t="s">
        <v>200</v>
      </c>
      <c r="CE1408" s="4"/>
      <c r="CF1408" s="4">
        <v>45</v>
      </c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E1408" s="4"/>
      <c r="DF1408" s="4"/>
      <c r="DG1408" s="4"/>
      <c r="DH1408" s="4"/>
      <c r="DI1408" s="4"/>
      <c r="DJ1408" s="4"/>
      <c r="DK1408" s="4"/>
      <c r="DL1408" s="4"/>
      <c r="DM1408" s="4"/>
      <c r="DN1408" s="4"/>
      <c r="DO1408" s="4"/>
      <c r="DP1408" s="4"/>
      <c r="DQ1408" s="4"/>
      <c r="DR1408" s="4"/>
      <c r="DS1408" s="4"/>
      <c r="DT1408" s="4"/>
      <c r="DU1408" s="4"/>
      <c r="DV1408" s="4"/>
      <c r="DW1408" s="4"/>
      <c r="DX1408" s="4"/>
      <c r="DY1408" s="4"/>
      <c r="DZ1408" s="4"/>
      <c r="EA1408" s="4"/>
      <c r="EB1408" s="4"/>
      <c r="EC1408" s="4"/>
      <c r="ED1408" s="4"/>
      <c r="EE1408" s="4"/>
      <c r="EF1408" s="4"/>
      <c r="EG1408" s="4"/>
      <c r="EH1408" s="4"/>
      <c r="EI1408" s="4"/>
      <c r="EJ1408" s="4"/>
      <c r="EK1408" s="4"/>
      <c r="EL1408" s="4"/>
      <c r="EM1408" s="4"/>
      <c r="EN1408" s="4"/>
      <c r="EO1408" s="4"/>
      <c r="EP1408" s="4"/>
      <c r="EQ1408" s="4"/>
      <c r="ER1408" s="4"/>
      <c r="ES1408" s="4"/>
      <c r="ET1408" s="4"/>
      <c r="EU1408" s="4"/>
      <c r="EV1408" s="4"/>
      <c r="EW1408" s="4"/>
      <c r="EX1408" s="4"/>
      <c r="EY1408" s="4"/>
      <c r="EZ1408" s="4"/>
      <c r="FA1408" s="4"/>
      <c r="FB1408" s="4"/>
      <c r="FC1408" s="4"/>
      <c r="FD1408" s="4"/>
      <c r="FE1408" s="4"/>
      <c r="FF1408" s="4"/>
      <c r="FG1408" s="4"/>
      <c r="FH1408" s="4"/>
      <c r="FI1408" s="4"/>
      <c r="FJ1408" s="4"/>
      <c r="FK1408" s="4"/>
      <c r="FL1408" s="4"/>
      <c r="FM1408" s="4"/>
      <c r="FN1408" s="4"/>
      <c r="FO1408" s="4"/>
      <c r="FP1408" s="4"/>
      <c r="FQ1408" s="4"/>
      <c r="FR1408" s="4"/>
      <c r="FS1408" s="4"/>
      <c r="FT1408" s="4"/>
      <c r="FU1408" s="4"/>
      <c r="FV1408" s="4"/>
      <c r="FW1408" s="4"/>
      <c r="FX1408" s="4"/>
      <c r="FY1408" s="4"/>
      <c r="FZ1408" s="4"/>
      <c r="GA1408" s="4"/>
      <c r="GB1408" s="4"/>
      <c r="GC1408" s="4"/>
      <c r="GD1408" s="4"/>
      <c r="GE1408" s="4"/>
      <c r="GF1408" s="4"/>
      <c r="GG1408" s="4"/>
      <c r="GH1408" s="4"/>
    </row>
    <row r="1409">
      <c r="A1409" s="2" t="s">
        <v>7597</v>
      </c>
      <c r="B1409" s="2" t="s">
        <v>903</v>
      </c>
      <c r="C1409" s="2" t="s">
        <v>231</v>
      </c>
      <c r="D1409" s="2" t="s">
        <v>1818</v>
      </c>
      <c r="E1409" s="2" t="s">
        <v>2000</v>
      </c>
      <c r="F1409" s="2" t="s">
        <v>7598</v>
      </c>
      <c r="G1409" s="2" t="s">
        <v>7599</v>
      </c>
      <c r="H1409" s="2" t="s">
        <v>7600</v>
      </c>
      <c r="I1409" s="2" t="s">
        <v>7180</v>
      </c>
      <c r="J1409" s="2" t="s">
        <v>924</v>
      </c>
      <c r="K1409" s="2" t="s">
        <v>7601</v>
      </c>
      <c r="L1409" s="3">
        <v>39.69</v>
      </c>
      <c r="M1409" s="3">
        <v>41.67</v>
      </c>
      <c r="N1409" s="3">
        <v>79.99</v>
      </c>
      <c r="O1409" s="2" t="s">
        <v>212</v>
      </c>
      <c r="P1409" s="2" t="s">
        <v>205</v>
      </c>
      <c r="Q1409" s="2" t="s">
        <v>206</v>
      </c>
      <c r="R1409" s="2" t="s">
        <v>200</v>
      </c>
      <c r="S1409" s="2" t="s">
        <v>7602</v>
      </c>
      <c r="T1409" s="2" t="s">
        <v>378</v>
      </c>
      <c r="U1409" s="2" t="s">
        <v>454</v>
      </c>
      <c r="V1409" s="2" t="s">
        <v>1348</v>
      </c>
      <c r="W1409" s="2" t="s">
        <v>736</v>
      </c>
      <c r="X1409" s="2" t="s">
        <v>241</v>
      </c>
      <c r="Y1409" s="2" t="s">
        <v>1417</v>
      </c>
      <c r="Z1409" s="4">
        <v>138</v>
      </c>
      <c r="AA1409" s="4">
        <f>=ROUNDDOWN(13.8,0)</f>
      </c>
      <c r="AB1409" s="5">
        <v>10</v>
      </c>
      <c r="AC1409" s="2" t="s">
        <v>553</v>
      </c>
      <c r="AD1409" s="4">
        <v>120</v>
      </c>
      <c r="AE1409" s="4">
        <v>120</v>
      </c>
      <c r="AF1409" s="6">
        <v>65</v>
      </c>
      <c r="AG1409" s="6"/>
      <c r="AH1409" s="7">
        <v>1</v>
      </c>
      <c r="AI1409" s="4"/>
      <c r="AJ1409" s="4">
        <f>=ROUNDDOWN({0},0)</f>
      </c>
      <c r="AK1409" s="5"/>
      <c r="AL1409" s="2" t="s">
        <v>200</v>
      </c>
      <c r="AM1409" s="4"/>
      <c r="AN1409" s="4"/>
      <c r="AO1409" s="7"/>
      <c r="AP1409" s="4"/>
      <c r="AQ1409" s="8"/>
      <c r="AR1409" s="4"/>
      <c r="AS1409" s="8"/>
      <c r="AT1409" s="7"/>
      <c r="AU1409" s="7"/>
      <c r="AV1409" s="4"/>
      <c r="AW1409" s="8"/>
      <c r="AX1409" s="4"/>
      <c r="AY1409" s="8"/>
      <c r="AZ1409" s="7"/>
      <c r="BA1409" s="7"/>
      <c r="BB1409" s="7"/>
      <c r="BC1409" s="4" t="s">
        <v>200</v>
      </c>
      <c r="BD1409" s="8" t="s">
        <v>200</v>
      </c>
      <c r="BE1409" s="4" t="s">
        <v>200</v>
      </c>
      <c r="BF1409" s="8" t="s">
        <v>200</v>
      </c>
      <c r="BG1409" s="7" t="s">
        <v>200</v>
      </c>
      <c r="BH1409" s="7" t="s">
        <v>200</v>
      </c>
      <c r="BI1409" s="7"/>
      <c r="BJ1409" s="4">
        <v>126</v>
      </c>
      <c r="BK1409" s="8">
        <v>5078.92</v>
      </c>
      <c r="BL1409" s="2" t="s">
        <v>7199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7603</v>
      </c>
      <c r="BV1409" s="2" t="s">
        <v>200</v>
      </c>
      <c r="BW1409" s="2" t="s">
        <v>200</v>
      </c>
      <c r="BX1409" s="2" t="s">
        <v>264</v>
      </c>
      <c r="BY1409" s="2" t="s">
        <v>247</v>
      </c>
      <c r="BZ1409" s="2" t="s">
        <v>212</v>
      </c>
      <c r="CA1409" s="2" t="s">
        <v>1294</v>
      </c>
      <c r="CB1409" s="2" t="s">
        <v>5016</v>
      </c>
      <c r="CC1409" s="2" t="s">
        <v>213</v>
      </c>
      <c r="CD1409" s="2" t="s">
        <v>200</v>
      </c>
      <c r="CE1409" s="4">
        <v>4</v>
      </c>
      <c r="CF1409" s="4">
        <v>134</v>
      </c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  <c r="DE1409" s="4"/>
      <c r="DF1409" s="4"/>
      <c r="DG1409" s="4"/>
      <c r="DH1409" s="4"/>
      <c r="DI1409" s="4"/>
      <c r="DJ1409" s="4"/>
      <c r="DK1409" s="4"/>
      <c r="DL1409" s="4"/>
      <c r="DM1409" s="4"/>
      <c r="DN1409" s="4"/>
      <c r="DO1409" s="4"/>
      <c r="DP1409" s="4"/>
      <c r="DQ1409" s="4"/>
      <c r="DR1409" s="4"/>
      <c r="DS1409" s="4"/>
      <c r="DT1409" s="4"/>
      <c r="DU1409" s="4"/>
      <c r="DV1409" s="4"/>
      <c r="DW1409" s="4"/>
      <c r="DX1409" s="4"/>
      <c r="DY1409" s="4"/>
      <c r="DZ1409" s="4"/>
      <c r="EA1409" s="4"/>
      <c r="EB1409" s="4"/>
      <c r="EC1409" s="4"/>
      <c r="ED1409" s="4"/>
      <c r="EE1409" s="4"/>
      <c r="EF1409" s="4"/>
      <c r="EG1409" s="4"/>
      <c r="EH1409" s="4"/>
      <c r="EI1409" s="4"/>
      <c r="EJ1409" s="4"/>
      <c r="EK1409" s="4"/>
      <c r="EL1409" s="4"/>
      <c r="EM1409" s="4"/>
      <c r="EN1409" s="4"/>
      <c r="EO1409" s="4"/>
      <c r="EP1409" s="4"/>
      <c r="EQ1409" s="4"/>
      <c r="ER1409" s="4"/>
      <c r="ES1409" s="4"/>
      <c r="ET1409" s="4"/>
      <c r="EU1409" s="4"/>
      <c r="EV1409" s="4"/>
      <c r="EW1409" s="4"/>
      <c r="EX1409" s="4"/>
      <c r="EY1409" s="4"/>
      <c r="EZ1409" s="4"/>
      <c r="FA1409" s="4"/>
      <c r="FB1409" s="4"/>
      <c r="FC1409" s="4"/>
      <c r="FD1409" s="4"/>
      <c r="FE1409" s="4"/>
      <c r="FF1409" s="4"/>
      <c r="FG1409" s="4"/>
      <c r="FH1409" s="4"/>
      <c r="FI1409" s="4">
        <v>120</v>
      </c>
      <c r="FJ1409" s="4"/>
      <c r="FK1409" s="4"/>
      <c r="FL1409" s="4"/>
      <c r="FM1409" s="4"/>
      <c r="FN1409" s="4"/>
      <c r="FO1409" s="4"/>
      <c r="FP1409" s="4"/>
      <c r="FQ1409" s="4"/>
      <c r="FR1409" s="4"/>
      <c r="FS1409" s="4"/>
      <c r="FT1409" s="4"/>
      <c r="FU1409" s="4"/>
      <c r="FV1409" s="4"/>
      <c r="FW1409" s="4"/>
      <c r="FX1409" s="4"/>
      <c r="FY1409" s="4"/>
      <c r="FZ1409" s="4"/>
      <c r="GA1409" s="4"/>
      <c r="GB1409" s="4"/>
      <c r="GC1409" s="4"/>
      <c r="GD1409" s="4"/>
      <c r="GE1409" s="4"/>
      <c r="GF1409" s="4"/>
      <c r="GG1409" s="4"/>
      <c r="GH1409" s="4"/>
    </row>
    <row r="1410">
      <c r="A1410" s="2" t="s">
        <v>7604</v>
      </c>
      <c r="B1410" s="2" t="s">
        <v>903</v>
      </c>
      <c r="C1410" s="2" t="s">
        <v>231</v>
      </c>
      <c r="D1410" s="2" t="s">
        <v>1818</v>
      </c>
      <c r="E1410" s="2" t="s">
        <v>2000</v>
      </c>
      <c r="F1410" s="2" t="s">
        <v>7598</v>
      </c>
      <c r="G1410" s="2" t="s">
        <v>7599</v>
      </c>
      <c r="H1410" s="2" t="s">
        <v>7600</v>
      </c>
      <c r="I1410" s="2" t="s">
        <v>7180</v>
      </c>
      <c r="J1410" s="2" t="s">
        <v>612</v>
      </c>
      <c r="K1410" s="2" t="s">
        <v>7605</v>
      </c>
      <c r="L1410" s="3">
        <v>34.55</v>
      </c>
      <c r="M1410" s="3">
        <v>36.28</v>
      </c>
      <c r="N1410" s="3">
        <v>69.99</v>
      </c>
      <c r="O1410" s="2" t="s">
        <v>212</v>
      </c>
      <c r="P1410" s="2" t="s">
        <v>205</v>
      </c>
      <c r="Q1410" s="2" t="s">
        <v>206</v>
      </c>
      <c r="R1410" s="2" t="s">
        <v>200</v>
      </c>
      <c r="S1410" s="2" t="s">
        <v>7602</v>
      </c>
      <c r="T1410" s="2" t="s">
        <v>378</v>
      </c>
      <c r="U1410" s="2" t="s">
        <v>454</v>
      </c>
      <c r="V1410" s="2" t="s">
        <v>1348</v>
      </c>
      <c r="W1410" s="2" t="s">
        <v>736</v>
      </c>
      <c r="X1410" s="2" t="s">
        <v>241</v>
      </c>
      <c r="Y1410" s="2" t="s">
        <v>1417</v>
      </c>
      <c r="Z1410" s="4">
        <v>261</v>
      </c>
      <c r="AA1410" s="4">
        <f>=ROUNDDOWN(52.2,0)</f>
      </c>
      <c r="AB1410" s="5">
        <v>5</v>
      </c>
      <c r="AC1410" s="2" t="s">
        <v>200</v>
      </c>
      <c r="AD1410" s="4"/>
      <c r="AE1410" s="4"/>
      <c r="AF1410" s="6">
        <v>65</v>
      </c>
      <c r="AG1410" s="6"/>
      <c r="AH1410" s="7">
        <v>1</v>
      </c>
      <c r="AI1410" s="4"/>
      <c r="AJ1410" s="4">
        <f>=ROUNDDOWN({0},0)</f>
      </c>
      <c r="AK1410" s="5"/>
      <c r="AL1410" s="2" t="s">
        <v>200</v>
      </c>
      <c r="AM1410" s="4"/>
      <c r="AN1410" s="4"/>
      <c r="AO1410" s="7"/>
      <c r="AP1410" s="4"/>
      <c r="AQ1410" s="8"/>
      <c r="AR1410" s="4"/>
      <c r="AS1410" s="8"/>
      <c r="AT1410" s="7"/>
      <c r="AU1410" s="7"/>
      <c r="AV1410" s="4"/>
      <c r="AW1410" s="8"/>
      <c r="AX1410" s="4"/>
      <c r="AY1410" s="8"/>
      <c r="AZ1410" s="7"/>
      <c r="BA1410" s="7"/>
      <c r="BB1410" s="7"/>
      <c r="BC1410" s="4" t="s">
        <v>200</v>
      </c>
      <c r="BD1410" s="8" t="s">
        <v>200</v>
      </c>
      <c r="BE1410" s="4" t="s">
        <v>200</v>
      </c>
      <c r="BF1410" s="8" t="s">
        <v>200</v>
      </c>
      <c r="BG1410" s="7" t="s">
        <v>200</v>
      </c>
      <c r="BH1410" s="7" t="s">
        <v>200</v>
      </c>
      <c r="BI1410" s="7"/>
      <c r="BJ1410" s="4">
        <v>43</v>
      </c>
      <c r="BK1410" s="8">
        <v>1544.07</v>
      </c>
      <c r="BL1410" s="2" t="s">
        <v>370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7606</v>
      </c>
      <c r="BV1410" s="2" t="s">
        <v>200</v>
      </c>
      <c r="BW1410" s="2" t="s">
        <v>200</v>
      </c>
      <c r="BX1410" s="2" t="s">
        <v>264</v>
      </c>
      <c r="BY1410" s="2" t="s">
        <v>247</v>
      </c>
      <c r="BZ1410" s="2" t="s">
        <v>212</v>
      </c>
      <c r="CA1410" s="2" t="s">
        <v>1294</v>
      </c>
      <c r="CB1410" s="2" t="s">
        <v>2996</v>
      </c>
      <c r="CC1410" s="2" t="s">
        <v>213</v>
      </c>
      <c r="CD1410" s="2" t="s">
        <v>200</v>
      </c>
      <c r="CE1410" s="4">
        <v>145</v>
      </c>
      <c r="CF1410" s="4">
        <v>116</v>
      </c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  <c r="DE1410" s="4"/>
      <c r="DF1410" s="4"/>
      <c r="DG1410" s="4"/>
      <c r="DH1410" s="4"/>
      <c r="DI1410" s="4"/>
      <c r="DJ1410" s="4"/>
      <c r="DK1410" s="4"/>
      <c r="DL1410" s="4"/>
      <c r="DM1410" s="4"/>
      <c r="DN1410" s="4"/>
      <c r="DO1410" s="4"/>
      <c r="DP1410" s="4"/>
      <c r="DQ1410" s="4"/>
      <c r="DR1410" s="4"/>
      <c r="DS1410" s="4"/>
      <c r="DT1410" s="4"/>
      <c r="DU1410" s="4"/>
      <c r="DV1410" s="4"/>
      <c r="DW1410" s="4"/>
      <c r="DX1410" s="4"/>
      <c r="DY1410" s="4"/>
      <c r="DZ1410" s="4"/>
      <c r="EA1410" s="4"/>
      <c r="EB1410" s="4"/>
      <c r="EC1410" s="4"/>
      <c r="ED1410" s="4"/>
      <c r="EE1410" s="4"/>
      <c r="EF1410" s="4"/>
      <c r="EG1410" s="4"/>
      <c r="EH1410" s="4"/>
      <c r="EI1410" s="4"/>
      <c r="EJ1410" s="4"/>
      <c r="EK1410" s="4"/>
      <c r="EL1410" s="4"/>
      <c r="EM1410" s="4"/>
      <c r="EN1410" s="4"/>
      <c r="EO1410" s="4"/>
      <c r="EP1410" s="4"/>
      <c r="EQ1410" s="4"/>
      <c r="ER1410" s="4"/>
      <c r="ES1410" s="4"/>
      <c r="ET1410" s="4"/>
      <c r="EU1410" s="4"/>
      <c r="EV1410" s="4"/>
      <c r="EW1410" s="4"/>
      <c r="EX1410" s="4"/>
      <c r="EY1410" s="4"/>
      <c r="EZ1410" s="4"/>
      <c r="FA1410" s="4"/>
      <c r="FB1410" s="4"/>
      <c r="FC1410" s="4"/>
      <c r="FD1410" s="4"/>
      <c r="FE1410" s="4"/>
      <c r="FF1410" s="4"/>
      <c r="FG1410" s="4"/>
      <c r="FH1410" s="4"/>
      <c r="FI1410" s="4"/>
      <c r="FJ1410" s="4"/>
      <c r="FK1410" s="4"/>
      <c r="FL1410" s="4"/>
      <c r="FM1410" s="4"/>
      <c r="FN1410" s="4"/>
      <c r="FO1410" s="4"/>
      <c r="FP1410" s="4"/>
      <c r="FQ1410" s="4"/>
      <c r="FR1410" s="4"/>
      <c r="FS1410" s="4"/>
      <c r="FT1410" s="4"/>
      <c r="FU1410" s="4"/>
      <c r="FV1410" s="4"/>
      <c r="FW1410" s="4"/>
      <c r="FX1410" s="4"/>
      <c r="FY1410" s="4"/>
      <c r="FZ1410" s="4"/>
      <c r="GA1410" s="4"/>
      <c r="GB1410" s="4"/>
      <c r="GC1410" s="4"/>
      <c r="GD1410" s="4"/>
      <c r="GE1410" s="4"/>
      <c r="GF1410" s="4"/>
      <c r="GG1410" s="4"/>
      <c r="GH1410" s="4"/>
    </row>
    <row r="1411">
      <c r="A1411" s="2" t="s">
        <v>7607</v>
      </c>
      <c r="B1411" s="2" t="s">
        <v>903</v>
      </c>
      <c r="C1411" s="2" t="s">
        <v>231</v>
      </c>
      <c r="D1411" s="2" t="s">
        <v>1818</v>
      </c>
      <c r="E1411" s="2" t="s">
        <v>2000</v>
      </c>
      <c r="F1411" s="2" t="s">
        <v>7598</v>
      </c>
      <c r="G1411" s="2" t="s">
        <v>7599</v>
      </c>
      <c r="H1411" s="2" t="s">
        <v>7600</v>
      </c>
      <c r="I1411" s="2" t="s">
        <v>7180</v>
      </c>
      <c r="J1411" s="2" t="s">
        <v>612</v>
      </c>
      <c r="K1411" s="2" t="s">
        <v>857</v>
      </c>
      <c r="L1411" s="3">
        <v>34.55</v>
      </c>
      <c r="M1411" s="3">
        <v>36.28</v>
      </c>
      <c r="N1411" s="3">
        <v>69.99</v>
      </c>
      <c r="O1411" s="2" t="s">
        <v>212</v>
      </c>
      <c r="P1411" s="2" t="s">
        <v>258</v>
      </c>
      <c r="Q1411" s="2" t="s">
        <v>206</v>
      </c>
      <c r="R1411" s="2" t="s">
        <v>200</v>
      </c>
      <c r="S1411" s="2" t="s">
        <v>7608</v>
      </c>
      <c r="T1411" s="2" t="s">
        <v>378</v>
      </c>
      <c r="U1411" s="2" t="s">
        <v>454</v>
      </c>
      <c r="V1411" s="2" t="s">
        <v>1348</v>
      </c>
      <c r="W1411" s="2" t="s">
        <v>736</v>
      </c>
      <c r="X1411" s="2" t="s">
        <v>241</v>
      </c>
      <c r="Y1411" s="2" t="s">
        <v>261</v>
      </c>
      <c r="Z1411" s="4">
        <v>1009</v>
      </c>
      <c r="AA1411" s="4">
        <f>=ROUNDDOWN(38.8076923076923,0)</f>
      </c>
      <c r="AB1411" s="5">
        <v>26</v>
      </c>
      <c r="AC1411" s="2" t="s">
        <v>200</v>
      </c>
      <c r="AD1411" s="4"/>
      <c r="AE1411" s="4"/>
      <c r="AF1411" s="6">
        <v>65</v>
      </c>
      <c r="AG1411" s="6">
        <v>48</v>
      </c>
      <c r="AH1411" s="7">
        <v>1</v>
      </c>
      <c r="AI1411" s="4"/>
      <c r="AJ1411" s="4">
        <f>=ROUNDDOWN({0},0)</f>
      </c>
      <c r="AK1411" s="5"/>
      <c r="AL1411" s="2" t="s">
        <v>200</v>
      </c>
      <c r="AM1411" s="4"/>
      <c r="AN1411" s="4"/>
      <c r="AO1411" s="7"/>
      <c r="AP1411" s="4"/>
      <c r="AQ1411" s="8"/>
      <c r="AR1411" s="4"/>
      <c r="AS1411" s="8"/>
      <c r="AT1411" s="7"/>
      <c r="AU1411" s="7"/>
      <c r="AV1411" s="4"/>
      <c r="AW1411" s="8"/>
      <c r="AX1411" s="4"/>
      <c r="AY1411" s="8"/>
      <c r="AZ1411" s="7"/>
      <c r="BA1411" s="7"/>
      <c r="BB1411" s="7"/>
      <c r="BC1411" s="4" t="s">
        <v>200</v>
      </c>
      <c r="BD1411" s="8" t="s">
        <v>200</v>
      </c>
      <c r="BE1411" s="4" t="s">
        <v>200</v>
      </c>
      <c r="BF1411" s="8" t="s">
        <v>200</v>
      </c>
      <c r="BG1411" s="7" t="s">
        <v>200</v>
      </c>
      <c r="BH1411" s="7" t="s">
        <v>200</v>
      </c>
      <c r="BI1411" s="7"/>
      <c r="BJ1411" s="4">
        <v>98</v>
      </c>
      <c r="BK1411" s="8">
        <v>3786.84</v>
      </c>
      <c r="BL1411" s="2" t="s">
        <v>7609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7610</v>
      </c>
      <c r="BV1411" s="2" t="s">
        <v>200</v>
      </c>
      <c r="BW1411" s="2" t="s">
        <v>200</v>
      </c>
      <c r="BX1411" s="2" t="s">
        <v>264</v>
      </c>
      <c r="BY1411" s="2" t="s">
        <v>247</v>
      </c>
      <c r="BZ1411" s="2" t="s">
        <v>212</v>
      </c>
      <c r="CA1411" s="2" t="s">
        <v>265</v>
      </c>
      <c r="CB1411" s="2" t="s">
        <v>1108</v>
      </c>
      <c r="CC1411" s="2" t="s">
        <v>213</v>
      </c>
      <c r="CD1411" s="2" t="s">
        <v>200</v>
      </c>
      <c r="CE1411" s="4">
        <v>149</v>
      </c>
      <c r="CF1411" s="4">
        <v>411</v>
      </c>
      <c r="CG1411" s="4"/>
      <c r="CH1411" s="4">
        <v>259</v>
      </c>
      <c r="CI1411" s="4"/>
      <c r="CJ1411" s="4"/>
      <c r="CK1411" s="4"/>
      <c r="CL1411" s="4"/>
      <c r="CM1411" s="4"/>
      <c r="CN1411" s="4"/>
      <c r="CO1411" s="4">
        <v>190</v>
      </c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  <c r="DD1411" s="4"/>
      <c r="DE1411" s="4"/>
      <c r="DF1411" s="4"/>
      <c r="DG1411" s="4"/>
      <c r="DH1411" s="4"/>
      <c r="DI1411" s="4"/>
      <c r="DJ1411" s="4"/>
      <c r="DK1411" s="4"/>
      <c r="DL1411" s="4"/>
      <c r="DM1411" s="4"/>
      <c r="DN1411" s="4"/>
      <c r="DO1411" s="4"/>
      <c r="DP1411" s="4"/>
      <c r="DQ1411" s="4"/>
      <c r="DR1411" s="4"/>
      <c r="DS1411" s="4"/>
      <c r="DT1411" s="4"/>
      <c r="DU1411" s="4"/>
      <c r="DV1411" s="4"/>
      <c r="DW1411" s="4"/>
      <c r="DX1411" s="4"/>
      <c r="DY1411" s="4"/>
      <c r="DZ1411" s="4"/>
      <c r="EA1411" s="4"/>
      <c r="EB1411" s="4"/>
      <c r="EC1411" s="4"/>
      <c r="ED1411" s="4"/>
      <c r="EE1411" s="4"/>
      <c r="EF1411" s="4"/>
      <c r="EG1411" s="4"/>
      <c r="EH1411" s="4"/>
      <c r="EI1411" s="4"/>
      <c r="EJ1411" s="4"/>
      <c r="EK1411" s="4"/>
      <c r="EL1411" s="4"/>
      <c r="EM1411" s="4"/>
      <c r="EN1411" s="4"/>
      <c r="EO1411" s="4"/>
      <c r="EP1411" s="4"/>
      <c r="EQ1411" s="4"/>
      <c r="ER1411" s="4"/>
      <c r="ES1411" s="4"/>
      <c r="ET1411" s="4"/>
      <c r="EU1411" s="4"/>
      <c r="EV1411" s="4"/>
      <c r="EW1411" s="4"/>
      <c r="EX1411" s="4"/>
      <c r="EY1411" s="4"/>
      <c r="EZ1411" s="4"/>
      <c r="FA1411" s="4"/>
      <c r="FB1411" s="4"/>
      <c r="FC1411" s="4"/>
      <c r="FD1411" s="4"/>
      <c r="FE1411" s="4"/>
      <c r="FF1411" s="4"/>
      <c r="FG1411" s="4"/>
      <c r="FH1411" s="4"/>
      <c r="FI1411" s="4"/>
      <c r="FJ1411" s="4"/>
      <c r="FK1411" s="4"/>
      <c r="FL1411" s="4"/>
      <c r="FM1411" s="4"/>
      <c r="FN1411" s="4"/>
      <c r="FO1411" s="4"/>
      <c r="FP1411" s="4"/>
      <c r="FQ1411" s="4"/>
      <c r="FR1411" s="4"/>
      <c r="FS1411" s="4"/>
      <c r="FT1411" s="4"/>
      <c r="FU1411" s="4"/>
      <c r="FV1411" s="4"/>
      <c r="FW1411" s="4"/>
      <c r="FX1411" s="4"/>
      <c r="FY1411" s="4"/>
      <c r="FZ1411" s="4"/>
      <c r="GA1411" s="4"/>
      <c r="GB1411" s="4"/>
      <c r="GC1411" s="4"/>
      <c r="GD1411" s="4"/>
      <c r="GE1411" s="4"/>
      <c r="GF1411" s="4"/>
      <c r="GG1411" s="4"/>
      <c r="GH1411" s="4"/>
    </row>
    <row r="1412">
      <c r="A1412" s="2" t="s">
        <v>7611</v>
      </c>
      <c r="B1412" s="2" t="s">
        <v>903</v>
      </c>
      <c r="C1412" s="2" t="s">
        <v>231</v>
      </c>
      <c r="D1412" s="2" t="s">
        <v>1818</v>
      </c>
      <c r="E1412" s="2" t="s">
        <v>2000</v>
      </c>
      <c r="F1412" s="2" t="s">
        <v>7598</v>
      </c>
      <c r="G1412" s="2" t="s">
        <v>7599</v>
      </c>
      <c r="H1412" s="2" t="s">
        <v>7600</v>
      </c>
      <c r="I1412" s="2" t="s">
        <v>7180</v>
      </c>
      <c r="J1412" s="2" t="s">
        <v>924</v>
      </c>
      <c r="K1412" s="2" t="s">
        <v>539</v>
      </c>
      <c r="L1412" s="3">
        <v>39.69</v>
      </c>
      <c r="M1412" s="3">
        <v>41.67</v>
      </c>
      <c r="N1412" s="3">
        <v>79.99</v>
      </c>
      <c r="O1412" s="2" t="s">
        <v>212</v>
      </c>
      <c r="P1412" s="2" t="s">
        <v>1075</v>
      </c>
      <c r="Q1412" s="2" t="s">
        <v>206</v>
      </c>
      <c r="R1412" s="2" t="s">
        <v>200</v>
      </c>
      <c r="S1412" s="2" t="s">
        <v>7612</v>
      </c>
      <c r="T1412" s="2" t="s">
        <v>378</v>
      </c>
      <c r="U1412" s="2" t="s">
        <v>454</v>
      </c>
      <c r="V1412" s="2" t="s">
        <v>1348</v>
      </c>
      <c r="W1412" s="2" t="s">
        <v>736</v>
      </c>
      <c r="X1412" s="2" t="s">
        <v>241</v>
      </c>
      <c r="Y1412" s="2" t="s">
        <v>261</v>
      </c>
      <c r="Z1412" s="4">
        <v>925</v>
      </c>
      <c r="AA1412" s="4">
        <f>=ROUNDDOWN(44.0476190476191,0)</f>
      </c>
      <c r="AB1412" s="5">
        <v>21</v>
      </c>
      <c r="AC1412" s="2" t="s">
        <v>200</v>
      </c>
      <c r="AD1412" s="4"/>
      <c r="AE1412" s="4"/>
      <c r="AF1412" s="6">
        <v>65</v>
      </c>
      <c r="AG1412" s="6">
        <v>48</v>
      </c>
      <c r="AH1412" s="7">
        <v>1</v>
      </c>
      <c r="AI1412" s="4"/>
      <c r="AJ1412" s="4">
        <f>=ROUNDDOWN({0},0)</f>
      </c>
      <c r="AK1412" s="5"/>
      <c r="AL1412" s="2" t="s">
        <v>200</v>
      </c>
      <c r="AM1412" s="4"/>
      <c r="AN1412" s="4"/>
      <c r="AO1412" s="7"/>
      <c r="AP1412" s="4"/>
      <c r="AQ1412" s="8"/>
      <c r="AR1412" s="4"/>
      <c r="AS1412" s="8"/>
      <c r="AT1412" s="7"/>
      <c r="AU1412" s="7"/>
      <c r="AV1412" s="4"/>
      <c r="AW1412" s="8"/>
      <c r="AX1412" s="4"/>
      <c r="AY1412" s="8"/>
      <c r="AZ1412" s="7"/>
      <c r="BA1412" s="7"/>
      <c r="BB1412" s="7"/>
      <c r="BC1412" s="4" t="s">
        <v>200</v>
      </c>
      <c r="BD1412" s="8" t="s">
        <v>200</v>
      </c>
      <c r="BE1412" s="4" t="s">
        <v>200</v>
      </c>
      <c r="BF1412" s="8" t="s">
        <v>200</v>
      </c>
      <c r="BG1412" s="7" t="s">
        <v>200</v>
      </c>
      <c r="BH1412" s="7" t="s">
        <v>200</v>
      </c>
      <c r="BI1412" s="7"/>
      <c r="BJ1412" s="4">
        <v>99</v>
      </c>
      <c r="BK1412" s="8">
        <v>4152.34</v>
      </c>
      <c r="BL1412" s="2" t="s">
        <v>7613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7614</v>
      </c>
      <c r="BV1412" s="2" t="s">
        <v>200</v>
      </c>
      <c r="BW1412" s="2" t="s">
        <v>200</v>
      </c>
      <c r="BX1412" s="2" t="s">
        <v>264</v>
      </c>
      <c r="BY1412" s="2" t="s">
        <v>247</v>
      </c>
      <c r="BZ1412" s="2" t="s">
        <v>212</v>
      </c>
      <c r="CA1412" s="2" t="s">
        <v>265</v>
      </c>
      <c r="CB1412" s="2" t="s">
        <v>1108</v>
      </c>
      <c r="CC1412" s="2" t="s">
        <v>213</v>
      </c>
      <c r="CD1412" s="2" t="s">
        <v>200</v>
      </c>
      <c r="CE1412" s="4">
        <v>586</v>
      </c>
      <c r="CF1412" s="4"/>
      <c r="CG1412" s="4"/>
      <c r="CH1412" s="4">
        <v>249</v>
      </c>
      <c r="CI1412" s="4"/>
      <c r="CJ1412" s="4"/>
      <c r="CK1412" s="4"/>
      <c r="CL1412" s="4"/>
      <c r="CM1412" s="4"/>
      <c r="CN1412" s="4"/>
      <c r="CO1412" s="4">
        <v>90</v>
      </c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/>
      <c r="DC1412" s="4"/>
      <c r="DD1412" s="4"/>
      <c r="DE1412" s="4"/>
      <c r="DF1412" s="4"/>
      <c r="DG1412" s="4"/>
      <c r="DH1412" s="4"/>
      <c r="DI1412" s="4"/>
      <c r="DJ1412" s="4"/>
      <c r="DK1412" s="4"/>
      <c r="DL1412" s="4"/>
      <c r="DM1412" s="4"/>
      <c r="DN1412" s="4"/>
      <c r="DO1412" s="4"/>
      <c r="DP1412" s="4"/>
      <c r="DQ1412" s="4"/>
      <c r="DR1412" s="4"/>
      <c r="DS1412" s="4"/>
      <c r="DT1412" s="4"/>
      <c r="DU1412" s="4"/>
      <c r="DV1412" s="4"/>
      <c r="DW1412" s="4"/>
      <c r="DX1412" s="4"/>
      <c r="DY1412" s="4"/>
      <c r="DZ1412" s="4"/>
      <c r="EA1412" s="4"/>
      <c r="EB1412" s="4"/>
      <c r="EC1412" s="4"/>
      <c r="ED1412" s="4"/>
      <c r="EE1412" s="4"/>
      <c r="EF1412" s="4"/>
      <c r="EG1412" s="4"/>
      <c r="EH1412" s="4"/>
      <c r="EI1412" s="4"/>
      <c r="EJ1412" s="4"/>
      <c r="EK1412" s="4"/>
      <c r="EL1412" s="4"/>
      <c r="EM1412" s="4"/>
      <c r="EN1412" s="4"/>
      <c r="EO1412" s="4"/>
      <c r="EP1412" s="4"/>
      <c r="EQ1412" s="4"/>
      <c r="ER1412" s="4"/>
      <c r="ES1412" s="4"/>
      <c r="ET1412" s="4"/>
      <c r="EU1412" s="4"/>
      <c r="EV1412" s="4"/>
      <c r="EW1412" s="4"/>
      <c r="EX1412" s="4"/>
      <c r="EY1412" s="4"/>
      <c r="EZ1412" s="4"/>
      <c r="FA1412" s="4"/>
      <c r="FB1412" s="4"/>
      <c r="FC1412" s="4"/>
      <c r="FD1412" s="4"/>
      <c r="FE1412" s="4"/>
      <c r="FF1412" s="4"/>
      <c r="FG1412" s="4"/>
      <c r="FH1412" s="4"/>
      <c r="FI1412" s="4"/>
      <c r="FJ1412" s="4"/>
      <c r="FK1412" s="4"/>
      <c r="FL1412" s="4"/>
      <c r="FM1412" s="4"/>
      <c r="FN1412" s="4"/>
      <c r="FO1412" s="4"/>
      <c r="FP1412" s="4"/>
      <c r="FQ1412" s="4"/>
      <c r="FR1412" s="4"/>
      <c r="FS1412" s="4"/>
      <c r="FT1412" s="4"/>
      <c r="FU1412" s="4"/>
      <c r="FV1412" s="4"/>
      <c r="FW1412" s="4"/>
      <c r="FX1412" s="4"/>
      <c r="FY1412" s="4"/>
      <c r="FZ1412" s="4"/>
      <c r="GA1412" s="4"/>
      <c r="GB1412" s="4"/>
      <c r="GC1412" s="4"/>
      <c r="GD1412" s="4"/>
      <c r="GE1412" s="4"/>
      <c r="GF1412" s="4"/>
      <c r="GG1412" s="4"/>
      <c r="GH1412" s="4"/>
    </row>
    <row r="1413">
      <c r="A1413" s="2" t="s">
        <v>7615</v>
      </c>
      <c r="B1413" s="2" t="s">
        <v>903</v>
      </c>
      <c r="C1413" s="2" t="s">
        <v>231</v>
      </c>
      <c r="D1413" s="2" t="s">
        <v>1818</v>
      </c>
      <c r="E1413" s="2" t="s">
        <v>2000</v>
      </c>
      <c r="F1413" s="2" t="s">
        <v>7598</v>
      </c>
      <c r="G1413" s="2" t="s">
        <v>7599</v>
      </c>
      <c r="H1413" s="2" t="s">
        <v>7600</v>
      </c>
      <c r="I1413" s="2" t="s">
        <v>7180</v>
      </c>
      <c r="J1413" s="2" t="s">
        <v>612</v>
      </c>
      <c r="K1413" s="2" t="s">
        <v>7616</v>
      </c>
      <c r="L1413" s="3">
        <v>34.55</v>
      </c>
      <c r="M1413" s="3">
        <v>36.28</v>
      </c>
      <c r="N1413" s="3">
        <v>69.99</v>
      </c>
      <c r="O1413" s="2" t="s">
        <v>212</v>
      </c>
      <c r="P1413" s="2" t="s">
        <v>1075</v>
      </c>
      <c r="Q1413" s="2" t="s">
        <v>206</v>
      </c>
      <c r="R1413" s="2" t="s">
        <v>200</v>
      </c>
      <c r="S1413" s="2" t="s">
        <v>7617</v>
      </c>
      <c r="T1413" s="2" t="s">
        <v>378</v>
      </c>
      <c r="U1413" s="2" t="s">
        <v>454</v>
      </c>
      <c r="V1413" s="2" t="s">
        <v>1348</v>
      </c>
      <c r="W1413" s="2" t="s">
        <v>736</v>
      </c>
      <c r="X1413" s="2" t="s">
        <v>241</v>
      </c>
      <c r="Y1413" s="2" t="s">
        <v>3540</v>
      </c>
      <c r="Z1413" s="4">
        <v>596</v>
      </c>
      <c r="AA1413" s="4">
        <f>=ROUNDDOWN(45.8461538461538,0)</f>
      </c>
      <c r="AB1413" s="5">
        <v>13</v>
      </c>
      <c r="AC1413" s="2" t="s">
        <v>200</v>
      </c>
      <c r="AD1413" s="4"/>
      <c r="AE1413" s="4"/>
      <c r="AF1413" s="6">
        <v>65</v>
      </c>
      <c r="AG1413" s="6">
        <v>48</v>
      </c>
      <c r="AH1413" s="7">
        <v>1</v>
      </c>
      <c r="AI1413" s="4"/>
      <c r="AJ1413" s="4">
        <f>=ROUNDDOWN({0},0)</f>
      </c>
      <c r="AK1413" s="5"/>
      <c r="AL1413" s="2" t="s">
        <v>200</v>
      </c>
      <c r="AM1413" s="4"/>
      <c r="AN1413" s="4"/>
      <c r="AO1413" s="7"/>
      <c r="AP1413" s="4"/>
      <c r="AQ1413" s="8"/>
      <c r="AR1413" s="4"/>
      <c r="AS1413" s="8"/>
      <c r="AT1413" s="7"/>
      <c r="AU1413" s="7"/>
      <c r="AV1413" s="4"/>
      <c r="AW1413" s="8"/>
      <c r="AX1413" s="4"/>
      <c r="AY1413" s="8"/>
      <c r="AZ1413" s="7"/>
      <c r="BA1413" s="7"/>
      <c r="BB1413" s="7"/>
      <c r="BC1413" s="4" t="s">
        <v>200</v>
      </c>
      <c r="BD1413" s="8" t="s">
        <v>200</v>
      </c>
      <c r="BE1413" s="4" t="s">
        <v>200</v>
      </c>
      <c r="BF1413" s="8" t="s">
        <v>200</v>
      </c>
      <c r="BG1413" s="7" t="s">
        <v>200</v>
      </c>
      <c r="BH1413" s="7" t="s">
        <v>200</v>
      </c>
      <c r="BI1413" s="7"/>
      <c r="BJ1413" s="4">
        <v>54</v>
      </c>
      <c r="BK1413" s="8">
        <v>1964.17</v>
      </c>
      <c r="BL1413" s="2" t="s">
        <v>7618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7619</v>
      </c>
      <c r="BV1413" s="2" t="s">
        <v>200</v>
      </c>
      <c r="BW1413" s="2" t="s">
        <v>200</v>
      </c>
      <c r="BX1413" s="2" t="s">
        <v>264</v>
      </c>
      <c r="BY1413" s="2" t="s">
        <v>247</v>
      </c>
      <c r="BZ1413" s="2" t="s">
        <v>212</v>
      </c>
      <c r="CA1413" s="2" t="s">
        <v>7620</v>
      </c>
      <c r="CB1413" s="2" t="s">
        <v>5064</v>
      </c>
      <c r="CC1413" s="2" t="s">
        <v>213</v>
      </c>
      <c r="CD1413" s="2" t="s">
        <v>200</v>
      </c>
      <c r="CE1413" s="4">
        <v>177</v>
      </c>
      <c r="CF1413" s="4">
        <v>51</v>
      </c>
      <c r="CG1413" s="4"/>
      <c r="CH1413" s="4">
        <v>368</v>
      </c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  <c r="DD1413" s="4"/>
      <c r="DE1413" s="4"/>
      <c r="DF1413" s="4"/>
      <c r="DG1413" s="4"/>
      <c r="DH1413" s="4"/>
      <c r="DI1413" s="4"/>
      <c r="DJ1413" s="4"/>
      <c r="DK1413" s="4"/>
      <c r="DL1413" s="4"/>
      <c r="DM1413" s="4"/>
      <c r="DN1413" s="4"/>
      <c r="DO1413" s="4"/>
      <c r="DP1413" s="4"/>
      <c r="DQ1413" s="4"/>
      <c r="DR1413" s="4"/>
      <c r="DS1413" s="4"/>
      <c r="DT1413" s="4"/>
      <c r="DU1413" s="4"/>
      <c r="DV1413" s="4"/>
      <c r="DW1413" s="4"/>
      <c r="DX1413" s="4"/>
      <c r="DY1413" s="4"/>
      <c r="DZ1413" s="4"/>
      <c r="EA1413" s="4"/>
      <c r="EB1413" s="4"/>
      <c r="EC1413" s="4"/>
      <c r="ED1413" s="4"/>
      <c r="EE1413" s="4"/>
      <c r="EF1413" s="4"/>
      <c r="EG1413" s="4"/>
      <c r="EH1413" s="4"/>
      <c r="EI1413" s="4"/>
      <c r="EJ1413" s="4"/>
      <c r="EK1413" s="4"/>
      <c r="EL1413" s="4"/>
      <c r="EM1413" s="4"/>
      <c r="EN1413" s="4"/>
      <c r="EO1413" s="4"/>
      <c r="EP1413" s="4"/>
      <c r="EQ1413" s="4"/>
      <c r="ER1413" s="4"/>
      <c r="ES1413" s="4"/>
      <c r="ET1413" s="4"/>
      <c r="EU1413" s="4"/>
      <c r="EV1413" s="4"/>
      <c r="EW1413" s="4"/>
      <c r="EX1413" s="4"/>
      <c r="EY1413" s="4"/>
      <c r="EZ1413" s="4"/>
      <c r="FA1413" s="4"/>
      <c r="FB1413" s="4"/>
      <c r="FC1413" s="4"/>
      <c r="FD1413" s="4"/>
      <c r="FE1413" s="4"/>
      <c r="FF1413" s="4"/>
      <c r="FG1413" s="4"/>
      <c r="FH1413" s="4"/>
      <c r="FI1413" s="4"/>
      <c r="FJ1413" s="4"/>
      <c r="FK1413" s="4"/>
      <c r="FL1413" s="4"/>
      <c r="FM1413" s="4"/>
      <c r="FN1413" s="4"/>
      <c r="FO1413" s="4"/>
      <c r="FP1413" s="4"/>
      <c r="FQ1413" s="4"/>
      <c r="FR1413" s="4"/>
      <c r="FS1413" s="4"/>
      <c r="FT1413" s="4"/>
      <c r="FU1413" s="4"/>
      <c r="FV1413" s="4"/>
      <c r="FW1413" s="4"/>
      <c r="FX1413" s="4"/>
      <c r="FY1413" s="4"/>
      <c r="FZ1413" s="4"/>
      <c r="GA1413" s="4"/>
      <c r="GB1413" s="4"/>
      <c r="GC1413" s="4"/>
      <c r="GD1413" s="4"/>
      <c r="GE1413" s="4"/>
      <c r="GF1413" s="4"/>
      <c r="GG1413" s="4"/>
      <c r="GH1413" s="4"/>
    </row>
    <row r="1414">
      <c r="A1414" s="2" t="s">
        <v>7621</v>
      </c>
      <c r="B1414" s="2" t="s">
        <v>903</v>
      </c>
      <c r="C1414" s="2" t="s">
        <v>231</v>
      </c>
      <c r="D1414" s="2" t="s">
        <v>1818</v>
      </c>
      <c r="E1414" s="2" t="s">
        <v>2000</v>
      </c>
      <c r="F1414" s="2" t="s">
        <v>7598</v>
      </c>
      <c r="G1414" s="2" t="s">
        <v>7599</v>
      </c>
      <c r="H1414" s="2" t="s">
        <v>7600</v>
      </c>
      <c r="I1414" s="2" t="s">
        <v>7180</v>
      </c>
      <c r="J1414" s="2" t="s">
        <v>924</v>
      </c>
      <c r="K1414" s="2" t="s">
        <v>464</v>
      </c>
      <c r="L1414" s="3">
        <v>39.69</v>
      </c>
      <c r="M1414" s="3">
        <v>41.67</v>
      </c>
      <c r="N1414" s="3">
        <v>79.99</v>
      </c>
      <c r="O1414" s="2" t="s">
        <v>212</v>
      </c>
      <c r="P1414" s="2" t="s">
        <v>1075</v>
      </c>
      <c r="Q1414" s="2" t="s">
        <v>206</v>
      </c>
      <c r="R1414" s="2" t="s">
        <v>200</v>
      </c>
      <c r="S1414" s="2" t="s">
        <v>7622</v>
      </c>
      <c r="T1414" s="2" t="s">
        <v>378</v>
      </c>
      <c r="U1414" s="2" t="s">
        <v>454</v>
      </c>
      <c r="V1414" s="2" t="s">
        <v>1348</v>
      </c>
      <c r="W1414" s="2" t="s">
        <v>736</v>
      </c>
      <c r="X1414" s="2" t="s">
        <v>241</v>
      </c>
      <c r="Y1414" s="2" t="s">
        <v>261</v>
      </c>
      <c r="Z1414" s="4">
        <v>863</v>
      </c>
      <c r="AA1414" s="4">
        <f>=ROUNDDOWN(50.7647058823529,0)</f>
      </c>
      <c r="AB1414" s="5">
        <v>17</v>
      </c>
      <c r="AC1414" s="2" t="s">
        <v>200</v>
      </c>
      <c r="AD1414" s="4"/>
      <c r="AE1414" s="4"/>
      <c r="AF1414" s="6">
        <v>65</v>
      </c>
      <c r="AG1414" s="6">
        <v>48</v>
      </c>
      <c r="AH1414" s="7">
        <v>1</v>
      </c>
      <c r="AI1414" s="4"/>
      <c r="AJ1414" s="4">
        <f>=ROUNDDOWN({0},0)</f>
      </c>
      <c r="AK1414" s="5"/>
      <c r="AL1414" s="2" t="s">
        <v>200</v>
      </c>
      <c r="AM1414" s="4"/>
      <c r="AN1414" s="4"/>
      <c r="AO1414" s="7"/>
      <c r="AP1414" s="4"/>
      <c r="AQ1414" s="8"/>
      <c r="AR1414" s="4"/>
      <c r="AS1414" s="8"/>
      <c r="AT1414" s="7"/>
      <c r="AU1414" s="7"/>
      <c r="AV1414" s="4"/>
      <c r="AW1414" s="8"/>
      <c r="AX1414" s="4"/>
      <c r="AY1414" s="8"/>
      <c r="AZ1414" s="7"/>
      <c r="BA1414" s="7"/>
      <c r="BB1414" s="7"/>
      <c r="BC1414" s="4" t="s">
        <v>200</v>
      </c>
      <c r="BD1414" s="8" t="s">
        <v>200</v>
      </c>
      <c r="BE1414" s="4" t="s">
        <v>200</v>
      </c>
      <c r="BF1414" s="8" t="s">
        <v>200</v>
      </c>
      <c r="BG1414" s="7" t="s">
        <v>200</v>
      </c>
      <c r="BH1414" s="7" t="s">
        <v>200</v>
      </c>
      <c r="BI1414" s="7"/>
      <c r="BJ1414" s="4">
        <v>72</v>
      </c>
      <c r="BK1414" s="8">
        <v>3008.93</v>
      </c>
      <c r="BL1414" s="2" t="s">
        <v>7623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7624</v>
      </c>
      <c r="BV1414" s="2" t="s">
        <v>200</v>
      </c>
      <c r="BW1414" s="2" t="s">
        <v>200</v>
      </c>
      <c r="BX1414" s="2" t="s">
        <v>264</v>
      </c>
      <c r="BY1414" s="2" t="s">
        <v>247</v>
      </c>
      <c r="BZ1414" s="2" t="s">
        <v>212</v>
      </c>
      <c r="CA1414" s="2" t="s">
        <v>265</v>
      </c>
      <c r="CB1414" s="2" t="s">
        <v>1108</v>
      </c>
      <c r="CC1414" s="2" t="s">
        <v>213</v>
      </c>
      <c r="CD1414" s="2" t="s">
        <v>200</v>
      </c>
      <c r="CE1414" s="4">
        <v>68</v>
      </c>
      <c r="CF1414" s="4">
        <v>270</v>
      </c>
      <c r="CG1414" s="4"/>
      <c r="CH1414" s="4">
        <v>525</v>
      </c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  <c r="DE1414" s="4"/>
      <c r="DF1414" s="4"/>
      <c r="DG1414" s="4"/>
      <c r="DH1414" s="4"/>
      <c r="DI1414" s="4"/>
      <c r="DJ1414" s="4"/>
      <c r="DK1414" s="4"/>
      <c r="DL1414" s="4"/>
      <c r="DM1414" s="4"/>
      <c r="DN1414" s="4"/>
      <c r="DO1414" s="4"/>
      <c r="DP1414" s="4"/>
      <c r="DQ1414" s="4"/>
      <c r="DR1414" s="4"/>
      <c r="DS1414" s="4"/>
      <c r="DT1414" s="4"/>
      <c r="DU1414" s="4"/>
      <c r="DV1414" s="4"/>
      <c r="DW1414" s="4"/>
      <c r="DX1414" s="4"/>
      <c r="DY1414" s="4"/>
      <c r="DZ1414" s="4"/>
      <c r="EA1414" s="4"/>
      <c r="EB1414" s="4"/>
      <c r="EC1414" s="4"/>
      <c r="ED1414" s="4"/>
      <c r="EE1414" s="4"/>
      <c r="EF1414" s="4"/>
      <c r="EG1414" s="4"/>
      <c r="EH1414" s="4"/>
      <c r="EI1414" s="4"/>
      <c r="EJ1414" s="4"/>
      <c r="EK1414" s="4"/>
      <c r="EL1414" s="4"/>
      <c r="EM1414" s="4"/>
      <c r="EN1414" s="4"/>
      <c r="EO1414" s="4"/>
      <c r="EP1414" s="4"/>
      <c r="EQ1414" s="4"/>
      <c r="ER1414" s="4"/>
      <c r="ES1414" s="4"/>
      <c r="ET1414" s="4"/>
      <c r="EU1414" s="4"/>
      <c r="EV1414" s="4"/>
      <c r="EW1414" s="4"/>
      <c r="EX1414" s="4"/>
      <c r="EY1414" s="4"/>
      <c r="EZ1414" s="4"/>
      <c r="FA1414" s="4"/>
      <c r="FB1414" s="4"/>
      <c r="FC1414" s="4"/>
      <c r="FD1414" s="4"/>
      <c r="FE1414" s="4"/>
      <c r="FF1414" s="4"/>
      <c r="FG1414" s="4"/>
      <c r="FH1414" s="4"/>
      <c r="FI1414" s="4"/>
      <c r="FJ1414" s="4"/>
      <c r="FK1414" s="4"/>
      <c r="FL1414" s="4"/>
      <c r="FM1414" s="4"/>
      <c r="FN1414" s="4"/>
      <c r="FO1414" s="4"/>
      <c r="FP1414" s="4"/>
      <c r="FQ1414" s="4"/>
      <c r="FR1414" s="4"/>
      <c r="FS1414" s="4"/>
      <c r="FT1414" s="4"/>
      <c r="FU1414" s="4"/>
      <c r="FV1414" s="4"/>
      <c r="FW1414" s="4"/>
      <c r="FX1414" s="4"/>
      <c r="FY1414" s="4"/>
      <c r="FZ1414" s="4"/>
      <c r="GA1414" s="4"/>
      <c r="GB1414" s="4"/>
      <c r="GC1414" s="4"/>
      <c r="GD1414" s="4"/>
      <c r="GE1414" s="4"/>
      <c r="GF1414" s="4"/>
      <c r="GG1414" s="4"/>
      <c r="GH1414" s="4"/>
    </row>
    <row r="1415">
      <c r="A1415" s="2" t="s">
        <v>7625</v>
      </c>
      <c r="B1415" s="2" t="s">
        <v>903</v>
      </c>
      <c r="C1415" s="2" t="s">
        <v>231</v>
      </c>
      <c r="D1415" s="2" t="s">
        <v>1818</v>
      </c>
      <c r="E1415" s="2" t="s">
        <v>2000</v>
      </c>
      <c r="F1415" s="2" t="s">
        <v>7598</v>
      </c>
      <c r="G1415" s="2" t="s">
        <v>7599</v>
      </c>
      <c r="H1415" s="2" t="s">
        <v>7600</v>
      </c>
      <c r="I1415" s="2" t="s">
        <v>7180</v>
      </c>
      <c r="J1415" s="2" t="s">
        <v>1390</v>
      </c>
      <c r="K1415" s="2" t="s">
        <v>257</v>
      </c>
      <c r="L1415" s="3">
        <v>26.9</v>
      </c>
      <c r="M1415" s="3">
        <v>28.24</v>
      </c>
      <c r="N1415" s="3">
        <v>54.99</v>
      </c>
      <c r="O1415" s="2" t="s">
        <v>212</v>
      </c>
      <c r="P1415" s="2" t="s">
        <v>1075</v>
      </c>
      <c r="Q1415" s="2" t="s">
        <v>206</v>
      </c>
      <c r="R1415" s="2" t="s">
        <v>200</v>
      </c>
      <c r="S1415" s="2" t="s">
        <v>7626</v>
      </c>
      <c r="T1415" s="2" t="s">
        <v>378</v>
      </c>
      <c r="U1415" s="2" t="s">
        <v>677</v>
      </c>
      <c r="V1415" s="2" t="s">
        <v>1348</v>
      </c>
      <c r="W1415" s="2" t="s">
        <v>736</v>
      </c>
      <c r="X1415" s="2" t="s">
        <v>241</v>
      </c>
      <c r="Y1415" s="2" t="s">
        <v>261</v>
      </c>
      <c r="Z1415" s="4">
        <v>390</v>
      </c>
      <c r="AA1415" s="4">
        <f>=ROUNDDOWN(55.7142857142857,0)</f>
      </c>
      <c r="AB1415" s="5">
        <v>7</v>
      </c>
      <c r="AC1415" s="2" t="s">
        <v>200</v>
      </c>
      <c r="AD1415" s="4"/>
      <c r="AE1415" s="4"/>
      <c r="AF1415" s="6">
        <v>65</v>
      </c>
      <c r="AG1415" s="6">
        <v>48</v>
      </c>
      <c r="AH1415" s="7">
        <v>1</v>
      </c>
      <c r="AI1415" s="4"/>
      <c r="AJ1415" s="4">
        <f>=ROUNDDOWN({0},0)</f>
      </c>
      <c r="AK1415" s="5"/>
      <c r="AL1415" s="2" t="s">
        <v>200</v>
      </c>
      <c r="AM1415" s="4"/>
      <c r="AN1415" s="4"/>
      <c r="AO1415" s="7"/>
      <c r="AP1415" s="4"/>
      <c r="AQ1415" s="8"/>
      <c r="AR1415" s="4"/>
      <c r="AS1415" s="8"/>
      <c r="AT1415" s="7"/>
      <c r="AU1415" s="7"/>
      <c r="AV1415" s="4"/>
      <c r="AW1415" s="8"/>
      <c r="AX1415" s="4"/>
      <c r="AY1415" s="8"/>
      <c r="AZ1415" s="7"/>
      <c r="BA1415" s="7"/>
      <c r="BB1415" s="7"/>
      <c r="BC1415" s="4" t="s">
        <v>200</v>
      </c>
      <c r="BD1415" s="8" t="s">
        <v>200</v>
      </c>
      <c r="BE1415" s="4" t="s">
        <v>200</v>
      </c>
      <c r="BF1415" s="8" t="s">
        <v>200</v>
      </c>
      <c r="BG1415" s="7" t="s">
        <v>200</v>
      </c>
      <c r="BH1415" s="7" t="s">
        <v>200</v>
      </c>
      <c r="BI1415" s="7"/>
      <c r="BJ1415" s="4">
        <v>20</v>
      </c>
      <c r="BK1415" s="8">
        <v>548.74</v>
      </c>
      <c r="BL1415" s="2" t="s">
        <v>293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7627</v>
      </c>
      <c r="BV1415" s="2" t="s">
        <v>200</v>
      </c>
      <c r="BW1415" s="2" t="s">
        <v>200</v>
      </c>
      <c r="BX1415" s="2" t="s">
        <v>264</v>
      </c>
      <c r="BY1415" s="2" t="s">
        <v>247</v>
      </c>
      <c r="BZ1415" s="2" t="s">
        <v>212</v>
      </c>
      <c r="CA1415" s="2" t="s">
        <v>265</v>
      </c>
      <c r="CB1415" s="2" t="s">
        <v>7628</v>
      </c>
      <c r="CC1415" s="2" t="s">
        <v>213</v>
      </c>
      <c r="CD1415" s="2" t="s">
        <v>200</v>
      </c>
      <c r="CE1415" s="4">
        <v>281</v>
      </c>
      <c r="CF1415" s="4"/>
      <c r="CG1415" s="4"/>
      <c r="CH1415" s="4">
        <v>109</v>
      </c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/>
      <c r="DD1415" s="4"/>
      <c r="DE1415" s="4"/>
      <c r="DF1415" s="4"/>
      <c r="DG1415" s="4"/>
      <c r="DH1415" s="4"/>
      <c r="DI1415" s="4"/>
      <c r="DJ1415" s="4"/>
      <c r="DK1415" s="4"/>
      <c r="DL1415" s="4"/>
      <c r="DM1415" s="4"/>
      <c r="DN1415" s="4"/>
      <c r="DO1415" s="4"/>
      <c r="DP1415" s="4"/>
      <c r="DQ1415" s="4"/>
      <c r="DR1415" s="4"/>
      <c r="DS1415" s="4"/>
      <c r="DT1415" s="4"/>
      <c r="DU1415" s="4"/>
      <c r="DV1415" s="4"/>
      <c r="DW1415" s="4"/>
      <c r="DX1415" s="4"/>
      <c r="DY1415" s="4"/>
      <c r="DZ1415" s="4"/>
      <c r="EA1415" s="4"/>
      <c r="EB1415" s="4"/>
      <c r="EC1415" s="4"/>
      <c r="ED1415" s="4"/>
      <c r="EE1415" s="4"/>
      <c r="EF1415" s="4"/>
      <c r="EG1415" s="4"/>
      <c r="EH1415" s="4"/>
      <c r="EI1415" s="4"/>
      <c r="EJ1415" s="4"/>
      <c r="EK1415" s="4"/>
      <c r="EL1415" s="4"/>
      <c r="EM1415" s="4"/>
      <c r="EN1415" s="4"/>
      <c r="EO1415" s="4"/>
      <c r="EP1415" s="4"/>
      <c r="EQ1415" s="4"/>
      <c r="ER1415" s="4"/>
      <c r="ES1415" s="4"/>
      <c r="ET1415" s="4"/>
      <c r="EU1415" s="4"/>
      <c r="EV1415" s="4"/>
      <c r="EW1415" s="4"/>
      <c r="EX1415" s="4"/>
      <c r="EY1415" s="4"/>
      <c r="EZ1415" s="4"/>
      <c r="FA1415" s="4"/>
      <c r="FB1415" s="4"/>
      <c r="FC1415" s="4"/>
      <c r="FD1415" s="4"/>
      <c r="FE1415" s="4"/>
      <c r="FF1415" s="4"/>
      <c r="FG1415" s="4"/>
      <c r="FH1415" s="4"/>
      <c r="FI1415" s="4"/>
      <c r="FJ1415" s="4"/>
      <c r="FK1415" s="4"/>
      <c r="FL1415" s="4"/>
      <c r="FM1415" s="4"/>
      <c r="FN1415" s="4"/>
      <c r="FO1415" s="4"/>
      <c r="FP1415" s="4"/>
      <c r="FQ1415" s="4"/>
      <c r="FR1415" s="4"/>
      <c r="FS1415" s="4"/>
      <c r="FT1415" s="4"/>
      <c r="FU1415" s="4"/>
      <c r="FV1415" s="4"/>
      <c r="FW1415" s="4"/>
      <c r="FX1415" s="4"/>
      <c r="FY1415" s="4"/>
      <c r="FZ1415" s="4"/>
      <c r="GA1415" s="4"/>
      <c r="GB1415" s="4"/>
      <c r="GC1415" s="4"/>
      <c r="GD1415" s="4"/>
      <c r="GE1415" s="4"/>
      <c r="GF1415" s="4"/>
      <c r="GG1415" s="4"/>
      <c r="GH1415" s="4"/>
    </row>
    <row r="1416">
      <c r="A1416" s="2" t="s">
        <v>7629</v>
      </c>
      <c r="B1416" s="2" t="s">
        <v>744</v>
      </c>
      <c r="C1416" s="2" t="s">
        <v>231</v>
      </c>
      <c r="D1416" s="2" t="s">
        <v>1275</v>
      </c>
      <c r="E1416" s="2" t="s">
        <v>1276</v>
      </c>
      <c r="F1416" s="2" t="s">
        <v>7630</v>
      </c>
      <c r="G1416" s="2" t="s">
        <v>7631</v>
      </c>
      <c r="H1416" s="2" t="s">
        <v>7632</v>
      </c>
      <c r="I1416" s="2" t="s">
        <v>7633</v>
      </c>
      <c r="J1416" s="2" t="s">
        <v>711</v>
      </c>
      <c r="K1416" s="2" t="s">
        <v>221</v>
      </c>
      <c r="L1416" s="3">
        <v>171</v>
      </c>
      <c r="M1416" s="3">
        <v>179.55</v>
      </c>
      <c r="N1416" s="3">
        <v>369</v>
      </c>
      <c r="O1416" s="2" t="s">
        <v>212</v>
      </c>
      <c r="P1416" s="2" t="s">
        <v>258</v>
      </c>
      <c r="Q1416" s="2" t="s">
        <v>206</v>
      </c>
      <c r="R1416" s="2" t="s">
        <v>200</v>
      </c>
      <c r="S1416" s="2" t="s">
        <v>7634</v>
      </c>
      <c r="T1416" s="2" t="s">
        <v>200</v>
      </c>
      <c r="U1416" s="2" t="s">
        <v>200</v>
      </c>
      <c r="V1416" s="2" t="s">
        <v>208</v>
      </c>
      <c r="W1416" s="2" t="s">
        <v>419</v>
      </c>
      <c r="X1416" s="2" t="s">
        <v>200</v>
      </c>
      <c r="Y1416" s="2" t="s">
        <v>261</v>
      </c>
      <c r="Z1416" s="4">
        <v>84</v>
      </c>
      <c r="AA1416" s="4">
        <f>=ROUNDDOWN(14,0)</f>
      </c>
      <c r="AB1416" s="5">
        <v>6</v>
      </c>
      <c r="AC1416" s="2" t="s">
        <v>7635</v>
      </c>
      <c r="AD1416" s="4">
        <v>80</v>
      </c>
      <c r="AE1416" s="4">
        <v>122</v>
      </c>
      <c r="AF1416" s="6">
        <v>74</v>
      </c>
      <c r="AG1416" s="6">
        <v>60</v>
      </c>
      <c r="AH1416" s="7">
        <v>1</v>
      </c>
      <c r="AI1416" s="4"/>
      <c r="AJ1416" s="4">
        <f>=ROUNDDOWN({0},0)</f>
      </c>
      <c r="AK1416" s="5"/>
      <c r="AL1416" s="2" t="s">
        <v>200</v>
      </c>
      <c r="AM1416" s="4"/>
      <c r="AN1416" s="4"/>
      <c r="AO1416" s="7"/>
      <c r="AP1416" s="4"/>
      <c r="AQ1416" s="8"/>
      <c r="AR1416" s="4"/>
      <c r="AS1416" s="8"/>
      <c r="AT1416" s="7"/>
      <c r="AU1416" s="7"/>
      <c r="AV1416" s="4"/>
      <c r="AW1416" s="8"/>
      <c r="AX1416" s="4"/>
      <c r="AY1416" s="8"/>
      <c r="AZ1416" s="7"/>
      <c r="BA1416" s="7"/>
      <c r="BB1416" s="7"/>
      <c r="BC1416" s="4"/>
      <c r="BD1416" s="8"/>
      <c r="BE1416" s="4"/>
      <c r="BF1416" s="8"/>
      <c r="BG1416" s="7"/>
      <c r="BH1416" s="7"/>
      <c r="BI1416" s="7"/>
      <c r="BJ1416" s="4">
        <v>20</v>
      </c>
      <c r="BK1416" s="8">
        <v>3229.03</v>
      </c>
      <c r="BL1416" s="2" t="s">
        <v>7636</v>
      </c>
      <c r="BM1416" s="7"/>
      <c r="BN1416" s="7"/>
      <c r="BO1416" s="4"/>
      <c r="BP1416" s="8"/>
      <c r="BQ1416" s="4"/>
      <c r="BR1416" s="8"/>
      <c r="BS1416" s="7"/>
      <c r="BT1416" s="7"/>
      <c r="BU1416" s="2" t="s">
        <v>7637</v>
      </c>
      <c r="BV1416" s="2" t="s">
        <v>200</v>
      </c>
      <c r="BW1416" s="2" t="s">
        <v>200</v>
      </c>
      <c r="BX1416" s="2" t="s">
        <v>620</v>
      </c>
      <c r="BY1416" s="2" t="s">
        <v>247</v>
      </c>
      <c r="BZ1416" s="2" t="s">
        <v>212</v>
      </c>
      <c r="CA1416" s="2" t="s">
        <v>265</v>
      </c>
      <c r="CB1416" s="2" t="s">
        <v>6665</v>
      </c>
      <c r="CC1416" s="2" t="s">
        <v>213</v>
      </c>
      <c r="CD1416" s="2" t="s">
        <v>200</v>
      </c>
      <c r="CE1416" s="4"/>
      <c r="CF1416" s="4">
        <v>84</v>
      </c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  <c r="DD1416" s="4"/>
      <c r="DE1416" s="4"/>
      <c r="DF1416" s="4"/>
      <c r="DG1416" s="4"/>
      <c r="DH1416" s="4"/>
      <c r="DI1416" s="4"/>
      <c r="DJ1416" s="4"/>
      <c r="DK1416" s="4"/>
      <c r="DL1416" s="4"/>
      <c r="DM1416" s="4"/>
      <c r="DN1416" s="4"/>
      <c r="DO1416" s="4"/>
      <c r="DP1416" s="4"/>
      <c r="DQ1416" s="4"/>
      <c r="DR1416" s="4"/>
      <c r="DS1416" s="4"/>
      <c r="DT1416" s="4"/>
      <c r="DU1416" s="4"/>
      <c r="DV1416" s="4"/>
      <c r="DW1416" s="4"/>
      <c r="DX1416" s="4"/>
      <c r="DY1416" s="4"/>
      <c r="DZ1416" s="4"/>
      <c r="EA1416" s="4"/>
      <c r="EB1416" s="4"/>
      <c r="EC1416" s="4"/>
      <c r="ED1416" s="4"/>
      <c r="EE1416" s="4"/>
      <c r="EF1416" s="4"/>
      <c r="EG1416" s="4"/>
      <c r="EH1416" s="4"/>
      <c r="EI1416" s="4">
        <v>80</v>
      </c>
      <c r="EJ1416" s="4"/>
      <c r="EK1416" s="4"/>
      <c r="EL1416" s="4"/>
      <c r="EM1416" s="4"/>
      <c r="EN1416" s="4"/>
      <c r="EO1416" s="4"/>
      <c r="EP1416" s="4"/>
      <c r="EQ1416" s="4"/>
      <c r="ER1416" s="4"/>
      <c r="ES1416" s="4"/>
      <c r="ET1416" s="4"/>
      <c r="EU1416" s="4"/>
      <c r="EV1416" s="4"/>
      <c r="EW1416" s="4"/>
      <c r="EX1416" s="4"/>
      <c r="EY1416" s="4"/>
      <c r="EZ1416" s="4"/>
      <c r="FA1416" s="4"/>
      <c r="FB1416" s="4"/>
      <c r="FC1416" s="4"/>
      <c r="FD1416" s="4"/>
      <c r="FE1416" s="4"/>
      <c r="FF1416" s="4"/>
      <c r="FG1416" s="4"/>
      <c r="FH1416" s="4"/>
      <c r="FI1416" s="4"/>
      <c r="FJ1416" s="4"/>
      <c r="FK1416" s="4"/>
      <c r="FL1416" s="4"/>
      <c r="FM1416" s="4"/>
      <c r="FN1416" s="4"/>
      <c r="FO1416" s="4">
        <v>42</v>
      </c>
      <c r="FP1416" s="4"/>
      <c r="FQ1416" s="4"/>
      <c r="FR1416" s="4"/>
      <c r="FS1416" s="4"/>
      <c r="FT1416" s="4"/>
      <c r="FU1416" s="4"/>
      <c r="FV1416" s="4"/>
      <c r="FW1416" s="4"/>
      <c r="FX1416" s="4"/>
      <c r="FY1416" s="4"/>
      <c r="FZ1416" s="4"/>
      <c r="GA1416" s="4"/>
      <c r="GB1416" s="4"/>
      <c r="GC1416" s="4"/>
      <c r="GD1416" s="4"/>
      <c r="GE1416" s="4"/>
      <c r="GF1416" s="4"/>
      <c r="GG1416" s="4"/>
      <c r="GH1416" s="4"/>
    </row>
    <row r="1417">
      <c r="A1417" s="2" t="s">
        <v>7638</v>
      </c>
      <c r="B1417" s="2" t="s">
        <v>827</v>
      </c>
      <c r="C1417" s="2" t="s">
        <v>877</v>
      </c>
      <c r="D1417" s="2" t="s">
        <v>828</v>
      </c>
      <c r="E1417" s="2" t="s">
        <v>1011</v>
      </c>
      <c r="F1417" s="2" t="s">
        <v>7639</v>
      </c>
      <c r="G1417" s="2" t="s">
        <v>6289</v>
      </c>
      <c r="H1417" s="2" t="s">
        <v>7640</v>
      </c>
      <c r="I1417" s="2" t="s">
        <v>7641</v>
      </c>
      <c r="J1417" s="2" t="s">
        <v>4001</v>
      </c>
      <c r="K1417" s="2" t="s">
        <v>6438</v>
      </c>
      <c r="L1417" s="3">
        <v>19.2</v>
      </c>
      <c r="M1417" s="3">
        <v>20.16</v>
      </c>
      <c r="N1417" s="3">
        <v>39.99</v>
      </c>
      <c r="O1417" s="2" t="s">
        <v>212</v>
      </c>
      <c r="P1417" s="2" t="s">
        <v>258</v>
      </c>
      <c r="Q1417" s="2" t="s">
        <v>206</v>
      </c>
      <c r="R1417" s="2" t="s">
        <v>200</v>
      </c>
      <c r="S1417" s="2" t="s">
        <v>7642</v>
      </c>
      <c r="T1417" s="2" t="s">
        <v>200</v>
      </c>
      <c r="U1417" s="2" t="s">
        <v>270</v>
      </c>
      <c r="V1417" s="2" t="s">
        <v>885</v>
      </c>
      <c r="W1417" s="2" t="s">
        <v>241</v>
      </c>
      <c r="X1417" s="2" t="s">
        <v>1020</v>
      </c>
      <c r="Y1417" s="2" t="s">
        <v>7643</v>
      </c>
      <c r="Z1417" s="4">
        <v>671</v>
      </c>
      <c r="AA1417" s="4">
        <f>=ROUNDDOWN(35.3157894736842,0)</f>
      </c>
      <c r="AB1417" s="5">
        <v>19</v>
      </c>
      <c r="AC1417" s="2" t="s">
        <v>200</v>
      </c>
      <c r="AD1417" s="4"/>
      <c r="AE1417" s="4"/>
      <c r="AF1417" s="6">
        <v>65</v>
      </c>
      <c r="AG1417" s="6"/>
      <c r="AH1417" s="7">
        <v>1</v>
      </c>
      <c r="AI1417" s="4"/>
      <c r="AJ1417" s="4">
        <f>=ROUNDDOWN({0},0)</f>
      </c>
      <c r="AK1417" s="5"/>
      <c r="AL1417" s="2" t="s">
        <v>200</v>
      </c>
      <c r="AM1417" s="4"/>
      <c r="AN1417" s="4"/>
      <c r="AO1417" s="7"/>
      <c r="AP1417" s="4"/>
      <c r="AQ1417" s="8"/>
      <c r="AR1417" s="4"/>
      <c r="AS1417" s="8"/>
      <c r="AT1417" s="7"/>
      <c r="AU1417" s="7"/>
      <c r="AV1417" s="4" t="s">
        <v>200</v>
      </c>
      <c r="AW1417" s="8" t="s">
        <v>200</v>
      </c>
      <c r="AX1417" s="4" t="s">
        <v>200</v>
      </c>
      <c r="AY1417" s="8" t="s">
        <v>200</v>
      </c>
      <c r="AZ1417" s="7" t="s">
        <v>200</v>
      </c>
      <c r="BA1417" s="7" t="s">
        <v>200</v>
      </c>
      <c r="BB1417" s="7"/>
      <c r="BC1417" s="4" t="s">
        <v>200</v>
      </c>
      <c r="BD1417" s="8" t="s">
        <v>200</v>
      </c>
      <c r="BE1417" s="4" t="s">
        <v>200</v>
      </c>
      <c r="BF1417" s="8" t="s">
        <v>200</v>
      </c>
      <c r="BG1417" s="7" t="s">
        <v>200</v>
      </c>
      <c r="BH1417" s="7" t="s">
        <v>200</v>
      </c>
      <c r="BI1417" s="7"/>
      <c r="BJ1417" s="4">
        <v>45</v>
      </c>
      <c r="BK1417" s="8">
        <v>1206.1</v>
      </c>
      <c r="BL1417" s="2" t="s">
        <v>7644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7645</v>
      </c>
      <c r="BV1417" s="2" t="s">
        <v>200</v>
      </c>
      <c r="BW1417" s="2" t="s">
        <v>200</v>
      </c>
      <c r="BX1417" s="2" t="s">
        <v>620</v>
      </c>
      <c r="BY1417" s="2" t="s">
        <v>247</v>
      </c>
      <c r="BZ1417" s="2" t="s">
        <v>212</v>
      </c>
      <c r="CA1417" s="2" t="s">
        <v>7646</v>
      </c>
      <c r="CB1417" s="2" t="s">
        <v>5655</v>
      </c>
      <c r="CC1417" s="2" t="s">
        <v>213</v>
      </c>
      <c r="CD1417" s="2" t="s">
        <v>200</v>
      </c>
      <c r="CE1417" s="4">
        <v>671</v>
      </c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/>
      <c r="DD1417" s="4"/>
      <c r="DE1417" s="4"/>
      <c r="DF1417" s="4"/>
      <c r="DG1417" s="4"/>
      <c r="DH1417" s="4"/>
      <c r="DI1417" s="4"/>
      <c r="DJ1417" s="4"/>
      <c r="DK1417" s="4"/>
      <c r="DL1417" s="4"/>
      <c r="DM1417" s="4"/>
      <c r="DN1417" s="4"/>
      <c r="DO1417" s="4"/>
      <c r="DP1417" s="4"/>
      <c r="DQ1417" s="4"/>
      <c r="DR1417" s="4"/>
      <c r="DS1417" s="4"/>
      <c r="DT1417" s="4"/>
      <c r="DU1417" s="4"/>
      <c r="DV1417" s="4"/>
      <c r="DW1417" s="4"/>
      <c r="DX1417" s="4"/>
      <c r="DY1417" s="4"/>
      <c r="DZ1417" s="4"/>
      <c r="EA1417" s="4"/>
      <c r="EB1417" s="4"/>
      <c r="EC1417" s="4"/>
      <c r="ED1417" s="4"/>
      <c r="EE1417" s="4"/>
      <c r="EF1417" s="4"/>
      <c r="EG1417" s="4"/>
      <c r="EH1417" s="4"/>
      <c r="EI1417" s="4"/>
      <c r="EJ1417" s="4"/>
      <c r="EK1417" s="4"/>
      <c r="EL1417" s="4"/>
      <c r="EM1417" s="4"/>
      <c r="EN1417" s="4"/>
      <c r="EO1417" s="4"/>
      <c r="EP1417" s="4"/>
      <c r="EQ1417" s="4"/>
      <c r="ER1417" s="4"/>
      <c r="ES1417" s="4"/>
      <c r="ET1417" s="4"/>
      <c r="EU1417" s="4"/>
      <c r="EV1417" s="4"/>
      <c r="EW1417" s="4"/>
      <c r="EX1417" s="4"/>
      <c r="EY1417" s="4"/>
      <c r="EZ1417" s="4"/>
      <c r="FA1417" s="4"/>
      <c r="FB1417" s="4"/>
      <c r="FC1417" s="4"/>
      <c r="FD1417" s="4"/>
      <c r="FE1417" s="4"/>
      <c r="FF1417" s="4"/>
      <c r="FG1417" s="4"/>
      <c r="FH1417" s="4"/>
      <c r="FI1417" s="4"/>
      <c r="FJ1417" s="4"/>
      <c r="FK1417" s="4"/>
      <c r="FL1417" s="4"/>
      <c r="FM1417" s="4"/>
      <c r="FN1417" s="4"/>
      <c r="FO1417" s="4"/>
      <c r="FP1417" s="4"/>
      <c r="FQ1417" s="4"/>
      <c r="FR1417" s="4"/>
      <c r="FS1417" s="4"/>
      <c r="FT1417" s="4"/>
      <c r="FU1417" s="4"/>
      <c r="FV1417" s="4"/>
      <c r="FW1417" s="4"/>
      <c r="FX1417" s="4"/>
      <c r="FY1417" s="4"/>
      <c r="FZ1417" s="4"/>
      <c r="GA1417" s="4"/>
      <c r="GB1417" s="4"/>
      <c r="GC1417" s="4"/>
      <c r="GD1417" s="4"/>
      <c r="GE1417" s="4"/>
      <c r="GF1417" s="4"/>
      <c r="GG1417" s="4"/>
      <c r="GH1417" s="4"/>
    </row>
    <row r="1418">
      <c r="A1418" s="2" t="s">
        <v>7647</v>
      </c>
      <c r="B1418" s="2" t="s">
        <v>827</v>
      </c>
      <c r="C1418" s="2" t="s">
        <v>877</v>
      </c>
      <c r="D1418" s="2" t="s">
        <v>828</v>
      </c>
      <c r="E1418" s="2" t="s">
        <v>1011</v>
      </c>
      <c r="F1418" s="2" t="s">
        <v>7639</v>
      </c>
      <c r="G1418" s="2" t="s">
        <v>6289</v>
      </c>
      <c r="H1418" s="2" t="s">
        <v>7640</v>
      </c>
      <c r="I1418" s="2" t="s">
        <v>7641</v>
      </c>
      <c r="J1418" s="2" t="s">
        <v>1016</v>
      </c>
      <c r="K1418" s="2" t="s">
        <v>6438</v>
      </c>
      <c r="L1418" s="3">
        <v>19.2</v>
      </c>
      <c r="M1418" s="3">
        <v>20.16</v>
      </c>
      <c r="N1418" s="3">
        <v>39.99</v>
      </c>
      <c r="O1418" s="2" t="s">
        <v>212</v>
      </c>
      <c r="P1418" s="2" t="s">
        <v>1075</v>
      </c>
      <c r="Q1418" s="2" t="s">
        <v>206</v>
      </c>
      <c r="R1418" s="2" t="s">
        <v>200</v>
      </c>
      <c r="S1418" s="2" t="s">
        <v>7642</v>
      </c>
      <c r="T1418" s="2" t="s">
        <v>200</v>
      </c>
      <c r="U1418" s="2" t="s">
        <v>270</v>
      </c>
      <c r="V1418" s="2" t="s">
        <v>885</v>
      </c>
      <c r="W1418" s="2" t="s">
        <v>241</v>
      </c>
      <c r="X1418" s="2" t="s">
        <v>1020</v>
      </c>
      <c r="Y1418" s="2" t="s">
        <v>7648</v>
      </c>
      <c r="Z1418" s="4">
        <v>2040</v>
      </c>
      <c r="AA1418" s="4">
        <f>=ROUNDDOWN(70.3448275862069,0)</f>
      </c>
      <c r="AB1418" s="5">
        <v>29</v>
      </c>
      <c r="AC1418" s="2" t="s">
        <v>200</v>
      </c>
      <c r="AD1418" s="4"/>
      <c r="AE1418" s="4"/>
      <c r="AF1418" s="6">
        <v>65</v>
      </c>
      <c r="AG1418" s="6"/>
      <c r="AH1418" s="7">
        <v>1</v>
      </c>
      <c r="AI1418" s="4"/>
      <c r="AJ1418" s="4">
        <f>=ROUNDDOWN({0},0)</f>
      </c>
      <c r="AK1418" s="5"/>
      <c r="AL1418" s="2" t="s">
        <v>200</v>
      </c>
      <c r="AM1418" s="4"/>
      <c r="AN1418" s="4"/>
      <c r="AO1418" s="7"/>
      <c r="AP1418" s="4"/>
      <c r="AQ1418" s="8"/>
      <c r="AR1418" s="4"/>
      <c r="AS1418" s="8"/>
      <c r="AT1418" s="7"/>
      <c r="AU1418" s="7"/>
      <c r="AV1418" s="4" t="s">
        <v>200</v>
      </c>
      <c r="AW1418" s="8" t="s">
        <v>200</v>
      </c>
      <c r="AX1418" s="4" t="s">
        <v>200</v>
      </c>
      <c r="AY1418" s="8" t="s">
        <v>200</v>
      </c>
      <c r="AZ1418" s="7" t="s">
        <v>200</v>
      </c>
      <c r="BA1418" s="7" t="s">
        <v>200</v>
      </c>
      <c r="BB1418" s="7"/>
      <c r="BC1418" s="4" t="s">
        <v>200</v>
      </c>
      <c r="BD1418" s="8" t="s">
        <v>200</v>
      </c>
      <c r="BE1418" s="4" t="s">
        <v>200</v>
      </c>
      <c r="BF1418" s="8" t="s">
        <v>200</v>
      </c>
      <c r="BG1418" s="7" t="s">
        <v>200</v>
      </c>
      <c r="BH1418" s="7" t="s">
        <v>200</v>
      </c>
      <c r="BI1418" s="7"/>
      <c r="BJ1418" s="4">
        <v>125</v>
      </c>
      <c r="BK1418" s="8">
        <v>2673.46</v>
      </c>
      <c r="BL1418" s="2" t="s">
        <v>7649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7650</v>
      </c>
      <c r="BV1418" s="2" t="s">
        <v>200</v>
      </c>
      <c r="BW1418" s="2" t="s">
        <v>200</v>
      </c>
      <c r="BX1418" s="2" t="s">
        <v>620</v>
      </c>
      <c r="BY1418" s="2" t="s">
        <v>247</v>
      </c>
      <c r="BZ1418" s="2" t="s">
        <v>212</v>
      </c>
      <c r="CA1418" s="2" t="s">
        <v>7651</v>
      </c>
      <c r="CB1418" s="2" t="s">
        <v>7342</v>
      </c>
      <c r="CC1418" s="2" t="s">
        <v>213</v>
      </c>
      <c r="CD1418" s="2" t="s">
        <v>200</v>
      </c>
      <c r="CE1418" s="4">
        <v>2040</v>
      </c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  <c r="DD1418" s="4"/>
      <c r="DE1418" s="4"/>
      <c r="DF1418" s="4"/>
      <c r="DG1418" s="4"/>
      <c r="DH1418" s="4"/>
      <c r="DI1418" s="4"/>
      <c r="DJ1418" s="4"/>
      <c r="DK1418" s="4"/>
      <c r="DL1418" s="4"/>
      <c r="DM1418" s="4"/>
      <c r="DN1418" s="4"/>
      <c r="DO1418" s="4"/>
      <c r="DP1418" s="4"/>
      <c r="DQ1418" s="4"/>
      <c r="DR1418" s="4"/>
      <c r="DS1418" s="4"/>
      <c r="DT1418" s="4"/>
      <c r="DU1418" s="4"/>
      <c r="DV1418" s="4"/>
      <c r="DW1418" s="4"/>
      <c r="DX1418" s="4"/>
      <c r="DY1418" s="4"/>
      <c r="DZ1418" s="4"/>
      <c r="EA1418" s="4"/>
      <c r="EB1418" s="4"/>
      <c r="EC1418" s="4"/>
      <c r="ED1418" s="4"/>
      <c r="EE1418" s="4"/>
      <c r="EF1418" s="4"/>
      <c r="EG1418" s="4"/>
      <c r="EH1418" s="4"/>
      <c r="EI1418" s="4"/>
      <c r="EJ1418" s="4"/>
      <c r="EK1418" s="4"/>
      <c r="EL1418" s="4"/>
      <c r="EM1418" s="4"/>
      <c r="EN1418" s="4"/>
      <c r="EO1418" s="4"/>
      <c r="EP1418" s="4"/>
      <c r="EQ1418" s="4"/>
      <c r="ER1418" s="4"/>
      <c r="ES1418" s="4"/>
      <c r="ET1418" s="4"/>
      <c r="EU1418" s="4"/>
      <c r="EV1418" s="4"/>
      <c r="EW1418" s="4"/>
      <c r="EX1418" s="4"/>
      <c r="EY1418" s="4"/>
      <c r="EZ1418" s="4"/>
      <c r="FA1418" s="4"/>
      <c r="FB1418" s="4"/>
      <c r="FC1418" s="4"/>
      <c r="FD1418" s="4"/>
      <c r="FE1418" s="4"/>
      <c r="FF1418" s="4"/>
      <c r="FG1418" s="4"/>
      <c r="FH1418" s="4"/>
      <c r="FI1418" s="4"/>
      <c r="FJ1418" s="4"/>
      <c r="FK1418" s="4"/>
      <c r="FL1418" s="4"/>
      <c r="FM1418" s="4"/>
      <c r="FN1418" s="4"/>
      <c r="FO1418" s="4"/>
      <c r="FP1418" s="4"/>
      <c r="FQ1418" s="4"/>
      <c r="FR1418" s="4"/>
      <c r="FS1418" s="4"/>
      <c r="FT1418" s="4"/>
      <c r="FU1418" s="4"/>
      <c r="FV1418" s="4"/>
      <c r="FW1418" s="4"/>
      <c r="FX1418" s="4"/>
      <c r="FY1418" s="4"/>
      <c r="FZ1418" s="4"/>
      <c r="GA1418" s="4"/>
      <c r="GB1418" s="4"/>
      <c r="GC1418" s="4"/>
      <c r="GD1418" s="4"/>
      <c r="GE1418" s="4"/>
      <c r="GF1418" s="4"/>
      <c r="GG1418" s="4"/>
      <c r="GH1418" s="4"/>
    </row>
    <row r="1419">
      <c r="A1419" s="2" t="s">
        <v>7652</v>
      </c>
      <c r="B1419" s="2" t="s">
        <v>827</v>
      </c>
      <c r="C1419" s="2" t="s">
        <v>877</v>
      </c>
      <c r="D1419" s="2" t="s">
        <v>828</v>
      </c>
      <c r="E1419" s="2" t="s">
        <v>1011</v>
      </c>
      <c r="F1419" s="2" t="s">
        <v>7639</v>
      </c>
      <c r="G1419" s="2" t="s">
        <v>6289</v>
      </c>
      <c r="H1419" s="2" t="s">
        <v>7640</v>
      </c>
      <c r="I1419" s="2" t="s">
        <v>7641</v>
      </c>
      <c r="J1419" s="2" t="s">
        <v>4001</v>
      </c>
      <c r="K1419" s="2" t="s">
        <v>6446</v>
      </c>
      <c r="L1419" s="3">
        <v>19.2</v>
      </c>
      <c r="M1419" s="3">
        <v>20.16</v>
      </c>
      <c r="N1419" s="3">
        <v>39.99</v>
      </c>
      <c r="O1419" s="2" t="s">
        <v>212</v>
      </c>
      <c r="P1419" s="2" t="s">
        <v>258</v>
      </c>
      <c r="Q1419" s="2" t="s">
        <v>206</v>
      </c>
      <c r="R1419" s="2" t="s">
        <v>200</v>
      </c>
      <c r="S1419" s="2" t="s">
        <v>7653</v>
      </c>
      <c r="T1419" s="2" t="s">
        <v>200</v>
      </c>
      <c r="U1419" s="2" t="s">
        <v>270</v>
      </c>
      <c r="V1419" s="2" t="s">
        <v>885</v>
      </c>
      <c r="W1419" s="2" t="s">
        <v>241</v>
      </c>
      <c r="X1419" s="2" t="s">
        <v>1020</v>
      </c>
      <c r="Y1419" s="2" t="s">
        <v>7643</v>
      </c>
      <c r="Z1419" s="4">
        <v>902</v>
      </c>
      <c r="AA1419" s="4">
        <f>=ROUNDDOWN(64.4285714285714,0)</f>
      </c>
      <c r="AB1419" s="5">
        <v>14</v>
      </c>
      <c r="AC1419" s="2" t="s">
        <v>200</v>
      </c>
      <c r="AD1419" s="4"/>
      <c r="AE1419" s="4"/>
      <c r="AF1419" s="6">
        <v>65</v>
      </c>
      <c r="AG1419" s="6"/>
      <c r="AH1419" s="7">
        <v>1</v>
      </c>
      <c r="AI1419" s="4"/>
      <c r="AJ1419" s="4">
        <f>=ROUNDDOWN({0},0)</f>
      </c>
      <c r="AK1419" s="5"/>
      <c r="AL1419" s="2" t="s">
        <v>200</v>
      </c>
      <c r="AM1419" s="4"/>
      <c r="AN1419" s="4"/>
      <c r="AO1419" s="7"/>
      <c r="AP1419" s="4"/>
      <c r="AQ1419" s="8"/>
      <c r="AR1419" s="4"/>
      <c r="AS1419" s="8"/>
      <c r="AT1419" s="7"/>
      <c r="AU1419" s="7"/>
      <c r="AV1419" s="4"/>
      <c r="AW1419" s="8"/>
      <c r="AX1419" s="4"/>
      <c r="AY1419" s="8"/>
      <c r="AZ1419" s="7"/>
      <c r="BA1419" s="7"/>
      <c r="BB1419" s="7"/>
      <c r="BC1419" s="4" t="s">
        <v>200</v>
      </c>
      <c r="BD1419" s="8" t="s">
        <v>200</v>
      </c>
      <c r="BE1419" s="4" t="s">
        <v>200</v>
      </c>
      <c r="BF1419" s="8" t="s">
        <v>200</v>
      </c>
      <c r="BG1419" s="7" t="s">
        <v>200</v>
      </c>
      <c r="BH1419" s="7" t="s">
        <v>200</v>
      </c>
      <c r="BI1419" s="7"/>
      <c r="BJ1419" s="4">
        <v>105</v>
      </c>
      <c r="BK1419" s="8">
        <v>2145.97</v>
      </c>
      <c r="BL1419" s="2" t="s">
        <v>7654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7655</v>
      </c>
      <c r="BV1419" s="2" t="s">
        <v>200</v>
      </c>
      <c r="BW1419" s="2" t="s">
        <v>200</v>
      </c>
      <c r="BX1419" s="2" t="s">
        <v>620</v>
      </c>
      <c r="BY1419" s="2" t="s">
        <v>247</v>
      </c>
      <c r="BZ1419" s="2" t="s">
        <v>212</v>
      </c>
      <c r="CA1419" s="2" t="s">
        <v>7646</v>
      </c>
      <c r="CB1419" s="2" t="s">
        <v>7656</v>
      </c>
      <c r="CC1419" s="2" t="s">
        <v>213</v>
      </c>
      <c r="CD1419" s="2" t="s">
        <v>200</v>
      </c>
      <c r="CE1419" s="4">
        <v>902</v>
      </c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/>
      <c r="DD1419" s="4"/>
      <c r="DE1419" s="4"/>
      <c r="DF1419" s="4"/>
      <c r="DG1419" s="4"/>
      <c r="DH1419" s="4"/>
      <c r="DI1419" s="4"/>
      <c r="DJ1419" s="4"/>
      <c r="DK1419" s="4"/>
      <c r="DL1419" s="4"/>
      <c r="DM1419" s="4"/>
      <c r="DN1419" s="4"/>
      <c r="DO1419" s="4"/>
      <c r="DP1419" s="4"/>
      <c r="DQ1419" s="4"/>
      <c r="DR1419" s="4"/>
      <c r="DS1419" s="4"/>
      <c r="DT1419" s="4"/>
      <c r="DU1419" s="4"/>
      <c r="DV1419" s="4"/>
      <c r="DW1419" s="4"/>
      <c r="DX1419" s="4"/>
      <c r="DY1419" s="4"/>
      <c r="DZ1419" s="4"/>
      <c r="EA1419" s="4"/>
      <c r="EB1419" s="4"/>
      <c r="EC1419" s="4"/>
      <c r="ED1419" s="4"/>
      <c r="EE1419" s="4"/>
      <c r="EF1419" s="4"/>
      <c r="EG1419" s="4"/>
      <c r="EH1419" s="4"/>
      <c r="EI1419" s="4"/>
      <c r="EJ1419" s="4"/>
      <c r="EK1419" s="4"/>
      <c r="EL1419" s="4"/>
      <c r="EM1419" s="4"/>
      <c r="EN1419" s="4"/>
      <c r="EO1419" s="4"/>
      <c r="EP1419" s="4"/>
      <c r="EQ1419" s="4"/>
      <c r="ER1419" s="4"/>
      <c r="ES1419" s="4"/>
      <c r="ET1419" s="4"/>
      <c r="EU1419" s="4"/>
      <c r="EV1419" s="4"/>
      <c r="EW1419" s="4"/>
      <c r="EX1419" s="4"/>
      <c r="EY1419" s="4"/>
      <c r="EZ1419" s="4"/>
      <c r="FA1419" s="4"/>
      <c r="FB1419" s="4"/>
      <c r="FC1419" s="4"/>
      <c r="FD1419" s="4"/>
      <c r="FE1419" s="4"/>
      <c r="FF1419" s="4"/>
      <c r="FG1419" s="4"/>
      <c r="FH1419" s="4"/>
      <c r="FI1419" s="4"/>
      <c r="FJ1419" s="4"/>
      <c r="FK1419" s="4"/>
      <c r="FL1419" s="4"/>
      <c r="FM1419" s="4"/>
      <c r="FN1419" s="4"/>
      <c r="FO1419" s="4"/>
      <c r="FP1419" s="4"/>
      <c r="FQ1419" s="4"/>
      <c r="FR1419" s="4"/>
      <c r="FS1419" s="4"/>
      <c r="FT1419" s="4"/>
      <c r="FU1419" s="4"/>
      <c r="FV1419" s="4"/>
      <c r="FW1419" s="4"/>
      <c r="FX1419" s="4"/>
      <c r="FY1419" s="4"/>
      <c r="FZ1419" s="4"/>
      <c r="GA1419" s="4"/>
      <c r="GB1419" s="4"/>
      <c r="GC1419" s="4"/>
      <c r="GD1419" s="4"/>
      <c r="GE1419" s="4"/>
      <c r="GF1419" s="4"/>
      <c r="GG1419" s="4"/>
      <c r="GH1419" s="4"/>
    </row>
    <row r="1420">
      <c r="A1420" s="2" t="s">
        <v>7657</v>
      </c>
      <c r="B1420" s="2" t="s">
        <v>932</v>
      </c>
      <c r="C1420" s="2" t="s">
        <v>877</v>
      </c>
      <c r="D1420" s="2" t="s">
        <v>918</v>
      </c>
      <c r="E1420" s="2" t="s">
        <v>934</v>
      </c>
      <c r="F1420" s="2" t="s">
        <v>7639</v>
      </c>
      <c r="G1420" s="2" t="s">
        <v>6289</v>
      </c>
      <c r="H1420" s="2" t="s">
        <v>7640</v>
      </c>
      <c r="I1420" s="2" t="s">
        <v>7658</v>
      </c>
      <c r="J1420" s="2" t="s">
        <v>1390</v>
      </c>
      <c r="K1420" s="2" t="s">
        <v>2666</v>
      </c>
      <c r="L1420" s="3">
        <v>26.1</v>
      </c>
      <c r="M1420" s="3">
        <v>27.4</v>
      </c>
      <c r="N1420" s="3">
        <v>57.99</v>
      </c>
      <c r="O1420" s="2" t="s">
        <v>212</v>
      </c>
      <c r="P1420" s="2" t="s">
        <v>258</v>
      </c>
      <c r="Q1420" s="2" t="s">
        <v>206</v>
      </c>
      <c r="R1420" s="2" t="s">
        <v>200</v>
      </c>
      <c r="S1420" s="2" t="s">
        <v>7659</v>
      </c>
      <c r="T1420" s="2" t="s">
        <v>378</v>
      </c>
      <c r="U1420" s="2" t="s">
        <v>240</v>
      </c>
      <c r="V1420" s="2" t="s">
        <v>885</v>
      </c>
      <c r="W1420" s="2" t="s">
        <v>379</v>
      </c>
      <c r="X1420" s="2" t="s">
        <v>242</v>
      </c>
      <c r="Y1420" s="2" t="s">
        <v>2306</v>
      </c>
      <c r="Z1420" s="4">
        <v>331</v>
      </c>
      <c r="AA1420" s="4">
        <f>=ROUNDDOWN(110.333333333333,0)</f>
      </c>
      <c r="AB1420" s="5">
        <v>3</v>
      </c>
      <c r="AC1420" s="2" t="s">
        <v>200</v>
      </c>
      <c r="AD1420" s="4"/>
      <c r="AE1420" s="4"/>
      <c r="AF1420" s="6">
        <v>64</v>
      </c>
      <c r="AG1420" s="6"/>
      <c r="AH1420" s="7">
        <v>1</v>
      </c>
      <c r="AI1420" s="4"/>
      <c r="AJ1420" s="4">
        <f>=ROUNDDOWN({0},0)</f>
      </c>
      <c r="AK1420" s="5"/>
      <c r="AL1420" s="2" t="s">
        <v>200</v>
      </c>
      <c r="AM1420" s="4"/>
      <c r="AN1420" s="4"/>
      <c r="AO1420" s="7"/>
      <c r="AP1420" s="4"/>
      <c r="AQ1420" s="8"/>
      <c r="AR1420" s="4"/>
      <c r="AS1420" s="8"/>
      <c r="AT1420" s="7"/>
      <c r="AU1420" s="7"/>
      <c r="AV1420" s="4" t="s">
        <v>200</v>
      </c>
      <c r="AW1420" s="8" t="s">
        <v>200</v>
      </c>
      <c r="AX1420" s="4" t="s">
        <v>200</v>
      </c>
      <c r="AY1420" s="8" t="s">
        <v>200</v>
      </c>
      <c r="AZ1420" s="7" t="s">
        <v>200</v>
      </c>
      <c r="BA1420" s="7" t="s">
        <v>200</v>
      </c>
      <c r="BB1420" s="7"/>
      <c r="BC1420" s="4" t="s">
        <v>200</v>
      </c>
      <c r="BD1420" s="8" t="s">
        <v>200</v>
      </c>
      <c r="BE1420" s="4" t="s">
        <v>200</v>
      </c>
      <c r="BF1420" s="8" t="s">
        <v>200</v>
      </c>
      <c r="BG1420" s="7" t="s">
        <v>200</v>
      </c>
      <c r="BH1420" s="7" t="s">
        <v>200</v>
      </c>
      <c r="BI1420" s="7"/>
      <c r="BJ1420" s="4">
        <v>10</v>
      </c>
      <c r="BK1420" s="8">
        <v>240.94</v>
      </c>
      <c r="BL1420" s="2" t="s">
        <v>3175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7660</v>
      </c>
      <c r="BV1420" s="2" t="s">
        <v>200</v>
      </c>
      <c r="BW1420" s="2" t="s">
        <v>200</v>
      </c>
      <c r="BX1420" s="2" t="s">
        <v>264</v>
      </c>
      <c r="BY1420" s="2" t="s">
        <v>247</v>
      </c>
      <c r="BZ1420" s="2" t="s">
        <v>212</v>
      </c>
      <c r="CA1420" s="2" t="s">
        <v>7661</v>
      </c>
      <c r="CB1420" s="2" t="s">
        <v>7662</v>
      </c>
      <c r="CC1420" s="2" t="s">
        <v>213</v>
      </c>
      <c r="CD1420" s="2" t="s">
        <v>200</v>
      </c>
      <c r="CE1420" s="4">
        <v>331</v>
      </c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  <c r="DE1420" s="4"/>
      <c r="DF1420" s="4"/>
      <c r="DG1420" s="4"/>
      <c r="DH1420" s="4"/>
      <c r="DI1420" s="4"/>
      <c r="DJ1420" s="4"/>
      <c r="DK1420" s="4"/>
      <c r="DL1420" s="4"/>
      <c r="DM1420" s="4"/>
      <c r="DN1420" s="4"/>
      <c r="DO1420" s="4"/>
      <c r="DP1420" s="4"/>
      <c r="DQ1420" s="4"/>
      <c r="DR1420" s="4"/>
      <c r="DS1420" s="4"/>
      <c r="DT1420" s="4"/>
      <c r="DU1420" s="4"/>
      <c r="DV1420" s="4"/>
      <c r="DW1420" s="4"/>
      <c r="DX1420" s="4"/>
      <c r="DY1420" s="4"/>
      <c r="DZ1420" s="4"/>
      <c r="EA1420" s="4"/>
      <c r="EB1420" s="4"/>
      <c r="EC1420" s="4"/>
      <c r="ED1420" s="4"/>
      <c r="EE1420" s="4"/>
      <c r="EF1420" s="4"/>
      <c r="EG1420" s="4"/>
      <c r="EH1420" s="4"/>
      <c r="EI1420" s="4"/>
      <c r="EJ1420" s="4"/>
      <c r="EK1420" s="4"/>
      <c r="EL1420" s="4"/>
      <c r="EM1420" s="4"/>
      <c r="EN1420" s="4"/>
      <c r="EO1420" s="4"/>
      <c r="EP1420" s="4"/>
      <c r="EQ1420" s="4"/>
      <c r="ER1420" s="4"/>
      <c r="ES1420" s="4"/>
      <c r="ET1420" s="4"/>
      <c r="EU1420" s="4"/>
      <c r="EV1420" s="4"/>
      <c r="EW1420" s="4"/>
      <c r="EX1420" s="4"/>
      <c r="EY1420" s="4"/>
      <c r="EZ1420" s="4"/>
      <c r="FA1420" s="4"/>
      <c r="FB1420" s="4"/>
      <c r="FC1420" s="4"/>
      <c r="FD1420" s="4"/>
      <c r="FE1420" s="4"/>
      <c r="FF1420" s="4"/>
      <c r="FG1420" s="4"/>
      <c r="FH1420" s="4"/>
      <c r="FI1420" s="4"/>
      <c r="FJ1420" s="4"/>
      <c r="FK1420" s="4"/>
      <c r="FL1420" s="4"/>
      <c r="FM1420" s="4"/>
      <c r="FN1420" s="4"/>
      <c r="FO1420" s="4"/>
      <c r="FP1420" s="4"/>
      <c r="FQ1420" s="4"/>
      <c r="FR1420" s="4"/>
      <c r="FS1420" s="4"/>
      <c r="FT1420" s="4"/>
      <c r="FU1420" s="4"/>
      <c r="FV1420" s="4"/>
      <c r="FW1420" s="4"/>
      <c r="FX1420" s="4"/>
      <c r="FY1420" s="4"/>
      <c r="FZ1420" s="4"/>
      <c r="GA1420" s="4"/>
      <c r="GB1420" s="4"/>
      <c r="GC1420" s="4"/>
      <c r="GD1420" s="4"/>
      <c r="GE1420" s="4"/>
      <c r="GF1420" s="4"/>
      <c r="GG1420" s="4"/>
      <c r="GH1420" s="4"/>
    </row>
    <row r="1421">
      <c r="A1421" s="2" t="s">
        <v>7663</v>
      </c>
      <c r="B1421" s="2" t="s">
        <v>932</v>
      </c>
      <c r="C1421" s="2" t="s">
        <v>877</v>
      </c>
      <c r="D1421" s="2" t="s">
        <v>918</v>
      </c>
      <c r="E1421" s="2" t="s">
        <v>934</v>
      </c>
      <c r="F1421" s="2" t="s">
        <v>7639</v>
      </c>
      <c r="G1421" s="2" t="s">
        <v>6289</v>
      </c>
      <c r="H1421" s="2" t="s">
        <v>7640</v>
      </c>
      <c r="I1421" s="2" t="s">
        <v>7658</v>
      </c>
      <c r="J1421" s="2" t="s">
        <v>612</v>
      </c>
      <c r="K1421" s="2" t="s">
        <v>2666</v>
      </c>
      <c r="L1421" s="3">
        <v>31.28</v>
      </c>
      <c r="M1421" s="3">
        <v>32.84</v>
      </c>
      <c r="N1421" s="3">
        <v>67.99</v>
      </c>
      <c r="O1421" s="2" t="s">
        <v>212</v>
      </c>
      <c r="P1421" s="2" t="s">
        <v>258</v>
      </c>
      <c r="Q1421" s="2" t="s">
        <v>206</v>
      </c>
      <c r="R1421" s="2" t="s">
        <v>200</v>
      </c>
      <c r="S1421" s="2" t="s">
        <v>7659</v>
      </c>
      <c r="T1421" s="2" t="s">
        <v>378</v>
      </c>
      <c r="U1421" s="2" t="s">
        <v>615</v>
      </c>
      <c r="V1421" s="2" t="s">
        <v>885</v>
      </c>
      <c r="W1421" s="2" t="s">
        <v>379</v>
      </c>
      <c r="X1421" s="2" t="s">
        <v>242</v>
      </c>
      <c r="Y1421" s="2" t="s">
        <v>2306</v>
      </c>
      <c r="Z1421" s="4">
        <v>598</v>
      </c>
      <c r="AA1421" s="4">
        <f>=ROUNDDOWN(74.75,0)</f>
      </c>
      <c r="AB1421" s="5">
        <v>8</v>
      </c>
      <c r="AC1421" s="2" t="s">
        <v>200</v>
      </c>
      <c r="AD1421" s="4"/>
      <c r="AE1421" s="4"/>
      <c r="AF1421" s="6">
        <v>64</v>
      </c>
      <c r="AG1421" s="6">
        <v>47</v>
      </c>
      <c r="AH1421" s="7">
        <v>1</v>
      </c>
      <c r="AI1421" s="4"/>
      <c r="AJ1421" s="4">
        <f>=ROUNDDOWN({0},0)</f>
      </c>
      <c r="AK1421" s="5"/>
      <c r="AL1421" s="2" t="s">
        <v>200</v>
      </c>
      <c r="AM1421" s="4"/>
      <c r="AN1421" s="4"/>
      <c r="AO1421" s="7"/>
      <c r="AP1421" s="4"/>
      <c r="AQ1421" s="8"/>
      <c r="AR1421" s="4"/>
      <c r="AS1421" s="8"/>
      <c r="AT1421" s="7"/>
      <c r="AU1421" s="7"/>
      <c r="AV1421" s="4" t="s">
        <v>200</v>
      </c>
      <c r="AW1421" s="8" t="s">
        <v>200</v>
      </c>
      <c r="AX1421" s="4" t="s">
        <v>200</v>
      </c>
      <c r="AY1421" s="8" t="s">
        <v>200</v>
      </c>
      <c r="AZ1421" s="7" t="s">
        <v>200</v>
      </c>
      <c r="BA1421" s="7" t="s">
        <v>200</v>
      </c>
      <c r="BB1421" s="7"/>
      <c r="BC1421" s="4" t="s">
        <v>200</v>
      </c>
      <c r="BD1421" s="8" t="s">
        <v>200</v>
      </c>
      <c r="BE1421" s="4" t="s">
        <v>200</v>
      </c>
      <c r="BF1421" s="8" t="s">
        <v>200</v>
      </c>
      <c r="BG1421" s="7" t="s">
        <v>200</v>
      </c>
      <c r="BH1421" s="7" t="s">
        <v>200</v>
      </c>
      <c r="BI1421" s="7"/>
      <c r="BJ1421" s="4">
        <v>34</v>
      </c>
      <c r="BK1421" s="8">
        <v>1090.73</v>
      </c>
      <c r="BL1421" s="2" t="s">
        <v>7664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7665</v>
      </c>
      <c r="BV1421" s="2" t="s">
        <v>200</v>
      </c>
      <c r="BW1421" s="2" t="s">
        <v>200</v>
      </c>
      <c r="BX1421" s="2" t="s">
        <v>264</v>
      </c>
      <c r="BY1421" s="2" t="s">
        <v>247</v>
      </c>
      <c r="BZ1421" s="2" t="s">
        <v>212</v>
      </c>
      <c r="CA1421" s="2" t="s">
        <v>7661</v>
      </c>
      <c r="CB1421" s="2" t="s">
        <v>2048</v>
      </c>
      <c r="CC1421" s="2" t="s">
        <v>213</v>
      </c>
      <c r="CD1421" s="2" t="s">
        <v>200</v>
      </c>
      <c r="CE1421" s="4">
        <v>250</v>
      </c>
      <c r="CF1421" s="4"/>
      <c r="CG1421" s="4"/>
      <c r="CH1421" s="4">
        <v>348</v>
      </c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  <c r="DE1421" s="4"/>
      <c r="DF1421" s="4"/>
      <c r="DG1421" s="4"/>
      <c r="DH1421" s="4"/>
      <c r="DI1421" s="4"/>
      <c r="DJ1421" s="4"/>
      <c r="DK1421" s="4"/>
      <c r="DL1421" s="4"/>
      <c r="DM1421" s="4"/>
      <c r="DN1421" s="4"/>
      <c r="DO1421" s="4"/>
      <c r="DP1421" s="4"/>
      <c r="DQ1421" s="4"/>
      <c r="DR1421" s="4"/>
      <c r="DS1421" s="4"/>
      <c r="DT1421" s="4"/>
      <c r="DU1421" s="4"/>
      <c r="DV1421" s="4"/>
      <c r="DW1421" s="4"/>
      <c r="DX1421" s="4"/>
      <c r="DY1421" s="4"/>
      <c r="DZ1421" s="4"/>
      <c r="EA1421" s="4"/>
      <c r="EB1421" s="4"/>
      <c r="EC1421" s="4"/>
      <c r="ED1421" s="4"/>
      <c r="EE1421" s="4"/>
      <c r="EF1421" s="4"/>
      <c r="EG1421" s="4"/>
      <c r="EH1421" s="4"/>
      <c r="EI1421" s="4"/>
      <c r="EJ1421" s="4"/>
      <c r="EK1421" s="4"/>
      <c r="EL1421" s="4"/>
      <c r="EM1421" s="4"/>
      <c r="EN1421" s="4"/>
      <c r="EO1421" s="4"/>
      <c r="EP1421" s="4"/>
      <c r="EQ1421" s="4"/>
      <c r="ER1421" s="4"/>
      <c r="ES1421" s="4"/>
      <c r="ET1421" s="4"/>
      <c r="EU1421" s="4"/>
      <c r="EV1421" s="4"/>
      <c r="EW1421" s="4"/>
      <c r="EX1421" s="4"/>
      <c r="EY1421" s="4"/>
      <c r="EZ1421" s="4"/>
      <c r="FA1421" s="4"/>
      <c r="FB1421" s="4"/>
      <c r="FC1421" s="4"/>
      <c r="FD1421" s="4"/>
      <c r="FE1421" s="4"/>
      <c r="FF1421" s="4"/>
      <c r="FG1421" s="4"/>
      <c r="FH1421" s="4"/>
      <c r="FI1421" s="4"/>
      <c r="FJ1421" s="4"/>
      <c r="FK1421" s="4"/>
      <c r="FL1421" s="4"/>
      <c r="FM1421" s="4"/>
      <c r="FN1421" s="4"/>
      <c r="FO1421" s="4"/>
      <c r="FP1421" s="4"/>
      <c r="FQ1421" s="4"/>
      <c r="FR1421" s="4"/>
      <c r="FS1421" s="4"/>
      <c r="FT1421" s="4"/>
      <c r="FU1421" s="4"/>
      <c r="FV1421" s="4"/>
      <c r="FW1421" s="4"/>
      <c r="FX1421" s="4"/>
      <c r="FY1421" s="4"/>
      <c r="FZ1421" s="4"/>
      <c r="GA1421" s="4"/>
      <c r="GB1421" s="4"/>
      <c r="GC1421" s="4"/>
      <c r="GD1421" s="4"/>
      <c r="GE1421" s="4"/>
      <c r="GF1421" s="4"/>
      <c r="GG1421" s="4"/>
      <c r="GH1421" s="4"/>
    </row>
    <row r="1422">
      <c r="A1422" s="2" t="s">
        <v>7666</v>
      </c>
      <c r="B1422" s="2" t="s">
        <v>932</v>
      </c>
      <c r="C1422" s="2" t="s">
        <v>877</v>
      </c>
      <c r="D1422" s="2" t="s">
        <v>918</v>
      </c>
      <c r="E1422" s="2" t="s">
        <v>934</v>
      </c>
      <c r="F1422" s="2" t="s">
        <v>7639</v>
      </c>
      <c r="G1422" s="2" t="s">
        <v>6289</v>
      </c>
      <c r="H1422" s="2" t="s">
        <v>7640</v>
      </c>
      <c r="I1422" s="2" t="s">
        <v>7658</v>
      </c>
      <c r="J1422" s="2" t="s">
        <v>924</v>
      </c>
      <c r="K1422" s="2" t="s">
        <v>2666</v>
      </c>
      <c r="L1422" s="3">
        <v>35.88</v>
      </c>
      <c r="M1422" s="3">
        <v>37.67</v>
      </c>
      <c r="N1422" s="3">
        <v>77.99</v>
      </c>
      <c r="O1422" s="2" t="s">
        <v>212</v>
      </c>
      <c r="P1422" s="2" t="s">
        <v>258</v>
      </c>
      <c r="Q1422" s="2" t="s">
        <v>206</v>
      </c>
      <c r="R1422" s="2" t="s">
        <v>200</v>
      </c>
      <c r="S1422" s="2" t="s">
        <v>7659</v>
      </c>
      <c r="T1422" s="2" t="s">
        <v>378</v>
      </c>
      <c r="U1422" s="2" t="s">
        <v>615</v>
      </c>
      <c r="V1422" s="2" t="s">
        <v>885</v>
      </c>
      <c r="W1422" s="2" t="s">
        <v>379</v>
      </c>
      <c r="X1422" s="2" t="s">
        <v>242</v>
      </c>
      <c r="Y1422" s="2" t="s">
        <v>2306</v>
      </c>
      <c r="Z1422" s="4">
        <v>487</v>
      </c>
      <c r="AA1422" s="4">
        <f>=ROUNDDOWN(81.1666666666667,0)</f>
      </c>
      <c r="AB1422" s="5">
        <v>6</v>
      </c>
      <c r="AC1422" s="2" t="s">
        <v>200</v>
      </c>
      <c r="AD1422" s="4"/>
      <c r="AE1422" s="4"/>
      <c r="AF1422" s="6">
        <v>64</v>
      </c>
      <c r="AG1422" s="6">
        <v>47</v>
      </c>
      <c r="AH1422" s="7">
        <v>1</v>
      </c>
      <c r="AI1422" s="4"/>
      <c r="AJ1422" s="4">
        <f>=ROUNDDOWN({0},0)</f>
      </c>
      <c r="AK1422" s="5"/>
      <c r="AL1422" s="2" t="s">
        <v>200</v>
      </c>
      <c r="AM1422" s="4"/>
      <c r="AN1422" s="4"/>
      <c r="AO1422" s="7"/>
      <c r="AP1422" s="4"/>
      <c r="AQ1422" s="8"/>
      <c r="AR1422" s="4"/>
      <c r="AS1422" s="8"/>
      <c r="AT1422" s="7"/>
      <c r="AU1422" s="7"/>
      <c r="AV1422" s="4" t="s">
        <v>200</v>
      </c>
      <c r="AW1422" s="8" t="s">
        <v>200</v>
      </c>
      <c r="AX1422" s="4" t="s">
        <v>200</v>
      </c>
      <c r="AY1422" s="8" t="s">
        <v>200</v>
      </c>
      <c r="AZ1422" s="7" t="s">
        <v>200</v>
      </c>
      <c r="BA1422" s="7" t="s">
        <v>200</v>
      </c>
      <c r="BB1422" s="7"/>
      <c r="BC1422" s="4" t="s">
        <v>200</v>
      </c>
      <c r="BD1422" s="8" t="s">
        <v>200</v>
      </c>
      <c r="BE1422" s="4" t="s">
        <v>200</v>
      </c>
      <c r="BF1422" s="8" t="s">
        <v>200</v>
      </c>
      <c r="BG1422" s="7" t="s">
        <v>200</v>
      </c>
      <c r="BH1422" s="7" t="s">
        <v>200</v>
      </c>
      <c r="BI1422" s="7"/>
      <c r="BJ1422" s="4">
        <v>33</v>
      </c>
      <c r="BK1422" s="8">
        <v>1239.24</v>
      </c>
      <c r="BL1422" s="2" t="s">
        <v>7667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7668</v>
      </c>
      <c r="BV1422" s="2" t="s">
        <v>200</v>
      </c>
      <c r="BW1422" s="2" t="s">
        <v>200</v>
      </c>
      <c r="BX1422" s="2" t="s">
        <v>264</v>
      </c>
      <c r="BY1422" s="2" t="s">
        <v>247</v>
      </c>
      <c r="BZ1422" s="2" t="s">
        <v>212</v>
      </c>
      <c r="CA1422" s="2" t="s">
        <v>7661</v>
      </c>
      <c r="CB1422" s="2" t="s">
        <v>2048</v>
      </c>
      <c r="CC1422" s="2" t="s">
        <v>213</v>
      </c>
      <c r="CD1422" s="2" t="s">
        <v>200</v>
      </c>
      <c r="CE1422" s="4">
        <v>366</v>
      </c>
      <c r="CF1422" s="4"/>
      <c r="CG1422" s="4"/>
      <c r="CH1422" s="4">
        <v>121</v>
      </c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  <c r="DD1422" s="4"/>
      <c r="DE1422" s="4"/>
      <c r="DF1422" s="4"/>
      <c r="DG1422" s="4"/>
      <c r="DH1422" s="4"/>
      <c r="DI1422" s="4"/>
      <c r="DJ1422" s="4"/>
      <c r="DK1422" s="4"/>
      <c r="DL1422" s="4"/>
      <c r="DM1422" s="4"/>
      <c r="DN1422" s="4"/>
      <c r="DO1422" s="4"/>
      <c r="DP1422" s="4"/>
      <c r="DQ1422" s="4"/>
      <c r="DR1422" s="4"/>
      <c r="DS1422" s="4"/>
      <c r="DT1422" s="4"/>
      <c r="DU1422" s="4"/>
      <c r="DV1422" s="4"/>
      <c r="DW1422" s="4"/>
      <c r="DX1422" s="4"/>
      <c r="DY1422" s="4"/>
      <c r="DZ1422" s="4"/>
      <c r="EA1422" s="4"/>
      <c r="EB1422" s="4"/>
      <c r="EC1422" s="4"/>
      <c r="ED1422" s="4"/>
      <c r="EE1422" s="4"/>
      <c r="EF1422" s="4"/>
      <c r="EG1422" s="4"/>
      <c r="EH1422" s="4"/>
      <c r="EI1422" s="4"/>
      <c r="EJ1422" s="4"/>
      <c r="EK1422" s="4"/>
      <c r="EL1422" s="4"/>
      <c r="EM1422" s="4"/>
      <c r="EN1422" s="4"/>
      <c r="EO1422" s="4"/>
      <c r="EP1422" s="4"/>
      <c r="EQ1422" s="4"/>
      <c r="ER1422" s="4"/>
      <c r="ES1422" s="4"/>
      <c r="ET1422" s="4"/>
      <c r="EU1422" s="4"/>
      <c r="EV1422" s="4"/>
      <c r="EW1422" s="4"/>
      <c r="EX1422" s="4"/>
      <c r="EY1422" s="4"/>
      <c r="EZ1422" s="4"/>
      <c r="FA1422" s="4"/>
      <c r="FB1422" s="4"/>
      <c r="FC1422" s="4"/>
      <c r="FD1422" s="4"/>
      <c r="FE1422" s="4"/>
      <c r="FF1422" s="4"/>
      <c r="FG1422" s="4"/>
      <c r="FH1422" s="4"/>
      <c r="FI1422" s="4"/>
      <c r="FJ1422" s="4"/>
      <c r="FK1422" s="4"/>
      <c r="FL1422" s="4"/>
      <c r="FM1422" s="4"/>
      <c r="FN1422" s="4"/>
      <c r="FO1422" s="4"/>
      <c r="FP1422" s="4"/>
      <c r="FQ1422" s="4"/>
      <c r="FR1422" s="4"/>
      <c r="FS1422" s="4"/>
      <c r="FT1422" s="4"/>
      <c r="FU1422" s="4"/>
      <c r="FV1422" s="4"/>
      <c r="FW1422" s="4"/>
      <c r="FX1422" s="4"/>
      <c r="FY1422" s="4"/>
      <c r="FZ1422" s="4"/>
      <c r="GA1422" s="4"/>
      <c r="GB1422" s="4"/>
      <c r="GC1422" s="4"/>
      <c r="GD1422" s="4"/>
      <c r="GE1422" s="4"/>
      <c r="GF1422" s="4"/>
      <c r="GG1422" s="4"/>
      <c r="GH1422" s="4"/>
    </row>
    <row r="1423">
      <c r="A1423" s="2" t="s">
        <v>7669</v>
      </c>
      <c r="B1423" s="2" t="s">
        <v>827</v>
      </c>
      <c r="C1423" s="2" t="s">
        <v>877</v>
      </c>
      <c r="D1423" s="2" t="s">
        <v>828</v>
      </c>
      <c r="E1423" s="2" t="s">
        <v>1011</v>
      </c>
      <c r="F1423" s="2" t="s">
        <v>7639</v>
      </c>
      <c r="G1423" s="2" t="s">
        <v>6289</v>
      </c>
      <c r="H1423" s="2" t="s">
        <v>7640</v>
      </c>
      <c r="I1423" s="2" t="s">
        <v>7641</v>
      </c>
      <c r="J1423" s="2" t="s">
        <v>4001</v>
      </c>
      <c r="K1423" s="2" t="s">
        <v>2666</v>
      </c>
      <c r="L1423" s="3">
        <v>19.2</v>
      </c>
      <c r="M1423" s="3">
        <v>20.16</v>
      </c>
      <c r="N1423" s="3">
        <v>39.99</v>
      </c>
      <c r="O1423" s="2" t="s">
        <v>212</v>
      </c>
      <c r="P1423" s="2" t="s">
        <v>258</v>
      </c>
      <c r="Q1423" s="2" t="s">
        <v>206</v>
      </c>
      <c r="R1423" s="2" t="s">
        <v>200</v>
      </c>
      <c r="S1423" s="2" t="s">
        <v>7670</v>
      </c>
      <c r="T1423" s="2" t="s">
        <v>200</v>
      </c>
      <c r="U1423" s="2" t="s">
        <v>270</v>
      </c>
      <c r="V1423" s="2" t="s">
        <v>885</v>
      </c>
      <c r="W1423" s="2" t="s">
        <v>241</v>
      </c>
      <c r="X1423" s="2" t="s">
        <v>1020</v>
      </c>
      <c r="Y1423" s="2" t="s">
        <v>7643</v>
      </c>
      <c r="Z1423" s="4">
        <v>438</v>
      </c>
      <c r="AA1423" s="4">
        <f>=ROUNDDOWN(29.2,0)</f>
      </c>
      <c r="AB1423" s="5">
        <v>15</v>
      </c>
      <c r="AC1423" s="2" t="s">
        <v>1141</v>
      </c>
      <c r="AD1423" s="4">
        <v>328</v>
      </c>
      <c r="AE1423" s="4">
        <v>328</v>
      </c>
      <c r="AF1423" s="6">
        <v>65</v>
      </c>
      <c r="AG1423" s="6"/>
      <c r="AH1423" s="7">
        <v>1</v>
      </c>
      <c r="AI1423" s="4"/>
      <c r="AJ1423" s="4">
        <f>=ROUNDDOWN({0},0)</f>
      </c>
      <c r="AK1423" s="5"/>
      <c r="AL1423" s="2" t="s">
        <v>200</v>
      </c>
      <c r="AM1423" s="4"/>
      <c r="AN1423" s="4"/>
      <c r="AO1423" s="7"/>
      <c r="AP1423" s="4"/>
      <c r="AQ1423" s="8"/>
      <c r="AR1423" s="4"/>
      <c r="AS1423" s="8"/>
      <c r="AT1423" s="7"/>
      <c r="AU1423" s="7"/>
      <c r="AV1423" s="4" t="s">
        <v>200</v>
      </c>
      <c r="AW1423" s="8" t="s">
        <v>200</v>
      </c>
      <c r="AX1423" s="4" t="s">
        <v>200</v>
      </c>
      <c r="AY1423" s="8" t="s">
        <v>200</v>
      </c>
      <c r="AZ1423" s="7" t="s">
        <v>200</v>
      </c>
      <c r="BA1423" s="7" t="s">
        <v>200</v>
      </c>
      <c r="BB1423" s="7"/>
      <c r="BC1423" s="4" t="s">
        <v>200</v>
      </c>
      <c r="BD1423" s="8" t="s">
        <v>200</v>
      </c>
      <c r="BE1423" s="4" t="s">
        <v>200</v>
      </c>
      <c r="BF1423" s="8" t="s">
        <v>200</v>
      </c>
      <c r="BG1423" s="7" t="s">
        <v>200</v>
      </c>
      <c r="BH1423" s="7" t="s">
        <v>200</v>
      </c>
      <c r="BI1423" s="7"/>
      <c r="BJ1423" s="4">
        <v>48</v>
      </c>
      <c r="BK1423" s="8">
        <v>967.12</v>
      </c>
      <c r="BL1423" s="2" t="s">
        <v>7671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7672</v>
      </c>
      <c r="BV1423" s="2" t="s">
        <v>200</v>
      </c>
      <c r="BW1423" s="2" t="s">
        <v>200</v>
      </c>
      <c r="BX1423" s="2" t="s">
        <v>620</v>
      </c>
      <c r="BY1423" s="2" t="s">
        <v>247</v>
      </c>
      <c r="BZ1423" s="2" t="s">
        <v>212</v>
      </c>
      <c r="CA1423" s="2" t="s">
        <v>7646</v>
      </c>
      <c r="CB1423" s="2" t="s">
        <v>7673</v>
      </c>
      <c r="CC1423" s="2" t="s">
        <v>213</v>
      </c>
      <c r="CD1423" s="2" t="s">
        <v>200</v>
      </c>
      <c r="CE1423" s="4">
        <v>438</v>
      </c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  <c r="DE1423" s="4"/>
      <c r="DF1423" s="4"/>
      <c r="DG1423" s="4"/>
      <c r="DH1423" s="4"/>
      <c r="DI1423" s="4"/>
      <c r="DJ1423" s="4"/>
      <c r="DK1423" s="4"/>
      <c r="DL1423" s="4"/>
      <c r="DM1423" s="4"/>
      <c r="DN1423" s="4"/>
      <c r="DO1423" s="4"/>
      <c r="DP1423" s="4"/>
      <c r="DQ1423" s="4"/>
      <c r="DR1423" s="4"/>
      <c r="DS1423" s="4"/>
      <c r="DT1423" s="4"/>
      <c r="DU1423" s="4">
        <v>328</v>
      </c>
      <c r="DV1423" s="4"/>
      <c r="DW1423" s="4"/>
      <c r="DX1423" s="4"/>
      <c r="DY1423" s="4"/>
      <c r="DZ1423" s="4"/>
      <c r="EA1423" s="4"/>
      <c r="EB1423" s="4"/>
      <c r="EC1423" s="4"/>
      <c r="ED1423" s="4"/>
      <c r="EE1423" s="4"/>
      <c r="EF1423" s="4"/>
      <c r="EG1423" s="4"/>
      <c r="EH1423" s="4"/>
      <c r="EI1423" s="4"/>
      <c r="EJ1423" s="4"/>
      <c r="EK1423" s="4"/>
      <c r="EL1423" s="4"/>
      <c r="EM1423" s="4"/>
      <c r="EN1423" s="4"/>
      <c r="EO1423" s="4"/>
      <c r="EP1423" s="4"/>
      <c r="EQ1423" s="4"/>
      <c r="ER1423" s="4"/>
      <c r="ES1423" s="4"/>
      <c r="ET1423" s="4"/>
      <c r="EU1423" s="4"/>
      <c r="EV1423" s="4"/>
      <c r="EW1423" s="4"/>
      <c r="EX1423" s="4"/>
      <c r="EY1423" s="4"/>
      <c r="EZ1423" s="4"/>
      <c r="FA1423" s="4"/>
      <c r="FB1423" s="4"/>
      <c r="FC1423" s="4"/>
      <c r="FD1423" s="4"/>
      <c r="FE1423" s="4"/>
      <c r="FF1423" s="4"/>
      <c r="FG1423" s="4"/>
      <c r="FH1423" s="4"/>
      <c r="FI1423" s="4"/>
      <c r="FJ1423" s="4"/>
      <c r="FK1423" s="4"/>
      <c r="FL1423" s="4"/>
      <c r="FM1423" s="4"/>
      <c r="FN1423" s="4"/>
      <c r="FO1423" s="4"/>
      <c r="FP1423" s="4"/>
      <c r="FQ1423" s="4"/>
      <c r="FR1423" s="4"/>
      <c r="FS1423" s="4"/>
      <c r="FT1423" s="4"/>
      <c r="FU1423" s="4"/>
      <c r="FV1423" s="4"/>
      <c r="FW1423" s="4"/>
      <c r="FX1423" s="4"/>
      <c r="FY1423" s="4"/>
      <c r="FZ1423" s="4"/>
      <c r="GA1423" s="4"/>
      <c r="GB1423" s="4"/>
      <c r="GC1423" s="4"/>
      <c r="GD1423" s="4"/>
      <c r="GE1423" s="4"/>
      <c r="GF1423" s="4"/>
      <c r="GG1423" s="4"/>
      <c r="GH1423" s="4"/>
    </row>
    <row r="1424">
      <c r="A1424" s="2" t="s">
        <v>7674</v>
      </c>
      <c r="B1424" s="2" t="s">
        <v>827</v>
      </c>
      <c r="C1424" s="2" t="s">
        <v>877</v>
      </c>
      <c r="D1424" s="2" t="s">
        <v>828</v>
      </c>
      <c r="E1424" s="2" t="s">
        <v>1011</v>
      </c>
      <c r="F1424" s="2" t="s">
        <v>7639</v>
      </c>
      <c r="G1424" s="2" t="s">
        <v>6289</v>
      </c>
      <c r="H1424" s="2" t="s">
        <v>7640</v>
      </c>
      <c r="I1424" s="2" t="s">
        <v>7641</v>
      </c>
      <c r="J1424" s="2" t="s">
        <v>1016</v>
      </c>
      <c r="K1424" s="2" t="s">
        <v>2666</v>
      </c>
      <c r="L1424" s="3">
        <v>19.2</v>
      </c>
      <c r="M1424" s="3">
        <v>20.16</v>
      </c>
      <c r="N1424" s="3">
        <v>39.99</v>
      </c>
      <c r="O1424" s="2" t="s">
        <v>212</v>
      </c>
      <c r="P1424" s="2" t="s">
        <v>1075</v>
      </c>
      <c r="Q1424" s="2" t="s">
        <v>206</v>
      </c>
      <c r="R1424" s="2" t="s">
        <v>200</v>
      </c>
      <c r="S1424" s="2" t="s">
        <v>7670</v>
      </c>
      <c r="T1424" s="2" t="s">
        <v>200</v>
      </c>
      <c r="U1424" s="2" t="s">
        <v>270</v>
      </c>
      <c r="V1424" s="2" t="s">
        <v>885</v>
      </c>
      <c r="W1424" s="2" t="s">
        <v>241</v>
      </c>
      <c r="X1424" s="2" t="s">
        <v>1020</v>
      </c>
      <c r="Y1424" s="2" t="s">
        <v>7648</v>
      </c>
      <c r="Z1424" s="4">
        <v>1306</v>
      </c>
      <c r="AA1424" s="4">
        <f>=ROUNDDOWN(37.3142857142857,0)</f>
      </c>
      <c r="AB1424" s="5">
        <v>35</v>
      </c>
      <c r="AC1424" s="2" t="s">
        <v>1141</v>
      </c>
      <c r="AD1424" s="4">
        <v>660</v>
      </c>
      <c r="AE1424" s="4">
        <v>660</v>
      </c>
      <c r="AF1424" s="6">
        <v>65</v>
      </c>
      <c r="AG1424" s="6"/>
      <c r="AH1424" s="7">
        <v>1</v>
      </c>
      <c r="AI1424" s="4"/>
      <c r="AJ1424" s="4">
        <f>=ROUNDDOWN({0},0)</f>
      </c>
      <c r="AK1424" s="5"/>
      <c r="AL1424" s="2" t="s">
        <v>200</v>
      </c>
      <c r="AM1424" s="4"/>
      <c r="AN1424" s="4"/>
      <c r="AO1424" s="7"/>
      <c r="AP1424" s="4"/>
      <c r="AQ1424" s="8"/>
      <c r="AR1424" s="4"/>
      <c r="AS1424" s="8"/>
      <c r="AT1424" s="7"/>
      <c r="AU1424" s="7"/>
      <c r="AV1424" s="4" t="s">
        <v>200</v>
      </c>
      <c r="AW1424" s="8" t="s">
        <v>200</v>
      </c>
      <c r="AX1424" s="4" t="s">
        <v>200</v>
      </c>
      <c r="AY1424" s="8" t="s">
        <v>200</v>
      </c>
      <c r="AZ1424" s="7" t="s">
        <v>200</v>
      </c>
      <c r="BA1424" s="7" t="s">
        <v>200</v>
      </c>
      <c r="BB1424" s="7"/>
      <c r="BC1424" s="4" t="s">
        <v>200</v>
      </c>
      <c r="BD1424" s="8" t="s">
        <v>200</v>
      </c>
      <c r="BE1424" s="4" t="s">
        <v>200</v>
      </c>
      <c r="BF1424" s="8" t="s">
        <v>200</v>
      </c>
      <c r="BG1424" s="7" t="s">
        <v>200</v>
      </c>
      <c r="BH1424" s="7" t="s">
        <v>200</v>
      </c>
      <c r="BI1424" s="7"/>
      <c r="BJ1424" s="4">
        <v>58</v>
      </c>
      <c r="BK1424" s="8">
        <v>1212.64</v>
      </c>
      <c r="BL1424" s="2" t="s">
        <v>7675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7676</v>
      </c>
      <c r="BV1424" s="2" t="s">
        <v>200</v>
      </c>
      <c r="BW1424" s="2" t="s">
        <v>200</v>
      </c>
      <c r="BX1424" s="2" t="s">
        <v>620</v>
      </c>
      <c r="BY1424" s="2" t="s">
        <v>247</v>
      </c>
      <c r="BZ1424" s="2" t="s">
        <v>212</v>
      </c>
      <c r="CA1424" s="2" t="s">
        <v>7651</v>
      </c>
      <c r="CB1424" s="2" t="s">
        <v>7677</v>
      </c>
      <c r="CC1424" s="2" t="s">
        <v>213</v>
      </c>
      <c r="CD1424" s="2" t="s">
        <v>200</v>
      </c>
      <c r="CE1424" s="4">
        <v>1306</v>
      </c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  <c r="DB1424" s="4"/>
      <c r="DC1424" s="4"/>
      <c r="DD1424" s="4"/>
      <c r="DE1424" s="4"/>
      <c r="DF1424" s="4"/>
      <c r="DG1424" s="4"/>
      <c r="DH1424" s="4"/>
      <c r="DI1424" s="4"/>
      <c r="DJ1424" s="4"/>
      <c r="DK1424" s="4"/>
      <c r="DL1424" s="4"/>
      <c r="DM1424" s="4"/>
      <c r="DN1424" s="4"/>
      <c r="DO1424" s="4"/>
      <c r="DP1424" s="4"/>
      <c r="DQ1424" s="4"/>
      <c r="DR1424" s="4"/>
      <c r="DS1424" s="4"/>
      <c r="DT1424" s="4"/>
      <c r="DU1424" s="4">
        <v>660</v>
      </c>
      <c r="DV1424" s="4"/>
      <c r="DW1424" s="4"/>
      <c r="DX1424" s="4"/>
      <c r="DY1424" s="4"/>
      <c r="DZ1424" s="4"/>
      <c r="EA1424" s="4"/>
      <c r="EB1424" s="4"/>
      <c r="EC1424" s="4"/>
      <c r="ED1424" s="4"/>
      <c r="EE1424" s="4"/>
      <c r="EF1424" s="4"/>
      <c r="EG1424" s="4"/>
      <c r="EH1424" s="4"/>
      <c r="EI1424" s="4"/>
      <c r="EJ1424" s="4"/>
      <c r="EK1424" s="4"/>
      <c r="EL1424" s="4"/>
      <c r="EM1424" s="4"/>
      <c r="EN1424" s="4"/>
      <c r="EO1424" s="4"/>
      <c r="EP1424" s="4"/>
      <c r="EQ1424" s="4"/>
      <c r="ER1424" s="4"/>
      <c r="ES1424" s="4"/>
      <c r="ET1424" s="4"/>
      <c r="EU1424" s="4"/>
      <c r="EV1424" s="4"/>
      <c r="EW1424" s="4"/>
      <c r="EX1424" s="4"/>
      <c r="EY1424" s="4"/>
      <c r="EZ1424" s="4"/>
      <c r="FA1424" s="4"/>
      <c r="FB1424" s="4"/>
      <c r="FC1424" s="4"/>
      <c r="FD1424" s="4"/>
      <c r="FE1424" s="4"/>
      <c r="FF1424" s="4"/>
      <c r="FG1424" s="4"/>
      <c r="FH1424" s="4"/>
      <c r="FI1424" s="4"/>
      <c r="FJ1424" s="4"/>
      <c r="FK1424" s="4"/>
      <c r="FL1424" s="4"/>
      <c r="FM1424" s="4"/>
      <c r="FN1424" s="4"/>
      <c r="FO1424" s="4"/>
      <c r="FP1424" s="4"/>
      <c r="FQ1424" s="4"/>
      <c r="FR1424" s="4"/>
      <c r="FS1424" s="4"/>
      <c r="FT1424" s="4"/>
      <c r="FU1424" s="4"/>
      <c r="FV1424" s="4"/>
      <c r="FW1424" s="4"/>
      <c r="FX1424" s="4"/>
      <c r="FY1424" s="4"/>
      <c r="FZ1424" s="4"/>
      <c r="GA1424" s="4"/>
      <c r="GB1424" s="4"/>
      <c r="GC1424" s="4"/>
      <c r="GD1424" s="4"/>
      <c r="GE1424" s="4"/>
      <c r="GF1424" s="4"/>
      <c r="GG1424" s="4"/>
      <c r="GH1424" s="4"/>
    </row>
    <row r="1425">
      <c r="A1425" s="2" t="s">
        <v>7678</v>
      </c>
      <c r="B1425" s="2" t="s">
        <v>827</v>
      </c>
      <c r="C1425" s="2" t="s">
        <v>877</v>
      </c>
      <c r="D1425" s="2" t="s">
        <v>828</v>
      </c>
      <c r="E1425" s="2" t="s">
        <v>1011</v>
      </c>
      <c r="F1425" s="2" t="s">
        <v>7639</v>
      </c>
      <c r="G1425" s="2" t="s">
        <v>6289</v>
      </c>
      <c r="H1425" s="2" t="s">
        <v>7640</v>
      </c>
      <c r="I1425" s="2" t="s">
        <v>7641</v>
      </c>
      <c r="J1425" s="2" t="s">
        <v>4001</v>
      </c>
      <c r="K1425" s="2" t="s">
        <v>7679</v>
      </c>
      <c r="L1425" s="3">
        <v>19.2</v>
      </c>
      <c r="M1425" s="3">
        <v>20.16</v>
      </c>
      <c r="N1425" s="3">
        <v>39.99</v>
      </c>
      <c r="O1425" s="2" t="s">
        <v>212</v>
      </c>
      <c r="P1425" s="2" t="s">
        <v>285</v>
      </c>
      <c r="Q1425" s="2" t="s">
        <v>206</v>
      </c>
      <c r="R1425" s="2" t="s">
        <v>200</v>
      </c>
      <c r="S1425" s="2" t="s">
        <v>7680</v>
      </c>
      <c r="T1425" s="2" t="s">
        <v>200</v>
      </c>
      <c r="U1425" s="2" t="s">
        <v>200</v>
      </c>
      <c r="V1425" s="2" t="s">
        <v>885</v>
      </c>
      <c r="W1425" s="2" t="s">
        <v>241</v>
      </c>
      <c r="X1425" s="2" t="s">
        <v>1020</v>
      </c>
      <c r="Y1425" s="2" t="s">
        <v>7681</v>
      </c>
      <c r="Z1425" s="4">
        <v>63</v>
      </c>
      <c r="AA1425" s="4">
        <f>=ROUNDDOWN(10.5,0)</f>
      </c>
      <c r="AB1425" s="5">
        <v>6</v>
      </c>
      <c r="AC1425" s="2" t="s">
        <v>200</v>
      </c>
      <c r="AD1425" s="4"/>
      <c r="AE1425" s="4"/>
      <c r="AF1425" s="6">
        <v>65</v>
      </c>
      <c r="AG1425" s="6"/>
      <c r="AH1425" s="7">
        <v>1</v>
      </c>
      <c r="AI1425" s="4"/>
      <c r="AJ1425" s="4">
        <f>=ROUNDDOWN({0},0)</f>
      </c>
      <c r="AK1425" s="5"/>
      <c r="AL1425" s="2" t="s">
        <v>200</v>
      </c>
      <c r="AM1425" s="4"/>
      <c r="AN1425" s="4"/>
      <c r="AO1425" s="7"/>
      <c r="AP1425" s="4"/>
      <c r="AQ1425" s="8"/>
      <c r="AR1425" s="4"/>
      <c r="AS1425" s="8"/>
      <c r="AT1425" s="7"/>
      <c r="AU1425" s="7"/>
      <c r="AV1425" s="4" t="s">
        <v>200</v>
      </c>
      <c r="AW1425" s="8" t="s">
        <v>200</v>
      </c>
      <c r="AX1425" s="4" t="s">
        <v>200</v>
      </c>
      <c r="AY1425" s="8" t="s">
        <v>200</v>
      </c>
      <c r="AZ1425" s="7" t="s">
        <v>200</v>
      </c>
      <c r="BA1425" s="7" t="s">
        <v>200</v>
      </c>
      <c r="BB1425" s="7"/>
      <c r="BC1425" s="4" t="s">
        <v>200</v>
      </c>
      <c r="BD1425" s="8" t="s">
        <v>200</v>
      </c>
      <c r="BE1425" s="4" t="s">
        <v>200</v>
      </c>
      <c r="BF1425" s="8" t="s">
        <v>200</v>
      </c>
      <c r="BG1425" s="7" t="s">
        <v>200</v>
      </c>
      <c r="BH1425" s="7" t="s">
        <v>200</v>
      </c>
      <c r="BI1425" s="7"/>
      <c r="BJ1425" s="4">
        <v>33</v>
      </c>
      <c r="BK1425" s="8">
        <v>783.43</v>
      </c>
      <c r="BL1425" s="2" t="s">
        <v>7682</v>
      </c>
      <c r="BM1425" s="7"/>
      <c r="BN1425" s="7"/>
      <c r="BO1425" s="4"/>
      <c r="BP1425" s="8"/>
      <c r="BQ1425" s="4"/>
      <c r="BR1425" s="8"/>
      <c r="BS1425" s="7"/>
      <c r="BT1425" s="7"/>
      <c r="BU1425" s="2" t="s">
        <v>7683</v>
      </c>
      <c r="BV1425" s="2" t="s">
        <v>200</v>
      </c>
      <c r="BW1425" s="2" t="s">
        <v>200</v>
      </c>
      <c r="BX1425" s="2" t="s">
        <v>289</v>
      </c>
      <c r="BY1425" s="2" t="s">
        <v>247</v>
      </c>
      <c r="BZ1425" s="2" t="s">
        <v>212</v>
      </c>
      <c r="CA1425" s="2" t="s">
        <v>7684</v>
      </c>
      <c r="CB1425" s="2" t="s">
        <v>3679</v>
      </c>
      <c r="CC1425" s="2" t="s">
        <v>213</v>
      </c>
      <c r="CD1425" s="2" t="s">
        <v>200</v>
      </c>
      <c r="CE1425" s="4">
        <v>63</v>
      </c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  <c r="DE1425" s="4"/>
      <c r="DF1425" s="4"/>
      <c r="DG1425" s="4"/>
      <c r="DH1425" s="4"/>
      <c r="DI1425" s="4"/>
      <c r="DJ1425" s="4"/>
      <c r="DK1425" s="4"/>
      <c r="DL1425" s="4"/>
      <c r="DM1425" s="4"/>
      <c r="DN1425" s="4"/>
      <c r="DO1425" s="4"/>
      <c r="DP1425" s="4"/>
      <c r="DQ1425" s="4"/>
      <c r="DR1425" s="4"/>
      <c r="DS1425" s="4"/>
      <c r="DT1425" s="4"/>
      <c r="DU1425" s="4"/>
      <c r="DV1425" s="4"/>
      <c r="DW1425" s="4"/>
      <c r="DX1425" s="4"/>
      <c r="DY1425" s="4"/>
      <c r="DZ1425" s="4"/>
      <c r="EA1425" s="4"/>
      <c r="EB1425" s="4"/>
      <c r="EC1425" s="4"/>
      <c r="ED1425" s="4"/>
      <c r="EE1425" s="4"/>
      <c r="EF1425" s="4"/>
      <c r="EG1425" s="4"/>
      <c r="EH1425" s="4"/>
      <c r="EI1425" s="4"/>
      <c r="EJ1425" s="4"/>
      <c r="EK1425" s="4"/>
      <c r="EL1425" s="4"/>
      <c r="EM1425" s="4"/>
      <c r="EN1425" s="4"/>
      <c r="EO1425" s="4"/>
      <c r="EP1425" s="4"/>
      <c r="EQ1425" s="4"/>
      <c r="ER1425" s="4"/>
      <c r="ES1425" s="4"/>
      <c r="ET1425" s="4"/>
      <c r="EU1425" s="4"/>
      <c r="EV1425" s="4"/>
      <c r="EW1425" s="4"/>
      <c r="EX1425" s="4"/>
      <c r="EY1425" s="4"/>
      <c r="EZ1425" s="4"/>
      <c r="FA1425" s="4"/>
      <c r="FB1425" s="4"/>
      <c r="FC1425" s="4"/>
      <c r="FD1425" s="4"/>
      <c r="FE1425" s="4"/>
      <c r="FF1425" s="4"/>
      <c r="FG1425" s="4"/>
      <c r="FH1425" s="4"/>
      <c r="FI1425" s="4"/>
      <c r="FJ1425" s="4"/>
      <c r="FK1425" s="4"/>
      <c r="FL1425" s="4"/>
      <c r="FM1425" s="4"/>
      <c r="FN1425" s="4"/>
      <c r="FO1425" s="4"/>
      <c r="FP1425" s="4"/>
      <c r="FQ1425" s="4"/>
      <c r="FR1425" s="4"/>
      <c r="FS1425" s="4"/>
      <c r="FT1425" s="4"/>
      <c r="FU1425" s="4"/>
      <c r="FV1425" s="4"/>
      <c r="FW1425" s="4"/>
      <c r="FX1425" s="4"/>
      <c r="FY1425" s="4"/>
      <c r="FZ1425" s="4"/>
      <c r="GA1425" s="4"/>
      <c r="GB1425" s="4"/>
      <c r="GC1425" s="4"/>
      <c r="GD1425" s="4"/>
      <c r="GE1425" s="4"/>
      <c r="GF1425" s="4"/>
      <c r="GG1425" s="4"/>
      <c r="GH1425" s="4"/>
    </row>
    <row r="1426">
      <c r="A1426" s="2" t="s">
        <v>7685</v>
      </c>
      <c r="B1426" s="2" t="s">
        <v>827</v>
      </c>
      <c r="C1426" s="2" t="s">
        <v>877</v>
      </c>
      <c r="D1426" s="2" t="s">
        <v>828</v>
      </c>
      <c r="E1426" s="2" t="s">
        <v>1011</v>
      </c>
      <c r="F1426" s="2" t="s">
        <v>7639</v>
      </c>
      <c r="G1426" s="2" t="s">
        <v>6289</v>
      </c>
      <c r="H1426" s="2" t="s">
        <v>7640</v>
      </c>
      <c r="I1426" s="2" t="s">
        <v>7641</v>
      </c>
      <c r="J1426" s="2" t="s">
        <v>1016</v>
      </c>
      <c r="K1426" s="2" t="s">
        <v>7679</v>
      </c>
      <c r="L1426" s="3">
        <v>19.2</v>
      </c>
      <c r="M1426" s="3">
        <v>20.16</v>
      </c>
      <c r="N1426" s="3">
        <v>39.99</v>
      </c>
      <c r="O1426" s="2" t="s">
        <v>417</v>
      </c>
      <c r="P1426" s="2" t="s">
        <v>285</v>
      </c>
      <c r="Q1426" s="2" t="s">
        <v>206</v>
      </c>
      <c r="R1426" s="2" t="s">
        <v>200</v>
      </c>
      <c r="S1426" s="2" t="s">
        <v>7680</v>
      </c>
      <c r="T1426" s="2" t="s">
        <v>200</v>
      </c>
      <c r="U1426" s="2" t="s">
        <v>200</v>
      </c>
      <c r="V1426" s="2" t="s">
        <v>885</v>
      </c>
      <c r="W1426" s="2" t="s">
        <v>241</v>
      </c>
      <c r="X1426" s="2" t="s">
        <v>1020</v>
      </c>
      <c r="Y1426" s="2" t="s">
        <v>7681</v>
      </c>
      <c r="Z1426" s="4">
        <v>19</v>
      </c>
      <c r="AA1426" s="4">
        <f>=ROUNDDOWN(2.11111111111111,0)</f>
      </c>
      <c r="AB1426" s="5">
        <v>9</v>
      </c>
      <c r="AC1426" s="2" t="s">
        <v>200</v>
      </c>
      <c r="AD1426" s="4"/>
      <c r="AE1426" s="4"/>
      <c r="AF1426" s="6">
        <v>65</v>
      </c>
      <c r="AG1426" s="6"/>
      <c r="AH1426" s="7">
        <v>0.8667</v>
      </c>
      <c r="AI1426" s="4"/>
      <c r="AJ1426" s="4">
        <f>=ROUNDDOWN({0},0)</f>
      </c>
      <c r="AK1426" s="5"/>
      <c r="AL1426" s="2" t="s">
        <v>200</v>
      </c>
      <c r="AM1426" s="4"/>
      <c r="AN1426" s="4"/>
      <c r="AO1426" s="7"/>
      <c r="AP1426" s="4"/>
      <c r="AQ1426" s="8"/>
      <c r="AR1426" s="4"/>
      <c r="AS1426" s="8"/>
      <c r="AT1426" s="7"/>
      <c r="AU1426" s="7"/>
      <c r="AV1426" s="4" t="s">
        <v>200</v>
      </c>
      <c r="AW1426" s="8" t="s">
        <v>200</v>
      </c>
      <c r="AX1426" s="4" t="s">
        <v>200</v>
      </c>
      <c r="AY1426" s="8" t="s">
        <v>200</v>
      </c>
      <c r="AZ1426" s="7" t="s">
        <v>200</v>
      </c>
      <c r="BA1426" s="7" t="s">
        <v>200</v>
      </c>
      <c r="BB1426" s="7"/>
      <c r="BC1426" s="4" t="s">
        <v>200</v>
      </c>
      <c r="BD1426" s="8" t="s">
        <v>200</v>
      </c>
      <c r="BE1426" s="4" t="s">
        <v>200</v>
      </c>
      <c r="BF1426" s="8" t="s">
        <v>200</v>
      </c>
      <c r="BG1426" s="7" t="s">
        <v>200</v>
      </c>
      <c r="BH1426" s="7" t="s">
        <v>200</v>
      </c>
      <c r="BI1426" s="7"/>
      <c r="BJ1426" s="4">
        <v>8</v>
      </c>
      <c r="BK1426" s="8">
        <v>171.34</v>
      </c>
      <c r="BL1426" s="2" t="s">
        <v>7686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7687</v>
      </c>
      <c r="BV1426" s="2" t="s">
        <v>200</v>
      </c>
      <c r="BW1426" s="2" t="s">
        <v>200</v>
      </c>
      <c r="BX1426" s="2" t="s">
        <v>289</v>
      </c>
      <c r="BY1426" s="2" t="s">
        <v>247</v>
      </c>
      <c r="BZ1426" s="2" t="s">
        <v>212</v>
      </c>
      <c r="CA1426" s="2" t="s">
        <v>7684</v>
      </c>
      <c r="CB1426" s="2" t="s">
        <v>4315</v>
      </c>
      <c r="CC1426" s="2" t="s">
        <v>213</v>
      </c>
      <c r="CD1426" s="2" t="s">
        <v>200</v>
      </c>
      <c r="CE1426" s="4">
        <v>19</v>
      </c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  <c r="DB1426" s="4"/>
      <c r="DC1426" s="4"/>
      <c r="DD1426" s="4"/>
      <c r="DE1426" s="4"/>
      <c r="DF1426" s="4"/>
      <c r="DG1426" s="4"/>
      <c r="DH1426" s="4"/>
      <c r="DI1426" s="4"/>
      <c r="DJ1426" s="4"/>
      <c r="DK1426" s="4"/>
      <c r="DL1426" s="4"/>
      <c r="DM1426" s="4"/>
      <c r="DN1426" s="4"/>
      <c r="DO1426" s="4"/>
      <c r="DP1426" s="4"/>
      <c r="DQ1426" s="4"/>
      <c r="DR1426" s="4"/>
      <c r="DS1426" s="4"/>
      <c r="DT1426" s="4"/>
      <c r="DU1426" s="4"/>
      <c r="DV1426" s="4"/>
      <c r="DW1426" s="4"/>
      <c r="DX1426" s="4"/>
      <c r="DY1426" s="4"/>
      <c r="DZ1426" s="4"/>
      <c r="EA1426" s="4"/>
      <c r="EB1426" s="4"/>
      <c r="EC1426" s="4"/>
      <c r="ED1426" s="4"/>
      <c r="EE1426" s="4"/>
      <c r="EF1426" s="4"/>
      <c r="EG1426" s="4"/>
      <c r="EH1426" s="4"/>
      <c r="EI1426" s="4"/>
      <c r="EJ1426" s="4"/>
      <c r="EK1426" s="4"/>
      <c r="EL1426" s="4"/>
      <c r="EM1426" s="4"/>
      <c r="EN1426" s="4"/>
      <c r="EO1426" s="4"/>
      <c r="EP1426" s="4"/>
      <c r="EQ1426" s="4"/>
      <c r="ER1426" s="4"/>
      <c r="ES1426" s="4"/>
      <c r="ET1426" s="4"/>
      <c r="EU1426" s="4"/>
      <c r="EV1426" s="4"/>
      <c r="EW1426" s="4"/>
      <c r="EX1426" s="4"/>
      <c r="EY1426" s="4"/>
      <c r="EZ1426" s="4"/>
      <c r="FA1426" s="4"/>
      <c r="FB1426" s="4"/>
      <c r="FC1426" s="4"/>
      <c r="FD1426" s="4"/>
      <c r="FE1426" s="4"/>
      <c r="FF1426" s="4"/>
      <c r="FG1426" s="4"/>
      <c r="FH1426" s="4"/>
      <c r="FI1426" s="4"/>
      <c r="FJ1426" s="4"/>
      <c r="FK1426" s="4"/>
      <c r="FL1426" s="4"/>
      <c r="FM1426" s="4"/>
      <c r="FN1426" s="4"/>
      <c r="FO1426" s="4"/>
      <c r="FP1426" s="4"/>
      <c r="FQ1426" s="4"/>
      <c r="FR1426" s="4"/>
      <c r="FS1426" s="4"/>
      <c r="FT1426" s="4"/>
      <c r="FU1426" s="4"/>
      <c r="FV1426" s="4"/>
      <c r="FW1426" s="4"/>
      <c r="FX1426" s="4"/>
      <c r="FY1426" s="4"/>
      <c r="FZ1426" s="4"/>
      <c r="GA1426" s="4"/>
      <c r="GB1426" s="4"/>
      <c r="GC1426" s="4"/>
      <c r="GD1426" s="4"/>
      <c r="GE1426" s="4"/>
      <c r="GF1426" s="4"/>
      <c r="GG1426" s="4"/>
      <c r="GH1426" s="4"/>
    </row>
    <row r="1427">
      <c r="A1427" s="2" t="s">
        <v>7688</v>
      </c>
      <c r="B1427" s="2" t="s">
        <v>932</v>
      </c>
      <c r="C1427" s="2" t="s">
        <v>877</v>
      </c>
      <c r="D1427" s="2" t="s">
        <v>608</v>
      </c>
      <c r="E1427" s="2" t="s">
        <v>609</v>
      </c>
      <c r="F1427" s="2" t="s">
        <v>7639</v>
      </c>
      <c r="G1427" s="2" t="s">
        <v>6289</v>
      </c>
      <c r="H1427" s="2" t="s">
        <v>7640</v>
      </c>
      <c r="I1427" s="2" t="s">
        <v>7689</v>
      </c>
      <c r="J1427" s="2" t="s">
        <v>1390</v>
      </c>
      <c r="K1427" s="2" t="s">
        <v>5995</v>
      </c>
      <c r="L1427" s="3">
        <v>35.19</v>
      </c>
      <c r="M1427" s="3">
        <v>36.95</v>
      </c>
      <c r="N1427" s="3">
        <v>69.99</v>
      </c>
      <c r="O1427" s="2" t="s">
        <v>212</v>
      </c>
      <c r="P1427" s="2" t="s">
        <v>258</v>
      </c>
      <c r="Q1427" s="2" t="s">
        <v>206</v>
      </c>
      <c r="R1427" s="2" t="s">
        <v>200</v>
      </c>
      <c r="S1427" s="2" t="s">
        <v>7690</v>
      </c>
      <c r="T1427" s="2" t="s">
        <v>378</v>
      </c>
      <c r="U1427" s="2" t="s">
        <v>240</v>
      </c>
      <c r="V1427" s="2" t="s">
        <v>885</v>
      </c>
      <c r="W1427" s="2" t="s">
        <v>379</v>
      </c>
      <c r="X1427" s="2" t="s">
        <v>242</v>
      </c>
      <c r="Y1427" s="2" t="s">
        <v>7691</v>
      </c>
      <c r="Z1427" s="4">
        <v>318</v>
      </c>
      <c r="AA1427" s="4">
        <f>=ROUNDDOWN(106,0)</f>
      </c>
      <c r="AB1427" s="5">
        <v>3</v>
      </c>
      <c r="AC1427" s="2" t="s">
        <v>200</v>
      </c>
      <c r="AD1427" s="4"/>
      <c r="AE1427" s="4"/>
      <c r="AF1427" s="6">
        <v>64</v>
      </c>
      <c r="AG1427" s="6"/>
      <c r="AH1427" s="7">
        <v>1</v>
      </c>
      <c r="AI1427" s="4"/>
      <c r="AJ1427" s="4">
        <f>=ROUNDDOWN({0},0)</f>
      </c>
      <c r="AK1427" s="5"/>
      <c r="AL1427" s="2" t="s">
        <v>200</v>
      </c>
      <c r="AM1427" s="4"/>
      <c r="AN1427" s="4"/>
      <c r="AO1427" s="7"/>
      <c r="AP1427" s="4"/>
      <c r="AQ1427" s="8"/>
      <c r="AR1427" s="4"/>
      <c r="AS1427" s="8"/>
      <c r="AT1427" s="7"/>
      <c r="AU1427" s="7"/>
      <c r="AV1427" s="4"/>
      <c r="AW1427" s="8"/>
      <c r="AX1427" s="4"/>
      <c r="AY1427" s="8"/>
      <c r="AZ1427" s="7"/>
      <c r="BA1427" s="7"/>
      <c r="BB1427" s="7"/>
      <c r="BC1427" s="4" t="s">
        <v>200</v>
      </c>
      <c r="BD1427" s="8" t="s">
        <v>200</v>
      </c>
      <c r="BE1427" s="4" t="s">
        <v>200</v>
      </c>
      <c r="BF1427" s="8" t="s">
        <v>200</v>
      </c>
      <c r="BG1427" s="7" t="s">
        <v>200</v>
      </c>
      <c r="BH1427" s="7" t="s">
        <v>200</v>
      </c>
      <c r="BI1427" s="7"/>
      <c r="BJ1427" s="4">
        <v>19</v>
      </c>
      <c r="BK1427" s="8">
        <v>730.44</v>
      </c>
      <c r="BL1427" s="2" t="s">
        <v>7692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7693</v>
      </c>
      <c r="BV1427" s="2" t="s">
        <v>200</v>
      </c>
      <c r="BW1427" s="2" t="s">
        <v>200</v>
      </c>
      <c r="BX1427" s="2" t="s">
        <v>629</v>
      </c>
      <c r="BY1427" s="2" t="s">
        <v>247</v>
      </c>
      <c r="BZ1427" s="2" t="s">
        <v>212</v>
      </c>
      <c r="CA1427" s="2" t="s">
        <v>7694</v>
      </c>
      <c r="CB1427" s="2" t="s">
        <v>3074</v>
      </c>
      <c r="CC1427" s="2" t="s">
        <v>213</v>
      </c>
      <c r="CD1427" s="2" t="s">
        <v>200</v>
      </c>
      <c r="CE1427" s="4">
        <v>318</v>
      </c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  <c r="DE1427" s="4"/>
      <c r="DF1427" s="4"/>
      <c r="DG1427" s="4"/>
      <c r="DH1427" s="4"/>
      <c r="DI1427" s="4"/>
      <c r="DJ1427" s="4"/>
      <c r="DK1427" s="4"/>
      <c r="DL1427" s="4"/>
      <c r="DM1427" s="4"/>
      <c r="DN1427" s="4"/>
      <c r="DO1427" s="4"/>
      <c r="DP1427" s="4"/>
      <c r="DQ1427" s="4"/>
      <c r="DR1427" s="4"/>
      <c r="DS1427" s="4"/>
      <c r="DT1427" s="4"/>
      <c r="DU1427" s="4"/>
      <c r="DV1427" s="4"/>
      <c r="DW1427" s="4"/>
      <c r="DX1427" s="4"/>
      <c r="DY1427" s="4"/>
      <c r="DZ1427" s="4"/>
      <c r="EA1427" s="4"/>
      <c r="EB1427" s="4"/>
      <c r="EC1427" s="4"/>
      <c r="ED1427" s="4"/>
      <c r="EE1427" s="4"/>
      <c r="EF1427" s="4"/>
      <c r="EG1427" s="4"/>
      <c r="EH1427" s="4"/>
      <c r="EI1427" s="4"/>
      <c r="EJ1427" s="4"/>
      <c r="EK1427" s="4"/>
      <c r="EL1427" s="4"/>
      <c r="EM1427" s="4"/>
      <c r="EN1427" s="4"/>
      <c r="EO1427" s="4"/>
      <c r="EP1427" s="4"/>
      <c r="EQ1427" s="4"/>
      <c r="ER1427" s="4"/>
      <c r="ES1427" s="4"/>
      <c r="ET1427" s="4"/>
      <c r="EU1427" s="4"/>
      <c r="EV1427" s="4"/>
      <c r="EW1427" s="4"/>
      <c r="EX1427" s="4"/>
      <c r="EY1427" s="4"/>
      <c r="EZ1427" s="4"/>
      <c r="FA1427" s="4"/>
      <c r="FB1427" s="4"/>
      <c r="FC1427" s="4"/>
      <c r="FD1427" s="4"/>
      <c r="FE1427" s="4"/>
      <c r="FF1427" s="4"/>
      <c r="FG1427" s="4"/>
      <c r="FH1427" s="4"/>
      <c r="FI1427" s="4"/>
      <c r="FJ1427" s="4"/>
      <c r="FK1427" s="4"/>
      <c r="FL1427" s="4"/>
      <c r="FM1427" s="4"/>
      <c r="FN1427" s="4"/>
      <c r="FO1427" s="4"/>
      <c r="FP1427" s="4"/>
      <c r="FQ1427" s="4"/>
      <c r="FR1427" s="4"/>
      <c r="FS1427" s="4"/>
      <c r="FT1427" s="4"/>
      <c r="FU1427" s="4"/>
      <c r="FV1427" s="4"/>
      <c r="FW1427" s="4"/>
      <c r="FX1427" s="4"/>
      <c r="FY1427" s="4"/>
      <c r="FZ1427" s="4"/>
      <c r="GA1427" s="4"/>
      <c r="GB1427" s="4"/>
      <c r="GC1427" s="4"/>
      <c r="GD1427" s="4"/>
      <c r="GE1427" s="4"/>
      <c r="GF1427" s="4"/>
      <c r="GG1427" s="4"/>
      <c r="GH1427" s="4"/>
    </row>
    <row r="1428">
      <c r="A1428" s="2" t="s">
        <v>7695</v>
      </c>
      <c r="B1428" s="2" t="s">
        <v>903</v>
      </c>
      <c r="C1428" s="2" t="s">
        <v>1375</v>
      </c>
      <c r="D1428" s="2" t="s">
        <v>608</v>
      </c>
      <c r="E1428" s="2" t="s">
        <v>609</v>
      </c>
      <c r="F1428" s="2" t="s">
        <v>7696</v>
      </c>
      <c r="G1428" s="2" t="s">
        <v>7697</v>
      </c>
      <c r="H1428" s="2" t="s">
        <v>7698</v>
      </c>
      <c r="I1428" s="2" t="s">
        <v>7699</v>
      </c>
      <c r="J1428" s="2" t="s">
        <v>302</v>
      </c>
      <c r="K1428" s="2" t="s">
        <v>387</v>
      </c>
      <c r="L1428" s="3">
        <v>55.44</v>
      </c>
      <c r="M1428" s="3">
        <v>58.21</v>
      </c>
      <c r="N1428" s="3">
        <v>119.99</v>
      </c>
      <c r="O1428" s="2" t="s">
        <v>460</v>
      </c>
      <c r="P1428" s="2" t="s">
        <v>285</v>
      </c>
      <c r="Q1428" s="2" t="s">
        <v>206</v>
      </c>
      <c r="R1428" s="2" t="s">
        <v>200</v>
      </c>
      <c r="S1428" s="2" t="s">
        <v>7700</v>
      </c>
      <c r="T1428" s="2" t="s">
        <v>378</v>
      </c>
      <c r="U1428" s="2" t="s">
        <v>689</v>
      </c>
      <c r="V1428" s="2" t="s">
        <v>1077</v>
      </c>
      <c r="W1428" s="2" t="s">
        <v>419</v>
      </c>
      <c r="X1428" s="2" t="s">
        <v>2827</v>
      </c>
      <c r="Y1428" s="2" t="s">
        <v>7701</v>
      </c>
      <c r="Z1428" s="4">
        <v>86</v>
      </c>
      <c r="AA1428" s="4">
        <f>=ROUNDDOWN(10.75,0)</f>
      </c>
      <c r="AB1428" s="5">
        <v>8</v>
      </c>
      <c r="AC1428" s="2" t="s">
        <v>200</v>
      </c>
      <c r="AD1428" s="4"/>
      <c r="AE1428" s="4"/>
      <c r="AF1428" s="6">
        <v>65</v>
      </c>
      <c r="AG1428" s="6"/>
      <c r="AH1428" s="7">
        <v>0.9667</v>
      </c>
      <c r="AI1428" s="4"/>
      <c r="AJ1428" s="4">
        <f>=ROUNDDOWN({0},0)</f>
      </c>
      <c r="AK1428" s="5"/>
      <c r="AL1428" s="2" t="s">
        <v>200</v>
      </c>
      <c r="AM1428" s="4"/>
      <c r="AN1428" s="4"/>
      <c r="AO1428" s="7"/>
      <c r="AP1428" s="4"/>
      <c r="AQ1428" s="8"/>
      <c r="AR1428" s="4"/>
      <c r="AS1428" s="8"/>
      <c r="AT1428" s="7"/>
      <c r="AU1428" s="7"/>
      <c r="AV1428" s="4" t="s">
        <v>200</v>
      </c>
      <c r="AW1428" s="8" t="s">
        <v>200</v>
      </c>
      <c r="AX1428" s="4" t="s">
        <v>200</v>
      </c>
      <c r="AY1428" s="8" t="s">
        <v>200</v>
      </c>
      <c r="AZ1428" s="7" t="s">
        <v>200</v>
      </c>
      <c r="BA1428" s="7" t="s">
        <v>200</v>
      </c>
      <c r="BB1428" s="7"/>
      <c r="BC1428" s="4" t="s">
        <v>200</v>
      </c>
      <c r="BD1428" s="8" t="s">
        <v>200</v>
      </c>
      <c r="BE1428" s="4" t="s">
        <v>200</v>
      </c>
      <c r="BF1428" s="8" t="s">
        <v>200</v>
      </c>
      <c r="BG1428" s="7" t="s">
        <v>200</v>
      </c>
      <c r="BH1428" s="7" t="s">
        <v>200</v>
      </c>
      <c r="BI1428" s="7"/>
      <c r="BJ1428" s="4">
        <v>10</v>
      </c>
      <c r="BK1428" s="8">
        <v>522.04</v>
      </c>
      <c r="BL1428" s="2" t="s">
        <v>7702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7703</v>
      </c>
      <c r="BV1428" s="2" t="s">
        <v>200</v>
      </c>
      <c r="BW1428" s="2" t="s">
        <v>200</v>
      </c>
      <c r="BX1428" s="2" t="s">
        <v>289</v>
      </c>
      <c r="BY1428" s="2" t="s">
        <v>247</v>
      </c>
      <c r="BZ1428" s="2" t="s">
        <v>212</v>
      </c>
      <c r="CA1428" s="2" t="s">
        <v>7704</v>
      </c>
      <c r="CB1428" s="2" t="s">
        <v>6953</v>
      </c>
      <c r="CC1428" s="2" t="s">
        <v>213</v>
      </c>
      <c r="CD1428" s="2" t="s">
        <v>200</v>
      </c>
      <c r="CE1428" s="4">
        <v>86</v>
      </c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  <c r="DD1428" s="4"/>
      <c r="DE1428" s="4"/>
      <c r="DF1428" s="4"/>
      <c r="DG1428" s="4"/>
      <c r="DH1428" s="4"/>
      <c r="DI1428" s="4"/>
      <c r="DJ1428" s="4"/>
      <c r="DK1428" s="4"/>
      <c r="DL1428" s="4"/>
      <c r="DM1428" s="4"/>
      <c r="DN1428" s="4"/>
      <c r="DO1428" s="4"/>
      <c r="DP1428" s="4"/>
      <c r="DQ1428" s="4"/>
      <c r="DR1428" s="4"/>
      <c r="DS1428" s="4"/>
      <c r="DT1428" s="4"/>
      <c r="DU1428" s="4"/>
      <c r="DV1428" s="4"/>
      <c r="DW1428" s="4"/>
      <c r="DX1428" s="4"/>
      <c r="DY1428" s="4"/>
      <c r="DZ1428" s="4"/>
      <c r="EA1428" s="4"/>
      <c r="EB1428" s="4"/>
      <c r="EC1428" s="4"/>
      <c r="ED1428" s="4"/>
      <c r="EE1428" s="4"/>
      <c r="EF1428" s="4"/>
      <c r="EG1428" s="4"/>
      <c r="EH1428" s="4"/>
      <c r="EI1428" s="4"/>
      <c r="EJ1428" s="4"/>
      <c r="EK1428" s="4"/>
      <c r="EL1428" s="4"/>
      <c r="EM1428" s="4"/>
      <c r="EN1428" s="4"/>
      <c r="EO1428" s="4"/>
      <c r="EP1428" s="4"/>
      <c r="EQ1428" s="4"/>
      <c r="ER1428" s="4"/>
      <c r="ES1428" s="4"/>
      <c r="ET1428" s="4"/>
      <c r="EU1428" s="4"/>
      <c r="EV1428" s="4"/>
      <c r="EW1428" s="4"/>
      <c r="EX1428" s="4"/>
      <c r="EY1428" s="4"/>
      <c r="EZ1428" s="4"/>
      <c r="FA1428" s="4"/>
      <c r="FB1428" s="4"/>
      <c r="FC1428" s="4"/>
      <c r="FD1428" s="4"/>
      <c r="FE1428" s="4"/>
      <c r="FF1428" s="4"/>
      <c r="FG1428" s="4"/>
      <c r="FH1428" s="4"/>
      <c r="FI1428" s="4"/>
      <c r="FJ1428" s="4"/>
      <c r="FK1428" s="4"/>
      <c r="FL1428" s="4"/>
      <c r="FM1428" s="4"/>
      <c r="FN1428" s="4"/>
      <c r="FO1428" s="4"/>
      <c r="FP1428" s="4"/>
      <c r="FQ1428" s="4"/>
      <c r="FR1428" s="4"/>
      <c r="FS1428" s="4"/>
      <c r="FT1428" s="4"/>
      <c r="FU1428" s="4"/>
      <c r="FV1428" s="4"/>
      <c r="FW1428" s="4"/>
      <c r="FX1428" s="4"/>
      <c r="FY1428" s="4"/>
      <c r="FZ1428" s="4"/>
      <c r="GA1428" s="4"/>
      <c r="GB1428" s="4"/>
      <c r="GC1428" s="4"/>
      <c r="GD1428" s="4"/>
      <c r="GE1428" s="4"/>
      <c r="GF1428" s="4"/>
      <c r="GG1428" s="4"/>
      <c r="GH1428" s="4"/>
    </row>
    <row r="1429">
      <c r="A1429" s="2" t="s">
        <v>7705</v>
      </c>
      <c r="B1429" s="2" t="s">
        <v>903</v>
      </c>
      <c r="C1429" s="2" t="s">
        <v>1375</v>
      </c>
      <c r="D1429" s="2" t="s">
        <v>608</v>
      </c>
      <c r="E1429" s="2" t="s">
        <v>609</v>
      </c>
      <c r="F1429" s="2" t="s">
        <v>7696</v>
      </c>
      <c r="G1429" s="2" t="s">
        <v>7697</v>
      </c>
      <c r="H1429" s="2" t="s">
        <v>7698</v>
      </c>
      <c r="I1429" s="2" t="s">
        <v>7699</v>
      </c>
      <c r="J1429" s="2" t="s">
        <v>236</v>
      </c>
      <c r="K1429" s="2" t="s">
        <v>387</v>
      </c>
      <c r="L1429" s="3">
        <v>55.44</v>
      </c>
      <c r="M1429" s="3">
        <v>58.21</v>
      </c>
      <c r="N1429" s="3">
        <v>119.99</v>
      </c>
      <c r="O1429" s="2" t="s">
        <v>460</v>
      </c>
      <c r="P1429" s="2" t="s">
        <v>285</v>
      </c>
      <c r="Q1429" s="2" t="s">
        <v>206</v>
      </c>
      <c r="R1429" s="2" t="s">
        <v>200</v>
      </c>
      <c r="S1429" s="2" t="s">
        <v>7700</v>
      </c>
      <c r="T1429" s="2" t="s">
        <v>378</v>
      </c>
      <c r="U1429" s="2" t="s">
        <v>689</v>
      </c>
      <c r="V1429" s="2" t="s">
        <v>1077</v>
      </c>
      <c r="W1429" s="2" t="s">
        <v>419</v>
      </c>
      <c r="X1429" s="2" t="s">
        <v>2827</v>
      </c>
      <c r="Y1429" s="2" t="s">
        <v>7701</v>
      </c>
      <c r="Z1429" s="4"/>
      <c r="AA1429" s="4">
        <f>=ROUNDDOWN({0},0)</f>
      </c>
      <c r="AB1429" s="5">
        <v>4</v>
      </c>
      <c r="AC1429" s="2" t="s">
        <v>200</v>
      </c>
      <c r="AD1429" s="4"/>
      <c r="AE1429" s="4"/>
      <c r="AF1429" s="6">
        <v>65</v>
      </c>
      <c r="AG1429" s="6"/>
      <c r="AH1429" s="7">
        <v>0.8667</v>
      </c>
      <c r="AI1429" s="4"/>
      <c r="AJ1429" s="4">
        <f>=ROUNDDOWN({0},0)</f>
      </c>
      <c r="AK1429" s="5"/>
      <c r="AL1429" s="2" t="s">
        <v>200</v>
      </c>
      <c r="AM1429" s="4"/>
      <c r="AN1429" s="4"/>
      <c r="AO1429" s="7"/>
      <c r="AP1429" s="4"/>
      <c r="AQ1429" s="8"/>
      <c r="AR1429" s="4"/>
      <c r="AS1429" s="8"/>
      <c r="AT1429" s="7"/>
      <c r="AU1429" s="7"/>
      <c r="AV1429" s="4" t="s">
        <v>200</v>
      </c>
      <c r="AW1429" s="8" t="s">
        <v>200</v>
      </c>
      <c r="AX1429" s="4" t="s">
        <v>200</v>
      </c>
      <c r="AY1429" s="8" t="s">
        <v>200</v>
      </c>
      <c r="AZ1429" s="7" t="s">
        <v>200</v>
      </c>
      <c r="BA1429" s="7" t="s">
        <v>200</v>
      </c>
      <c r="BB1429" s="7"/>
      <c r="BC1429" s="4" t="s">
        <v>200</v>
      </c>
      <c r="BD1429" s="8" t="s">
        <v>200</v>
      </c>
      <c r="BE1429" s="4" t="s">
        <v>200</v>
      </c>
      <c r="BF1429" s="8" t="s">
        <v>200</v>
      </c>
      <c r="BG1429" s="7" t="s">
        <v>200</v>
      </c>
      <c r="BH1429" s="7" t="s">
        <v>200</v>
      </c>
      <c r="BI1429" s="7"/>
      <c r="BJ1429" s="4">
        <v>7</v>
      </c>
      <c r="BK1429" s="8">
        <v>365.02</v>
      </c>
      <c r="BL1429" s="2" t="s">
        <v>7706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7707</v>
      </c>
      <c r="BV1429" s="2" t="s">
        <v>200</v>
      </c>
      <c r="BW1429" s="2" t="s">
        <v>200</v>
      </c>
      <c r="BX1429" s="2" t="s">
        <v>289</v>
      </c>
      <c r="BY1429" s="2" t="s">
        <v>247</v>
      </c>
      <c r="BZ1429" s="2" t="s">
        <v>212</v>
      </c>
      <c r="CA1429" s="2" t="s">
        <v>7704</v>
      </c>
      <c r="CB1429" s="2" t="s">
        <v>1778</v>
      </c>
      <c r="CC1429" s="2" t="s">
        <v>213</v>
      </c>
      <c r="CD1429" s="2" t="s">
        <v>200</v>
      </c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  <c r="DE1429" s="4"/>
      <c r="DF1429" s="4"/>
      <c r="DG1429" s="4"/>
      <c r="DH1429" s="4"/>
      <c r="DI1429" s="4"/>
      <c r="DJ1429" s="4"/>
      <c r="DK1429" s="4"/>
      <c r="DL1429" s="4"/>
      <c r="DM1429" s="4"/>
      <c r="DN1429" s="4"/>
      <c r="DO1429" s="4"/>
      <c r="DP1429" s="4"/>
      <c r="DQ1429" s="4"/>
      <c r="DR1429" s="4"/>
      <c r="DS1429" s="4"/>
      <c r="DT1429" s="4"/>
      <c r="DU1429" s="4"/>
      <c r="DV1429" s="4"/>
      <c r="DW1429" s="4"/>
      <c r="DX1429" s="4"/>
      <c r="DY1429" s="4"/>
      <c r="DZ1429" s="4"/>
      <c r="EA1429" s="4"/>
      <c r="EB1429" s="4"/>
      <c r="EC1429" s="4"/>
      <c r="ED1429" s="4"/>
      <c r="EE1429" s="4"/>
      <c r="EF1429" s="4"/>
      <c r="EG1429" s="4"/>
      <c r="EH1429" s="4"/>
      <c r="EI1429" s="4"/>
      <c r="EJ1429" s="4"/>
      <c r="EK1429" s="4"/>
      <c r="EL1429" s="4"/>
      <c r="EM1429" s="4"/>
      <c r="EN1429" s="4"/>
      <c r="EO1429" s="4"/>
      <c r="EP1429" s="4"/>
      <c r="EQ1429" s="4"/>
      <c r="ER1429" s="4"/>
      <c r="ES1429" s="4"/>
      <c r="ET1429" s="4"/>
      <c r="EU1429" s="4"/>
      <c r="EV1429" s="4"/>
      <c r="EW1429" s="4"/>
      <c r="EX1429" s="4"/>
      <c r="EY1429" s="4"/>
      <c r="EZ1429" s="4"/>
      <c r="FA1429" s="4"/>
      <c r="FB1429" s="4"/>
      <c r="FC1429" s="4"/>
      <c r="FD1429" s="4"/>
      <c r="FE1429" s="4"/>
      <c r="FF1429" s="4"/>
      <c r="FG1429" s="4"/>
      <c r="FH1429" s="4"/>
      <c r="FI1429" s="4"/>
      <c r="FJ1429" s="4"/>
      <c r="FK1429" s="4"/>
      <c r="FL1429" s="4"/>
      <c r="FM1429" s="4"/>
      <c r="FN1429" s="4"/>
      <c r="FO1429" s="4"/>
      <c r="FP1429" s="4"/>
      <c r="FQ1429" s="4"/>
      <c r="FR1429" s="4"/>
      <c r="FS1429" s="4"/>
      <c r="FT1429" s="4"/>
      <c r="FU1429" s="4"/>
      <c r="FV1429" s="4"/>
      <c r="FW1429" s="4"/>
      <c r="FX1429" s="4"/>
      <c r="FY1429" s="4"/>
      <c r="FZ1429" s="4"/>
      <c r="GA1429" s="4"/>
      <c r="GB1429" s="4"/>
      <c r="GC1429" s="4"/>
      <c r="GD1429" s="4"/>
      <c r="GE1429" s="4"/>
      <c r="GF1429" s="4"/>
      <c r="GG1429" s="4"/>
      <c r="GH1429" s="4"/>
    </row>
    <row r="1430">
      <c r="A1430" s="2" t="s">
        <v>7708</v>
      </c>
      <c r="B1430" s="2" t="s">
        <v>903</v>
      </c>
      <c r="C1430" s="2" t="s">
        <v>1375</v>
      </c>
      <c r="D1430" s="2" t="s">
        <v>608</v>
      </c>
      <c r="E1430" s="2" t="s">
        <v>609</v>
      </c>
      <c r="F1430" s="2" t="s">
        <v>7696</v>
      </c>
      <c r="G1430" s="2" t="s">
        <v>7697</v>
      </c>
      <c r="H1430" s="2" t="s">
        <v>7698</v>
      </c>
      <c r="I1430" s="2" t="s">
        <v>7709</v>
      </c>
      <c r="J1430" s="2" t="s">
        <v>236</v>
      </c>
      <c r="K1430" s="2" t="s">
        <v>221</v>
      </c>
      <c r="L1430" s="3">
        <v>55.44</v>
      </c>
      <c r="M1430" s="3">
        <v>58.21</v>
      </c>
      <c r="N1430" s="3">
        <v>119.99</v>
      </c>
      <c r="O1430" s="2" t="s">
        <v>212</v>
      </c>
      <c r="P1430" s="2" t="s">
        <v>258</v>
      </c>
      <c r="Q1430" s="2" t="s">
        <v>206</v>
      </c>
      <c r="R1430" s="2" t="s">
        <v>200</v>
      </c>
      <c r="S1430" s="2" t="s">
        <v>7710</v>
      </c>
      <c r="T1430" s="2" t="s">
        <v>378</v>
      </c>
      <c r="U1430" s="2" t="s">
        <v>689</v>
      </c>
      <c r="V1430" s="2" t="s">
        <v>616</v>
      </c>
      <c r="W1430" s="2" t="s">
        <v>910</v>
      </c>
      <c r="X1430" s="2" t="s">
        <v>2827</v>
      </c>
      <c r="Y1430" s="2" t="s">
        <v>7711</v>
      </c>
      <c r="Z1430" s="4">
        <v>397</v>
      </c>
      <c r="AA1430" s="4">
        <f>=ROUNDDOWN(49.625,0)</f>
      </c>
      <c r="AB1430" s="5">
        <v>8</v>
      </c>
      <c r="AC1430" s="2" t="s">
        <v>200</v>
      </c>
      <c r="AD1430" s="4"/>
      <c r="AE1430" s="4"/>
      <c r="AF1430" s="6">
        <v>65</v>
      </c>
      <c r="AG1430" s="6"/>
      <c r="AH1430" s="7">
        <v>1</v>
      </c>
      <c r="AI1430" s="4"/>
      <c r="AJ1430" s="4">
        <f>=ROUNDDOWN({0},0)</f>
      </c>
      <c r="AK1430" s="5"/>
      <c r="AL1430" s="2" t="s">
        <v>200</v>
      </c>
      <c r="AM1430" s="4"/>
      <c r="AN1430" s="4"/>
      <c r="AO1430" s="7"/>
      <c r="AP1430" s="4"/>
      <c r="AQ1430" s="8"/>
      <c r="AR1430" s="4"/>
      <c r="AS1430" s="8"/>
      <c r="AT1430" s="7"/>
      <c r="AU1430" s="7"/>
      <c r="AV1430" s="4"/>
      <c r="AW1430" s="8"/>
      <c r="AX1430" s="4"/>
      <c r="AY1430" s="8"/>
      <c r="AZ1430" s="7"/>
      <c r="BA1430" s="7"/>
      <c r="BB1430" s="7"/>
      <c r="BC1430" s="4" t="s">
        <v>200</v>
      </c>
      <c r="BD1430" s="8" t="s">
        <v>200</v>
      </c>
      <c r="BE1430" s="4" t="s">
        <v>200</v>
      </c>
      <c r="BF1430" s="8" t="s">
        <v>200</v>
      </c>
      <c r="BG1430" s="7" t="s">
        <v>200</v>
      </c>
      <c r="BH1430" s="7" t="s">
        <v>200</v>
      </c>
      <c r="BI1430" s="7"/>
      <c r="BJ1430" s="4">
        <v>40</v>
      </c>
      <c r="BK1430" s="8">
        <v>2201.91</v>
      </c>
      <c r="BL1430" s="2" t="s">
        <v>7712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7713</v>
      </c>
      <c r="BV1430" s="2" t="s">
        <v>200</v>
      </c>
      <c r="BW1430" s="2" t="s">
        <v>200</v>
      </c>
      <c r="BX1430" s="2" t="s">
        <v>620</v>
      </c>
      <c r="BY1430" s="2" t="s">
        <v>247</v>
      </c>
      <c r="BZ1430" s="2" t="s">
        <v>212</v>
      </c>
      <c r="CA1430" s="2" t="s">
        <v>5988</v>
      </c>
      <c r="CB1430" s="2" t="s">
        <v>7714</v>
      </c>
      <c r="CC1430" s="2" t="s">
        <v>213</v>
      </c>
      <c r="CD1430" s="2" t="s">
        <v>200</v>
      </c>
      <c r="CE1430" s="4">
        <v>397</v>
      </c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  <c r="DB1430" s="4"/>
      <c r="DC1430" s="4"/>
      <c r="DD1430" s="4"/>
      <c r="DE1430" s="4"/>
      <c r="DF1430" s="4"/>
      <c r="DG1430" s="4"/>
      <c r="DH1430" s="4"/>
      <c r="DI1430" s="4"/>
      <c r="DJ1430" s="4"/>
      <c r="DK1430" s="4"/>
      <c r="DL1430" s="4"/>
      <c r="DM1430" s="4"/>
      <c r="DN1430" s="4"/>
      <c r="DO1430" s="4"/>
      <c r="DP1430" s="4"/>
      <c r="DQ1430" s="4"/>
      <c r="DR1430" s="4"/>
      <c r="DS1430" s="4"/>
      <c r="DT1430" s="4"/>
      <c r="DU1430" s="4"/>
      <c r="DV1430" s="4"/>
      <c r="DW1430" s="4"/>
      <c r="DX1430" s="4"/>
      <c r="DY1430" s="4"/>
      <c r="DZ1430" s="4"/>
      <c r="EA1430" s="4"/>
      <c r="EB1430" s="4"/>
      <c r="EC1430" s="4"/>
      <c r="ED1430" s="4"/>
      <c r="EE1430" s="4"/>
      <c r="EF1430" s="4"/>
      <c r="EG1430" s="4"/>
      <c r="EH1430" s="4"/>
      <c r="EI1430" s="4"/>
      <c r="EJ1430" s="4"/>
      <c r="EK1430" s="4"/>
      <c r="EL1430" s="4"/>
      <c r="EM1430" s="4"/>
      <c r="EN1430" s="4"/>
      <c r="EO1430" s="4"/>
      <c r="EP1430" s="4"/>
      <c r="EQ1430" s="4"/>
      <c r="ER1430" s="4"/>
      <c r="ES1430" s="4"/>
      <c r="ET1430" s="4"/>
      <c r="EU1430" s="4"/>
      <c r="EV1430" s="4"/>
      <c r="EW1430" s="4"/>
      <c r="EX1430" s="4"/>
      <c r="EY1430" s="4"/>
      <c r="EZ1430" s="4"/>
      <c r="FA1430" s="4"/>
      <c r="FB1430" s="4"/>
      <c r="FC1430" s="4"/>
      <c r="FD1430" s="4"/>
      <c r="FE1430" s="4"/>
      <c r="FF1430" s="4"/>
      <c r="FG1430" s="4"/>
      <c r="FH1430" s="4"/>
      <c r="FI1430" s="4"/>
      <c r="FJ1430" s="4"/>
      <c r="FK1430" s="4"/>
      <c r="FL1430" s="4"/>
      <c r="FM1430" s="4"/>
      <c r="FN1430" s="4"/>
      <c r="FO1430" s="4"/>
      <c r="FP1430" s="4"/>
      <c r="FQ1430" s="4"/>
      <c r="FR1430" s="4"/>
      <c r="FS1430" s="4"/>
      <c r="FT1430" s="4"/>
      <c r="FU1430" s="4"/>
      <c r="FV1430" s="4"/>
      <c r="FW1430" s="4"/>
      <c r="FX1430" s="4"/>
      <c r="FY1430" s="4"/>
      <c r="FZ1430" s="4"/>
      <c r="GA1430" s="4"/>
      <c r="GB1430" s="4"/>
      <c r="GC1430" s="4"/>
      <c r="GD1430" s="4"/>
      <c r="GE1430" s="4"/>
      <c r="GF1430" s="4"/>
      <c r="GG1430" s="4"/>
      <c r="GH1430" s="4"/>
    </row>
    <row r="1431">
      <c r="A1431" s="2" t="s">
        <v>7715</v>
      </c>
      <c r="B1431" s="2" t="s">
        <v>719</v>
      </c>
      <c r="C1431" s="2" t="s">
        <v>745</v>
      </c>
      <c r="D1431" s="2" t="s">
        <v>1542</v>
      </c>
      <c r="E1431" s="2" t="s">
        <v>2060</v>
      </c>
      <c r="F1431" s="2" t="s">
        <v>7716</v>
      </c>
      <c r="G1431" s="2" t="s">
        <v>7716</v>
      </c>
      <c r="H1431" s="2" t="s">
        <v>7716</v>
      </c>
      <c r="I1431" s="2" t="s">
        <v>7717</v>
      </c>
      <c r="J1431" s="2" t="s">
        <v>711</v>
      </c>
      <c r="K1431" s="2" t="s">
        <v>1135</v>
      </c>
      <c r="L1431" s="3">
        <v>37.19</v>
      </c>
      <c r="M1431" s="3">
        <v>39.05</v>
      </c>
      <c r="N1431" s="3">
        <v>78.19</v>
      </c>
      <c r="O1431" s="2" t="s">
        <v>212</v>
      </c>
      <c r="P1431" s="2" t="s">
        <v>285</v>
      </c>
      <c r="Q1431" s="2" t="s">
        <v>206</v>
      </c>
      <c r="R1431" s="2" t="s">
        <v>200</v>
      </c>
      <c r="S1431" s="2" t="s">
        <v>7718</v>
      </c>
      <c r="T1431" s="2" t="s">
        <v>200</v>
      </c>
      <c r="U1431" s="2" t="s">
        <v>270</v>
      </c>
      <c r="V1431" s="2" t="s">
        <v>208</v>
      </c>
      <c r="W1431" s="2" t="s">
        <v>2095</v>
      </c>
      <c r="X1431" s="2" t="s">
        <v>200</v>
      </c>
      <c r="Y1431" s="2" t="s">
        <v>4046</v>
      </c>
      <c r="Z1431" s="4">
        <v>68</v>
      </c>
      <c r="AA1431" s="4">
        <f>=ROUNDDOWN(61.8181818181818,0)</f>
      </c>
      <c r="AB1431" s="5">
        <v>1.1</v>
      </c>
      <c r="AC1431" s="2" t="s">
        <v>200</v>
      </c>
      <c r="AD1431" s="4"/>
      <c r="AE1431" s="4"/>
      <c r="AF1431" s="6">
        <v>65</v>
      </c>
      <c r="AG1431" s="6"/>
      <c r="AH1431" s="7">
        <v>1</v>
      </c>
      <c r="AI1431" s="4"/>
      <c r="AJ1431" s="4">
        <f>=ROUNDDOWN({0},0)</f>
      </c>
      <c r="AK1431" s="5"/>
      <c r="AL1431" s="2" t="s">
        <v>200</v>
      </c>
      <c r="AM1431" s="4"/>
      <c r="AN1431" s="4"/>
      <c r="AO1431" s="7"/>
      <c r="AP1431" s="4"/>
      <c r="AQ1431" s="8"/>
      <c r="AR1431" s="4"/>
      <c r="AS1431" s="8"/>
      <c r="AT1431" s="7"/>
      <c r="AU1431" s="7"/>
      <c r="AV1431" s="4"/>
      <c r="AW1431" s="8"/>
      <c r="AX1431" s="4"/>
      <c r="AY1431" s="8"/>
      <c r="AZ1431" s="7"/>
      <c r="BA1431" s="7"/>
      <c r="BB1431" s="7"/>
      <c r="BC1431" s="4"/>
      <c r="BD1431" s="8"/>
      <c r="BE1431" s="4"/>
      <c r="BF1431" s="8"/>
      <c r="BG1431" s="7"/>
      <c r="BH1431" s="7"/>
      <c r="BI1431" s="7"/>
      <c r="BJ1431" s="4">
        <v>16</v>
      </c>
      <c r="BK1431" s="8">
        <v>661.63</v>
      </c>
      <c r="BL1431" s="2" t="s">
        <v>7719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7720</v>
      </c>
      <c r="BV1431" s="2" t="s">
        <v>200</v>
      </c>
      <c r="BW1431" s="2" t="s">
        <v>200</v>
      </c>
      <c r="BX1431" s="2" t="s">
        <v>289</v>
      </c>
      <c r="BY1431" s="2" t="s">
        <v>247</v>
      </c>
      <c r="BZ1431" s="2" t="s">
        <v>212</v>
      </c>
      <c r="CA1431" s="2" t="s">
        <v>7721</v>
      </c>
      <c r="CB1431" s="2" t="s">
        <v>663</v>
      </c>
      <c r="CC1431" s="2" t="s">
        <v>213</v>
      </c>
      <c r="CD1431" s="2" t="s">
        <v>200</v>
      </c>
      <c r="CE1431" s="4"/>
      <c r="CF1431" s="4">
        <v>68</v>
      </c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  <c r="DE1431" s="4"/>
      <c r="DF1431" s="4"/>
      <c r="DG1431" s="4"/>
      <c r="DH1431" s="4"/>
      <c r="DI1431" s="4"/>
      <c r="DJ1431" s="4"/>
      <c r="DK1431" s="4"/>
      <c r="DL1431" s="4"/>
      <c r="DM1431" s="4"/>
      <c r="DN1431" s="4"/>
      <c r="DO1431" s="4"/>
      <c r="DP1431" s="4"/>
      <c r="DQ1431" s="4"/>
      <c r="DR1431" s="4"/>
      <c r="DS1431" s="4"/>
      <c r="DT1431" s="4"/>
      <c r="DU1431" s="4"/>
      <c r="DV1431" s="4"/>
      <c r="DW1431" s="4"/>
      <c r="DX1431" s="4"/>
      <c r="DY1431" s="4"/>
      <c r="DZ1431" s="4"/>
      <c r="EA1431" s="4"/>
      <c r="EB1431" s="4"/>
      <c r="EC1431" s="4"/>
      <c r="ED1431" s="4"/>
      <c r="EE1431" s="4"/>
      <c r="EF1431" s="4"/>
      <c r="EG1431" s="4"/>
      <c r="EH1431" s="4"/>
      <c r="EI1431" s="4"/>
      <c r="EJ1431" s="4"/>
      <c r="EK1431" s="4"/>
      <c r="EL1431" s="4"/>
      <c r="EM1431" s="4"/>
      <c r="EN1431" s="4"/>
      <c r="EO1431" s="4"/>
      <c r="EP1431" s="4"/>
      <c r="EQ1431" s="4"/>
      <c r="ER1431" s="4"/>
      <c r="ES1431" s="4"/>
      <c r="ET1431" s="4"/>
      <c r="EU1431" s="4"/>
      <c r="EV1431" s="4"/>
      <c r="EW1431" s="4"/>
      <c r="EX1431" s="4"/>
      <c r="EY1431" s="4"/>
      <c r="EZ1431" s="4"/>
      <c r="FA1431" s="4"/>
      <c r="FB1431" s="4"/>
      <c r="FC1431" s="4"/>
      <c r="FD1431" s="4"/>
      <c r="FE1431" s="4"/>
      <c r="FF1431" s="4"/>
      <c r="FG1431" s="4"/>
      <c r="FH1431" s="4"/>
      <c r="FI1431" s="4"/>
      <c r="FJ1431" s="4"/>
      <c r="FK1431" s="4"/>
      <c r="FL1431" s="4"/>
      <c r="FM1431" s="4"/>
      <c r="FN1431" s="4"/>
      <c r="FO1431" s="4"/>
      <c r="FP1431" s="4"/>
      <c r="FQ1431" s="4"/>
      <c r="FR1431" s="4"/>
      <c r="FS1431" s="4"/>
      <c r="FT1431" s="4"/>
      <c r="FU1431" s="4"/>
      <c r="FV1431" s="4"/>
      <c r="FW1431" s="4"/>
      <c r="FX1431" s="4"/>
      <c r="FY1431" s="4"/>
      <c r="FZ1431" s="4"/>
      <c r="GA1431" s="4"/>
      <c r="GB1431" s="4"/>
      <c r="GC1431" s="4"/>
      <c r="GD1431" s="4"/>
      <c r="GE1431" s="4"/>
      <c r="GF1431" s="4"/>
      <c r="GG1431" s="4"/>
      <c r="GH1431" s="4"/>
    </row>
    <row r="1432">
      <c r="A1432" s="2" t="s">
        <v>7722</v>
      </c>
      <c r="B1432" s="2" t="s">
        <v>230</v>
      </c>
      <c r="C1432" s="2" t="s">
        <v>251</v>
      </c>
      <c r="D1432" s="2" t="s">
        <v>232</v>
      </c>
      <c r="E1432" s="2" t="s">
        <v>233</v>
      </c>
      <c r="F1432" s="2" t="s">
        <v>7723</v>
      </c>
      <c r="G1432" s="2" t="s">
        <v>7723</v>
      </c>
      <c r="H1432" s="2" t="s">
        <v>7723</v>
      </c>
      <c r="I1432" s="2" t="s">
        <v>7724</v>
      </c>
      <c r="J1432" s="2" t="s">
        <v>236</v>
      </c>
      <c r="K1432" s="2" t="s">
        <v>436</v>
      </c>
      <c r="L1432" s="3">
        <v>41.65</v>
      </c>
      <c r="M1432" s="3">
        <v>43.73</v>
      </c>
      <c r="N1432" s="3">
        <v>84.99</v>
      </c>
      <c r="O1432" s="2" t="s">
        <v>417</v>
      </c>
      <c r="P1432" s="2" t="s">
        <v>285</v>
      </c>
      <c r="Q1432" s="2" t="s">
        <v>206</v>
      </c>
      <c r="R1432" s="2" t="s">
        <v>200</v>
      </c>
      <c r="S1432" s="2" t="s">
        <v>7725</v>
      </c>
      <c r="T1432" s="2" t="s">
        <v>870</v>
      </c>
      <c r="U1432" s="2" t="s">
        <v>240</v>
      </c>
      <c r="V1432" s="2" t="s">
        <v>208</v>
      </c>
      <c r="W1432" s="2" t="s">
        <v>241</v>
      </c>
      <c r="X1432" s="2" t="s">
        <v>379</v>
      </c>
      <c r="Y1432" s="2" t="s">
        <v>7726</v>
      </c>
      <c r="Z1432" s="4">
        <v>10</v>
      </c>
      <c r="AA1432" s="4">
        <f>=ROUNDDOWN(9.09090909090909,0)</f>
      </c>
      <c r="AB1432" s="5">
        <v>1.1</v>
      </c>
      <c r="AC1432" s="2" t="s">
        <v>200</v>
      </c>
      <c r="AD1432" s="4"/>
      <c r="AE1432" s="4"/>
      <c r="AF1432" s="6">
        <v>65</v>
      </c>
      <c r="AG1432" s="6"/>
      <c r="AH1432" s="7">
        <v>0.9</v>
      </c>
      <c r="AI1432" s="4"/>
      <c r="AJ1432" s="4">
        <f>=ROUNDDOWN({0},0)</f>
      </c>
      <c r="AK1432" s="5"/>
      <c r="AL1432" s="2" t="s">
        <v>200</v>
      </c>
      <c r="AM1432" s="4"/>
      <c r="AN1432" s="4"/>
      <c r="AO1432" s="7"/>
      <c r="AP1432" s="4"/>
      <c r="AQ1432" s="8"/>
      <c r="AR1432" s="4"/>
      <c r="AS1432" s="8"/>
      <c r="AT1432" s="7"/>
      <c r="AU1432" s="7"/>
      <c r="AV1432" s="4"/>
      <c r="AW1432" s="8"/>
      <c r="AX1432" s="4"/>
      <c r="AY1432" s="8"/>
      <c r="AZ1432" s="7"/>
      <c r="BA1432" s="7"/>
      <c r="BB1432" s="7"/>
      <c r="BC1432" s="4" t="s">
        <v>200</v>
      </c>
      <c r="BD1432" s="8" t="s">
        <v>200</v>
      </c>
      <c r="BE1432" s="4" t="s">
        <v>200</v>
      </c>
      <c r="BF1432" s="8" t="s">
        <v>200</v>
      </c>
      <c r="BG1432" s="7" t="s">
        <v>200</v>
      </c>
      <c r="BH1432" s="7" t="s">
        <v>200</v>
      </c>
      <c r="BI1432" s="7"/>
      <c r="BJ1432" s="4">
        <v>1</v>
      </c>
      <c r="BK1432" s="8">
        <v>38.32</v>
      </c>
      <c r="BL1432" s="2" t="s">
        <v>1656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7727</v>
      </c>
      <c r="BV1432" s="2" t="s">
        <v>200</v>
      </c>
      <c r="BW1432" s="2" t="s">
        <v>200</v>
      </c>
      <c r="BX1432" s="2" t="s">
        <v>289</v>
      </c>
      <c r="BY1432" s="2" t="s">
        <v>247</v>
      </c>
      <c r="BZ1432" s="2" t="s">
        <v>212</v>
      </c>
      <c r="CA1432" s="2" t="s">
        <v>7728</v>
      </c>
      <c r="CB1432" s="2" t="s">
        <v>7729</v>
      </c>
      <c r="CC1432" s="2" t="s">
        <v>213</v>
      </c>
      <c r="CD1432" s="2" t="s">
        <v>200</v>
      </c>
      <c r="CE1432" s="4">
        <v>10</v>
      </c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  <c r="DB1432" s="4"/>
      <c r="DC1432" s="4"/>
      <c r="DD1432" s="4"/>
      <c r="DE1432" s="4"/>
      <c r="DF1432" s="4"/>
      <c r="DG1432" s="4"/>
      <c r="DH1432" s="4"/>
      <c r="DI1432" s="4"/>
      <c r="DJ1432" s="4"/>
      <c r="DK1432" s="4"/>
      <c r="DL1432" s="4"/>
      <c r="DM1432" s="4"/>
      <c r="DN1432" s="4"/>
      <c r="DO1432" s="4"/>
      <c r="DP1432" s="4"/>
      <c r="DQ1432" s="4"/>
      <c r="DR1432" s="4"/>
      <c r="DS1432" s="4"/>
      <c r="DT1432" s="4"/>
      <c r="DU1432" s="4"/>
      <c r="DV1432" s="4"/>
      <c r="DW1432" s="4"/>
      <c r="DX1432" s="4"/>
      <c r="DY1432" s="4"/>
      <c r="DZ1432" s="4"/>
      <c r="EA1432" s="4"/>
      <c r="EB1432" s="4"/>
      <c r="EC1432" s="4"/>
      <c r="ED1432" s="4"/>
      <c r="EE1432" s="4"/>
      <c r="EF1432" s="4"/>
      <c r="EG1432" s="4"/>
      <c r="EH1432" s="4"/>
      <c r="EI1432" s="4"/>
      <c r="EJ1432" s="4"/>
      <c r="EK1432" s="4"/>
      <c r="EL1432" s="4"/>
      <c r="EM1432" s="4"/>
      <c r="EN1432" s="4"/>
      <c r="EO1432" s="4"/>
      <c r="EP1432" s="4"/>
      <c r="EQ1432" s="4"/>
      <c r="ER1432" s="4"/>
      <c r="ES1432" s="4"/>
      <c r="ET1432" s="4"/>
      <c r="EU1432" s="4"/>
      <c r="EV1432" s="4"/>
      <c r="EW1432" s="4"/>
      <c r="EX1432" s="4"/>
      <c r="EY1432" s="4"/>
      <c r="EZ1432" s="4"/>
      <c r="FA1432" s="4"/>
      <c r="FB1432" s="4"/>
      <c r="FC1432" s="4"/>
      <c r="FD1432" s="4"/>
      <c r="FE1432" s="4"/>
      <c r="FF1432" s="4"/>
      <c r="FG1432" s="4"/>
      <c r="FH1432" s="4"/>
      <c r="FI1432" s="4"/>
      <c r="FJ1432" s="4"/>
      <c r="FK1432" s="4"/>
      <c r="FL1432" s="4"/>
      <c r="FM1432" s="4"/>
      <c r="FN1432" s="4"/>
      <c r="FO1432" s="4"/>
      <c r="FP1432" s="4"/>
      <c r="FQ1432" s="4"/>
      <c r="FR1432" s="4"/>
      <c r="FS1432" s="4"/>
      <c r="FT1432" s="4"/>
      <c r="FU1432" s="4"/>
      <c r="FV1432" s="4"/>
      <c r="FW1432" s="4"/>
      <c r="FX1432" s="4"/>
      <c r="FY1432" s="4"/>
      <c r="FZ1432" s="4"/>
      <c r="GA1432" s="4"/>
      <c r="GB1432" s="4"/>
      <c r="GC1432" s="4"/>
      <c r="GD1432" s="4"/>
      <c r="GE1432" s="4"/>
      <c r="GF1432" s="4"/>
      <c r="GG1432" s="4"/>
      <c r="GH1432" s="4"/>
    </row>
    <row r="1433">
      <c r="A1433" s="2" t="s">
        <v>7730</v>
      </c>
      <c r="B1433" s="2" t="s">
        <v>230</v>
      </c>
      <c r="C1433" s="2" t="s">
        <v>251</v>
      </c>
      <c r="D1433" s="2" t="s">
        <v>232</v>
      </c>
      <c r="E1433" s="2" t="s">
        <v>233</v>
      </c>
      <c r="F1433" s="2" t="s">
        <v>7723</v>
      </c>
      <c r="G1433" s="2" t="s">
        <v>7723</v>
      </c>
      <c r="H1433" s="2" t="s">
        <v>7723</v>
      </c>
      <c r="I1433" s="2" t="s">
        <v>7724</v>
      </c>
      <c r="J1433" s="2" t="s">
        <v>277</v>
      </c>
      <c r="K1433" s="2" t="s">
        <v>257</v>
      </c>
      <c r="L1433" s="3">
        <v>32.5</v>
      </c>
      <c r="M1433" s="3">
        <v>34.12</v>
      </c>
      <c r="N1433" s="3">
        <v>64.99</v>
      </c>
      <c r="O1433" s="2" t="s">
        <v>212</v>
      </c>
      <c r="P1433" s="2" t="s">
        <v>285</v>
      </c>
      <c r="Q1433" s="2" t="s">
        <v>206</v>
      </c>
      <c r="R1433" s="2" t="s">
        <v>200</v>
      </c>
      <c r="S1433" s="2" t="s">
        <v>7731</v>
      </c>
      <c r="T1433" s="2" t="s">
        <v>870</v>
      </c>
      <c r="U1433" s="2" t="s">
        <v>200</v>
      </c>
      <c r="V1433" s="2" t="s">
        <v>208</v>
      </c>
      <c r="W1433" s="2" t="s">
        <v>241</v>
      </c>
      <c r="X1433" s="2" t="s">
        <v>200</v>
      </c>
      <c r="Y1433" s="2" t="s">
        <v>7732</v>
      </c>
      <c r="Z1433" s="4">
        <v>40</v>
      </c>
      <c r="AA1433" s="4">
        <f>=ROUNDDOWN(30.7692307692308,0)</f>
      </c>
      <c r="AB1433" s="5">
        <v>1.3</v>
      </c>
      <c r="AC1433" s="2" t="s">
        <v>200</v>
      </c>
      <c r="AD1433" s="4"/>
      <c r="AE1433" s="4"/>
      <c r="AF1433" s="6">
        <v>65</v>
      </c>
      <c r="AG1433" s="6"/>
      <c r="AH1433" s="7">
        <v>1</v>
      </c>
      <c r="AI1433" s="4"/>
      <c r="AJ1433" s="4">
        <f>=ROUNDDOWN({0},0)</f>
      </c>
      <c r="AK1433" s="5"/>
      <c r="AL1433" s="2" t="s">
        <v>200</v>
      </c>
      <c r="AM1433" s="4"/>
      <c r="AN1433" s="4"/>
      <c r="AO1433" s="7"/>
      <c r="AP1433" s="4"/>
      <c r="AQ1433" s="8"/>
      <c r="AR1433" s="4"/>
      <c r="AS1433" s="8"/>
      <c r="AT1433" s="7"/>
      <c r="AU1433" s="7"/>
      <c r="AV1433" s="4"/>
      <c r="AW1433" s="8"/>
      <c r="AX1433" s="4"/>
      <c r="AY1433" s="8"/>
      <c r="AZ1433" s="7"/>
      <c r="BA1433" s="7"/>
      <c r="BB1433" s="7"/>
      <c r="BC1433" s="4" t="s">
        <v>200</v>
      </c>
      <c r="BD1433" s="8" t="s">
        <v>200</v>
      </c>
      <c r="BE1433" s="4" t="s">
        <v>200</v>
      </c>
      <c r="BF1433" s="8" t="s">
        <v>200</v>
      </c>
      <c r="BG1433" s="7" t="s">
        <v>200</v>
      </c>
      <c r="BH1433" s="7" t="s">
        <v>200</v>
      </c>
      <c r="BI1433" s="7"/>
      <c r="BJ1433" s="4">
        <v>3</v>
      </c>
      <c r="BK1433" s="8">
        <v>70.47</v>
      </c>
      <c r="BL1433" s="2" t="s">
        <v>2610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7733</v>
      </c>
      <c r="BV1433" s="2" t="s">
        <v>200</v>
      </c>
      <c r="BW1433" s="2" t="s">
        <v>200</v>
      </c>
      <c r="BX1433" s="2" t="s">
        <v>289</v>
      </c>
      <c r="BY1433" s="2" t="s">
        <v>247</v>
      </c>
      <c r="BZ1433" s="2" t="s">
        <v>212</v>
      </c>
      <c r="CA1433" s="2" t="s">
        <v>504</v>
      </c>
      <c r="CB1433" s="2" t="s">
        <v>4999</v>
      </c>
      <c r="CC1433" s="2" t="s">
        <v>213</v>
      </c>
      <c r="CD1433" s="2" t="s">
        <v>200</v>
      </c>
      <c r="CE1433" s="4">
        <v>40</v>
      </c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  <c r="DE1433" s="4"/>
      <c r="DF1433" s="4"/>
      <c r="DG1433" s="4"/>
      <c r="DH1433" s="4"/>
      <c r="DI1433" s="4"/>
      <c r="DJ1433" s="4"/>
      <c r="DK1433" s="4"/>
      <c r="DL1433" s="4"/>
      <c r="DM1433" s="4"/>
      <c r="DN1433" s="4"/>
      <c r="DO1433" s="4"/>
      <c r="DP1433" s="4"/>
      <c r="DQ1433" s="4"/>
      <c r="DR1433" s="4"/>
      <c r="DS1433" s="4"/>
      <c r="DT1433" s="4"/>
      <c r="DU1433" s="4"/>
      <c r="DV1433" s="4"/>
      <c r="DW1433" s="4"/>
      <c r="DX1433" s="4"/>
      <c r="DY1433" s="4"/>
      <c r="DZ1433" s="4"/>
      <c r="EA1433" s="4"/>
      <c r="EB1433" s="4"/>
      <c r="EC1433" s="4"/>
      <c r="ED1433" s="4"/>
      <c r="EE1433" s="4"/>
      <c r="EF1433" s="4"/>
      <c r="EG1433" s="4"/>
      <c r="EH1433" s="4"/>
      <c r="EI1433" s="4"/>
      <c r="EJ1433" s="4"/>
      <c r="EK1433" s="4"/>
      <c r="EL1433" s="4"/>
      <c r="EM1433" s="4"/>
      <c r="EN1433" s="4"/>
      <c r="EO1433" s="4"/>
      <c r="EP1433" s="4"/>
      <c r="EQ1433" s="4"/>
      <c r="ER1433" s="4"/>
      <c r="ES1433" s="4"/>
      <c r="ET1433" s="4"/>
      <c r="EU1433" s="4"/>
      <c r="EV1433" s="4"/>
      <c r="EW1433" s="4"/>
      <c r="EX1433" s="4"/>
      <c r="EY1433" s="4"/>
      <c r="EZ1433" s="4"/>
      <c r="FA1433" s="4"/>
      <c r="FB1433" s="4"/>
      <c r="FC1433" s="4"/>
      <c r="FD1433" s="4"/>
      <c r="FE1433" s="4"/>
      <c r="FF1433" s="4"/>
      <c r="FG1433" s="4"/>
      <c r="FH1433" s="4"/>
      <c r="FI1433" s="4"/>
      <c r="FJ1433" s="4"/>
      <c r="FK1433" s="4"/>
      <c r="FL1433" s="4"/>
      <c r="FM1433" s="4"/>
      <c r="FN1433" s="4"/>
      <c r="FO1433" s="4"/>
      <c r="FP1433" s="4"/>
      <c r="FQ1433" s="4"/>
      <c r="FR1433" s="4"/>
      <c r="FS1433" s="4"/>
      <c r="FT1433" s="4"/>
      <c r="FU1433" s="4"/>
      <c r="FV1433" s="4"/>
      <c r="FW1433" s="4"/>
      <c r="FX1433" s="4"/>
      <c r="FY1433" s="4"/>
      <c r="FZ1433" s="4"/>
      <c r="GA1433" s="4"/>
      <c r="GB1433" s="4"/>
      <c r="GC1433" s="4"/>
      <c r="GD1433" s="4"/>
      <c r="GE1433" s="4"/>
      <c r="GF1433" s="4"/>
      <c r="GG1433" s="4"/>
      <c r="GH1433" s="4"/>
    </row>
    <row r="1434">
      <c r="A1434" s="2" t="s">
        <v>7734</v>
      </c>
      <c r="B1434" s="2" t="s">
        <v>827</v>
      </c>
      <c r="C1434" s="2" t="s">
        <v>877</v>
      </c>
      <c r="D1434" s="2" t="s">
        <v>828</v>
      </c>
      <c r="E1434" s="2" t="s">
        <v>1011</v>
      </c>
      <c r="F1434" s="2" t="s">
        <v>7735</v>
      </c>
      <c r="G1434" s="2" t="s">
        <v>7736</v>
      </c>
      <c r="H1434" s="2" t="s">
        <v>3717</v>
      </c>
      <c r="I1434" s="2" t="s">
        <v>7737</v>
      </c>
      <c r="J1434" s="2" t="s">
        <v>4001</v>
      </c>
      <c r="K1434" s="2" t="s">
        <v>6446</v>
      </c>
      <c r="L1434" s="3">
        <v>15.75</v>
      </c>
      <c r="M1434" s="3">
        <v>16.54</v>
      </c>
      <c r="N1434" s="3">
        <v>34.99</v>
      </c>
      <c r="O1434" s="2" t="s">
        <v>212</v>
      </c>
      <c r="P1434" s="2" t="s">
        <v>285</v>
      </c>
      <c r="Q1434" s="2" t="s">
        <v>206</v>
      </c>
      <c r="R1434" s="2" t="s">
        <v>200</v>
      </c>
      <c r="S1434" s="2" t="s">
        <v>7738</v>
      </c>
      <c r="T1434" s="2" t="s">
        <v>378</v>
      </c>
      <c r="U1434" s="2" t="s">
        <v>270</v>
      </c>
      <c r="V1434" s="2" t="s">
        <v>724</v>
      </c>
      <c r="W1434" s="2" t="s">
        <v>379</v>
      </c>
      <c r="X1434" s="2" t="s">
        <v>1020</v>
      </c>
      <c r="Y1434" s="2" t="s">
        <v>4050</v>
      </c>
      <c r="Z1434" s="4">
        <v>224</v>
      </c>
      <c r="AA1434" s="4">
        <f>=ROUNDDOWN(26.6666666666667,0)</f>
      </c>
      <c r="AB1434" s="5">
        <v>8.4</v>
      </c>
      <c r="AC1434" s="2" t="s">
        <v>200</v>
      </c>
      <c r="AD1434" s="4"/>
      <c r="AE1434" s="4"/>
      <c r="AF1434" s="6">
        <v>64</v>
      </c>
      <c r="AG1434" s="6"/>
      <c r="AH1434" s="7">
        <v>1</v>
      </c>
      <c r="AI1434" s="4"/>
      <c r="AJ1434" s="4">
        <f>=ROUNDDOWN({0},0)</f>
      </c>
      <c r="AK1434" s="5"/>
      <c r="AL1434" s="2" t="s">
        <v>200</v>
      </c>
      <c r="AM1434" s="4"/>
      <c r="AN1434" s="4"/>
      <c r="AO1434" s="7"/>
      <c r="AP1434" s="4"/>
      <c r="AQ1434" s="8"/>
      <c r="AR1434" s="4"/>
      <c r="AS1434" s="8"/>
      <c r="AT1434" s="7"/>
      <c r="AU1434" s="7"/>
      <c r="AV1434" s="4"/>
      <c r="AW1434" s="8"/>
      <c r="AX1434" s="4"/>
      <c r="AY1434" s="8"/>
      <c r="AZ1434" s="7"/>
      <c r="BA1434" s="7"/>
      <c r="BB1434" s="7"/>
      <c r="BC1434" s="4"/>
      <c r="BD1434" s="8"/>
      <c r="BE1434" s="4"/>
      <c r="BF1434" s="8"/>
      <c r="BG1434" s="7"/>
      <c r="BH1434" s="7"/>
      <c r="BI1434" s="7"/>
      <c r="BJ1434" s="4">
        <v>36</v>
      </c>
      <c r="BK1434" s="8">
        <v>685.51</v>
      </c>
      <c r="BL1434" s="2" t="s">
        <v>7739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7740</v>
      </c>
      <c r="BV1434" s="2" t="s">
        <v>200</v>
      </c>
      <c r="BW1434" s="2" t="s">
        <v>200</v>
      </c>
      <c r="BX1434" s="2" t="s">
        <v>289</v>
      </c>
      <c r="BY1434" s="2" t="s">
        <v>247</v>
      </c>
      <c r="BZ1434" s="2" t="s">
        <v>212</v>
      </c>
      <c r="CA1434" s="2" t="s">
        <v>7741</v>
      </c>
      <c r="CB1434" s="2" t="s">
        <v>7742</v>
      </c>
      <c r="CC1434" s="2" t="s">
        <v>213</v>
      </c>
      <c r="CD1434" s="2" t="s">
        <v>200</v>
      </c>
      <c r="CE1434" s="4">
        <v>224</v>
      </c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  <c r="DD1434" s="4"/>
      <c r="DE1434" s="4"/>
      <c r="DF1434" s="4"/>
      <c r="DG1434" s="4"/>
      <c r="DH1434" s="4"/>
      <c r="DI1434" s="4"/>
      <c r="DJ1434" s="4"/>
      <c r="DK1434" s="4"/>
      <c r="DL1434" s="4"/>
      <c r="DM1434" s="4"/>
      <c r="DN1434" s="4"/>
      <c r="DO1434" s="4"/>
      <c r="DP1434" s="4"/>
      <c r="DQ1434" s="4"/>
      <c r="DR1434" s="4"/>
      <c r="DS1434" s="4"/>
      <c r="DT1434" s="4"/>
      <c r="DU1434" s="4"/>
      <c r="DV1434" s="4"/>
      <c r="DW1434" s="4"/>
      <c r="DX1434" s="4"/>
      <c r="DY1434" s="4"/>
      <c r="DZ1434" s="4"/>
      <c r="EA1434" s="4"/>
      <c r="EB1434" s="4"/>
      <c r="EC1434" s="4"/>
      <c r="ED1434" s="4"/>
      <c r="EE1434" s="4"/>
      <c r="EF1434" s="4"/>
      <c r="EG1434" s="4"/>
      <c r="EH1434" s="4"/>
      <c r="EI1434" s="4"/>
      <c r="EJ1434" s="4"/>
      <c r="EK1434" s="4"/>
      <c r="EL1434" s="4"/>
      <c r="EM1434" s="4"/>
      <c r="EN1434" s="4"/>
      <c r="EO1434" s="4"/>
      <c r="EP1434" s="4"/>
      <c r="EQ1434" s="4"/>
      <c r="ER1434" s="4"/>
      <c r="ES1434" s="4"/>
      <c r="ET1434" s="4"/>
      <c r="EU1434" s="4"/>
      <c r="EV1434" s="4"/>
      <c r="EW1434" s="4"/>
      <c r="EX1434" s="4"/>
      <c r="EY1434" s="4"/>
      <c r="EZ1434" s="4"/>
      <c r="FA1434" s="4"/>
      <c r="FB1434" s="4"/>
      <c r="FC1434" s="4"/>
      <c r="FD1434" s="4"/>
      <c r="FE1434" s="4"/>
      <c r="FF1434" s="4"/>
      <c r="FG1434" s="4"/>
      <c r="FH1434" s="4"/>
      <c r="FI1434" s="4"/>
      <c r="FJ1434" s="4"/>
      <c r="FK1434" s="4"/>
      <c r="FL1434" s="4"/>
      <c r="FM1434" s="4"/>
      <c r="FN1434" s="4"/>
      <c r="FO1434" s="4"/>
      <c r="FP1434" s="4"/>
      <c r="FQ1434" s="4"/>
      <c r="FR1434" s="4"/>
      <c r="FS1434" s="4"/>
      <c r="FT1434" s="4"/>
      <c r="FU1434" s="4"/>
      <c r="FV1434" s="4"/>
      <c r="FW1434" s="4"/>
      <c r="FX1434" s="4"/>
      <c r="FY1434" s="4"/>
      <c r="FZ1434" s="4"/>
      <c r="GA1434" s="4"/>
      <c r="GB1434" s="4"/>
      <c r="GC1434" s="4"/>
      <c r="GD1434" s="4"/>
      <c r="GE1434" s="4"/>
      <c r="GF1434" s="4"/>
      <c r="GG1434" s="4"/>
      <c r="GH1434" s="4"/>
    </row>
    <row r="1435">
      <c r="A1435" s="2" t="s">
        <v>7743</v>
      </c>
      <c r="B1435" s="2" t="s">
        <v>903</v>
      </c>
      <c r="C1435" s="2" t="s">
        <v>607</v>
      </c>
      <c r="D1435" s="2" t="s">
        <v>608</v>
      </c>
      <c r="E1435" s="2" t="s">
        <v>609</v>
      </c>
      <c r="F1435" s="2" t="s">
        <v>7744</v>
      </c>
      <c r="G1435" s="2" t="s">
        <v>7744</v>
      </c>
      <c r="H1435" s="2" t="s">
        <v>7744</v>
      </c>
      <c r="I1435" s="2" t="s">
        <v>1761</v>
      </c>
      <c r="J1435" s="2" t="s">
        <v>297</v>
      </c>
      <c r="K1435" s="2" t="s">
        <v>203</v>
      </c>
      <c r="L1435" s="3">
        <v>150</v>
      </c>
      <c r="M1435" s="3">
        <v>157.5</v>
      </c>
      <c r="N1435" s="3">
        <v>299.99</v>
      </c>
      <c r="O1435" s="2" t="s">
        <v>212</v>
      </c>
      <c r="P1435" s="2" t="s">
        <v>205</v>
      </c>
      <c r="Q1435" s="2" t="s">
        <v>206</v>
      </c>
      <c r="R1435" s="2" t="s">
        <v>200</v>
      </c>
      <c r="S1435" s="2" t="s">
        <v>200</v>
      </c>
      <c r="T1435" s="2" t="s">
        <v>1833</v>
      </c>
      <c r="U1435" s="2" t="s">
        <v>689</v>
      </c>
      <c r="V1435" s="2" t="s">
        <v>616</v>
      </c>
      <c r="W1435" s="2" t="s">
        <v>242</v>
      </c>
      <c r="X1435" s="2" t="s">
        <v>200</v>
      </c>
      <c r="Y1435" s="2" t="s">
        <v>200</v>
      </c>
      <c r="Z1435" s="4"/>
      <c r="AA1435" s="4">
        <f>=ROUNDDOWN({0},0)</f>
      </c>
      <c r="AB1435" s="5"/>
      <c r="AC1435" s="2" t="s">
        <v>111</v>
      </c>
      <c r="AD1435" s="4">
        <v>200</v>
      </c>
      <c r="AE1435" s="4">
        <v>200</v>
      </c>
      <c r="AF1435" s="6">
        <v>67</v>
      </c>
      <c r="AG1435" s="6"/>
      <c r="AH1435" s="7"/>
      <c r="AI1435" s="4"/>
      <c r="AJ1435" s="4">
        <f>=ROUNDDOWN({0},0)</f>
      </c>
      <c r="AK1435" s="5"/>
      <c r="AL1435" s="2" t="s">
        <v>200</v>
      </c>
      <c r="AM1435" s="4"/>
      <c r="AN1435" s="4"/>
      <c r="AO1435" s="7"/>
      <c r="AP1435" s="4"/>
      <c r="AQ1435" s="8"/>
      <c r="AR1435" s="4"/>
      <c r="AS1435" s="8"/>
      <c r="AT1435" s="7"/>
      <c r="AU1435" s="7"/>
      <c r="AV1435" s="4" t="s">
        <v>200</v>
      </c>
      <c r="AW1435" s="8" t="s">
        <v>200</v>
      </c>
      <c r="AX1435" s="4" t="s">
        <v>200</v>
      </c>
      <c r="AY1435" s="8" t="s">
        <v>200</v>
      </c>
      <c r="AZ1435" s="7" t="s">
        <v>200</v>
      </c>
      <c r="BA1435" s="7" t="s">
        <v>200</v>
      </c>
      <c r="BB1435" s="7"/>
      <c r="BC1435" s="4" t="s">
        <v>200</v>
      </c>
      <c r="BD1435" s="8" t="s">
        <v>200</v>
      </c>
      <c r="BE1435" s="4" t="s">
        <v>200</v>
      </c>
      <c r="BF1435" s="8" t="s">
        <v>200</v>
      </c>
      <c r="BG1435" s="7" t="s">
        <v>200</v>
      </c>
      <c r="BH1435" s="7" t="s">
        <v>200</v>
      </c>
      <c r="BI1435" s="7"/>
      <c r="BJ1435" s="4"/>
      <c r="BK1435" s="8"/>
      <c r="BL1435" s="2" t="s">
        <v>200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210</v>
      </c>
      <c r="BV1435" s="2" t="s">
        <v>200</v>
      </c>
      <c r="BW1435" s="2" t="s">
        <v>200</v>
      </c>
      <c r="BX1435" s="2" t="s">
        <v>210</v>
      </c>
      <c r="BY1435" s="2" t="s">
        <v>211</v>
      </c>
      <c r="BZ1435" s="2" t="s">
        <v>212</v>
      </c>
      <c r="CA1435" s="2" t="s">
        <v>200</v>
      </c>
      <c r="CB1435" s="2" t="s">
        <v>200</v>
      </c>
      <c r="CC1435" s="2" t="s">
        <v>213</v>
      </c>
      <c r="CD1435" s="2" t="s">
        <v>200</v>
      </c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>
        <v>200</v>
      </c>
      <c r="CY1435" s="4"/>
      <c r="CZ1435" s="4"/>
      <c r="DA1435" s="4"/>
      <c r="DB1435" s="4"/>
      <c r="DC1435" s="4"/>
      <c r="DD1435" s="4"/>
      <c r="DE1435" s="4"/>
      <c r="DF1435" s="4"/>
      <c r="DG1435" s="4"/>
      <c r="DH1435" s="4"/>
      <c r="DI1435" s="4"/>
      <c r="DJ1435" s="4"/>
      <c r="DK1435" s="4"/>
      <c r="DL1435" s="4"/>
      <c r="DM1435" s="4"/>
      <c r="DN1435" s="4"/>
      <c r="DO1435" s="4"/>
      <c r="DP1435" s="4"/>
      <c r="DQ1435" s="4"/>
      <c r="DR1435" s="4"/>
      <c r="DS1435" s="4"/>
      <c r="DT1435" s="4"/>
      <c r="DU1435" s="4"/>
      <c r="DV1435" s="4"/>
      <c r="DW1435" s="4"/>
      <c r="DX1435" s="4"/>
      <c r="DY1435" s="4"/>
      <c r="DZ1435" s="4"/>
      <c r="EA1435" s="4"/>
      <c r="EB1435" s="4"/>
      <c r="EC1435" s="4"/>
      <c r="ED1435" s="4"/>
      <c r="EE1435" s="4"/>
      <c r="EF1435" s="4"/>
      <c r="EG1435" s="4"/>
      <c r="EH1435" s="4"/>
      <c r="EI1435" s="4"/>
      <c r="EJ1435" s="4"/>
      <c r="EK1435" s="4"/>
      <c r="EL1435" s="4"/>
      <c r="EM1435" s="4"/>
      <c r="EN1435" s="4"/>
      <c r="EO1435" s="4"/>
      <c r="EP1435" s="4"/>
      <c r="EQ1435" s="4"/>
      <c r="ER1435" s="4"/>
      <c r="ES1435" s="4"/>
      <c r="ET1435" s="4"/>
      <c r="EU1435" s="4"/>
      <c r="EV1435" s="4"/>
      <c r="EW1435" s="4"/>
      <c r="EX1435" s="4"/>
      <c r="EY1435" s="4"/>
      <c r="EZ1435" s="4"/>
      <c r="FA1435" s="4"/>
      <c r="FB1435" s="4"/>
      <c r="FC1435" s="4"/>
      <c r="FD1435" s="4"/>
      <c r="FE1435" s="4"/>
      <c r="FF1435" s="4"/>
      <c r="FG1435" s="4"/>
      <c r="FH1435" s="4"/>
      <c r="FI1435" s="4"/>
      <c r="FJ1435" s="4"/>
      <c r="FK1435" s="4"/>
      <c r="FL1435" s="4"/>
      <c r="FM1435" s="4"/>
      <c r="FN1435" s="4"/>
      <c r="FO1435" s="4"/>
      <c r="FP1435" s="4"/>
      <c r="FQ1435" s="4"/>
      <c r="FR1435" s="4"/>
      <c r="FS1435" s="4"/>
      <c r="FT1435" s="4"/>
      <c r="FU1435" s="4"/>
      <c r="FV1435" s="4"/>
      <c r="FW1435" s="4"/>
      <c r="FX1435" s="4"/>
      <c r="FY1435" s="4"/>
      <c r="FZ1435" s="4"/>
      <c r="GA1435" s="4"/>
      <c r="GB1435" s="4"/>
      <c r="GC1435" s="4"/>
      <c r="GD1435" s="4"/>
      <c r="GE1435" s="4"/>
      <c r="GF1435" s="4"/>
      <c r="GG1435" s="4"/>
      <c r="GH1435" s="4"/>
    </row>
    <row r="1436">
      <c r="A1436" s="2" t="s">
        <v>7745</v>
      </c>
      <c r="B1436" s="2" t="s">
        <v>903</v>
      </c>
      <c r="C1436" s="2" t="s">
        <v>607</v>
      </c>
      <c r="D1436" s="2" t="s">
        <v>608</v>
      </c>
      <c r="E1436" s="2" t="s">
        <v>609</v>
      </c>
      <c r="F1436" s="2" t="s">
        <v>7744</v>
      </c>
      <c r="G1436" s="2" t="s">
        <v>7744</v>
      </c>
      <c r="H1436" s="2" t="s">
        <v>7744</v>
      </c>
      <c r="I1436" s="2" t="s">
        <v>1761</v>
      </c>
      <c r="J1436" s="2" t="s">
        <v>302</v>
      </c>
      <c r="K1436" s="2" t="s">
        <v>203</v>
      </c>
      <c r="L1436" s="3">
        <v>175</v>
      </c>
      <c r="M1436" s="3">
        <v>183.75</v>
      </c>
      <c r="N1436" s="3">
        <v>349.99</v>
      </c>
      <c r="O1436" s="2" t="s">
        <v>212</v>
      </c>
      <c r="P1436" s="2" t="s">
        <v>205</v>
      </c>
      <c r="Q1436" s="2" t="s">
        <v>206</v>
      </c>
      <c r="R1436" s="2" t="s">
        <v>200</v>
      </c>
      <c r="S1436" s="2" t="s">
        <v>200</v>
      </c>
      <c r="T1436" s="2" t="s">
        <v>1833</v>
      </c>
      <c r="U1436" s="2" t="s">
        <v>909</v>
      </c>
      <c r="V1436" s="2" t="s">
        <v>616</v>
      </c>
      <c r="W1436" s="2" t="s">
        <v>242</v>
      </c>
      <c r="X1436" s="2" t="s">
        <v>200</v>
      </c>
      <c r="Y1436" s="2" t="s">
        <v>200</v>
      </c>
      <c r="Z1436" s="4"/>
      <c r="AA1436" s="4">
        <f>=ROUNDDOWN({0},0)</f>
      </c>
      <c r="AB1436" s="5"/>
      <c r="AC1436" s="2" t="s">
        <v>111</v>
      </c>
      <c r="AD1436" s="4">
        <v>300</v>
      </c>
      <c r="AE1436" s="4">
        <v>300</v>
      </c>
      <c r="AF1436" s="6">
        <v>67</v>
      </c>
      <c r="AG1436" s="6"/>
      <c r="AH1436" s="7"/>
      <c r="AI1436" s="4"/>
      <c r="AJ1436" s="4">
        <f>=ROUNDDOWN({0},0)</f>
      </c>
      <c r="AK1436" s="5"/>
      <c r="AL1436" s="2" t="s">
        <v>200</v>
      </c>
      <c r="AM1436" s="4"/>
      <c r="AN1436" s="4"/>
      <c r="AO1436" s="7"/>
      <c r="AP1436" s="4"/>
      <c r="AQ1436" s="8"/>
      <c r="AR1436" s="4"/>
      <c r="AS1436" s="8"/>
      <c r="AT1436" s="7"/>
      <c r="AU1436" s="7"/>
      <c r="AV1436" s="4" t="s">
        <v>200</v>
      </c>
      <c r="AW1436" s="8" t="s">
        <v>200</v>
      </c>
      <c r="AX1436" s="4" t="s">
        <v>200</v>
      </c>
      <c r="AY1436" s="8" t="s">
        <v>200</v>
      </c>
      <c r="AZ1436" s="7" t="s">
        <v>200</v>
      </c>
      <c r="BA1436" s="7" t="s">
        <v>200</v>
      </c>
      <c r="BB1436" s="7"/>
      <c r="BC1436" s="4" t="s">
        <v>200</v>
      </c>
      <c r="BD1436" s="8" t="s">
        <v>200</v>
      </c>
      <c r="BE1436" s="4" t="s">
        <v>200</v>
      </c>
      <c r="BF1436" s="8" t="s">
        <v>200</v>
      </c>
      <c r="BG1436" s="7" t="s">
        <v>200</v>
      </c>
      <c r="BH1436" s="7" t="s">
        <v>200</v>
      </c>
      <c r="BI1436" s="7"/>
      <c r="BJ1436" s="4"/>
      <c r="BK1436" s="8"/>
      <c r="BL1436" s="2" t="s">
        <v>200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210</v>
      </c>
      <c r="BV1436" s="2" t="s">
        <v>200</v>
      </c>
      <c r="BW1436" s="2" t="s">
        <v>200</v>
      </c>
      <c r="BX1436" s="2" t="s">
        <v>210</v>
      </c>
      <c r="BY1436" s="2" t="s">
        <v>211</v>
      </c>
      <c r="BZ1436" s="2" t="s">
        <v>212</v>
      </c>
      <c r="CA1436" s="2" t="s">
        <v>200</v>
      </c>
      <c r="CB1436" s="2" t="s">
        <v>200</v>
      </c>
      <c r="CC1436" s="2" t="s">
        <v>213</v>
      </c>
      <c r="CD1436" s="2" t="s">
        <v>200</v>
      </c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>
        <v>300</v>
      </c>
      <c r="CY1436" s="4"/>
      <c r="CZ1436" s="4"/>
      <c r="DA1436" s="4"/>
      <c r="DB1436" s="4"/>
      <c r="DC1436" s="4"/>
      <c r="DD1436" s="4"/>
      <c r="DE1436" s="4"/>
      <c r="DF1436" s="4"/>
      <c r="DG1436" s="4"/>
      <c r="DH1436" s="4"/>
      <c r="DI1436" s="4"/>
      <c r="DJ1436" s="4"/>
      <c r="DK1436" s="4"/>
      <c r="DL1436" s="4"/>
      <c r="DM1436" s="4"/>
      <c r="DN1436" s="4"/>
      <c r="DO1436" s="4"/>
      <c r="DP1436" s="4"/>
      <c r="DQ1436" s="4"/>
      <c r="DR1436" s="4"/>
      <c r="DS1436" s="4"/>
      <c r="DT1436" s="4"/>
      <c r="DU1436" s="4"/>
      <c r="DV1436" s="4"/>
      <c r="DW1436" s="4"/>
      <c r="DX1436" s="4"/>
      <c r="DY1436" s="4"/>
      <c r="DZ1436" s="4"/>
      <c r="EA1436" s="4"/>
      <c r="EB1436" s="4"/>
      <c r="EC1436" s="4"/>
      <c r="ED1436" s="4"/>
      <c r="EE1436" s="4"/>
      <c r="EF1436" s="4"/>
      <c r="EG1436" s="4"/>
      <c r="EH1436" s="4"/>
      <c r="EI1436" s="4"/>
      <c r="EJ1436" s="4"/>
      <c r="EK1436" s="4"/>
      <c r="EL1436" s="4"/>
      <c r="EM1436" s="4"/>
      <c r="EN1436" s="4"/>
      <c r="EO1436" s="4"/>
      <c r="EP1436" s="4"/>
      <c r="EQ1436" s="4"/>
      <c r="ER1436" s="4"/>
      <c r="ES1436" s="4"/>
      <c r="ET1436" s="4"/>
      <c r="EU1436" s="4"/>
      <c r="EV1436" s="4"/>
      <c r="EW1436" s="4"/>
      <c r="EX1436" s="4"/>
      <c r="EY1436" s="4"/>
      <c r="EZ1436" s="4"/>
      <c r="FA1436" s="4"/>
      <c r="FB1436" s="4"/>
      <c r="FC1436" s="4"/>
      <c r="FD1436" s="4"/>
      <c r="FE1436" s="4"/>
      <c r="FF1436" s="4"/>
      <c r="FG1436" s="4"/>
      <c r="FH1436" s="4"/>
      <c r="FI1436" s="4"/>
      <c r="FJ1436" s="4"/>
      <c r="FK1436" s="4"/>
      <c r="FL1436" s="4"/>
      <c r="FM1436" s="4"/>
      <c r="FN1436" s="4"/>
      <c r="FO1436" s="4"/>
      <c r="FP1436" s="4"/>
      <c r="FQ1436" s="4"/>
      <c r="FR1436" s="4"/>
      <c r="FS1436" s="4"/>
      <c r="FT1436" s="4"/>
      <c r="FU1436" s="4"/>
      <c r="FV1436" s="4"/>
      <c r="FW1436" s="4"/>
      <c r="FX1436" s="4"/>
      <c r="FY1436" s="4"/>
      <c r="FZ1436" s="4"/>
      <c r="GA1436" s="4"/>
      <c r="GB1436" s="4"/>
      <c r="GC1436" s="4"/>
      <c r="GD1436" s="4"/>
      <c r="GE1436" s="4"/>
      <c r="GF1436" s="4"/>
      <c r="GG1436" s="4"/>
      <c r="GH1436" s="4"/>
    </row>
    <row r="1437">
      <c r="A1437" s="2" t="s">
        <v>7746</v>
      </c>
      <c r="B1437" s="2" t="s">
        <v>719</v>
      </c>
      <c r="C1437" s="2" t="s">
        <v>730</v>
      </c>
      <c r="D1437" s="2" t="s">
        <v>1535</v>
      </c>
      <c r="E1437" s="2" t="s">
        <v>1536</v>
      </c>
      <c r="F1437" s="2" t="s">
        <v>7747</v>
      </c>
      <c r="G1437" s="2" t="s">
        <v>7747</v>
      </c>
      <c r="H1437" s="2" t="s">
        <v>7747</v>
      </c>
      <c r="I1437" s="2" t="s">
        <v>7748</v>
      </c>
      <c r="J1437" s="2" t="s">
        <v>711</v>
      </c>
      <c r="K1437" s="2" t="s">
        <v>637</v>
      </c>
      <c r="L1437" s="3">
        <v>56.66</v>
      </c>
      <c r="M1437" s="3">
        <v>59.49</v>
      </c>
      <c r="N1437" s="3">
        <v>118.99</v>
      </c>
      <c r="O1437" s="2" t="s">
        <v>212</v>
      </c>
      <c r="P1437" s="2" t="s">
        <v>285</v>
      </c>
      <c r="Q1437" s="2" t="s">
        <v>206</v>
      </c>
      <c r="R1437" s="2" t="s">
        <v>200</v>
      </c>
      <c r="S1437" s="2" t="s">
        <v>200</v>
      </c>
      <c r="T1437" s="2" t="s">
        <v>200</v>
      </c>
      <c r="U1437" s="2" t="s">
        <v>270</v>
      </c>
      <c r="V1437" s="2" t="s">
        <v>616</v>
      </c>
      <c r="W1437" s="2" t="s">
        <v>4808</v>
      </c>
      <c r="X1437" s="2" t="s">
        <v>7749</v>
      </c>
      <c r="Y1437" s="2" t="s">
        <v>4391</v>
      </c>
      <c r="Z1437" s="4">
        <v>101</v>
      </c>
      <c r="AA1437" s="4">
        <f>=ROUNDDOWN(30.6060606060606,0)</f>
      </c>
      <c r="AB1437" s="5">
        <v>3.3</v>
      </c>
      <c r="AC1437" s="2" t="s">
        <v>200</v>
      </c>
      <c r="AD1437" s="4"/>
      <c r="AE1437" s="4"/>
      <c r="AF1437" s="6">
        <v>65</v>
      </c>
      <c r="AG1437" s="6"/>
      <c r="AH1437" s="7">
        <v>1</v>
      </c>
      <c r="AI1437" s="4"/>
      <c r="AJ1437" s="4">
        <f>=ROUNDDOWN({0},0)</f>
      </c>
      <c r="AK1437" s="5"/>
      <c r="AL1437" s="2" t="s">
        <v>200</v>
      </c>
      <c r="AM1437" s="4"/>
      <c r="AN1437" s="4"/>
      <c r="AO1437" s="7"/>
      <c r="AP1437" s="4"/>
      <c r="AQ1437" s="8"/>
      <c r="AR1437" s="4"/>
      <c r="AS1437" s="8"/>
      <c r="AT1437" s="7"/>
      <c r="AU1437" s="7"/>
      <c r="AV1437" s="4"/>
      <c r="AW1437" s="8"/>
      <c r="AX1437" s="4"/>
      <c r="AY1437" s="8"/>
      <c r="AZ1437" s="7"/>
      <c r="BA1437" s="7"/>
      <c r="BB1437" s="7"/>
      <c r="BC1437" s="4"/>
      <c r="BD1437" s="8"/>
      <c r="BE1437" s="4"/>
      <c r="BF1437" s="8"/>
      <c r="BG1437" s="7"/>
      <c r="BH1437" s="7"/>
      <c r="BI1437" s="7"/>
      <c r="BJ1437" s="4">
        <v>9</v>
      </c>
      <c r="BK1437" s="8">
        <v>530.65</v>
      </c>
      <c r="BL1437" s="2" t="s">
        <v>7750</v>
      </c>
      <c r="BM1437" s="7"/>
      <c r="BN1437" s="7"/>
      <c r="BO1437" s="4"/>
      <c r="BP1437" s="8"/>
      <c r="BQ1437" s="4"/>
      <c r="BR1437" s="8"/>
      <c r="BS1437" s="7"/>
      <c r="BT1437" s="7"/>
      <c r="BU1437" s="2" t="s">
        <v>7751</v>
      </c>
      <c r="BV1437" s="2" t="s">
        <v>200</v>
      </c>
      <c r="BW1437" s="2" t="s">
        <v>200</v>
      </c>
      <c r="BX1437" s="2" t="s">
        <v>289</v>
      </c>
      <c r="BY1437" s="2" t="s">
        <v>247</v>
      </c>
      <c r="BZ1437" s="2" t="s">
        <v>212</v>
      </c>
      <c r="CA1437" s="2" t="s">
        <v>2180</v>
      </c>
      <c r="CB1437" s="2" t="s">
        <v>7752</v>
      </c>
      <c r="CC1437" s="2" t="s">
        <v>213</v>
      </c>
      <c r="CD1437" s="2" t="s">
        <v>200</v>
      </c>
      <c r="CE1437" s="4"/>
      <c r="CF1437" s="4">
        <v>101</v>
      </c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  <c r="DB1437" s="4"/>
      <c r="DC1437" s="4"/>
      <c r="DD1437" s="4"/>
      <c r="DE1437" s="4"/>
      <c r="DF1437" s="4"/>
      <c r="DG1437" s="4"/>
      <c r="DH1437" s="4"/>
      <c r="DI1437" s="4"/>
      <c r="DJ1437" s="4"/>
      <c r="DK1437" s="4"/>
      <c r="DL1437" s="4"/>
      <c r="DM1437" s="4"/>
      <c r="DN1437" s="4"/>
      <c r="DO1437" s="4"/>
      <c r="DP1437" s="4"/>
      <c r="DQ1437" s="4"/>
      <c r="DR1437" s="4"/>
      <c r="DS1437" s="4"/>
      <c r="DT1437" s="4"/>
      <c r="DU1437" s="4"/>
      <c r="DV1437" s="4"/>
      <c r="DW1437" s="4"/>
      <c r="DX1437" s="4"/>
      <c r="DY1437" s="4"/>
      <c r="DZ1437" s="4"/>
      <c r="EA1437" s="4"/>
      <c r="EB1437" s="4"/>
      <c r="EC1437" s="4"/>
      <c r="ED1437" s="4"/>
      <c r="EE1437" s="4"/>
      <c r="EF1437" s="4"/>
      <c r="EG1437" s="4"/>
      <c r="EH1437" s="4"/>
      <c r="EI1437" s="4"/>
      <c r="EJ1437" s="4"/>
      <c r="EK1437" s="4"/>
      <c r="EL1437" s="4"/>
      <c r="EM1437" s="4"/>
      <c r="EN1437" s="4"/>
      <c r="EO1437" s="4"/>
      <c r="EP1437" s="4"/>
      <c r="EQ1437" s="4"/>
      <c r="ER1437" s="4"/>
      <c r="ES1437" s="4"/>
      <c r="ET1437" s="4"/>
      <c r="EU1437" s="4"/>
      <c r="EV1437" s="4"/>
      <c r="EW1437" s="4"/>
      <c r="EX1437" s="4"/>
      <c r="EY1437" s="4"/>
      <c r="EZ1437" s="4"/>
      <c r="FA1437" s="4"/>
      <c r="FB1437" s="4"/>
      <c r="FC1437" s="4"/>
      <c r="FD1437" s="4"/>
      <c r="FE1437" s="4"/>
      <c r="FF1437" s="4"/>
      <c r="FG1437" s="4"/>
      <c r="FH1437" s="4"/>
      <c r="FI1437" s="4"/>
      <c r="FJ1437" s="4"/>
      <c r="FK1437" s="4"/>
      <c r="FL1437" s="4"/>
      <c r="FM1437" s="4"/>
      <c r="FN1437" s="4"/>
      <c r="FO1437" s="4"/>
      <c r="FP1437" s="4"/>
      <c r="FQ1437" s="4"/>
      <c r="FR1437" s="4"/>
      <c r="FS1437" s="4"/>
      <c r="FT1437" s="4"/>
      <c r="FU1437" s="4"/>
      <c r="FV1437" s="4"/>
      <c r="FW1437" s="4"/>
      <c r="FX1437" s="4"/>
      <c r="FY1437" s="4"/>
      <c r="FZ1437" s="4"/>
      <c r="GA1437" s="4"/>
      <c r="GB1437" s="4"/>
      <c r="GC1437" s="4"/>
      <c r="GD1437" s="4"/>
      <c r="GE1437" s="4"/>
      <c r="GF1437" s="4"/>
      <c r="GG1437" s="4"/>
      <c r="GH1437" s="4"/>
    </row>
    <row r="1438">
      <c r="A1438" s="2" t="s">
        <v>7753</v>
      </c>
      <c r="B1438" s="2" t="s">
        <v>744</v>
      </c>
      <c r="C1438" s="2" t="s">
        <v>730</v>
      </c>
      <c r="D1438" s="2" t="s">
        <v>1275</v>
      </c>
      <c r="E1438" s="2" t="s">
        <v>1276</v>
      </c>
      <c r="F1438" s="2" t="s">
        <v>7754</v>
      </c>
      <c r="G1438" s="2" t="s">
        <v>7754</v>
      </c>
      <c r="H1438" s="2" t="s">
        <v>7754</v>
      </c>
      <c r="I1438" s="2" t="s">
        <v>5450</v>
      </c>
      <c r="J1438" s="2" t="s">
        <v>711</v>
      </c>
      <c r="K1438" s="2" t="s">
        <v>7755</v>
      </c>
      <c r="L1438" s="3">
        <v>162.45</v>
      </c>
      <c r="M1438" s="3">
        <v>170.57</v>
      </c>
      <c r="N1438" s="3">
        <v>339</v>
      </c>
      <c r="O1438" s="2" t="s">
        <v>460</v>
      </c>
      <c r="P1438" s="2" t="s">
        <v>285</v>
      </c>
      <c r="Q1438" s="2" t="s">
        <v>206</v>
      </c>
      <c r="R1438" s="2" t="s">
        <v>200</v>
      </c>
      <c r="S1438" s="2" t="s">
        <v>200</v>
      </c>
      <c r="T1438" s="2" t="s">
        <v>200</v>
      </c>
      <c r="U1438" s="2" t="s">
        <v>270</v>
      </c>
      <c r="V1438" s="2" t="s">
        <v>208</v>
      </c>
      <c r="W1438" s="2" t="s">
        <v>379</v>
      </c>
      <c r="X1438" s="2" t="s">
        <v>2053</v>
      </c>
      <c r="Y1438" s="2" t="s">
        <v>1215</v>
      </c>
      <c r="Z1438" s="4">
        <v>50</v>
      </c>
      <c r="AA1438" s="4">
        <f>=ROUNDDOWN(62.5,0)</f>
      </c>
      <c r="AB1438" s="5">
        <v>0.8</v>
      </c>
      <c r="AC1438" s="2" t="s">
        <v>200</v>
      </c>
      <c r="AD1438" s="4"/>
      <c r="AE1438" s="4"/>
      <c r="AF1438" s="6">
        <v>65</v>
      </c>
      <c r="AG1438" s="6"/>
      <c r="AH1438" s="7">
        <v>1</v>
      </c>
      <c r="AI1438" s="4"/>
      <c r="AJ1438" s="4">
        <f>=ROUNDDOWN({0},0)</f>
      </c>
      <c r="AK1438" s="5"/>
      <c r="AL1438" s="2" t="s">
        <v>200</v>
      </c>
      <c r="AM1438" s="4"/>
      <c r="AN1438" s="4"/>
      <c r="AO1438" s="7"/>
      <c r="AP1438" s="4"/>
      <c r="AQ1438" s="8"/>
      <c r="AR1438" s="4"/>
      <c r="AS1438" s="8"/>
      <c r="AT1438" s="7"/>
      <c r="AU1438" s="7"/>
      <c r="AV1438" s="4"/>
      <c r="AW1438" s="8"/>
      <c r="AX1438" s="4"/>
      <c r="AY1438" s="8"/>
      <c r="AZ1438" s="7"/>
      <c r="BA1438" s="7"/>
      <c r="BB1438" s="7"/>
      <c r="BC1438" s="4"/>
      <c r="BD1438" s="8"/>
      <c r="BE1438" s="4"/>
      <c r="BF1438" s="8"/>
      <c r="BG1438" s="7"/>
      <c r="BH1438" s="7"/>
      <c r="BI1438" s="7"/>
      <c r="BJ1438" s="4">
        <v>2</v>
      </c>
      <c r="BK1438" s="8">
        <v>182.26</v>
      </c>
      <c r="BL1438" s="2" t="s">
        <v>7756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7757</v>
      </c>
      <c r="BV1438" s="2" t="s">
        <v>200</v>
      </c>
      <c r="BW1438" s="2" t="s">
        <v>200</v>
      </c>
      <c r="BX1438" s="2" t="s">
        <v>289</v>
      </c>
      <c r="BY1438" s="2" t="s">
        <v>247</v>
      </c>
      <c r="BZ1438" s="2" t="s">
        <v>212</v>
      </c>
      <c r="CA1438" s="2" t="s">
        <v>3242</v>
      </c>
      <c r="CB1438" s="2" t="s">
        <v>6904</v>
      </c>
      <c r="CC1438" s="2" t="s">
        <v>213</v>
      </c>
      <c r="CD1438" s="2" t="s">
        <v>200</v>
      </c>
      <c r="CE1438" s="4"/>
      <c r="CF1438" s="4">
        <v>50</v>
      </c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/>
      <c r="DD1438" s="4"/>
      <c r="DE1438" s="4"/>
      <c r="DF1438" s="4"/>
      <c r="DG1438" s="4"/>
      <c r="DH1438" s="4"/>
      <c r="DI1438" s="4"/>
      <c r="DJ1438" s="4"/>
      <c r="DK1438" s="4"/>
      <c r="DL1438" s="4"/>
      <c r="DM1438" s="4"/>
      <c r="DN1438" s="4"/>
      <c r="DO1438" s="4"/>
      <c r="DP1438" s="4"/>
      <c r="DQ1438" s="4"/>
      <c r="DR1438" s="4"/>
      <c r="DS1438" s="4"/>
      <c r="DT1438" s="4"/>
      <c r="DU1438" s="4"/>
      <c r="DV1438" s="4"/>
      <c r="DW1438" s="4"/>
      <c r="DX1438" s="4"/>
      <c r="DY1438" s="4"/>
      <c r="DZ1438" s="4"/>
      <c r="EA1438" s="4"/>
      <c r="EB1438" s="4"/>
      <c r="EC1438" s="4"/>
      <c r="ED1438" s="4"/>
      <c r="EE1438" s="4"/>
      <c r="EF1438" s="4"/>
      <c r="EG1438" s="4"/>
      <c r="EH1438" s="4"/>
      <c r="EI1438" s="4"/>
      <c r="EJ1438" s="4"/>
      <c r="EK1438" s="4"/>
      <c r="EL1438" s="4"/>
      <c r="EM1438" s="4"/>
      <c r="EN1438" s="4"/>
      <c r="EO1438" s="4"/>
      <c r="EP1438" s="4"/>
      <c r="EQ1438" s="4"/>
      <c r="ER1438" s="4"/>
      <c r="ES1438" s="4"/>
      <c r="ET1438" s="4"/>
      <c r="EU1438" s="4"/>
      <c r="EV1438" s="4"/>
      <c r="EW1438" s="4"/>
      <c r="EX1438" s="4"/>
      <c r="EY1438" s="4"/>
      <c r="EZ1438" s="4"/>
      <c r="FA1438" s="4"/>
      <c r="FB1438" s="4"/>
      <c r="FC1438" s="4"/>
      <c r="FD1438" s="4"/>
      <c r="FE1438" s="4"/>
      <c r="FF1438" s="4"/>
      <c r="FG1438" s="4"/>
      <c r="FH1438" s="4"/>
      <c r="FI1438" s="4"/>
      <c r="FJ1438" s="4"/>
      <c r="FK1438" s="4"/>
      <c r="FL1438" s="4"/>
      <c r="FM1438" s="4"/>
      <c r="FN1438" s="4"/>
      <c r="FO1438" s="4"/>
      <c r="FP1438" s="4"/>
      <c r="FQ1438" s="4"/>
      <c r="FR1438" s="4"/>
      <c r="FS1438" s="4"/>
      <c r="FT1438" s="4"/>
      <c r="FU1438" s="4"/>
      <c r="FV1438" s="4"/>
      <c r="FW1438" s="4"/>
      <c r="FX1438" s="4"/>
      <c r="FY1438" s="4"/>
      <c r="FZ1438" s="4"/>
      <c r="GA1438" s="4"/>
      <c r="GB1438" s="4"/>
      <c r="GC1438" s="4"/>
      <c r="GD1438" s="4"/>
      <c r="GE1438" s="4"/>
      <c r="GF1438" s="4"/>
      <c r="GG1438" s="4"/>
      <c r="GH1438" s="4"/>
    </row>
    <row r="1439">
      <c r="A1439" s="2" t="s">
        <v>7758</v>
      </c>
      <c r="B1439" s="2" t="s">
        <v>932</v>
      </c>
      <c r="C1439" s="2" t="s">
        <v>877</v>
      </c>
      <c r="D1439" s="2" t="s">
        <v>608</v>
      </c>
      <c r="E1439" s="2" t="s">
        <v>1324</v>
      </c>
      <c r="F1439" s="2" t="s">
        <v>7759</v>
      </c>
      <c r="G1439" s="2" t="s">
        <v>864</v>
      </c>
      <c r="H1439" s="2" t="s">
        <v>7760</v>
      </c>
      <c r="I1439" s="2" t="s">
        <v>7761</v>
      </c>
      <c r="J1439" s="2" t="s">
        <v>1390</v>
      </c>
      <c r="K1439" s="2" t="s">
        <v>237</v>
      </c>
      <c r="L1439" s="3">
        <v>23.8</v>
      </c>
      <c r="M1439" s="3">
        <v>24.99</v>
      </c>
      <c r="N1439" s="3">
        <v>49.99</v>
      </c>
      <c r="O1439" s="2" t="s">
        <v>212</v>
      </c>
      <c r="P1439" s="2" t="s">
        <v>205</v>
      </c>
      <c r="Q1439" s="2" t="s">
        <v>206</v>
      </c>
      <c r="R1439" s="2" t="s">
        <v>200</v>
      </c>
      <c r="S1439" s="2" t="s">
        <v>7762</v>
      </c>
      <c r="T1439" s="2" t="s">
        <v>378</v>
      </c>
      <c r="U1439" s="2" t="s">
        <v>677</v>
      </c>
      <c r="V1439" s="2" t="s">
        <v>208</v>
      </c>
      <c r="W1439" s="2" t="s">
        <v>379</v>
      </c>
      <c r="X1439" s="2" t="s">
        <v>241</v>
      </c>
      <c r="Y1439" s="2" t="s">
        <v>7763</v>
      </c>
      <c r="Z1439" s="4">
        <v>494</v>
      </c>
      <c r="AA1439" s="4">
        <f>=ROUNDDOWN(123.5,0)</f>
      </c>
      <c r="AB1439" s="5">
        <v>4</v>
      </c>
      <c r="AC1439" s="2" t="s">
        <v>200</v>
      </c>
      <c r="AD1439" s="4"/>
      <c r="AE1439" s="4"/>
      <c r="AF1439" s="6">
        <v>64</v>
      </c>
      <c r="AG1439" s="6"/>
      <c r="AH1439" s="7">
        <v>1</v>
      </c>
      <c r="AI1439" s="4"/>
      <c r="AJ1439" s="4">
        <f>=ROUNDDOWN({0},0)</f>
      </c>
      <c r="AK1439" s="5"/>
      <c r="AL1439" s="2" t="s">
        <v>200</v>
      </c>
      <c r="AM1439" s="4"/>
      <c r="AN1439" s="4"/>
      <c r="AO1439" s="7"/>
      <c r="AP1439" s="4"/>
      <c r="AQ1439" s="8"/>
      <c r="AR1439" s="4"/>
      <c r="AS1439" s="8"/>
      <c r="AT1439" s="7"/>
      <c r="AU1439" s="7"/>
      <c r="AV1439" s="4" t="s">
        <v>200</v>
      </c>
      <c r="AW1439" s="8" t="s">
        <v>200</v>
      </c>
      <c r="AX1439" s="4" t="s">
        <v>200</v>
      </c>
      <c r="AY1439" s="8" t="s">
        <v>200</v>
      </c>
      <c r="AZ1439" s="7" t="s">
        <v>200</v>
      </c>
      <c r="BA1439" s="7" t="s">
        <v>200</v>
      </c>
      <c r="BB1439" s="7"/>
      <c r="BC1439" s="4" t="s">
        <v>200</v>
      </c>
      <c r="BD1439" s="8" t="s">
        <v>200</v>
      </c>
      <c r="BE1439" s="4" t="s">
        <v>200</v>
      </c>
      <c r="BF1439" s="8" t="s">
        <v>200</v>
      </c>
      <c r="BG1439" s="7" t="s">
        <v>200</v>
      </c>
      <c r="BH1439" s="7" t="s">
        <v>200</v>
      </c>
      <c r="BI1439" s="7"/>
      <c r="BJ1439" s="4">
        <v>7</v>
      </c>
      <c r="BK1439" s="8">
        <v>188.18</v>
      </c>
      <c r="BL1439" s="2" t="s">
        <v>245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7764</v>
      </c>
      <c r="BV1439" s="2" t="s">
        <v>200</v>
      </c>
      <c r="BW1439" s="2" t="s">
        <v>200</v>
      </c>
      <c r="BX1439" s="2" t="s">
        <v>264</v>
      </c>
      <c r="BY1439" s="2" t="s">
        <v>247</v>
      </c>
      <c r="BZ1439" s="2" t="s">
        <v>212</v>
      </c>
      <c r="CA1439" s="2" t="s">
        <v>2706</v>
      </c>
      <c r="CB1439" s="2" t="s">
        <v>3840</v>
      </c>
      <c r="CC1439" s="2" t="s">
        <v>213</v>
      </c>
      <c r="CD1439" s="2" t="s">
        <v>200</v>
      </c>
      <c r="CE1439" s="4">
        <v>276</v>
      </c>
      <c r="CF1439" s="4"/>
      <c r="CG1439" s="4"/>
      <c r="CH1439" s="4">
        <v>218</v>
      </c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  <c r="DB1439" s="4"/>
      <c r="DC1439" s="4"/>
      <c r="DD1439" s="4"/>
      <c r="DE1439" s="4"/>
      <c r="DF1439" s="4"/>
      <c r="DG1439" s="4"/>
      <c r="DH1439" s="4"/>
      <c r="DI1439" s="4"/>
      <c r="DJ1439" s="4"/>
      <c r="DK1439" s="4"/>
      <c r="DL1439" s="4"/>
      <c r="DM1439" s="4"/>
      <c r="DN1439" s="4"/>
      <c r="DO1439" s="4"/>
      <c r="DP1439" s="4"/>
      <c r="DQ1439" s="4"/>
      <c r="DR1439" s="4"/>
      <c r="DS1439" s="4"/>
      <c r="DT1439" s="4"/>
      <c r="DU1439" s="4"/>
      <c r="DV1439" s="4"/>
      <c r="DW1439" s="4"/>
      <c r="DX1439" s="4"/>
      <c r="DY1439" s="4"/>
      <c r="DZ1439" s="4"/>
      <c r="EA1439" s="4"/>
      <c r="EB1439" s="4"/>
      <c r="EC1439" s="4"/>
      <c r="ED1439" s="4"/>
      <c r="EE1439" s="4"/>
      <c r="EF1439" s="4"/>
      <c r="EG1439" s="4"/>
      <c r="EH1439" s="4"/>
      <c r="EI1439" s="4"/>
      <c r="EJ1439" s="4"/>
      <c r="EK1439" s="4"/>
      <c r="EL1439" s="4"/>
      <c r="EM1439" s="4"/>
      <c r="EN1439" s="4"/>
      <c r="EO1439" s="4"/>
      <c r="EP1439" s="4"/>
      <c r="EQ1439" s="4"/>
      <c r="ER1439" s="4"/>
      <c r="ES1439" s="4"/>
      <c r="ET1439" s="4"/>
      <c r="EU1439" s="4"/>
      <c r="EV1439" s="4"/>
      <c r="EW1439" s="4"/>
      <c r="EX1439" s="4"/>
      <c r="EY1439" s="4"/>
      <c r="EZ1439" s="4"/>
      <c r="FA1439" s="4"/>
      <c r="FB1439" s="4"/>
      <c r="FC1439" s="4"/>
      <c r="FD1439" s="4"/>
      <c r="FE1439" s="4"/>
      <c r="FF1439" s="4"/>
      <c r="FG1439" s="4"/>
      <c r="FH1439" s="4"/>
      <c r="FI1439" s="4"/>
      <c r="FJ1439" s="4"/>
      <c r="FK1439" s="4"/>
      <c r="FL1439" s="4"/>
      <c r="FM1439" s="4"/>
      <c r="FN1439" s="4"/>
      <c r="FO1439" s="4"/>
      <c r="FP1439" s="4"/>
      <c r="FQ1439" s="4"/>
      <c r="FR1439" s="4"/>
      <c r="FS1439" s="4"/>
      <c r="FT1439" s="4"/>
      <c r="FU1439" s="4"/>
      <c r="FV1439" s="4"/>
      <c r="FW1439" s="4"/>
      <c r="FX1439" s="4"/>
      <c r="FY1439" s="4"/>
      <c r="FZ1439" s="4"/>
      <c r="GA1439" s="4"/>
      <c r="GB1439" s="4"/>
      <c r="GC1439" s="4"/>
      <c r="GD1439" s="4"/>
      <c r="GE1439" s="4"/>
      <c r="GF1439" s="4"/>
      <c r="GG1439" s="4"/>
      <c r="GH1439" s="4"/>
    </row>
    <row r="1440">
      <c r="A1440" s="2" t="s">
        <v>7765</v>
      </c>
      <c r="B1440" s="2" t="s">
        <v>932</v>
      </c>
      <c r="C1440" s="2" t="s">
        <v>877</v>
      </c>
      <c r="D1440" s="2" t="s">
        <v>608</v>
      </c>
      <c r="E1440" s="2" t="s">
        <v>1324</v>
      </c>
      <c r="F1440" s="2" t="s">
        <v>7759</v>
      </c>
      <c r="G1440" s="2" t="s">
        <v>864</v>
      </c>
      <c r="H1440" s="2" t="s">
        <v>7760</v>
      </c>
      <c r="I1440" s="2" t="s">
        <v>7761</v>
      </c>
      <c r="J1440" s="2" t="s">
        <v>612</v>
      </c>
      <c r="K1440" s="2" t="s">
        <v>237</v>
      </c>
      <c r="L1440" s="3">
        <v>28.57</v>
      </c>
      <c r="M1440" s="3">
        <v>30</v>
      </c>
      <c r="N1440" s="3">
        <v>59.99</v>
      </c>
      <c r="O1440" s="2" t="s">
        <v>212</v>
      </c>
      <c r="P1440" s="2" t="s">
        <v>205</v>
      </c>
      <c r="Q1440" s="2" t="s">
        <v>206</v>
      </c>
      <c r="R1440" s="2" t="s">
        <v>200</v>
      </c>
      <c r="S1440" s="2" t="s">
        <v>7762</v>
      </c>
      <c r="T1440" s="2" t="s">
        <v>378</v>
      </c>
      <c r="U1440" s="2" t="s">
        <v>454</v>
      </c>
      <c r="V1440" s="2" t="s">
        <v>208</v>
      </c>
      <c r="W1440" s="2" t="s">
        <v>379</v>
      </c>
      <c r="X1440" s="2" t="s">
        <v>241</v>
      </c>
      <c r="Y1440" s="2" t="s">
        <v>7763</v>
      </c>
      <c r="Z1440" s="4">
        <v>784</v>
      </c>
      <c r="AA1440" s="4">
        <f>=ROUNDDOWN(130.666666666667,0)</f>
      </c>
      <c r="AB1440" s="5">
        <v>6</v>
      </c>
      <c r="AC1440" s="2" t="s">
        <v>200</v>
      </c>
      <c r="AD1440" s="4"/>
      <c r="AE1440" s="4"/>
      <c r="AF1440" s="6">
        <v>64</v>
      </c>
      <c r="AG1440" s="6"/>
      <c r="AH1440" s="7">
        <v>1</v>
      </c>
      <c r="AI1440" s="4"/>
      <c r="AJ1440" s="4">
        <f>=ROUNDDOWN({0},0)</f>
      </c>
      <c r="AK1440" s="5"/>
      <c r="AL1440" s="2" t="s">
        <v>200</v>
      </c>
      <c r="AM1440" s="4"/>
      <c r="AN1440" s="4"/>
      <c r="AO1440" s="7"/>
      <c r="AP1440" s="4"/>
      <c r="AQ1440" s="8"/>
      <c r="AR1440" s="4"/>
      <c r="AS1440" s="8"/>
      <c r="AT1440" s="7"/>
      <c r="AU1440" s="7"/>
      <c r="AV1440" s="4" t="s">
        <v>200</v>
      </c>
      <c r="AW1440" s="8" t="s">
        <v>200</v>
      </c>
      <c r="AX1440" s="4" t="s">
        <v>200</v>
      </c>
      <c r="AY1440" s="8" t="s">
        <v>200</v>
      </c>
      <c r="AZ1440" s="7" t="s">
        <v>200</v>
      </c>
      <c r="BA1440" s="7" t="s">
        <v>200</v>
      </c>
      <c r="BB1440" s="7"/>
      <c r="BC1440" s="4" t="s">
        <v>200</v>
      </c>
      <c r="BD1440" s="8" t="s">
        <v>200</v>
      </c>
      <c r="BE1440" s="4" t="s">
        <v>200</v>
      </c>
      <c r="BF1440" s="8" t="s">
        <v>200</v>
      </c>
      <c r="BG1440" s="7" t="s">
        <v>200</v>
      </c>
      <c r="BH1440" s="7" t="s">
        <v>200</v>
      </c>
      <c r="BI1440" s="7"/>
      <c r="BJ1440" s="4">
        <v>47</v>
      </c>
      <c r="BK1440" s="8">
        <v>1511.1</v>
      </c>
      <c r="BL1440" s="2" t="s">
        <v>7766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7767</v>
      </c>
      <c r="BV1440" s="2" t="s">
        <v>200</v>
      </c>
      <c r="BW1440" s="2" t="s">
        <v>200</v>
      </c>
      <c r="BX1440" s="2" t="s">
        <v>264</v>
      </c>
      <c r="BY1440" s="2" t="s">
        <v>247</v>
      </c>
      <c r="BZ1440" s="2" t="s">
        <v>212</v>
      </c>
      <c r="CA1440" s="2" t="s">
        <v>2706</v>
      </c>
      <c r="CB1440" s="2" t="s">
        <v>4283</v>
      </c>
      <c r="CC1440" s="2" t="s">
        <v>213</v>
      </c>
      <c r="CD1440" s="2" t="s">
        <v>200</v>
      </c>
      <c r="CE1440" s="4">
        <v>467</v>
      </c>
      <c r="CF1440" s="4"/>
      <c r="CG1440" s="4"/>
      <c r="CH1440" s="4">
        <v>317</v>
      </c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/>
      <c r="DC1440" s="4"/>
      <c r="DD1440" s="4"/>
      <c r="DE1440" s="4"/>
      <c r="DF1440" s="4"/>
      <c r="DG1440" s="4"/>
      <c r="DH1440" s="4"/>
      <c r="DI1440" s="4"/>
      <c r="DJ1440" s="4"/>
      <c r="DK1440" s="4"/>
      <c r="DL1440" s="4"/>
      <c r="DM1440" s="4"/>
      <c r="DN1440" s="4"/>
      <c r="DO1440" s="4"/>
      <c r="DP1440" s="4"/>
      <c r="DQ1440" s="4"/>
      <c r="DR1440" s="4"/>
      <c r="DS1440" s="4"/>
      <c r="DT1440" s="4"/>
      <c r="DU1440" s="4"/>
      <c r="DV1440" s="4"/>
      <c r="DW1440" s="4"/>
      <c r="DX1440" s="4"/>
      <c r="DY1440" s="4"/>
      <c r="DZ1440" s="4"/>
      <c r="EA1440" s="4"/>
      <c r="EB1440" s="4"/>
      <c r="EC1440" s="4"/>
      <c r="ED1440" s="4"/>
      <c r="EE1440" s="4"/>
      <c r="EF1440" s="4"/>
      <c r="EG1440" s="4"/>
      <c r="EH1440" s="4"/>
      <c r="EI1440" s="4"/>
      <c r="EJ1440" s="4"/>
      <c r="EK1440" s="4"/>
      <c r="EL1440" s="4"/>
      <c r="EM1440" s="4"/>
      <c r="EN1440" s="4"/>
      <c r="EO1440" s="4"/>
      <c r="EP1440" s="4"/>
      <c r="EQ1440" s="4"/>
      <c r="ER1440" s="4"/>
      <c r="ES1440" s="4"/>
      <c r="ET1440" s="4"/>
      <c r="EU1440" s="4"/>
      <c r="EV1440" s="4"/>
      <c r="EW1440" s="4"/>
      <c r="EX1440" s="4"/>
      <c r="EY1440" s="4"/>
      <c r="EZ1440" s="4"/>
      <c r="FA1440" s="4"/>
      <c r="FB1440" s="4"/>
      <c r="FC1440" s="4"/>
      <c r="FD1440" s="4"/>
      <c r="FE1440" s="4"/>
      <c r="FF1440" s="4"/>
      <c r="FG1440" s="4"/>
      <c r="FH1440" s="4"/>
      <c r="FI1440" s="4"/>
      <c r="FJ1440" s="4"/>
      <c r="FK1440" s="4"/>
      <c r="FL1440" s="4"/>
      <c r="FM1440" s="4"/>
      <c r="FN1440" s="4"/>
      <c r="FO1440" s="4"/>
      <c r="FP1440" s="4"/>
      <c r="FQ1440" s="4"/>
      <c r="FR1440" s="4"/>
      <c r="FS1440" s="4"/>
      <c r="FT1440" s="4"/>
      <c r="FU1440" s="4"/>
      <c r="FV1440" s="4"/>
      <c r="FW1440" s="4"/>
      <c r="FX1440" s="4"/>
      <c r="FY1440" s="4"/>
      <c r="FZ1440" s="4"/>
      <c r="GA1440" s="4"/>
      <c r="GB1440" s="4"/>
      <c r="GC1440" s="4"/>
      <c r="GD1440" s="4"/>
      <c r="GE1440" s="4"/>
      <c r="GF1440" s="4"/>
      <c r="GG1440" s="4"/>
      <c r="GH1440" s="4"/>
    </row>
    <row r="1441">
      <c r="A1441" s="2" t="s">
        <v>7768</v>
      </c>
      <c r="B1441" s="2" t="s">
        <v>932</v>
      </c>
      <c r="C1441" s="2" t="s">
        <v>877</v>
      </c>
      <c r="D1441" s="2" t="s">
        <v>608</v>
      </c>
      <c r="E1441" s="2" t="s">
        <v>1324</v>
      </c>
      <c r="F1441" s="2" t="s">
        <v>7759</v>
      </c>
      <c r="G1441" s="2" t="s">
        <v>864</v>
      </c>
      <c r="H1441" s="2" t="s">
        <v>7760</v>
      </c>
      <c r="I1441" s="2" t="s">
        <v>7761</v>
      </c>
      <c r="J1441" s="2" t="s">
        <v>612</v>
      </c>
      <c r="K1441" s="2" t="s">
        <v>203</v>
      </c>
      <c r="L1441" s="3">
        <v>28.57</v>
      </c>
      <c r="M1441" s="3">
        <v>30</v>
      </c>
      <c r="N1441" s="3">
        <v>59.99</v>
      </c>
      <c r="O1441" s="2" t="s">
        <v>212</v>
      </c>
      <c r="P1441" s="2" t="s">
        <v>205</v>
      </c>
      <c r="Q1441" s="2" t="s">
        <v>206</v>
      </c>
      <c r="R1441" s="2" t="s">
        <v>200</v>
      </c>
      <c r="S1441" s="2" t="s">
        <v>7769</v>
      </c>
      <c r="T1441" s="2" t="s">
        <v>378</v>
      </c>
      <c r="U1441" s="2" t="s">
        <v>454</v>
      </c>
      <c r="V1441" s="2" t="s">
        <v>208</v>
      </c>
      <c r="W1441" s="2" t="s">
        <v>379</v>
      </c>
      <c r="X1441" s="2" t="s">
        <v>241</v>
      </c>
      <c r="Y1441" s="2" t="s">
        <v>7770</v>
      </c>
      <c r="Z1441" s="4">
        <v>798</v>
      </c>
      <c r="AA1441" s="4">
        <f>=ROUNDDOWN(159.6,0)</f>
      </c>
      <c r="AB1441" s="5">
        <v>5</v>
      </c>
      <c r="AC1441" s="2" t="s">
        <v>200</v>
      </c>
      <c r="AD1441" s="4"/>
      <c r="AE1441" s="4"/>
      <c r="AF1441" s="6">
        <v>64</v>
      </c>
      <c r="AG1441" s="6"/>
      <c r="AH1441" s="7">
        <v>1</v>
      </c>
      <c r="AI1441" s="4"/>
      <c r="AJ1441" s="4">
        <f>=ROUNDDOWN({0},0)</f>
      </c>
      <c r="AK1441" s="5"/>
      <c r="AL1441" s="2" t="s">
        <v>200</v>
      </c>
      <c r="AM1441" s="4"/>
      <c r="AN1441" s="4"/>
      <c r="AO1441" s="7"/>
      <c r="AP1441" s="4"/>
      <c r="AQ1441" s="8"/>
      <c r="AR1441" s="4"/>
      <c r="AS1441" s="8"/>
      <c r="AT1441" s="7"/>
      <c r="AU1441" s="7"/>
      <c r="AV1441" s="4"/>
      <c r="AW1441" s="8"/>
      <c r="AX1441" s="4"/>
      <c r="AY1441" s="8"/>
      <c r="AZ1441" s="7"/>
      <c r="BA1441" s="7"/>
      <c r="BB1441" s="7"/>
      <c r="BC1441" s="4" t="s">
        <v>200</v>
      </c>
      <c r="BD1441" s="8" t="s">
        <v>200</v>
      </c>
      <c r="BE1441" s="4" t="s">
        <v>200</v>
      </c>
      <c r="BF1441" s="8" t="s">
        <v>200</v>
      </c>
      <c r="BG1441" s="7" t="s">
        <v>200</v>
      </c>
      <c r="BH1441" s="7" t="s">
        <v>200</v>
      </c>
      <c r="BI1441" s="7"/>
      <c r="BJ1441" s="4">
        <v>8</v>
      </c>
      <c r="BK1441" s="8">
        <v>255.6</v>
      </c>
      <c r="BL1441" s="2" t="s">
        <v>6315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7771</v>
      </c>
      <c r="BV1441" s="2" t="s">
        <v>200</v>
      </c>
      <c r="BW1441" s="2" t="s">
        <v>200</v>
      </c>
      <c r="BX1441" s="2" t="s">
        <v>264</v>
      </c>
      <c r="BY1441" s="2" t="s">
        <v>247</v>
      </c>
      <c r="BZ1441" s="2" t="s">
        <v>212</v>
      </c>
      <c r="CA1441" s="2" t="s">
        <v>2706</v>
      </c>
      <c r="CB1441" s="2" t="s">
        <v>200</v>
      </c>
      <c r="CC1441" s="2" t="s">
        <v>213</v>
      </c>
      <c r="CD1441" s="2" t="s">
        <v>200</v>
      </c>
      <c r="CE1441" s="4">
        <v>460</v>
      </c>
      <c r="CF1441" s="4"/>
      <c r="CG1441" s="4"/>
      <c r="CH1441" s="4">
        <v>338</v>
      </c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  <c r="DD1441" s="4"/>
      <c r="DE1441" s="4"/>
      <c r="DF1441" s="4"/>
      <c r="DG1441" s="4"/>
      <c r="DH1441" s="4"/>
      <c r="DI1441" s="4"/>
      <c r="DJ1441" s="4"/>
      <c r="DK1441" s="4"/>
      <c r="DL1441" s="4"/>
      <c r="DM1441" s="4"/>
      <c r="DN1441" s="4"/>
      <c r="DO1441" s="4"/>
      <c r="DP1441" s="4"/>
      <c r="DQ1441" s="4"/>
      <c r="DR1441" s="4"/>
      <c r="DS1441" s="4"/>
      <c r="DT1441" s="4"/>
      <c r="DU1441" s="4"/>
      <c r="DV1441" s="4"/>
      <c r="DW1441" s="4"/>
      <c r="DX1441" s="4"/>
      <c r="DY1441" s="4"/>
      <c r="DZ1441" s="4"/>
      <c r="EA1441" s="4"/>
      <c r="EB1441" s="4"/>
      <c r="EC1441" s="4"/>
      <c r="ED1441" s="4"/>
      <c r="EE1441" s="4"/>
      <c r="EF1441" s="4"/>
      <c r="EG1441" s="4"/>
      <c r="EH1441" s="4"/>
      <c r="EI1441" s="4"/>
      <c r="EJ1441" s="4"/>
      <c r="EK1441" s="4"/>
      <c r="EL1441" s="4"/>
      <c r="EM1441" s="4"/>
      <c r="EN1441" s="4"/>
      <c r="EO1441" s="4"/>
      <c r="EP1441" s="4"/>
      <c r="EQ1441" s="4"/>
      <c r="ER1441" s="4"/>
      <c r="ES1441" s="4"/>
      <c r="ET1441" s="4"/>
      <c r="EU1441" s="4"/>
      <c r="EV1441" s="4"/>
      <c r="EW1441" s="4"/>
      <c r="EX1441" s="4"/>
      <c r="EY1441" s="4"/>
      <c r="EZ1441" s="4"/>
      <c r="FA1441" s="4"/>
      <c r="FB1441" s="4"/>
      <c r="FC1441" s="4"/>
      <c r="FD1441" s="4"/>
      <c r="FE1441" s="4"/>
      <c r="FF1441" s="4"/>
      <c r="FG1441" s="4"/>
      <c r="FH1441" s="4"/>
      <c r="FI1441" s="4"/>
      <c r="FJ1441" s="4"/>
      <c r="FK1441" s="4"/>
      <c r="FL1441" s="4"/>
      <c r="FM1441" s="4"/>
      <c r="FN1441" s="4"/>
      <c r="FO1441" s="4"/>
      <c r="FP1441" s="4"/>
      <c r="FQ1441" s="4"/>
      <c r="FR1441" s="4"/>
      <c r="FS1441" s="4"/>
      <c r="FT1441" s="4"/>
      <c r="FU1441" s="4"/>
      <c r="FV1441" s="4"/>
      <c r="FW1441" s="4"/>
      <c r="FX1441" s="4"/>
      <c r="FY1441" s="4"/>
      <c r="FZ1441" s="4"/>
      <c r="GA1441" s="4"/>
      <c r="GB1441" s="4"/>
      <c r="GC1441" s="4"/>
      <c r="GD1441" s="4"/>
      <c r="GE1441" s="4"/>
      <c r="GF1441" s="4"/>
      <c r="GG1441" s="4"/>
      <c r="GH1441" s="4"/>
    </row>
    <row r="1442">
      <c r="A1442" s="2" t="s">
        <v>7772</v>
      </c>
      <c r="B1442" s="2" t="s">
        <v>932</v>
      </c>
      <c r="C1442" s="2" t="s">
        <v>877</v>
      </c>
      <c r="D1442" s="2" t="s">
        <v>608</v>
      </c>
      <c r="E1442" s="2" t="s">
        <v>1324</v>
      </c>
      <c r="F1442" s="2" t="s">
        <v>7759</v>
      </c>
      <c r="G1442" s="2" t="s">
        <v>864</v>
      </c>
      <c r="H1442" s="2" t="s">
        <v>7760</v>
      </c>
      <c r="I1442" s="2" t="s">
        <v>7761</v>
      </c>
      <c r="J1442" s="2" t="s">
        <v>1390</v>
      </c>
      <c r="K1442" s="2" t="s">
        <v>223</v>
      </c>
      <c r="L1442" s="3">
        <v>23.8</v>
      </c>
      <c r="M1442" s="3">
        <v>24.99</v>
      </c>
      <c r="N1442" s="3">
        <v>49.99</v>
      </c>
      <c r="O1442" s="2" t="s">
        <v>212</v>
      </c>
      <c r="P1442" s="2" t="s">
        <v>205</v>
      </c>
      <c r="Q1442" s="2" t="s">
        <v>206</v>
      </c>
      <c r="R1442" s="2" t="s">
        <v>200</v>
      </c>
      <c r="S1442" s="2" t="s">
        <v>7773</v>
      </c>
      <c r="T1442" s="2" t="s">
        <v>378</v>
      </c>
      <c r="U1442" s="2" t="s">
        <v>677</v>
      </c>
      <c r="V1442" s="2" t="s">
        <v>208</v>
      </c>
      <c r="W1442" s="2" t="s">
        <v>379</v>
      </c>
      <c r="X1442" s="2" t="s">
        <v>241</v>
      </c>
      <c r="Y1442" s="2" t="s">
        <v>7763</v>
      </c>
      <c r="Z1442" s="4">
        <v>195</v>
      </c>
      <c r="AA1442" s="4">
        <f>=ROUNDDOWN(65,0)</f>
      </c>
      <c r="AB1442" s="5">
        <v>3</v>
      </c>
      <c r="AC1442" s="2" t="s">
        <v>200</v>
      </c>
      <c r="AD1442" s="4"/>
      <c r="AE1442" s="4"/>
      <c r="AF1442" s="6">
        <v>64</v>
      </c>
      <c r="AG1442" s="6"/>
      <c r="AH1442" s="7">
        <v>1</v>
      </c>
      <c r="AI1442" s="4"/>
      <c r="AJ1442" s="4">
        <f>=ROUNDDOWN({0},0)</f>
      </c>
      <c r="AK1442" s="5"/>
      <c r="AL1442" s="2" t="s">
        <v>200</v>
      </c>
      <c r="AM1442" s="4"/>
      <c r="AN1442" s="4"/>
      <c r="AO1442" s="7"/>
      <c r="AP1442" s="4"/>
      <c r="AQ1442" s="8"/>
      <c r="AR1442" s="4"/>
      <c r="AS1442" s="8"/>
      <c r="AT1442" s="7"/>
      <c r="AU1442" s="7"/>
      <c r="AV1442" s="4"/>
      <c r="AW1442" s="8"/>
      <c r="AX1442" s="4"/>
      <c r="AY1442" s="8"/>
      <c r="AZ1442" s="7"/>
      <c r="BA1442" s="7"/>
      <c r="BB1442" s="7"/>
      <c r="BC1442" s="4" t="s">
        <v>200</v>
      </c>
      <c r="BD1442" s="8" t="s">
        <v>200</v>
      </c>
      <c r="BE1442" s="4" t="s">
        <v>200</v>
      </c>
      <c r="BF1442" s="8" t="s">
        <v>200</v>
      </c>
      <c r="BG1442" s="7" t="s">
        <v>200</v>
      </c>
      <c r="BH1442" s="7" t="s">
        <v>200</v>
      </c>
      <c r="BI1442" s="7"/>
      <c r="BJ1442" s="4">
        <v>10</v>
      </c>
      <c r="BK1442" s="8">
        <v>269.15</v>
      </c>
      <c r="BL1442" s="2" t="s">
        <v>245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7774</v>
      </c>
      <c r="BV1442" s="2" t="s">
        <v>200</v>
      </c>
      <c r="BW1442" s="2" t="s">
        <v>200</v>
      </c>
      <c r="BX1442" s="2" t="s">
        <v>264</v>
      </c>
      <c r="BY1442" s="2" t="s">
        <v>247</v>
      </c>
      <c r="BZ1442" s="2" t="s">
        <v>212</v>
      </c>
      <c r="CA1442" s="2" t="s">
        <v>2706</v>
      </c>
      <c r="CB1442" s="2" t="s">
        <v>7038</v>
      </c>
      <c r="CC1442" s="2" t="s">
        <v>213</v>
      </c>
      <c r="CD1442" s="2" t="s">
        <v>200</v>
      </c>
      <c r="CE1442" s="4">
        <v>195</v>
      </c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  <c r="DE1442" s="4"/>
      <c r="DF1442" s="4"/>
      <c r="DG1442" s="4"/>
      <c r="DH1442" s="4"/>
      <c r="DI1442" s="4"/>
      <c r="DJ1442" s="4"/>
      <c r="DK1442" s="4"/>
      <c r="DL1442" s="4"/>
      <c r="DM1442" s="4"/>
      <c r="DN1442" s="4"/>
      <c r="DO1442" s="4"/>
      <c r="DP1442" s="4"/>
      <c r="DQ1442" s="4"/>
      <c r="DR1442" s="4"/>
      <c r="DS1442" s="4"/>
      <c r="DT1442" s="4"/>
      <c r="DU1442" s="4"/>
      <c r="DV1442" s="4"/>
      <c r="DW1442" s="4"/>
      <c r="DX1442" s="4"/>
      <c r="DY1442" s="4"/>
      <c r="DZ1442" s="4"/>
      <c r="EA1442" s="4"/>
      <c r="EB1442" s="4"/>
      <c r="EC1442" s="4"/>
      <c r="ED1442" s="4"/>
      <c r="EE1442" s="4"/>
      <c r="EF1442" s="4"/>
      <c r="EG1442" s="4"/>
      <c r="EH1442" s="4"/>
      <c r="EI1442" s="4"/>
      <c r="EJ1442" s="4"/>
      <c r="EK1442" s="4"/>
      <c r="EL1442" s="4"/>
      <c r="EM1442" s="4"/>
      <c r="EN1442" s="4"/>
      <c r="EO1442" s="4"/>
      <c r="EP1442" s="4"/>
      <c r="EQ1442" s="4"/>
      <c r="ER1442" s="4"/>
      <c r="ES1442" s="4"/>
      <c r="ET1442" s="4"/>
      <c r="EU1442" s="4"/>
      <c r="EV1442" s="4"/>
      <c r="EW1442" s="4"/>
      <c r="EX1442" s="4"/>
      <c r="EY1442" s="4"/>
      <c r="EZ1442" s="4"/>
      <c r="FA1442" s="4"/>
      <c r="FB1442" s="4"/>
      <c r="FC1442" s="4"/>
      <c r="FD1442" s="4"/>
      <c r="FE1442" s="4"/>
      <c r="FF1442" s="4"/>
      <c r="FG1442" s="4"/>
      <c r="FH1442" s="4"/>
      <c r="FI1442" s="4"/>
      <c r="FJ1442" s="4"/>
      <c r="FK1442" s="4"/>
      <c r="FL1442" s="4"/>
      <c r="FM1442" s="4"/>
      <c r="FN1442" s="4"/>
      <c r="FO1442" s="4"/>
      <c r="FP1442" s="4"/>
      <c r="FQ1442" s="4"/>
      <c r="FR1442" s="4"/>
      <c r="FS1442" s="4"/>
      <c r="FT1442" s="4"/>
      <c r="FU1442" s="4"/>
      <c r="FV1442" s="4"/>
      <c r="FW1442" s="4"/>
      <c r="FX1442" s="4"/>
      <c r="FY1442" s="4"/>
      <c r="FZ1442" s="4"/>
      <c r="GA1442" s="4"/>
      <c r="GB1442" s="4"/>
      <c r="GC1442" s="4"/>
      <c r="GD1442" s="4"/>
      <c r="GE1442" s="4"/>
      <c r="GF1442" s="4"/>
      <c r="GG1442" s="4"/>
      <c r="GH1442" s="4"/>
    </row>
    <row r="1443">
      <c r="A1443" s="2" t="s">
        <v>7775</v>
      </c>
      <c r="B1443" s="2" t="s">
        <v>744</v>
      </c>
      <c r="C1443" s="2" t="s">
        <v>745</v>
      </c>
      <c r="D1443" s="2" t="s">
        <v>1034</v>
      </c>
      <c r="E1443" s="2" t="s">
        <v>1035</v>
      </c>
      <c r="F1443" s="2" t="s">
        <v>7776</v>
      </c>
      <c r="G1443" s="2" t="s">
        <v>200</v>
      </c>
      <c r="H1443" s="2" t="s">
        <v>200</v>
      </c>
      <c r="I1443" s="2" t="s">
        <v>7777</v>
      </c>
      <c r="J1443" s="2" t="s">
        <v>297</v>
      </c>
      <c r="K1443" s="2" t="s">
        <v>7778</v>
      </c>
      <c r="L1443" s="3">
        <v>190</v>
      </c>
      <c r="M1443" s="3">
        <v>199.5</v>
      </c>
      <c r="N1443" s="3">
        <v>399</v>
      </c>
      <c r="O1443" s="2" t="s">
        <v>417</v>
      </c>
      <c r="P1443" s="2" t="s">
        <v>285</v>
      </c>
      <c r="Q1443" s="2" t="s">
        <v>206</v>
      </c>
      <c r="R1443" s="2" t="s">
        <v>200</v>
      </c>
      <c r="S1443" s="2" t="s">
        <v>7779</v>
      </c>
      <c r="T1443" s="2" t="s">
        <v>200</v>
      </c>
      <c r="U1443" s="2" t="s">
        <v>200</v>
      </c>
      <c r="V1443" s="2" t="s">
        <v>208</v>
      </c>
      <c r="W1443" s="2" t="s">
        <v>2095</v>
      </c>
      <c r="X1443" s="2" t="s">
        <v>200</v>
      </c>
      <c r="Y1443" s="2" t="s">
        <v>261</v>
      </c>
      <c r="Z1443" s="4">
        <v>12</v>
      </c>
      <c r="AA1443" s="4">
        <f>=ROUNDDOWN(15,0)</f>
      </c>
      <c r="AB1443" s="5">
        <v>0.8</v>
      </c>
      <c r="AC1443" s="2" t="s">
        <v>200</v>
      </c>
      <c r="AD1443" s="4"/>
      <c r="AE1443" s="4"/>
      <c r="AF1443" s="6">
        <v>74</v>
      </c>
      <c r="AG1443" s="6"/>
      <c r="AH1443" s="7">
        <v>1</v>
      </c>
      <c r="AI1443" s="4"/>
      <c r="AJ1443" s="4">
        <f>=ROUNDDOWN({0},0)</f>
      </c>
      <c r="AK1443" s="5"/>
      <c r="AL1443" s="2" t="s">
        <v>200</v>
      </c>
      <c r="AM1443" s="4"/>
      <c r="AN1443" s="4"/>
      <c r="AO1443" s="7"/>
      <c r="AP1443" s="4"/>
      <c r="AQ1443" s="8"/>
      <c r="AR1443" s="4"/>
      <c r="AS1443" s="8"/>
      <c r="AT1443" s="7"/>
      <c r="AU1443" s="7"/>
      <c r="AV1443" s="4"/>
      <c r="AW1443" s="8"/>
      <c r="AX1443" s="4"/>
      <c r="AY1443" s="8"/>
      <c r="AZ1443" s="7"/>
      <c r="BA1443" s="7"/>
      <c r="BB1443" s="7"/>
      <c r="BC1443" s="4"/>
      <c r="BD1443" s="8"/>
      <c r="BE1443" s="4"/>
      <c r="BF1443" s="8"/>
      <c r="BG1443" s="7"/>
      <c r="BH1443" s="7"/>
      <c r="BI1443" s="7"/>
      <c r="BJ1443" s="4">
        <v>1</v>
      </c>
      <c r="BK1443" s="8">
        <v>199.5</v>
      </c>
      <c r="BL1443" s="2" t="s">
        <v>7780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7781</v>
      </c>
      <c r="BV1443" s="2" t="s">
        <v>200</v>
      </c>
      <c r="BW1443" s="2" t="s">
        <v>200</v>
      </c>
      <c r="BX1443" s="2" t="s">
        <v>289</v>
      </c>
      <c r="BY1443" s="2" t="s">
        <v>247</v>
      </c>
      <c r="BZ1443" s="2" t="s">
        <v>212</v>
      </c>
      <c r="CA1443" s="2" t="s">
        <v>295</v>
      </c>
      <c r="CB1443" s="2" t="s">
        <v>7782</v>
      </c>
      <c r="CC1443" s="2" t="s">
        <v>213</v>
      </c>
      <c r="CD1443" s="2" t="s">
        <v>200</v>
      </c>
      <c r="CE1443" s="4"/>
      <c r="CF1443" s="4">
        <v>12</v>
      </c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  <c r="DD1443" s="4"/>
      <c r="DE1443" s="4"/>
      <c r="DF1443" s="4"/>
      <c r="DG1443" s="4"/>
      <c r="DH1443" s="4"/>
      <c r="DI1443" s="4"/>
      <c r="DJ1443" s="4"/>
      <c r="DK1443" s="4"/>
      <c r="DL1443" s="4"/>
      <c r="DM1443" s="4"/>
      <c r="DN1443" s="4"/>
      <c r="DO1443" s="4"/>
      <c r="DP1443" s="4"/>
      <c r="DQ1443" s="4"/>
      <c r="DR1443" s="4"/>
      <c r="DS1443" s="4"/>
      <c r="DT1443" s="4"/>
      <c r="DU1443" s="4"/>
      <c r="DV1443" s="4"/>
      <c r="DW1443" s="4"/>
      <c r="DX1443" s="4"/>
      <c r="DY1443" s="4"/>
      <c r="DZ1443" s="4"/>
      <c r="EA1443" s="4"/>
      <c r="EB1443" s="4"/>
      <c r="EC1443" s="4"/>
      <c r="ED1443" s="4"/>
      <c r="EE1443" s="4"/>
      <c r="EF1443" s="4"/>
      <c r="EG1443" s="4"/>
      <c r="EH1443" s="4"/>
      <c r="EI1443" s="4"/>
      <c r="EJ1443" s="4"/>
      <c r="EK1443" s="4"/>
      <c r="EL1443" s="4"/>
      <c r="EM1443" s="4"/>
      <c r="EN1443" s="4"/>
      <c r="EO1443" s="4"/>
      <c r="EP1443" s="4"/>
      <c r="EQ1443" s="4"/>
      <c r="ER1443" s="4"/>
      <c r="ES1443" s="4"/>
      <c r="ET1443" s="4"/>
      <c r="EU1443" s="4"/>
      <c r="EV1443" s="4"/>
      <c r="EW1443" s="4"/>
      <c r="EX1443" s="4"/>
      <c r="EY1443" s="4"/>
      <c r="EZ1443" s="4"/>
      <c r="FA1443" s="4"/>
      <c r="FB1443" s="4"/>
      <c r="FC1443" s="4"/>
      <c r="FD1443" s="4"/>
      <c r="FE1443" s="4"/>
      <c r="FF1443" s="4"/>
      <c r="FG1443" s="4"/>
      <c r="FH1443" s="4"/>
      <c r="FI1443" s="4"/>
      <c r="FJ1443" s="4"/>
      <c r="FK1443" s="4"/>
      <c r="FL1443" s="4"/>
      <c r="FM1443" s="4"/>
      <c r="FN1443" s="4"/>
      <c r="FO1443" s="4"/>
      <c r="FP1443" s="4"/>
      <c r="FQ1443" s="4"/>
      <c r="FR1443" s="4"/>
      <c r="FS1443" s="4"/>
      <c r="FT1443" s="4"/>
      <c r="FU1443" s="4"/>
      <c r="FV1443" s="4"/>
      <c r="FW1443" s="4"/>
      <c r="FX1443" s="4"/>
      <c r="FY1443" s="4"/>
      <c r="FZ1443" s="4"/>
      <c r="GA1443" s="4"/>
      <c r="GB1443" s="4"/>
      <c r="GC1443" s="4"/>
      <c r="GD1443" s="4"/>
      <c r="GE1443" s="4"/>
      <c r="GF1443" s="4"/>
      <c r="GG1443" s="4"/>
      <c r="GH1443" s="4"/>
    </row>
    <row r="1444">
      <c r="A1444" s="2" t="s">
        <v>7783</v>
      </c>
      <c r="B1444" s="2" t="s">
        <v>705</v>
      </c>
      <c r="C1444" s="2" t="s">
        <v>745</v>
      </c>
      <c r="D1444" s="2" t="s">
        <v>707</v>
      </c>
      <c r="E1444" s="2" t="s">
        <v>708</v>
      </c>
      <c r="F1444" s="2" t="s">
        <v>7784</v>
      </c>
      <c r="G1444" s="2" t="s">
        <v>7784</v>
      </c>
      <c r="H1444" s="2" t="s">
        <v>7784</v>
      </c>
      <c r="I1444" s="2" t="s">
        <v>7785</v>
      </c>
      <c r="J1444" s="2" t="s">
        <v>711</v>
      </c>
      <c r="K1444" s="2" t="s">
        <v>1380</v>
      </c>
      <c r="L1444" s="3">
        <v>42.75</v>
      </c>
      <c r="M1444" s="3">
        <v>44.89</v>
      </c>
      <c r="N1444" s="3">
        <v>99.99</v>
      </c>
      <c r="O1444" s="2" t="s">
        <v>460</v>
      </c>
      <c r="P1444" s="2" t="s">
        <v>285</v>
      </c>
      <c r="Q1444" s="2" t="s">
        <v>206</v>
      </c>
      <c r="R1444" s="2" t="s">
        <v>200</v>
      </c>
      <c r="S1444" s="2" t="s">
        <v>200</v>
      </c>
      <c r="T1444" s="2" t="s">
        <v>200</v>
      </c>
      <c r="U1444" s="2" t="s">
        <v>270</v>
      </c>
      <c r="V1444" s="2" t="s">
        <v>616</v>
      </c>
      <c r="W1444" s="2" t="s">
        <v>736</v>
      </c>
      <c r="X1444" s="2" t="s">
        <v>379</v>
      </c>
      <c r="Y1444" s="2" t="s">
        <v>428</v>
      </c>
      <c r="Z1444" s="4">
        <v>67</v>
      </c>
      <c r="AA1444" s="4">
        <f>=ROUNDDOWN(111.666666666667,0)</f>
      </c>
      <c r="AB1444" s="5">
        <v>0.6</v>
      </c>
      <c r="AC1444" s="2" t="s">
        <v>200</v>
      </c>
      <c r="AD1444" s="4"/>
      <c r="AE1444" s="4"/>
      <c r="AF1444" s="6">
        <v>63</v>
      </c>
      <c r="AG1444" s="6"/>
      <c r="AH1444" s="7">
        <v>1</v>
      </c>
      <c r="AI1444" s="4"/>
      <c r="AJ1444" s="4">
        <f>=ROUNDDOWN({0},0)</f>
      </c>
      <c r="AK1444" s="5"/>
      <c r="AL1444" s="2" t="s">
        <v>200</v>
      </c>
      <c r="AM1444" s="4"/>
      <c r="AN1444" s="4"/>
      <c r="AO1444" s="7"/>
      <c r="AP1444" s="4"/>
      <c r="AQ1444" s="8"/>
      <c r="AR1444" s="4"/>
      <c r="AS1444" s="8"/>
      <c r="AT1444" s="7"/>
      <c r="AU1444" s="7"/>
      <c r="AV1444" s="4"/>
      <c r="AW1444" s="8"/>
      <c r="AX1444" s="4"/>
      <c r="AY1444" s="8"/>
      <c r="AZ1444" s="7"/>
      <c r="BA1444" s="7"/>
      <c r="BB1444" s="7"/>
      <c r="BC1444" s="4"/>
      <c r="BD1444" s="8"/>
      <c r="BE1444" s="4"/>
      <c r="BF1444" s="8"/>
      <c r="BG1444" s="7"/>
      <c r="BH1444" s="7"/>
      <c r="BI1444" s="7"/>
      <c r="BJ1444" s="4">
        <v>1</v>
      </c>
      <c r="BK1444" s="8">
        <v>32.32</v>
      </c>
      <c r="BL1444" s="2" t="s">
        <v>7786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7787</v>
      </c>
      <c r="BV1444" s="2" t="s">
        <v>200</v>
      </c>
      <c r="BW1444" s="2" t="s">
        <v>200</v>
      </c>
      <c r="BX1444" s="2" t="s">
        <v>289</v>
      </c>
      <c r="BY1444" s="2" t="s">
        <v>247</v>
      </c>
      <c r="BZ1444" s="2" t="s">
        <v>212</v>
      </c>
      <c r="CA1444" s="2" t="s">
        <v>3773</v>
      </c>
      <c r="CB1444" s="2" t="s">
        <v>806</v>
      </c>
      <c r="CC1444" s="2" t="s">
        <v>213</v>
      </c>
      <c r="CD1444" s="2" t="s">
        <v>200</v>
      </c>
      <c r="CE1444" s="4"/>
      <c r="CF1444" s="4">
        <v>67</v>
      </c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/>
      <c r="DE1444" s="4"/>
      <c r="DF1444" s="4"/>
      <c r="DG1444" s="4"/>
      <c r="DH1444" s="4"/>
      <c r="DI1444" s="4"/>
      <c r="DJ1444" s="4"/>
      <c r="DK1444" s="4"/>
      <c r="DL1444" s="4"/>
      <c r="DM1444" s="4"/>
      <c r="DN1444" s="4"/>
      <c r="DO1444" s="4"/>
      <c r="DP1444" s="4"/>
      <c r="DQ1444" s="4"/>
      <c r="DR1444" s="4"/>
      <c r="DS1444" s="4"/>
      <c r="DT1444" s="4"/>
      <c r="DU1444" s="4"/>
      <c r="DV1444" s="4"/>
      <c r="DW1444" s="4"/>
      <c r="DX1444" s="4"/>
      <c r="DY1444" s="4"/>
      <c r="DZ1444" s="4"/>
      <c r="EA1444" s="4"/>
      <c r="EB1444" s="4"/>
      <c r="EC1444" s="4"/>
      <c r="ED1444" s="4"/>
      <c r="EE1444" s="4"/>
      <c r="EF1444" s="4"/>
      <c r="EG1444" s="4"/>
      <c r="EH1444" s="4"/>
      <c r="EI1444" s="4"/>
      <c r="EJ1444" s="4"/>
      <c r="EK1444" s="4"/>
      <c r="EL1444" s="4"/>
      <c r="EM1444" s="4"/>
      <c r="EN1444" s="4"/>
      <c r="EO1444" s="4"/>
      <c r="EP1444" s="4"/>
      <c r="EQ1444" s="4"/>
      <c r="ER1444" s="4"/>
      <c r="ES1444" s="4"/>
      <c r="ET1444" s="4"/>
      <c r="EU1444" s="4"/>
      <c r="EV1444" s="4"/>
      <c r="EW1444" s="4"/>
      <c r="EX1444" s="4"/>
      <c r="EY1444" s="4"/>
      <c r="EZ1444" s="4"/>
      <c r="FA1444" s="4"/>
      <c r="FB1444" s="4"/>
      <c r="FC1444" s="4"/>
      <c r="FD1444" s="4"/>
      <c r="FE1444" s="4"/>
      <c r="FF1444" s="4"/>
      <c r="FG1444" s="4"/>
      <c r="FH1444" s="4"/>
      <c r="FI1444" s="4"/>
      <c r="FJ1444" s="4"/>
      <c r="FK1444" s="4"/>
      <c r="FL1444" s="4"/>
      <c r="FM1444" s="4"/>
      <c r="FN1444" s="4"/>
      <c r="FO1444" s="4"/>
      <c r="FP1444" s="4"/>
      <c r="FQ1444" s="4"/>
      <c r="FR1444" s="4"/>
      <c r="FS1444" s="4"/>
      <c r="FT1444" s="4"/>
      <c r="FU1444" s="4"/>
      <c r="FV1444" s="4"/>
      <c r="FW1444" s="4"/>
      <c r="FX1444" s="4"/>
      <c r="FY1444" s="4"/>
      <c r="FZ1444" s="4"/>
      <c r="GA1444" s="4"/>
      <c r="GB1444" s="4"/>
      <c r="GC1444" s="4"/>
      <c r="GD1444" s="4"/>
      <c r="GE1444" s="4"/>
      <c r="GF1444" s="4"/>
      <c r="GG1444" s="4"/>
      <c r="GH1444" s="4"/>
    </row>
    <row r="1445">
      <c r="A1445" s="2" t="s">
        <v>7788</v>
      </c>
      <c r="B1445" s="2" t="s">
        <v>2391</v>
      </c>
      <c r="C1445" s="2" t="s">
        <v>946</v>
      </c>
      <c r="D1445" s="2" t="s">
        <v>2392</v>
      </c>
      <c r="E1445" s="2" t="s">
        <v>2393</v>
      </c>
      <c r="F1445" s="2" t="s">
        <v>7789</v>
      </c>
      <c r="G1445" s="2" t="s">
        <v>7789</v>
      </c>
      <c r="H1445" s="2" t="s">
        <v>7789</v>
      </c>
      <c r="I1445" s="2" t="s">
        <v>7790</v>
      </c>
      <c r="J1445" s="2" t="s">
        <v>210</v>
      </c>
      <c r="K1445" s="2" t="s">
        <v>1135</v>
      </c>
      <c r="L1445" s="3">
        <v>11.56</v>
      </c>
      <c r="M1445" s="3">
        <v>12.14</v>
      </c>
      <c r="N1445" s="3">
        <v>17.99</v>
      </c>
      <c r="O1445" s="2" t="s">
        <v>460</v>
      </c>
      <c r="P1445" s="2" t="s">
        <v>1258</v>
      </c>
      <c r="Q1445" s="2" t="s">
        <v>206</v>
      </c>
      <c r="R1445" s="2" t="s">
        <v>1259</v>
      </c>
      <c r="S1445" s="2" t="s">
        <v>200</v>
      </c>
      <c r="T1445" s="2" t="s">
        <v>200</v>
      </c>
      <c r="U1445" s="2" t="s">
        <v>200</v>
      </c>
      <c r="V1445" s="2" t="s">
        <v>616</v>
      </c>
      <c r="W1445" s="2" t="s">
        <v>200</v>
      </c>
      <c r="X1445" s="2" t="s">
        <v>200</v>
      </c>
      <c r="Y1445" s="2" t="s">
        <v>2355</v>
      </c>
      <c r="Z1445" s="4">
        <v>2515</v>
      </c>
      <c r="AA1445" s="4">
        <f>=ROUNDDOWN(1197.61904761905,0)</f>
      </c>
      <c r="AB1445" s="5">
        <v>2.1</v>
      </c>
      <c r="AC1445" s="2" t="s">
        <v>200</v>
      </c>
      <c r="AD1445" s="4"/>
      <c r="AE1445" s="4"/>
      <c r="AF1445" s="6"/>
      <c r="AG1445" s="6">
        <v>47</v>
      </c>
      <c r="AH1445" s="7">
        <v>1</v>
      </c>
      <c r="AI1445" s="4"/>
      <c r="AJ1445" s="4">
        <f>=ROUNDDOWN({0},0)</f>
      </c>
      <c r="AK1445" s="5"/>
      <c r="AL1445" s="2" t="s">
        <v>200</v>
      </c>
      <c r="AM1445" s="4"/>
      <c r="AN1445" s="4"/>
      <c r="AO1445" s="7"/>
      <c r="AP1445" s="4"/>
      <c r="AQ1445" s="8"/>
      <c r="AR1445" s="4"/>
      <c r="AS1445" s="8"/>
      <c r="AT1445" s="7"/>
      <c r="AU1445" s="7"/>
      <c r="AV1445" s="4"/>
      <c r="AW1445" s="8"/>
      <c r="AX1445" s="4"/>
      <c r="AY1445" s="8"/>
      <c r="AZ1445" s="7"/>
      <c r="BA1445" s="7"/>
      <c r="BB1445" s="7"/>
      <c r="BC1445" s="4"/>
      <c r="BD1445" s="8"/>
      <c r="BE1445" s="4"/>
      <c r="BF1445" s="8"/>
      <c r="BG1445" s="7"/>
      <c r="BH1445" s="7"/>
      <c r="BI1445" s="7"/>
      <c r="BJ1445" s="4">
        <v>1</v>
      </c>
      <c r="BK1445" s="8">
        <v>17.99</v>
      </c>
      <c r="BL1445" s="2" t="s">
        <v>4010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7791</v>
      </c>
      <c r="BV1445" s="2" t="s">
        <v>200</v>
      </c>
      <c r="BW1445" s="2" t="s">
        <v>200</v>
      </c>
      <c r="BX1445" s="2" t="s">
        <v>264</v>
      </c>
      <c r="BY1445" s="2" t="s">
        <v>247</v>
      </c>
      <c r="BZ1445" s="2" t="s">
        <v>212</v>
      </c>
      <c r="CA1445" s="2" t="s">
        <v>4853</v>
      </c>
      <c r="CB1445" s="2" t="s">
        <v>3811</v>
      </c>
      <c r="CC1445" s="2" t="s">
        <v>213</v>
      </c>
      <c r="CD1445" s="2" t="s">
        <v>200</v>
      </c>
      <c r="CE1445" s="4"/>
      <c r="CF1445" s="4"/>
      <c r="CG1445" s="4"/>
      <c r="CH1445" s="4">
        <v>2515</v>
      </c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/>
      <c r="DC1445" s="4"/>
      <c r="DD1445" s="4"/>
      <c r="DE1445" s="4"/>
      <c r="DF1445" s="4"/>
      <c r="DG1445" s="4"/>
      <c r="DH1445" s="4"/>
      <c r="DI1445" s="4"/>
      <c r="DJ1445" s="4"/>
      <c r="DK1445" s="4"/>
      <c r="DL1445" s="4"/>
      <c r="DM1445" s="4"/>
      <c r="DN1445" s="4"/>
      <c r="DO1445" s="4"/>
      <c r="DP1445" s="4"/>
      <c r="DQ1445" s="4"/>
      <c r="DR1445" s="4"/>
      <c r="DS1445" s="4"/>
      <c r="DT1445" s="4"/>
      <c r="DU1445" s="4"/>
      <c r="DV1445" s="4"/>
      <c r="DW1445" s="4"/>
      <c r="DX1445" s="4"/>
      <c r="DY1445" s="4"/>
      <c r="DZ1445" s="4"/>
      <c r="EA1445" s="4"/>
      <c r="EB1445" s="4"/>
      <c r="EC1445" s="4"/>
      <c r="ED1445" s="4"/>
      <c r="EE1445" s="4"/>
      <c r="EF1445" s="4"/>
      <c r="EG1445" s="4"/>
      <c r="EH1445" s="4"/>
      <c r="EI1445" s="4"/>
      <c r="EJ1445" s="4"/>
      <c r="EK1445" s="4"/>
      <c r="EL1445" s="4"/>
      <c r="EM1445" s="4"/>
      <c r="EN1445" s="4"/>
      <c r="EO1445" s="4"/>
      <c r="EP1445" s="4"/>
      <c r="EQ1445" s="4"/>
      <c r="ER1445" s="4"/>
      <c r="ES1445" s="4"/>
      <c r="ET1445" s="4"/>
      <c r="EU1445" s="4"/>
      <c r="EV1445" s="4"/>
      <c r="EW1445" s="4"/>
      <c r="EX1445" s="4"/>
      <c r="EY1445" s="4"/>
      <c r="EZ1445" s="4"/>
      <c r="FA1445" s="4"/>
      <c r="FB1445" s="4"/>
      <c r="FC1445" s="4"/>
      <c r="FD1445" s="4"/>
      <c r="FE1445" s="4"/>
      <c r="FF1445" s="4"/>
      <c r="FG1445" s="4"/>
      <c r="FH1445" s="4"/>
      <c r="FI1445" s="4"/>
      <c r="FJ1445" s="4"/>
      <c r="FK1445" s="4"/>
      <c r="FL1445" s="4"/>
      <c r="FM1445" s="4"/>
      <c r="FN1445" s="4"/>
      <c r="FO1445" s="4"/>
      <c r="FP1445" s="4"/>
      <c r="FQ1445" s="4"/>
      <c r="FR1445" s="4"/>
      <c r="FS1445" s="4"/>
      <c r="FT1445" s="4"/>
      <c r="FU1445" s="4"/>
      <c r="FV1445" s="4"/>
      <c r="FW1445" s="4"/>
      <c r="FX1445" s="4"/>
      <c r="FY1445" s="4"/>
      <c r="FZ1445" s="4"/>
      <c r="GA1445" s="4"/>
      <c r="GB1445" s="4"/>
      <c r="GC1445" s="4"/>
      <c r="GD1445" s="4"/>
      <c r="GE1445" s="4"/>
      <c r="GF1445" s="4"/>
      <c r="GG1445" s="4"/>
      <c r="GH1445" s="4"/>
    </row>
    <row r="1446">
      <c r="A1446" s="2" t="s">
        <v>7792</v>
      </c>
      <c r="B1446" s="2" t="s">
        <v>903</v>
      </c>
      <c r="C1446" s="2" t="s">
        <v>745</v>
      </c>
      <c r="D1446" s="2" t="s">
        <v>1524</v>
      </c>
      <c r="E1446" s="2" t="s">
        <v>2324</v>
      </c>
      <c r="F1446" s="2" t="s">
        <v>7793</v>
      </c>
      <c r="G1446" s="2" t="s">
        <v>7793</v>
      </c>
      <c r="H1446" s="2" t="s">
        <v>7793</v>
      </c>
      <c r="I1446" s="2" t="s">
        <v>7794</v>
      </c>
      <c r="J1446" s="2" t="s">
        <v>7795</v>
      </c>
      <c r="K1446" s="2" t="s">
        <v>7796</v>
      </c>
      <c r="L1446" s="3">
        <v>13.5</v>
      </c>
      <c r="M1446" s="3">
        <v>14.17</v>
      </c>
      <c r="N1446" s="3">
        <v>29.99</v>
      </c>
      <c r="O1446" s="2" t="s">
        <v>460</v>
      </c>
      <c r="P1446" s="2" t="s">
        <v>285</v>
      </c>
      <c r="Q1446" s="2" t="s">
        <v>206</v>
      </c>
      <c r="R1446" s="2" t="s">
        <v>200</v>
      </c>
      <c r="S1446" s="2" t="s">
        <v>7797</v>
      </c>
      <c r="T1446" s="2" t="s">
        <v>312</v>
      </c>
      <c r="U1446" s="2" t="s">
        <v>270</v>
      </c>
      <c r="V1446" s="2" t="s">
        <v>3675</v>
      </c>
      <c r="W1446" s="2" t="s">
        <v>1975</v>
      </c>
      <c r="X1446" s="2" t="s">
        <v>241</v>
      </c>
      <c r="Y1446" s="2" t="s">
        <v>839</v>
      </c>
      <c r="Z1446" s="4"/>
      <c r="AA1446" s="4">
        <f>=ROUNDDOWN({0},0)</f>
      </c>
      <c r="AB1446" s="5">
        <v>2.2</v>
      </c>
      <c r="AC1446" s="2" t="s">
        <v>200</v>
      </c>
      <c r="AD1446" s="4"/>
      <c r="AE1446" s="4"/>
      <c r="AF1446" s="6">
        <v>65</v>
      </c>
      <c r="AG1446" s="6"/>
      <c r="AH1446" s="7">
        <v>0.8667</v>
      </c>
      <c r="AI1446" s="4"/>
      <c r="AJ1446" s="4">
        <f>=ROUNDDOWN({0},0)</f>
      </c>
      <c r="AK1446" s="5"/>
      <c r="AL1446" s="2" t="s">
        <v>200</v>
      </c>
      <c r="AM1446" s="4"/>
      <c r="AN1446" s="4"/>
      <c r="AO1446" s="7"/>
      <c r="AP1446" s="4"/>
      <c r="AQ1446" s="8"/>
      <c r="AR1446" s="4"/>
      <c r="AS1446" s="8"/>
      <c r="AT1446" s="7"/>
      <c r="AU1446" s="7"/>
      <c r="AV1446" s="4"/>
      <c r="AW1446" s="8"/>
      <c r="AX1446" s="4"/>
      <c r="AY1446" s="8"/>
      <c r="AZ1446" s="7"/>
      <c r="BA1446" s="7"/>
      <c r="BB1446" s="7"/>
      <c r="BC1446" s="4"/>
      <c r="BD1446" s="8"/>
      <c r="BE1446" s="4"/>
      <c r="BF1446" s="8"/>
      <c r="BG1446" s="7"/>
      <c r="BH1446" s="7"/>
      <c r="BI1446" s="7"/>
      <c r="BJ1446" s="4">
        <v>4</v>
      </c>
      <c r="BK1446" s="8">
        <v>50.27</v>
      </c>
      <c r="BL1446" s="2" t="s">
        <v>7798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7799</v>
      </c>
      <c r="BV1446" s="2" t="s">
        <v>200</v>
      </c>
      <c r="BW1446" s="2" t="s">
        <v>200</v>
      </c>
      <c r="BX1446" s="2" t="s">
        <v>289</v>
      </c>
      <c r="BY1446" s="2" t="s">
        <v>247</v>
      </c>
      <c r="BZ1446" s="2" t="s">
        <v>212</v>
      </c>
      <c r="CA1446" s="2" t="s">
        <v>5081</v>
      </c>
      <c r="CB1446" s="2" t="s">
        <v>7800</v>
      </c>
      <c r="CC1446" s="2" t="s">
        <v>213</v>
      </c>
      <c r="CD1446" s="2" t="s">
        <v>200</v>
      </c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/>
      <c r="DD1446" s="4"/>
      <c r="DE1446" s="4"/>
      <c r="DF1446" s="4"/>
      <c r="DG1446" s="4"/>
      <c r="DH1446" s="4"/>
      <c r="DI1446" s="4"/>
      <c r="DJ1446" s="4"/>
      <c r="DK1446" s="4"/>
      <c r="DL1446" s="4"/>
      <c r="DM1446" s="4"/>
      <c r="DN1446" s="4"/>
      <c r="DO1446" s="4"/>
      <c r="DP1446" s="4"/>
      <c r="DQ1446" s="4"/>
      <c r="DR1446" s="4"/>
      <c r="DS1446" s="4"/>
      <c r="DT1446" s="4"/>
      <c r="DU1446" s="4"/>
      <c r="DV1446" s="4"/>
      <c r="DW1446" s="4"/>
      <c r="DX1446" s="4"/>
      <c r="DY1446" s="4"/>
      <c r="DZ1446" s="4"/>
      <c r="EA1446" s="4"/>
      <c r="EB1446" s="4"/>
      <c r="EC1446" s="4"/>
      <c r="ED1446" s="4"/>
      <c r="EE1446" s="4"/>
      <c r="EF1446" s="4"/>
      <c r="EG1446" s="4"/>
      <c r="EH1446" s="4"/>
      <c r="EI1446" s="4"/>
      <c r="EJ1446" s="4"/>
      <c r="EK1446" s="4"/>
      <c r="EL1446" s="4"/>
      <c r="EM1446" s="4"/>
      <c r="EN1446" s="4"/>
      <c r="EO1446" s="4"/>
      <c r="EP1446" s="4"/>
      <c r="EQ1446" s="4"/>
      <c r="ER1446" s="4"/>
      <c r="ES1446" s="4"/>
      <c r="ET1446" s="4"/>
      <c r="EU1446" s="4"/>
      <c r="EV1446" s="4"/>
      <c r="EW1446" s="4"/>
      <c r="EX1446" s="4"/>
      <c r="EY1446" s="4"/>
      <c r="EZ1446" s="4"/>
      <c r="FA1446" s="4"/>
      <c r="FB1446" s="4"/>
      <c r="FC1446" s="4"/>
      <c r="FD1446" s="4"/>
      <c r="FE1446" s="4"/>
      <c r="FF1446" s="4"/>
      <c r="FG1446" s="4"/>
      <c r="FH1446" s="4"/>
      <c r="FI1446" s="4"/>
      <c r="FJ1446" s="4"/>
      <c r="FK1446" s="4"/>
      <c r="FL1446" s="4"/>
      <c r="FM1446" s="4"/>
      <c r="FN1446" s="4"/>
      <c r="FO1446" s="4"/>
      <c r="FP1446" s="4"/>
      <c r="FQ1446" s="4"/>
      <c r="FR1446" s="4"/>
      <c r="FS1446" s="4"/>
      <c r="FT1446" s="4"/>
      <c r="FU1446" s="4"/>
      <c r="FV1446" s="4"/>
      <c r="FW1446" s="4"/>
      <c r="FX1446" s="4"/>
      <c r="FY1446" s="4"/>
      <c r="FZ1446" s="4"/>
      <c r="GA1446" s="4"/>
      <c r="GB1446" s="4"/>
      <c r="GC1446" s="4"/>
      <c r="GD1446" s="4"/>
      <c r="GE1446" s="4"/>
      <c r="GF1446" s="4"/>
      <c r="GG1446" s="4"/>
      <c r="GH1446" s="4"/>
    </row>
    <row r="1447">
      <c r="A1447" s="2" t="s">
        <v>7801</v>
      </c>
      <c r="B1447" s="2" t="s">
        <v>744</v>
      </c>
      <c r="C1447" s="2" t="s">
        <v>231</v>
      </c>
      <c r="D1447" s="2" t="s">
        <v>783</v>
      </c>
      <c r="E1447" s="2" t="s">
        <v>784</v>
      </c>
      <c r="F1447" s="2" t="s">
        <v>7802</v>
      </c>
      <c r="G1447" s="2" t="s">
        <v>7399</v>
      </c>
      <c r="H1447" s="2" t="s">
        <v>7803</v>
      </c>
      <c r="I1447" s="2" t="s">
        <v>7804</v>
      </c>
      <c r="J1447" s="2" t="s">
        <v>711</v>
      </c>
      <c r="K1447" s="2" t="s">
        <v>7805</v>
      </c>
      <c r="L1447" s="3">
        <v>175</v>
      </c>
      <c r="M1447" s="3">
        <v>183.75</v>
      </c>
      <c r="N1447" s="3">
        <v>369</v>
      </c>
      <c r="O1447" s="2" t="s">
        <v>460</v>
      </c>
      <c r="P1447" s="2" t="s">
        <v>285</v>
      </c>
      <c r="Q1447" s="2" t="s">
        <v>206</v>
      </c>
      <c r="R1447" s="2" t="s">
        <v>200</v>
      </c>
      <c r="S1447" s="2" t="s">
        <v>7806</v>
      </c>
      <c r="T1447" s="2" t="s">
        <v>200</v>
      </c>
      <c r="U1447" s="2" t="s">
        <v>200</v>
      </c>
      <c r="V1447" s="2" t="s">
        <v>208</v>
      </c>
      <c r="W1447" s="2" t="s">
        <v>736</v>
      </c>
      <c r="X1447" s="2" t="s">
        <v>200</v>
      </c>
      <c r="Y1447" s="2" t="s">
        <v>261</v>
      </c>
      <c r="Z1447" s="4">
        <v>11</v>
      </c>
      <c r="AA1447" s="4">
        <f>=ROUNDDOWN(3.66666666666667,0)</f>
      </c>
      <c r="AB1447" s="5">
        <v>3</v>
      </c>
      <c r="AC1447" s="2" t="s">
        <v>200</v>
      </c>
      <c r="AD1447" s="4"/>
      <c r="AE1447" s="4"/>
      <c r="AF1447" s="6">
        <v>74</v>
      </c>
      <c r="AG1447" s="6">
        <v>60</v>
      </c>
      <c r="AH1447" s="7">
        <v>1</v>
      </c>
      <c r="AI1447" s="4"/>
      <c r="AJ1447" s="4">
        <f>=ROUNDDOWN({0},0)</f>
      </c>
      <c r="AK1447" s="5"/>
      <c r="AL1447" s="2" t="s">
        <v>200</v>
      </c>
      <c r="AM1447" s="4"/>
      <c r="AN1447" s="4"/>
      <c r="AO1447" s="7"/>
      <c r="AP1447" s="4"/>
      <c r="AQ1447" s="8"/>
      <c r="AR1447" s="4"/>
      <c r="AS1447" s="8"/>
      <c r="AT1447" s="7"/>
      <c r="AU1447" s="7"/>
      <c r="AV1447" s="4"/>
      <c r="AW1447" s="8"/>
      <c r="AX1447" s="4"/>
      <c r="AY1447" s="8"/>
      <c r="AZ1447" s="7"/>
      <c r="BA1447" s="7"/>
      <c r="BB1447" s="7"/>
      <c r="BC1447" s="4" t="s">
        <v>200</v>
      </c>
      <c r="BD1447" s="8" t="s">
        <v>200</v>
      </c>
      <c r="BE1447" s="4" t="s">
        <v>200</v>
      </c>
      <c r="BF1447" s="8" t="s">
        <v>200</v>
      </c>
      <c r="BG1447" s="7" t="s">
        <v>200</v>
      </c>
      <c r="BH1447" s="7" t="s">
        <v>200</v>
      </c>
      <c r="BI1447" s="7"/>
      <c r="BJ1447" s="4">
        <v>4</v>
      </c>
      <c r="BK1447" s="8">
        <v>687.93</v>
      </c>
      <c r="BL1447" s="2" t="s">
        <v>7807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7808</v>
      </c>
      <c r="BV1447" s="2" t="s">
        <v>200</v>
      </c>
      <c r="BW1447" s="2" t="s">
        <v>200</v>
      </c>
      <c r="BX1447" s="2" t="s">
        <v>289</v>
      </c>
      <c r="BY1447" s="2" t="s">
        <v>247</v>
      </c>
      <c r="BZ1447" s="2" t="s">
        <v>212</v>
      </c>
      <c r="CA1447" s="2" t="s">
        <v>7809</v>
      </c>
      <c r="CB1447" s="2" t="s">
        <v>7810</v>
      </c>
      <c r="CC1447" s="2" t="s">
        <v>213</v>
      </c>
      <c r="CD1447" s="2" t="s">
        <v>200</v>
      </c>
      <c r="CE1447" s="4"/>
      <c r="CF1447" s="4">
        <v>11</v>
      </c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  <c r="DB1447" s="4"/>
      <c r="DC1447" s="4"/>
      <c r="DD1447" s="4"/>
      <c r="DE1447" s="4"/>
      <c r="DF1447" s="4"/>
      <c r="DG1447" s="4"/>
      <c r="DH1447" s="4"/>
      <c r="DI1447" s="4"/>
      <c r="DJ1447" s="4"/>
      <c r="DK1447" s="4"/>
      <c r="DL1447" s="4"/>
      <c r="DM1447" s="4"/>
      <c r="DN1447" s="4"/>
      <c r="DO1447" s="4"/>
      <c r="DP1447" s="4"/>
      <c r="DQ1447" s="4"/>
      <c r="DR1447" s="4"/>
      <c r="DS1447" s="4"/>
      <c r="DT1447" s="4"/>
      <c r="DU1447" s="4"/>
      <c r="DV1447" s="4"/>
      <c r="DW1447" s="4"/>
      <c r="DX1447" s="4"/>
      <c r="DY1447" s="4"/>
      <c r="DZ1447" s="4"/>
      <c r="EA1447" s="4"/>
      <c r="EB1447" s="4"/>
      <c r="EC1447" s="4"/>
      <c r="ED1447" s="4"/>
      <c r="EE1447" s="4"/>
      <c r="EF1447" s="4"/>
      <c r="EG1447" s="4"/>
      <c r="EH1447" s="4"/>
      <c r="EI1447" s="4"/>
      <c r="EJ1447" s="4"/>
      <c r="EK1447" s="4"/>
      <c r="EL1447" s="4"/>
      <c r="EM1447" s="4"/>
      <c r="EN1447" s="4"/>
      <c r="EO1447" s="4"/>
      <c r="EP1447" s="4"/>
      <c r="EQ1447" s="4"/>
      <c r="ER1447" s="4"/>
      <c r="ES1447" s="4"/>
      <c r="ET1447" s="4"/>
      <c r="EU1447" s="4"/>
      <c r="EV1447" s="4"/>
      <c r="EW1447" s="4"/>
      <c r="EX1447" s="4"/>
      <c r="EY1447" s="4"/>
      <c r="EZ1447" s="4"/>
      <c r="FA1447" s="4"/>
      <c r="FB1447" s="4"/>
      <c r="FC1447" s="4"/>
      <c r="FD1447" s="4"/>
      <c r="FE1447" s="4"/>
      <c r="FF1447" s="4"/>
      <c r="FG1447" s="4"/>
      <c r="FH1447" s="4"/>
      <c r="FI1447" s="4"/>
      <c r="FJ1447" s="4"/>
      <c r="FK1447" s="4"/>
      <c r="FL1447" s="4"/>
      <c r="FM1447" s="4"/>
      <c r="FN1447" s="4"/>
      <c r="FO1447" s="4"/>
      <c r="FP1447" s="4"/>
      <c r="FQ1447" s="4"/>
      <c r="FR1447" s="4"/>
      <c r="FS1447" s="4"/>
      <c r="FT1447" s="4"/>
      <c r="FU1447" s="4"/>
      <c r="FV1447" s="4"/>
      <c r="FW1447" s="4"/>
      <c r="FX1447" s="4"/>
      <c r="FY1447" s="4"/>
      <c r="FZ1447" s="4"/>
      <c r="GA1447" s="4"/>
      <c r="GB1447" s="4"/>
      <c r="GC1447" s="4"/>
      <c r="GD1447" s="4"/>
      <c r="GE1447" s="4"/>
      <c r="GF1447" s="4"/>
      <c r="GG1447" s="4"/>
      <c r="GH1447" s="4"/>
    </row>
    <row r="1448">
      <c r="A1448" s="2" t="s">
        <v>7811</v>
      </c>
      <c r="B1448" s="2" t="s">
        <v>744</v>
      </c>
      <c r="C1448" s="2" t="s">
        <v>231</v>
      </c>
      <c r="D1448" s="2" t="s">
        <v>783</v>
      </c>
      <c r="E1448" s="2" t="s">
        <v>784</v>
      </c>
      <c r="F1448" s="2" t="s">
        <v>7802</v>
      </c>
      <c r="G1448" s="2" t="s">
        <v>7399</v>
      </c>
      <c r="H1448" s="2" t="s">
        <v>7803</v>
      </c>
      <c r="I1448" s="2" t="s">
        <v>7804</v>
      </c>
      <c r="J1448" s="2" t="s">
        <v>711</v>
      </c>
      <c r="K1448" s="2" t="s">
        <v>7812</v>
      </c>
      <c r="L1448" s="3">
        <v>175</v>
      </c>
      <c r="M1448" s="3">
        <v>183.75</v>
      </c>
      <c r="N1448" s="3">
        <v>369</v>
      </c>
      <c r="O1448" s="2" t="s">
        <v>460</v>
      </c>
      <c r="P1448" s="2" t="s">
        <v>285</v>
      </c>
      <c r="Q1448" s="2" t="s">
        <v>206</v>
      </c>
      <c r="R1448" s="2" t="s">
        <v>200</v>
      </c>
      <c r="S1448" s="2" t="s">
        <v>7813</v>
      </c>
      <c r="T1448" s="2" t="s">
        <v>200</v>
      </c>
      <c r="U1448" s="2" t="s">
        <v>270</v>
      </c>
      <c r="V1448" s="2" t="s">
        <v>208</v>
      </c>
      <c r="W1448" s="2" t="s">
        <v>419</v>
      </c>
      <c r="X1448" s="2" t="s">
        <v>200</v>
      </c>
      <c r="Y1448" s="2" t="s">
        <v>7814</v>
      </c>
      <c r="Z1448" s="4">
        <v>9</v>
      </c>
      <c r="AA1448" s="4">
        <f>=ROUNDDOWN(1.83673469387755,0)</f>
      </c>
      <c r="AB1448" s="5">
        <v>4.9</v>
      </c>
      <c r="AC1448" s="2" t="s">
        <v>200</v>
      </c>
      <c r="AD1448" s="4"/>
      <c r="AE1448" s="4"/>
      <c r="AF1448" s="6">
        <v>74</v>
      </c>
      <c r="AG1448" s="6">
        <v>60</v>
      </c>
      <c r="AH1448" s="7">
        <v>1</v>
      </c>
      <c r="AI1448" s="4"/>
      <c r="AJ1448" s="4">
        <f>=ROUNDDOWN({0},0)</f>
      </c>
      <c r="AK1448" s="5"/>
      <c r="AL1448" s="2" t="s">
        <v>200</v>
      </c>
      <c r="AM1448" s="4"/>
      <c r="AN1448" s="4"/>
      <c r="AO1448" s="7"/>
      <c r="AP1448" s="4"/>
      <c r="AQ1448" s="8"/>
      <c r="AR1448" s="4"/>
      <c r="AS1448" s="8"/>
      <c r="AT1448" s="7"/>
      <c r="AU1448" s="7"/>
      <c r="AV1448" s="4"/>
      <c r="AW1448" s="8"/>
      <c r="AX1448" s="4"/>
      <c r="AY1448" s="8"/>
      <c r="AZ1448" s="7"/>
      <c r="BA1448" s="7"/>
      <c r="BB1448" s="7"/>
      <c r="BC1448" s="4" t="s">
        <v>200</v>
      </c>
      <c r="BD1448" s="8" t="s">
        <v>200</v>
      </c>
      <c r="BE1448" s="4" t="s">
        <v>200</v>
      </c>
      <c r="BF1448" s="8" t="s">
        <v>200</v>
      </c>
      <c r="BG1448" s="7" t="s">
        <v>200</v>
      </c>
      <c r="BH1448" s="7" t="s">
        <v>200</v>
      </c>
      <c r="BI1448" s="7"/>
      <c r="BJ1448" s="4">
        <v>18</v>
      </c>
      <c r="BK1448" s="8">
        <v>1584.04</v>
      </c>
      <c r="BL1448" s="2" t="s">
        <v>7815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7816</v>
      </c>
      <c r="BV1448" s="2" t="s">
        <v>200</v>
      </c>
      <c r="BW1448" s="2" t="s">
        <v>200</v>
      </c>
      <c r="BX1448" s="2" t="s">
        <v>289</v>
      </c>
      <c r="BY1448" s="2" t="s">
        <v>247</v>
      </c>
      <c r="BZ1448" s="2" t="s">
        <v>212</v>
      </c>
      <c r="CA1448" s="2" t="s">
        <v>550</v>
      </c>
      <c r="CB1448" s="2" t="s">
        <v>7691</v>
      </c>
      <c r="CC1448" s="2" t="s">
        <v>213</v>
      </c>
      <c r="CD1448" s="2" t="s">
        <v>200</v>
      </c>
      <c r="CE1448" s="4"/>
      <c r="CF1448" s="4">
        <v>9</v>
      </c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/>
      <c r="DE1448" s="4"/>
      <c r="DF1448" s="4"/>
      <c r="DG1448" s="4"/>
      <c r="DH1448" s="4"/>
      <c r="DI1448" s="4"/>
      <c r="DJ1448" s="4"/>
      <c r="DK1448" s="4"/>
      <c r="DL1448" s="4"/>
      <c r="DM1448" s="4"/>
      <c r="DN1448" s="4"/>
      <c r="DO1448" s="4"/>
      <c r="DP1448" s="4"/>
      <c r="DQ1448" s="4"/>
      <c r="DR1448" s="4"/>
      <c r="DS1448" s="4"/>
      <c r="DT1448" s="4"/>
      <c r="DU1448" s="4"/>
      <c r="DV1448" s="4"/>
      <c r="DW1448" s="4"/>
      <c r="DX1448" s="4"/>
      <c r="DY1448" s="4"/>
      <c r="DZ1448" s="4"/>
      <c r="EA1448" s="4"/>
      <c r="EB1448" s="4"/>
      <c r="EC1448" s="4"/>
      <c r="ED1448" s="4"/>
      <c r="EE1448" s="4"/>
      <c r="EF1448" s="4"/>
      <c r="EG1448" s="4"/>
      <c r="EH1448" s="4"/>
      <c r="EI1448" s="4"/>
      <c r="EJ1448" s="4"/>
      <c r="EK1448" s="4"/>
      <c r="EL1448" s="4"/>
      <c r="EM1448" s="4"/>
      <c r="EN1448" s="4"/>
      <c r="EO1448" s="4"/>
      <c r="EP1448" s="4"/>
      <c r="EQ1448" s="4"/>
      <c r="ER1448" s="4"/>
      <c r="ES1448" s="4"/>
      <c r="ET1448" s="4"/>
      <c r="EU1448" s="4"/>
      <c r="EV1448" s="4"/>
      <c r="EW1448" s="4"/>
      <c r="EX1448" s="4"/>
      <c r="EY1448" s="4"/>
      <c r="EZ1448" s="4"/>
      <c r="FA1448" s="4"/>
      <c r="FB1448" s="4"/>
      <c r="FC1448" s="4"/>
      <c r="FD1448" s="4"/>
      <c r="FE1448" s="4"/>
      <c r="FF1448" s="4"/>
      <c r="FG1448" s="4"/>
      <c r="FH1448" s="4"/>
      <c r="FI1448" s="4"/>
      <c r="FJ1448" s="4"/>
      <c r="FK1448" s="4"/>
      <c r="FL1448" s="4"/>
      <c r="FM1448" s="4"/>
      <c r="FN1448" s="4"/>
      <c r="FO1448" s="4"/>
      <c r="FP1448" s="4"/>
      <c r="FQ1448" s="4"/>
      <c r="FR1448" s="4"/>
      <c r="FS1448" s="4"/>
      <c r="FT1448" s="4"/>
      <c r="FU1448" s="4"/>
      <c r="FV1448" s="4"/>
      <c r="FW1448" s="4"/>
      <c r="FX1448" s="4"/>
      <c r="FY1448" s="4"/>
      <c r="FZ1448" s="4"/>
      <c r="GA1448" s="4"/>
      <c r="GB1448" s="4"/>
      <c r="GC1448" s="4"/>
      <c r="GD1448" s="4"/>
      <c r="GE1448" s="4"/>
      <c r="GF1448" s="4"/>
      <c r="GG1448" s="4"/>
      <c r="GH1448" s="4"/>
    </row>
    <row r="1449">
      <c r="A1449" s="2" t="s">
        <v>7817</v>
      </c>
      <c r="B1449" s="2" t="s">
        <v>992</v>
      </c>
      <c r="C1449" s="2" t="s">
        <v>231</v>
      </c>
      <c r="D1449" s="2" t="s">
        <v>992</v>
      </c>
      <c r="E1449" s="2" t="s">
        <v>992</v>
      </c>
      <c r="F1449" s="2" t="s">
        <v>7818</v>
      </c>
      <c r="G1449" s="2" t="s">
        <v>7819</v>
      </c>
      <c r="H1449" s="2" t="s">
        <v>7820</v>
      </c>
      <c r="I1449" s="2" t="s">
        <v>7821</v>
      </c>
      <c r="J1449" s="2" t="s">
        <v>997</v>
      </c>
      <c r="K1449" s="2" t="s">
        <v>387</v>
      </c>
      <c r="L1449" s="3">
        <v>65.45</v>
      </c>
      <c r="M1449" s="3">
        <v>68.72</v>
      </c>
      <c r="N1449" s="3">
        <v>149.99</v>
      </c>
      <c r="O1449" s="2" t="s">
        <v>460</v>
      </c>
      <c r="P1449" s="2" t="s">
        <v>285</v>
      </c>
      <c r="Q1449" s="2" t="s">
        <v>206</v>
      </c>
      <c r="R1449" s="2" t="s">
        <v>200</v>
      </c>
      <c r="S1449" s="2" t="s">
        <v>7822</v>
      </c>
      <c r="T1449" s="2" t="s">
        <v>200</v>
      </c>
      <c r="U1449" s="2" t="s">
        <v>270</v>
      </c>
      <c r="V1449" s="2" t="s">
        <v>724</v>
      </c>
      <c r="W1449" s="2" t="s">
        <v>379</v>
      </c>
      <c r="X1449" s="2" t="s">
        <v>200</v>
      </c>
      <c r="Y1449" s="2" t="s">
        <v>1580</v>
      </c>
      <c r="Z1449" s="4">
        <v>71</v>
      </c>
      <c r="AA1449" s="4">
        <f>=ROUNDDOWN(142,0)</f>
      </c>
      <c r="AB1449" s="5">
        <v>0.5</v>
      </c>
      <c r="AC1449" s="2" t="s">
        <v>200</v>
      </c>
      <c r="AD1449" s="4"/>
      <c r="AE1449" s="4"/>
      <c r="AF1449" s="6">
        <v>63</v>
      </c>
      <c r="AG1449" s="6"/>
      <c r="AH1449" s="7">
        <v>1</v>
      </c>
      <c r="AI1449" s="4"/>
      <c r="AJ1449" s="4">
        <f>=ROUNDDOWN({0},0)</f>
      </c>
      <c r="AK1449" s="5"/>
      <c r="AL1449" s="2" t="s">
        <v>200</v>
      </c>
      <c r="AM1449" s="4"/>
      <c r="AN1449" s="4"/>
      <c r="AO1449" s="7"/>
      <c r="AP1449" s="4"/>
      <c r="AQ1449" s="8"/>
      <c r="AR1449" s="4"/>
      <c r="AS1449" s="8"/>
      <c r="AT1449" s="7"/>
      <c r="AU1449" s="7"/>
      <c r="AV1449" s="4" t="s">
        <v>200</v>
      </c>
      <c r="AW1449" s="8" t="s">
        <v>200</v>
      </c>
      <c r="AX1449" s="4" t="s">
        <v>200</v>
      </c>
      <c r="AY1449" s="8" t="s">
        <v>200</v>
      </c>
      <c r="AZ1449" s="7" t="s">
        <v>200</v>
      </c>
      <c r="BA1449" s="7" t="s">
        <v>200</v>
      </c>
      <c r="BB1449" s="7"/>
      <c r="BC1449" s="4" t="s">
        <v>200</v>
      </c>
      <c r="BD1449" s="8" t="s">
        <v>200</v>
      </c>
      <c r="BE1449" s="4" t="s">
        <v>200</v>
      </c>
      <c r="BF1449" s="8" t="s">
        <v>200</v>
      </c>
      <c r="BG1449" s="7" t="s">
        <v>200</v>
      </c>
      <c r="BH1449" s="7" t="s">
        <v>200</v>
      </c>
      <c r="BI1449" s="7"/>
      <c r="BJ1449" s="4">
        <v>1</v>
      </c>
      <c r="BK1449" s="8">
        <v>36</v>
      </c>
      <c r="BL1449" s="2" t="s">
        <v>1292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7823</v>
      </c>
      <c r="BV1449" s="2" t="s">
        <v>200</v>
      </c>
      <c r="BW1449" s="2" t="s">
        <v>200</v>
      </c>
      <c r="BX1449" s="2" t="s">
        <v>289</v>
      </c>
      <c r="BY1449" s="2" t="s">
        <v>247</v>
      </c>
      <c r="BZ1449" s="2" t="s">
        <v>212</v>
      </c>
      <c r="CA1449" s="2" t="s">
        <v>4438</v>
      </c>
      <c r="CB1449" s="2" t="s">
        <v>200</v>
      </c>
      <c r="CC1449" s="2" t="s">
        <v>213</v>
      </c>
      <c r="CD1449" s="2" t="s">
        <v>200</v>
      </c>
      <c r="CE1449" s="4"/>
      <c r="CF1449" s="4">
        <v>71</v>
      </c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  <c r="DD1449" s="4"/>
      <c r="DE1449" s="4"/>
      <c r="DF1449" s="4"/>
      <c r="DG1449" s="4"/>
      <c r="DH1449" s="4"/>
      <c r="DI1449" s="4"/>
      <c r="DJ1449" s="4"/>
      <c r="DK1449" s="4"/>
      <c r="DL1449" s="4"/>
      <c r="DM1449" s="4"/>
      <c r="DN1449" s="4"/>
      <c r="DO1449" s="4"/>
      <c r="DP1449" s="4"/>
      <c r="DQ1449" s="4"/>
      <c r="DR1449" s="4"/>
      <c r="DS1449" s="4"/>
      <c r="DT1449" s="4"/>
      <c r="DU1449" s="4"/>
      <c r="DV1449" s="4"/>
      <c r="DW1449" s="4"/>
      <c r="DX1449" s="4"/>
      <c r="DY1449" s="4"/>
      <c r="DZ1449" s="4"/>
      <c r="EA1449" s="4"/>
      <c r="EB1449" s="4"/>
      <c r="EC1449" s="4"/>
      <c r="ED1449" s="4"/>
      <c r="EE1449" s="4"/>
      <c r="EF1449" s="4"/>
      <c r="EG1449" s="4"/>
      <c r="EH1449" s="4"/>
      <c r="EI1449" s="4"/>
      <c r="EJ1449" s="4"/>
      <c r="EK1449" s="4"/>
      <c r="EL1449" s="4"/>
      <c r="EM1449" s="4"/>
      <c r="EN1449" s="4"/>
      <c r="EO1449" s="4"/>
      <c r="EP1449" s="4"/>
      <c r="EQ1449" s="4"/>
      <c r="ER1449" s="4"/>
      <c r="ES1449" s="4"/>
      <c r="ET1449" s="4"/>
      <c r="EU1449" s="4"/>
      <c r="EV1449" s="4"/>
      <c r="EW1449" s="4"/>
      <c r="EX1449" s="4"/>
      <c r="EY1449" s="4"/>
      <c r="EZ1449" s="4"/>
      <c r="FA1449" s="4"/>
      <c r="FB1449" s="4"/>
      <c r="FC1449" s="4"/>
      <c r="FD1449" s="4"/>
      <c r="FE1449" s="4"/>
      <c r="FF1449" s="4"/>
      <c r="FG1449" s="4"/>
      <c r="FH1449" s="4"/>
      <c r="FI1449" s="4"/>
      <c r="FJ1449" s="4"/>
      <c r="FK1449" s="4"/>
      <c r="FL1449" s="4"/>
      <c r="FM1449" s="4"/>
      <c r="FN1449" s="4"/>
      <c r="FO1449" s="4"/>
      <c r="FP1449" s="4"/>
      <c r="FQ1449" s="4"/>
      <c r="FR1449" s="4"/>
      <c r="FS1449" s="4"/>
      <c r="FT1449" s="4"/>
      <c r="FU1449" s="4"/>
      <c r="FV1449" s="4"/>
      <c r="FW1449" s="4"/>
      <c r="FX1449" s="4"/>
      <c r="FY1449" s="4"/>
      <c r="FZ1449" s="4"/>
      <c r="GA1449" s="4"/>
      <c r="GB1449" s="4"/>
      <c r="GC1449" s="4"/>
      <c r="GD1449" s="4"/>
      <c r="GE1449" s="4"/>
      <c r="GF1449" s="4"/>
      <c r="GG1449" s="4"/>
      <c r="GH1449" s="4"/>
    </row>
    <row r="1450">
      <c r="A1450" s="2" t="s">
        <v>7824</v>
      </c>
      <c r="B1450" s="2" t="s">
        <v>992</v>
      </c>
      <c r="C1450" s="2" t="s">
        <v>231</v>
      </c>
      <c r="D1450" s="2" t="s">
        <v>992</v>
      </c>
      <c r="E1450" s="2" t="s">
        <v>992</v>
      </c>
      <c r="F1450" s="2" t="s">
        <v>7818</v>
      </c>
      <c r="G1450" s="2" t="s">
        <v>7819</v>
      </c>
      <c r="H1450" s="2" t="s">
        <v>7820</v>
      </c>
      <c r="I1450" s="2" t="s">
        <v>7821</v>
      </c>
      <c r="J1450" s="2" t="s">
        <v>1005</v>
      </c>
      <c r="K1450" s="2" t="s">
        <v>387</v>
      </c>
      <c r="L1450" s="3">
        <v>99.93</v>
      </c>
      <c r="M1450" s="3">
        <v>104.93</v>
      </c>
      <c r="N1450" s="3">
        <v>224.99</v>
      </c>
      <c r="O1450" s="2" t="s">
        <v>460</v>
      </c>
      <c r="P1450" s="2" t="s">
        <v>285</v>
      </c>
      <c r="Q1450" s="2" t="s">
        <v>206</v>
      </c>
      <c r="R1450" s="2" t="s">
        <v>200</v>
      </c>
      <c r="S1450" s="2" t="s">
        <v>7822</v>
      </c>
      <c r="T1450" s="2" t="s">
        <v>200</v>
      </c>
      <c r="U1450" s="2" t="s">
        <v>270</v>
      </c>
      <c r="V1450" s="2" t="s">
        <v>724</v>
      </c>
      <c r="W1450" s="2" t="s">
        <v>379</v>
      </c>
      <c r="X1450" s="2" t="s">
        <v>200</v>
      </c>
      <c r="Y1450" s="2" t="s">
        <v>1580</v>
      </c>
      <c r="Z1450" s="4">
        <v>38</v>
      </c>
      <c r="AA1450" s="4">
        <f>=ROUNDDOWN(21.1111111111111,0)</f>
      </c>
      <c r="AB1450" s="5">
        <v>1.8</v>
      </c>
      <c r="AC1450" s="2" t="s">
        <v>200</v>
      </c>
      <c r="AD1450" s="4"/>
      <c r="AE1450" s="4"/>
      <c r="AF1450" s="6">
        <v>63</v>
      </c>
      <c r="AG1450" s="6"/>
      <c r="AH1450" s="7">
        <v>1</v>
      </c>
      <c r="AI1450" s="4"/>
      <c r="AJ1450" s="4">
        <f>=ROUNDDOWN({0},0)</f>
      </c>
      <c r="AK1450" s="5"/>
      <c r="AL1450" s="2" t="s">
        <v>200</v>
      </c>
      <c r="AM1450" s="4"/>
      <c r="AN1450" s="4"/>
      <c r="AO1450" s="7"/>
      <c r="AP1450" s="4"/>
      <c r="AQ1450" s="8"/>
      <c r="AR1450" s="4"/>
      <c r="AS1450" s="8"/>
      <c r="AT1450" s="7"/>
      <c r="AU1450" s="7"/>
      <c r="AV1450" s="4" t="s">
        <v>200</v>
      </c>
      <c r="AW1450" s="8" t="s">
        <v>200</v>
      </c>
      <c r="AX1450" s="4" t="s">
        <v>200</v>
      </c>
      <c r="AY1450" s="8" t="s">
        <v>200</v>
      </c>
      <c r="AZ1450" s="7" t="s">
        <v>200</v>
      </c>
      <c r="BA1450" s="7" t="s">
        <v>200</v>
      </c>
      <c r="BB1450" s="7"/>
      <c r="BC1450" s="4" t="s">
        <v>200</v>
      </c>
      <c r="BD1450" s="8" t="s">
        <v>200</v>
      </c>
      <c r="BE1450" s="4" t="s">
        <v>200</v>
      </c>
      <c r="BF1450" s="8" t="s">
        <v>200</v>
      </c>
      <c r="BG1450" s="7" t="s">
        <v>200</v>
      </c>
      <c r="BH1450" s="7" t="s">
        <v>200</v>
      </c>
      <c r="BI1450" s="7"/>
      <c r="BJ1450" s="4">
        <v>1</v>
      </c>
      <c r="BK1450" s="8">
        <v>54.96</v>
      </c>
      <c r="BL1450" s="2" t="s">
        <v>1292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7825</v>
      </c>
      <c r="BV1450" s="2" t="s">
        <v>200</v>
      </c>
      <c r="BW1450" s="2" t="s">
        <v>200</v>
      </c>
      <c r="BX1450" s="2" t="s">
        <v>289</v>
      </c>
      <c r="BY1450" s="2" t="s">
        <v>247</v>
      </c>
      <c r="BZ1450" s="2" t="s">
        <v>212</v>
      </c>
      <c r="CA1450" s="2" t="s">
        <v>4438</v>
      </c>
      <c r="CB1450" s="2" t="s">
        <v>4659</v>
      </c>
      <c r="CC1450" s="2" t="s">
        <v>213</v>
      </c>
      <c r="CD1450" s="2" t="s">
        <v>200</v>
      </c>
      <c r="CE1450" s="4"/>
      <c r="CF1450" s="4">
        <v>38</v>
      </c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  <c r="DB1450" s="4"/>
      <c r="DC1450" s="4"/>
      <c r="DD1450" s="4"/>
      <c r="DE1450" s="4"/>
      <c r="DF1450" s="4"/>
      <c r="DG1450" s="4"/>
      <c r="DH1450" s="4"/>
      <c r="DI1450" s="4"/>
      <c r="DJ1450" s="4"/>
      <c r="DK1450" s="4"/>
      <c r="DL1450" s="4"/>
      <c r="DM1450" s="4"/>
      <c r="DN1450" s="4"/>
      <c r="DO1450" s="4"/>
      <c r="DP1450" s="4"/>
      <c r="DQ1450" s="4"/>
      <c r="DR1450" s="4"/>
      <c r="DS1450" s="4"/>
      <c r="DT1450" s="4"/>
      <c r="DU1450" s="4"/>
      <c r="DV1450" s="4"/>
      <c r="DW1450" s="4"/>
      <c r="DX1450" s="4"/>
      <c r="DY1450" s="4"/>
      <c r="DZ1450" s="4"/>
      <c r="EA1450" s="4"/>
      <c r="EB1450" s="4"/>
      <c r="EC1450" s="4"/>
      <c r="ED1450" s="4"/>
      <c r="EE1450" s="4"/>
      <c r="EF1450" s="4"/>
      <c r="EG1450" s="4"/>
      <c r="EH1450" s="4"/>
      <c r="EI1450" s="4"/>
      <c r="EJ1450" s="4"/>
      <c r="EK1450" s="4"/>
      <c r="EL1450" s="4"/>
      <c r="EM1450" s="4"/>
      <c r="EN1450" s="4"/>
      <c r="EO1450" s="4"/>
      <c r="EP1450" s="4"/>
      <c r="EQ1450" s="4"/>
      <c r="ER1450" s="4"/>
      <c r="ES1450" s="4"/>
      <c r="ET1450" s="4"/>
      <c r="EU1450" s="4"/>
      <c r="EV1450" s="4"/>
      <c r="EW1450" s="4"/>
      <c r="EX1450" s="4"/>
      <c r="EY1450" s="4"/>
      <c r="EZ1450" s="4"/>
      <c r="FA1450" s="4"/>
      <c r="FB1450" s="4"/>
      <c r="FC1450" s="4"/>
      <c r="FD1450" s="4"/>
      <c r="FE1450" s="4"/>
      <c r="FF1450" s="4"/>
      <c r="FG1450" s="4"/>
      <c r="FH1450" s="4"/>
      <c r="FI1450" s="4"/>
      <c r="FJ1450" s="4"/>
      <c r="FK1450" s="4"/>
      <c r="FL1450" s="4"/>
      <c r="FM1450" s="4"/>
      <c r="FN1450" s="4"/>
      <c r="FO1450" s="4"/>
      <c r="FP1450" s="4"/>
      <c r="FQ1450" s="4"/>
      <c r="FR1450" s="4"/>
      <c r="FS1450" s="4"/>
      <c r="FT1450" s="4"/>
      <c r="FU1450" s="4"/>
      <c r="FV1450" s="4"/>
      <c r="FW1450" s="4"/>
      <c r="FX1450" s="4"/>
      <c r="FY1450" s="4"/>
      <c r="FZ1450" s="4"/>
      <c r="GA1450" s="4"/>
      <c r="GB1450" s="4"/>
      <c r="GC1450" s="4"/>
      <c r="GD1450" s="4"/>
      <c r="GE1450" s="4"/>
      <c r="GF1450" s="4"/>
      <c r="GG1450" s="4"/>
      <c r="GH1450" s="4"/>
    </row>
    <row r="1451">
      <c r="A1451" s="2" t="s">
        <v>7826</v>
      </c>
      <c r="B1451" s="2" t="s">
        <v>992</v>
      </c>
      <c r="C1451" s="2" t="s">
        <v>231</v>
      </c>
      <c r="D1451" s="2" t="s">
        <v>992</v>
      </c>
      <c r="E1451" s="2" t="s">
        <v>992</v>
      </c>
      <c r="F1451" s="2" t="s">
        <v>7818</v>
      </c>
      <c r="G1451" s="2" t="s">
        <v>7819</v>
      </c>
      <c r="H1451" s="2" t="s">
        <v>7820</v>
      </c>
      <c r="I1451" s="2" t="s">
        <v>7821</v>
      </c>
      <c r="J1451" s="2" t="s">
        <v>1585</v>
      </c>
      <c r="K1451" s="2" t="s">
        <v>387</v>
      </c>
      <c r="L1451" s="3">
        <v>129.38</v>
      </c>
      <c r="M1451" s="3">
        <v>135.85</v>
      </c>
      <c r="N1451" s="3">
        <v>289.99</v>
      </c>
      <c r="O1451" s="2" t="s">
        <v>460</v>
      </c>
      <c r="P1451" s="2" t="s">
        <v>285</v>
      </c>
      <c r="Q1451" s="2" t="s">
        <v>206</v>
      </c>
      <c r="R1451" s="2" t="s">
        <v>200</v>
      </c>
      <c r="S1451" s="2" t="s">
        <v>7822</v>
      </c>
      <c r="T1451" s="2" t="s">
        <v>200</v>
      </c>
      <c r="U1451" s="2" t="s">
        <v>270</v>
      </c>
      <c r="V1451" s="2" t="s">
        <v>724</v>
      </c>
      <c r="W1451" s="2" t="s">
        <v>379</v>
      </c>
      <c r="X1451" s="2" t="s">
        <v>200</v>
      </c>
      <c r="Y1451" s="2" t="s">
        <v>1580</v>
      </c>
      <c r="Z1451" s="4">
        <v>29</v>
      </c>
      <c r="AA1451" s="4">
        <f>=ROUNDDOWN(22.3076923076923,0)</f>
      </c>
      <c r="AB1451" s="5">
        <v>1.3</v>
      </c>
      <c r="AC1451" s="2" t="s">
        <v>200</v>
      </c>
      <c r="AD1451" s="4"/>
      <c r="AE1451" s="4"/>
      <c r="AF1451" s="6">
        <v>63</v>
      </c>
      <c r="AG1451" s="6"/>
      <c r="AH1451" s="7">
        <v>1</v>
      </c>
      <c r="AI1451" s="4"/>
      <c r="AJ1451" s="4">
        <f>=ROUNDDOWN({0},0)</f>
      </c>
      <c r="AK1451" s="5"/>
      <c r="AL1451" s="2" t="s">
        <v>200</v>
      </c>
      <c r="AM1451" s="4"/>
      <c r="AN1451" s="4"/>
      <c r="AO1451" s="7"/>
      <c r="AP1451" s="4"/>
      <c r="AQ1451" s="8"/>
      <c r="AR1451" s="4"/>
      <c r="AS1451" s="8"/>
      <c r="AT1451" s="7"/>
      <c r="AU1451" s="7"/>
      <c r="AV1451" s="4" t="s">
        <v>200</v>
      </c>
      <c r="AW1451" s="8" t="s">
        <v>200</v>
      </c>
      <c r="AX1451" s="4" t="s">
        <v>200</v>
      </c>
      <c r="AY1451" s="8" t="s">
        <v>200</v>
      </c>
      <c r="AZ1451" s="7" t="s">
        <v>200</v>
      </c>
      <c r="BA1451" s="7" t="s">
        <v>200</v>
      </c>
      <c r="BB1451" s="7"/>
      <c r="BC1451" s="4" t="s">
        <v>200</v>
      </c>
      <c r="BD1451" s="8" t="s">
        <v>200</v>
      </c>
      <c r="BE1451" s="4" t="s">
        <v>200</v>
      </c>
      <c r="BF1451" s="8" t="s">
        <v>200</v>
      </c>
      <c r="BG1451" s="7" t="s">
        <v>200</v>
      </c>
      <c r="BH1451" s="7" t="s">
        <v>200</v>
      </c>
      <c r="BI1451" s="7"/>
      <c r="BJ1451" s="4">
        <v>4</v>
      </c>
      <c r="BK1451" s="8">
        <v>485.5</v>
      </c>
      <c r="BL1451" s="2" t="s">
        <v>278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7827</v>
      </c>
      <c r="BV1451" s="2" t="s">
        <v>200</v>
      </c>
      <c r="BW1451" s="2" t="s">
        <v>200</v>
      </c>
      <c r="BX1451" s="2" t="s">
        <v>289</v>
      </c>
      <c r="BY1451" s="2" t="s">
        <v>247</v>
      </c>
      <c r="BZ1451" s="2" t="s">
        <v>212</v>
      </c>
      <c r="CA1451" s="2" t="s">
        <v>4438</v>
      </c>
      <c r="CB1451" s="2" t="s">
        <v>3554</v>
      </c>
      <c r="CC1451" s="2" t="s">
        <v>213</v>
      </c>
      <c r="CD1451" s="2" t="s">
        <v>200</v>
      </c>
      <c r="CE1451" s="4"/>
      <c r="CF1451" s="4">
        <v>29</v>
      </c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  <c r="DE1451" s="4"/>
      <c r="DF1451" s="4"/>
      <c r="DG1451" s="4"/>
      <c r="DH1451" s="4"/>
      <c r="DI1451" s="4"/>
      <c r="DJ1451" s="4"/>
      <c r="DK1451" s="4"/>
      <c r="DL1451" s="4"/>
      <c r="DM1451" s="4"/>
      <c r="DN1451" s="4"/>
      <c r="DO1451" s="4"/>
      <c r="DP1451" s="4"/>
      <c r="DQ1451" s="4"/>
      <c r="DR1451" s="4"/>
      <c r="DS1451" s="4"/>
      <c r="DT1451" s="4"/>
      <c r="DU1451" s="4"/>
      <c r="DV1451" s="4"/>
      <c r="DW1451" s="4"/>
      <c r="DX1451" s="4"/>
      <c r="DY1451" s="4"/>
      <c r="DZ1451" s="4"/>
      <c r="EA1451" s="4"/>
      <c r="EB1451" s="4"/>
      <c r="EC1451" s="4"/>
      <c r="ED1451" s="4"/>
      <c r="EE1451" s="4"/>
      <c r="EF1451" s="4"/>
      <c r="EG1451" s="4"/>
      <c r="EH1451" s="4"/>
      <c r="EI1451" s="4"/>
      <c r="EJ1451" s="4"/>
      <c r="EK1451" s="4"/>
      <c r="EL1451" s="4"/>
      <c r="EM1451" s="4"/>
      <c r="EN1451" s="4"/>
      <c r="EO1451" s="4"/>
      <c r="EP1451" s="4"/>
      <c r="EQ1451" s="4"/>
      <c r="ER1451" s="4"/>
      <c r="ES1451" s="4"/>
      <c r="ET1451" s="4"/>
      <c r="EU1451" s="4"/>
      <c r="EV1451" s="4"/>
      <c r="EW1451" s="4"/>
      <c r="EX1451" s="4"/>
      <c r="EY1451" s="4"/>
      <c r="EZ1451" s="4"/>
      <c r="FA1451" s="4"/>
      <c r="FB1451" s="4"/>
      <c r="FC1451" s="4"/>
      <c r="FD1451" s="4"/>
      <c r="FE1451" s="4"/>
      <c r="FF1451" s="4"/>
      <c r="FG1451" s="4"/>
      <c r="FH1451" s="4"/>
      <c r="FI1451" s="4"/>
      <c r="FJ1451" s="4"/>
      <c r="FK1451" s="4"/>
      <c r="FL1451" s="4"/>
      <c r="FM1451" s="4"/>
      <c r="FN1451" s="4"/>
      <c r="FO1451" s="4"/>
      <c r="FP1451" s="4"/>
      <c r="FQ1451" s="4"/>
      <c r="FR1451" s="4"/>
      <c r="FS1451" s="4"/>
      <c r="FT1451" s="4"/>
      <c r="FU1451" s="4"/>
      <c r="FV1451" s="4"/>
      <c r="FW1451" s="4"/>
      <c r="FX1451" s="4"/>
      <c r="FY1451" s="4"/>
      <c r="FZ1451" s="4"/>
      <c r="GA1451" s="4"/>
      <c r="GB1451" s="4"/>
      <c r="GC1451" s="4"/>
      <c r="GD1451" s="4"/>
      <c r="GE1451" s="4"/>
      <c r="GF1451" s="4"/>
      <c r="GG1451" s="4"/>
      <c r="GH1451" s="4"/>
    </row>
    <row r="1452">
      <c r="A1452" s="2" t="s">
        <v>7828</v>
      </c>
      <c r="B1452" s="2" t="s">
        <v>992</v>
      </c>
      <c r="C1452" s="2" t="s">
        <v>231</v>
      </c>
      <c r="D1452" s="2" t="s">
        <v>992</v>
      </c>
      <c r="E1452" s="2" t="s">
        <v>992</v>
      </c>
      <c r="F1452" s="2" t="s">
        <v>7818</v>
      </c>
      <c r="G1452" s="2" t="s">
        <v>7819</v>
      </c>
      <c r="H1452" s="2" t="s">
        <v>7820</v>
      </c>
      <c r="I1452" s="2" t="s">
        <v>7821</v>
      </c>
      <c r="J1452" s="2" t="s">
        <v>997</v>
      </c>
      <c r="K1452" s="2" t="s">
        <v>7829</v>
      </c>
      <c r="L1452" s="3">
        <v>65.45</v>
      </c>
      <c r="M1452" s="3">
        <v>68.72</v>
      </c>
      <c r="N1452" s="3">
        <v>149.99</v>
      </c>
      <c r="O1452" s="2" t="s">
        <v>460</v>
      </c>
      <c r="P1452" s="2" t="s">
        <v>285</v>
      </c>
      <c r="Q1452" s="2" t="s">
        <v>206</v>
      </c>
      <c r="R1452" s="2" t="s">
        <v>200</v>
      </c>
      <c r="S1452" s="2" t="s">
        <v>200</v>
      </c>
      <c r="T1452" s="2" t="s">
        <v>200</v>
      </c>
      <c r="U1452" s="2" t="s">
        <v>270</v>
      </c>
      <c r="V1452" s="2" t="s">
        <v>724</v>
      </c>
      <c r="W1452" s="2" t="s">
        <v>379</v>
      </c>
      <c r="X1452" s="2" t="s">
        <v>200</v>
      </c>
      <c r="Y1452" s="2" t="s">
        <v>4928</v>
      </c>
      <c r="Z1452" s="4">
        <v>280</v>
      </c>
      <c r="AA1452" s="4">
        <f>=ROUNDDOWN(186.666666666667,0)</f>
      </c>
      <c r="AB1452" s="5">
        <v>1.5</v>
      </c>
      <c r="AC1452" s="2" t="s">
        <v>200</v>
      </c>
      <c r="AD1452" s="4"/>
      <c r="AE1452" s="4"/>
      <c r="AF1452" s="6">
        <v>63</v>
      </c>
      <c r="AG1452" s="6"/>
      <c r="AH1452" s="7">
        <v>1</v>
      </c>
      <c r="AI1452" s="4"/>
      <c r="AJ1452" s="4">
        <f>=ROUNDDOWN({0},0)</f>
      </c>
      <c r="AK1452" s="5"/>
      <c r="AL1452" s="2" t="s">
        <v>200</v>
      </c>
      <c r="AM1452" s="4"/>
      <c r="AN1452" s="4"/>
      <c r="AO1452" s="7"/>
      <c r="AP1452" s="4"/>
      <c r="AQ1452" s="8"/>
      <c r="AR1452" s="4"/>
      <c r="AS1452" s="8"/>
      <c r="AT1452" s="7"/>
      <c r="AU1452" s="7"/>
      <c r="AV1452" s="4" t="s">
        <v>200</v>
      </c>
      <c r="AW1452" s="8" t="s">
        <v>200</v>
      </c>
      <c r="AX1452" s="4" t="s">
        <v>200</v>
      </c>
      <c r="AY1452" s="8" t="s">
        <v>200</v>
      </c>
      <c r="AZ1452" s="7" t="s">
        <v>200</v>
      </c>
      <c r="BA1452" s="7" t="s">
        <v>200</v>
      </c>
      <c r="BB1452" s="7"/>
      <c r="BC1452" s="4" t="s">
        <v>200</v>
      </c>
      <c r="BD1452" s="8" t="s">
        <v>200</v>
      </c>
      <c r="BE1452" s="4" t="s">
        <v>200</v>
      </c>
      <c r="BF1452" s="8" t="s">
        <v>200</v>
      </c>
      <c r="BG1452" s="7" t="s">
        <v>200</v>
      </c>
      <c r="BH1452" s="7" t="s">
        <v>200</v>
      </c>
      <c r="BI1452" s="7"/>
      <c r="BJ1452" s="4"/>
      <c r="BK1452" s="8"/>
      <c r="BL1452" s="2" t="s">
        <v>1614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7830</v>
      </c>
      <c r="BV1452" s="2" t="s">
        <v>200</v>
      </c>
      <c r="BW1452" s="2" t="s">
        <v>200</v>
      </c>
      <c r="BX1452" s="2" t="s">
        <v>289</v>
      </c>
      <c r="BY1452" s="2" t="s">
        <v>247</v>
      </c>
      <c r="BZ1452" s="2" t="s">
        <v>212</v>
      </c>
      <c r="CA1452" s="2" t="s">
        <v>2487</v>
      </c>
      <c r="CB1452" s="2" t="s">
        <v>3415</v>
      </c>
      <c r="CC1452" s="2" t="s">
        <v>213</v>
      </c>
      <c r="CD1452" s="2" t="s">
        <v>200</v>
      </c>
      <c r="CE1452" s="4"/>
      <c r="CF1452" s="4">
        <v>280</v>
      </c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  <c r="DB1452" s="4"/>
      <c r="DC1452" s="4"/>
      <c r="DD1452" s="4"/>
      <c r="DE1452" s="4"/>
      <c r="DF1452" s="4"/>
      <c r="DG1452" s="4"/>
      <c r="DH1452" s="4"/>
      <c r="DI1452" s="4"/>
      <c r="DJ1452" s="4"/>
      <c r="DK1452" s="4"/>
      <c r="DL1452" s="4"/>
      <c r="DM1452" s="4"/>
      <c r="DN1452" s="4"/>
      <c r="DO1452" s="4"/>
      <c r="DP1452" s="4"/>
      <c r="DQ1452" s="4"/>
      <c r="DR1452" s="4"/>
      <c r="DS1452" s="4"/>
      <c r="DT1452" s="4"/>
      <c r="DU1452" s="4"/>
      <c r="DV1452" s="4"/>
      <c r="DW1452" s="4"/>
      <c r="DX1452" s="4"/>
      <c r="DY1452" s="4"/>
      <c r="DZ1452" s="4"/>
      <c r="EA1452" s="4"/>
      <c r="EB1452" s="4"/>
      <c r="EC1452" s="4"/>
      <c r="ED1452" s="4"/>
      <c r="EE1452" s="4"/>
      <c r="EF1452" s="4"/>
      <c r="EG1452" s="4"/>
      <c r="EH1452" s="4"/>
      <c r="EI1452" s="4"/>
      <c r="EJ1452" s="4"/>
      <c r="EK1452" s="4"/>
      <c r="EL1452" s="4"/>
      <c r="EM1452" s="4"/>
      <c r="EN1452" s="4"/>
      <c r="EO1452" s="4"/>
      <c r="EP1452" s="4"/>
      <c r="EQ1452" s="4"/>
      <c r="ER1452" s="4"/>
      <c r="ES1452" s="4"/>
      <c r="ET1452" s="4"/>
      <c r="EU1452" s="4"/>
      <c r="EV1452" s="4"/>
      <c r="EW1452" s="4"/>
      <c r="EX1452" s="4"/>
      <c r="EY1452" s="4"/>
      <c r="EZ1452" s="4"/>
      <c r="FA1452" s="4"/>
      <c r="FB1452" s="4"/>
      <c r="FC1452" s="4"/>
      <c r="FD1452" s="4"/>
      <c r="FE1452" s="4"/>
      <c r="FF1452" s="4"/>
      <c r="FG1452" s="4"/>
      <c r="FH1452" s="4"/>
      <c r="FI1452" s="4"/>
      <c r="FJ1452" s="4"/>
      <c r="FK1452" s="4"/>
      <c r="FL1452" s="4"/>
      <c r="FM1452" s="4"/>
      <c r="FN1452" s="4"/>
      <c r="FO1452" s="4"/>
      <c r="FP1452" s="4"/>
      <c r="FQ1452" s="4"/>
      <c r="FR1452" s="4"/>
      <c r="FS1452" s="4"/>
      <c r="FT1452" s="4"/>
      <c r="FU1452" s="4"/>
      <c r="FV1452" s="4"/>
      <c r="FW1452" s="4"/>
      <c r="FX1452" s="4"/>
      <c r="FY1452" s="4"/>
      <c r="FZ1452" s="4"/>
      <c r="GA1452" s="4"/>
      <c r="GB1452" s="4"/>
      <c r="GC1452" s="4"/>
      <c r="GD1452" s="4"/>
      <c r="GE1452" s="4"/>
      <c r="GF1452" s="4"/>
      <c r="GG1452" s="4"/>
      <c r="GH1452" s="4"/>
    </row>
    <row r="1453">
      <c r="A1453" s="2" t="s">
        <v>7831</v>
      </c>
      <c r="B1453" s="2" t="s">
        <v>992</v>
      </c>
      <c r="C1453" s="2" t="s">
        <v>231</v>
      </c>
      <c r="D1453" s="2" t="s">
        <v>992</v>
      </c>
      <c r="E1453" s="2" t="s">
        <v>992</v>
      </c>
      <c r="F1453" s="2" t="s">
        <v>7818</v>
      </c>
      <c r="G1453" s="2" t="s">
        <v>7819</v>
      </c>
      <c r="H1453" s="2" t="s">
        <v>7820</v>
      </c>
      <c r="I1453" s="2" t="s">
        <v>7821</v>
      </c>
      <c r="J1453" s="2" t="s">
        <v>1005</v>
      </c>
      <c r="K1453" s="2" t="s">
        <v>7829</v>
      </c>
      <c r="L1453" s="3">
        <v>99.93</v>
      </c>
      <c r="M1453" s="3">
        <v>104.93</v>
      </c>
      <c r="N1453" s="3">
        <v>224.99</v>
      </c>
      <c r="O1453" s="2" t="s">
        <v>460</v>
      </c>
      <c r="P1453" s="2" t="s">
        <v>285</v>
      </c>
      <c r="Q1453" s="2" t="s">
        <v>206</v>
      </c>
      <c r="R1453" s="2" t="s">
        <v>200</v>
      </c>
      <c r="S1453" s="2" t="s">
        <v>200</v>
      </c>
      <c r="T1453" s="2" t="s">
        <v>200</v>
      </c>
      <c r="U1453" s="2" t="s">
        <v>270</v>
      </c>
      <c r="V1453" s="2" t="s">
        <v>724</v>
      </c>
      <c r="W1453" s="2" t="s">
        <v>379</v>
      </c>
      <c r="X1453" s="2" t="s">
        <v>200</v>
      </c>
      <c r="Y1453" s="2" t="s">
        <v>4928</v>
      </c>
      <c r="Z1453" s="4">
        <v>210</v>
      </c>
      <c r="AA1453" s="4">
        <f>=ROUNDDOWN(116.666666666667,0)</f>
      </c>
      <c r="AB1453" s="5">
        <v>1.8</v>
      </c>
      <c r="AC1453" s="2" t="s">
        <v>200</v>
      </c>
      <c r="AD1453" s="4"/>
      <c r="AE1453" s="4"/>
      <c r="AF1453" s="6">
        <v>63</v>
      </c>
      <c r="AG1453" s="6"/>
      <c r="AH1453" s="7">
        <v>1</v>
      </c>
      <c r="AI1453" s="4"/>
      <c r="AJ1453" s="4">
        <f>=ROUNDDOWN({0},0)</f>
      </c>
      <c r="AK1453" s="5"/>
      <c r="AL1453" s="2" t="s">
        <v>200</v>
      </c>
      <c r="AM1453" s="4"/>
      <c r="AN1453" s="4"/>
      <c r="AO1453" s="7"/>
      <c r="AP1453" s="4"/>
      <c r="AQ1453" s="8"/>
      <c r="AR1453" s="4"/>
      <c r="AS1453" s="8"/>
      <c r="AT1453" s="7"/>
      <c r="AU1453" s="7"/>
      <c r="AV1453" s="4" t="s">
        <v>200</v>
      </c>
      <c r="AW1453" s="8" t="s">
        <v>200</v>
      </c>
      <c r="AX1453" s="4" t="s">
        <v>200</v>
      </c>
      <c r="AY1453" s="8" t="s">
        <v>200</v>
      </c>
      <c r="AZ1453" s="7" t="s">
        <v>200</v>
      </c>
      <c r="BA1453" s="7" t="s">
        <v>200</v>
      </c>
      <c r="BB1453" s="7"/>
      <c r="BC1453" s="4" t="s">
        <v>200</v>
      </c>
      <c r="BD1453" s="8" t="s">
        <v>200</v>
      </c>
      <c r="BE1453" s="4" t="s">
        <v>200</v>
      </c>
      <c r="BF1453" s="8" t="s">
        <v>200</v>
      </c>
      <c r="BG1453" s="7" t="s">
        <v>200</v>
      </c>
      <c r="BH1453" s="7" t="s">
        <v>200</v>
      </c>
      <c r="BI1453" s="7"/>
      <c r="BJ1453" s="4">
        <v>1</v>
      </c>
      <c r="BK1453" s="8">
        <v>55.08</v>
      </c>
      <c r="BL1453" s="2" t="s">
        <v>2991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7832</v>
      </c>
      <c r="BV1453" s="2" t="s">
        <v>200</v>
      </c>
      <c r="BW1453" s="2" t="s">
        <v>200</v>
      </c>
      <c r="BX1453" s="2" t="s">
        <v>289</v>
      </c>
      <c r="BY1453" s="2" t="s">
        <v>247</v>
      </c>
      <c r="BZ1453" s="2" t="s">
        <v>212</v>
      </c>
      <c r="CA1453" s="2" t="s">
        <v>2487</v>
      </c>
      <c r="CB1453" s="2" t="s">
        <v>200</v>
      </c>
      <c r="CC1453" s="2" t="s">
        <v>213</v>
      </c>
      <c r="CD1453" s="2" t="s">
        <v>200</v>
      </c>
      <c r="CE1453" s="4"/>
      <c r="CF1453" s="4">
        <v>210</v>
      </c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  <c r="DD1453" s="4"/>
      <c r="DE1453" s="4"/>
      <c r="DF1453" s="4"/>
      <c r="DG1453" s="4"/>
      <c r="DH1453" s="4"/>
      <c r="DI1453" s="4"/>
      <c r="DJ1453" s="4"/>
      <c r="DK1453" s="4"/>
      <c r="DL1453" s="4"/>
      <c r="DM1453" s="4"/>
      <c r="DN1453" s="4"/>
      <c r="DO1453" s="4"/>
      <c r="DP1453" s="4"/>
      <c r="DQ1453" s="4"/>
      <c r="DR1453" s="4"/>
      <c r="DS1453" s="4"/>
      <c r="DT1453" s="4"/>
      <c r="DU1453" s="4"/>
      <c r="DV1453" s="4"/>
      <c r="DW1453" s="4"/>
      <c r="DX1453" s="4"/>
      <c r="DY1453" s="4"/>
      <c r="DZ1453" s="4"/>
      <c r="EA1453" s="4"/>
      <c r="EB1453" s="4"/>
      <c r="EC1453" s="4"/>
      <c r="ED1453" s="4"/>
      <c r="EE1453" s="4"/>
      <c r="EF1453" s="4"/>
      <c r="EG1453" s="4"/>
      <c r="EH1453" s="4"/>
      <c r="EI1453" s="4"/>
      <c r="EJ1453" s="4"/>
      <c r="EK1453" s="4"/>
      <c r="EL1453" s="4"/>
      <c r="EM1453" s="4"/>
      <c r="EN1453" s="4"/>
      <c r="EO1453" s="4"/>
      <c r="EP1453" s="4"/>
      <c r="EQ1453" s="4"/>
      <c r="ER1453" s="4"/>
      <c r="ES1453" s="4"/>
      <c r="ET1453" s="4"/>
      <c r="EU1453" s="4"/>
      <c r="EV1453" s="4"/>
      <c r="EW1453" s="4"/>
      <c r="EX1453" s="4"/>
      <c r="EY1453" s="4"/>
      <c r="EZ1453" s="4"/>
      <c r="FA1453" s="4"/>
      <c r="FB1453" s="4"/>
      <c r="FC1453" s="4"/>
      <c r="FD1453" s="4"/>
      <c r="FE1453" s="4"/>
      <c r="FF1453" s="4"/>
      <c r="FG1453" s="4"/>
      <c r="FH1453" s="4"/>
      <c r="FI1453" s="4"/>
      <c r="FJ1453" s="4"/>
      <c r="FK1453" s="4"/>
      <c r="FL1453" s="4"/>
      <c r="FM1453" s="4"/>
      <c r="FN1453" s="4"/>
      <c r="FO1453" s="4"/>
      <c r="FP1453" s="4"/>
      <c r="FQ1453" s="4"/>
      <c r="FR1453" s="4"/>
      <c r="FS1453" s="4"/>
      <c r="FT1453" s="4"/>
      <c r="FU1453" s="4"/>
      <c r="FV1453" s="4"/>
      <c r="FW1453" s="4"/>
      <c r="FX1453" s="4"/>
      <c r="FY1453" s="4"/>
      <c r="FZ1453" s="4"/>
      <c r="GA1453" s="4"/>
      <c r="GB1453" s="4"/>
      <c r="GC1453" s="4"/>
      <c r="GD1453" s="4"/>
      <c r="GE1453" s="4"/>
      <c r="GF1453" s="4"/>
      <c r="GG1453" s="4"/>
      <c r="GH1453" s="4"/>
    </row>
    <row r="1454">
      <c r="A1454" s="2" t="s">
        <v>7833</v>
      </c>
      <c r="B1454" s="2" t="s">
        <v>992</v>
      </c>
      <c r="C1454" s="2" t="s">
        <v>231</v>
      </c>
      <c r="D1454" s="2" t="s">
        <v>992</v>
      </c>
      <c r="E1454" s="2" t="s">
        <v>992</v>
      </c>
      <c r="F1454" s="2" t="s">
        <v>7818</v>
      </c>
      <c r="G1454" s="2" t="s">
        <v>7819</v>
      </c>
      <c r="H1454" s="2" t="s">
        <v>7820</v>
      </c>
      <c r="I1454" s="2" t="s">
        <v>7821</v>
      </c>
      <c r="J1454" s="2" t="s">
        <v>1585</v>
      </c>
      <c r="K1454" s="2" t="s">
        <v>7829</v>
      </c>
      <c r="L1454" s="3">
        <v>129.38</v>
      </c>
      <c r="M1454" s="3">
        <v>135.85</v>
      </c>
      <c r="N1454" s="3">
        <v>289.99</v>
      </c>
      <c r="O1454" s="2" t="s">
        <v>460</v>
      </c>
      <c r="P1454" s="2" t="s">
        <v>285</v>
      </c>
      <c r="Q1454" s="2" t="s">
        <v>206</v>
      </c>
      <c r="R1454" s="2" t="s">
        <v>200</v>
      </c>
      <c r="S1454" s="2" t="s">
        <v>200</v>
      </c>
      <c r="T1454" s="2" t="s">
        <v>200</v>
      </c>
      <c r="U1454" s="2" t="s">
        <v>270</v>
      </c>
      <c r="V1454" s="2" t="s">
        <v>724</v>
      </c>
      <c r="W1454" s="2" t="s">
        <v>379</v>
      </c>
      <c r="X1454" s="2" t="s">
        <v>200</v>
      </c>
      <c r="Y1454" s="2" t="s">
        <v>4928</v>
      </c>
      <c r="Z1454" s="4">
        <v>145</v>
      </c>
      <c r="AA1454" s="4">
        <f>=ROUNDDOWN(37.1794871794872,0)</f>
      </c>
      <c r="AB1454" s="5">
        <v>3.9</v>
      </c>
      <c r="AC1454" s="2" t="s">
        <v>200</v>
      </c>
      <c r="AD1454" s="4"/>
      <c r="AE1454" s="4"/>
      <c r="AF1454" s="6">
        <v>63</v>
      </c>
      <c r="AG1454" s="6"/>
      <c r="AH1454" s="7">
        <v>1</v>
      </c>
      <c r="AI1454" s="4"/>
      <c r="AJ1454" s="4">
        <f>=ROUNDDOWN({0},0)</f>
      </c>
      <c r="AK1454" s="5"/>
      <c r="AL1454" s="2" t="s">
        <v>200</v>
      </c>
      <c r="AM1454" s="4"/>
      <c r="AN1454" s="4"/>
      <c r="AO1454" s="7"/>
      <c r="AP1454" s="4"/>
      <c r="AQ1454" s="8"/>
      <c r="AR1454" s="4"/>
      <c r="AS1454" s="8"/>
      <c r="AT1454" s="7"/>
      <c r="AU1454" s="7"/>
      <c r="AV1454" s="4" t="s">
        <v>200</v>
      </c>
      <c r="AW1454" s="8" t="s">
        <v>200</v>
      </c>
      <c r="AX1454" s="4" t="s">
        <v>200</v>
      </c>
      <c r="AY1454" s="8" t="s">
        <v>200</v>
      </c>
      <c r="AZ1454" s="7" t="s">
        <v>200</v>
      </c>
      <c r="BA1454" s="7" t="s">
        <v>200</v>
      </c>
      <c r="BB1454" s="7"/>
      <c r="BC1454" s="4" t="s">
        <v>200</v>
      </c>
      <c r="BD1454" s="8" t="s">
        <v>200</v>
      </c>
      <c r="BE1454" s="4" t="s">
        <v>200</v>
      </c>
      <c r="BF1454" s="8" t="s">
        <v>200</v>
      </c>
      <c r="BG1454" s="7" t="s">
        <v>200</v>
      </c>
      <c r="BH1454" s="7" t="s">
        <v>200</v>
      </c>
      <c r="BI1454" s="7"/>
      <c r="BJ1454" s="4">
        <v>8</v>
      </c>
      <c r="BK1454" s="8">
        <v>783.37</v>
      </c>
      <c r="BL1454" s="2" t="s">
        <v>7834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7835</v>
      </c>
      <c r="BV1454" s="2" t="s">
        <v>200</v>
      </c>
      <c r="BW1454" s="2" t="s">
        <v>200</v>
      </c>
      <c r="BX1454" s="2" t="s">
        <v>289</v>
      </c>
      <c r="BY1454" s="2" t="s">
        <v>247</v>
      </c>
      <c r="BZ1454" s="2" t="s">
        <v>212</v>
      </c>
      <c r="CA1454" s="2" t="s">
        <v>2487</v>
      </c>
      <c r="CB1454" s="2" t="s">
        <v>7836</v>
      </c>
      <c r="CC1454" s="2" t="s">
        <v>213</v>
      </c>
      <c r="CD1454" s="2" t="s">
        <v>200</v>
      </c>
      <c r="CE1454" s="4"/>
      <c r="CF1454" s="4">
        <v>145</v>
      </c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  <c r="DB1454" s="4"/>
      <c r="DC1454" s="4"/>
      <c r="DD1454" s="4"/>
      <c r="DE1454" s="4"/>
      <c r="DF1454" s="4"/>
      <c r="DG1454" s="4"/>
      <c r="DH1454" s="4"/>
      <c r="DI1454" s="4"/>
      <c r="DJ1454" s="4"/>
      <c r="DK1454" s="4"/>
      <c r="DL1454" s="4"/>
      <c r="DM1454" s="4"/>
      <c r="DN1454" s="4"/>
      <c r="DO1454" s="4"/>
      <c r="DP1454" s="4"/>
      <c r="DQ1454" s="4"/>
      <c r="DR1454" s="4"/>
      <c r="DS1454" s="4"/>
      <c r="DT1454" s="4"/>
      <c r="DU1454" s="4"/>
      <c r="DV1454" s="4"/>
      <c r="DW1454" s="4"/>
      <c r="DX1454" s="4"/>
      <c r="DY1454" s="4"/>
      <c r="DZ1454" s="4"/>
      <c r="EA1454" s="4"/>
      <c r="EB1454" s="4"/>
      <c r="EC1454" s="4"/>
      <c r="ED1454" s="4"/>
      <c r="EE1454" s="4"/>
      <c r="EF1454" s="4"/>
      <c r="EG1454" s="4"/>
      <c r="EH1454" s="4"/>
      <c r="EI1454" s="4"/>
      <c r="EJ1454" s="4"/>
      <c r="EK1454" s="4"/>
      <c r="EL1454" s="4"/>
      <c r="EM1454" s="4"/>
      <c r="EN1454" s="4"/>
      <c r="EO1454" s="4"/>
      <c r="EP1454" s="4"/>
      <c r="EQ1454" s="4"/>
      <c r="ER1454" s="4"/>
      <c r="ES1454" s="4"/>
      <c r="ET1454" s="4"/>
      <c r="EU1454" s="4"/>
      <c r="EV1454" s="4"/>
      <c r="EW1454" s="4"/>
      <c r="EX1454" s="4"/>
      <c r="EY1454" s="4"/>
      <c r="EZ1454" s="4"/>
      <c r="FA1454" s="4"/>
      <c r="FB1454" s="4"/>
      <c r="FC1454" s="4"/>
      <c r="FD1454" s="4"/>
      <c r="FE1454" s="4"/>
      <c r="FF1454" s="4"/>
      <c r="FG1454" s="4"/>
      <c r="FH1454" s="4"/>
      <c r="FI1454" s="4"/>
      <c r="FJ1454" s="4"/>
      <c r="FK1454" s="4"/>
      <c r="FL1454" s="4"/>
      <c r="FM1454" s="4"/>
      <c r="FN1454" s="4"/>
      <c r="FO1454" s="4"/>
      <c r="FP1454" s="4"/>
      <c r="FQ1454" s="4"/>
      <c r="FR1454" s="4"/>
      <c r="FS1454" s="4"/>
      <c r="FT1454" s="4"/>
      <c r="FU1454" s="4"/>
      <c r="FV1454" s="4"/>
      <c r="FW1454" s="4"/>
      <c r="FX1454" s="4"/>
      <c r="FY1454" s="4"/>
      <c r="FZ1454" s="4"/>
      <c r="GA1454" s="4"/>
      <c r="GB1454" s="4"/>
      <c r="GC1454" s="4"/>
      <c r="GD1454" s="4"/>
      <c r="GE1454" s="4"/>
      <c r="GF1454" s="4"/>
      <c r="GG1454" s="4"/>
      <c r="GH1454" s="4"/>
    </row>
    <row r="1455">
      <c r="A1455" s="2" t="s">
        <v>7837</v>
      </c>
      <c r="B1455" s="2" t="s">
        <v>195</v>
      </c>
      <c r="C1455" s="2" t="s">
        <v>231</v>
      </c>
      <c r="D1455" s="2" t="s">
        <v>608</v>
      </c>
      <c r="E1455" s="2" t="s">
        <v>1324</v>
      </c>
      <c r="F1455" s="2" t="s">
        <v>7838</v>
      </c>
      <c r="G1455" s="2" t="s">
        <v>7839</v>
      </c>
      <c r="H1455" s="2" t="s">
        <v>7839</v>
      </c>
      <c r="I1455" s="2" t="s">
        <v>7840</v>
      </c>
      <c r="J1455" s="2" t="s">
        <v>256</v>
      </c>
      <c r="K1455" s="2" t="s">
        <v>1174</v>
      </c>
      <c r="L1455" s="3">
        <v>47.61</v>
      </c>
      <c r="M1455" s="3">
        <v>49.99</v>
      </c>
      <c r="N1455" s="3">
        <v>99.99</v>
      </c>
      <c r="O1455" s="2" t="s">
        <v>212</v>
      </c>
      <c r="P1455" s="2" t="s">
        <v>205</v>
      </c>
      <c r="Q1455" s="2" t="s">
        <v>206</v>
      </c>
      <c r="R1455" s="2" t="s">
        <v>200</v>
      </c>
      <c r="S1455" s="2" t="s">
        <v>7841</v>
      </c>
      <c r="T1455" s="2" t="s">
        <v>2165</v>
      </c>
      <c r="U1455" s="2" t="s">
        <v>677</v>
      </c>
      <c r="V1455" s="2" t="s">
        <v>208</v>
      </c>
      <c r="W1455" s="2" t="s">
        <v>1399</v>
      </c>
      <c r="X1455" s="2" t="s">
        <v>1900</v>
      </c>
      <c r="Y1455" s="2" t="s">
        <v>3155</v>
      </c>
      <c r="Z1455" s="4">
        <v>102</v>
      </c>
      <c r="AA1455" s="4">
        <f>=ROUNDDOWN(34,0)</f>
      </c>
      <c r="AB1455" s="5">
        <v>3</v>
      </c>
      <c r="AC1455" s="2" t="s">
        <v>7054</v>
      </c>
      <c r="AD1455" s="4">
        <v>150</v>
      </c>
      <c r="AE1455" s="4">
        <v>150</v>
      </c>
      <c r="AF1455" s="6">
        <v>65</v>
      </c>
      <c r="AG1455" s="6"/>
      <c r="AH1455" s="7">
        <v>1</v>
      </c>
      <c r="AI1455" s="4"/>
      <c r="AJ1455" s="4">
        <f>=ROUNDDOWN({0},0)</f>
      </c>
      <c r="AK1455" s="5"/>
      <c r="AL1455" s="2" t="s">
        <v>200</v>
      </c>
      <c r="AM1455" s="4"/>
      <c r="AN1455" s="4"/>
      <c r="AO1455" s="7"/>
      <c r="AP1455" s="4"/>
      <c r="AQ1455" s="8"/>
      <c r="AR1455" s="4"/>
      <c r="AS1455" s="8"/>
      <c r="AT1455" s="7"/>
      <c r="AU1455" s="7"/>
      <c r="AV1455" s="4" t="s">
        <v>200</v>
      </c>
      <c r="AW1455" s="8" t="s">
        <v>200</v>
      </c>
      <c r="AX1455" s="4" t="s">
        <v>200</v>
      </c>
      <c r="AY1455" s="8" t="s">
        <v>200</v>
      </c>
      <c r="AZ1455" s="7" t="s">
        <v>200</v>
      </c>
      <c r="BA1455" s="7" t="s">
        <v>200</v>
      </c>
      <c r="BB1455" s="7"/>
      <c r="BC1455" s="4" t="s">
        <v>200</v>
      </c>
      <c r="BD1455" s="8" t="s">
        <v>200</v>
      </c>
      <c r="BE1455" s="4" t="s">
        <v>200</v>
      </c>
      <c r="BF1455" s="8" t="s">
        <v>200</v>
      </c>
      <c r="BG1455" s="7" t="s">
        <v>200</v>
      </c>
      <c r="BH1455" s="7" t="s">
        <v>200</v>
      </c>
      <c r="BI1455" s="7"/>
      <c r="BJ1455" s="4">
        <v>6</v>
      </c>
      <c r="BK1455" s="8">
        <v>322.44</v>
      </c>
      <c r="BL1455" s="2" t="s">
        <v>319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7842</v>
      </c>
      <c r="BV1455" s="2" t="s">
        <v>200</v>
      </c>
      <c r="BW1455" s="2" t="s">
        <v>200</v>
      </c>
      <c r="BX1455" s="2" t="s">
        <v>264</v>
      </c>
      <c r="BY1455" s="2" t="s">
        <v>247</v>
      </c>
      <c r="BZ1455" s="2" t="s">
        <v>212</v>
      </c>
      <c r="CA1455" s="2" t="s">
        <v>915</v>
      </c>
      <c r="CB1455" s="2" t="s">
        <v>200</v>
      </c>
      <c r="CC1455" s="2" t="s">
        <v>213</v>
      </c>
      <c r="CD1455" s="2" t="s">
        <v>200</v>
      </c>
      <c r="CE1455" s="4">
        <v>102</v>
      </c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  <c r="DB1455" s="4"/>
      <c r="DC1455" s="4"/>
      <c r="DD1455" s="4"/>
      <c r="DE1455" s="4"/>
      <c r="DF1455" s="4"/>
      <c r="DG1455" s="4"/>
      <c r="DH1455" s="4"/>
      <c r="DI1455" s="4"/>
      <c r="DJ1455" s="4"/>
      <c r="DK1455" s="4"/>
      <c r="DL1455" s="4"/>
      <c r="DM1455" s="4"/>
      <c r="DN1455" s="4"/>
      <c r="DO1455" s="4"/>
      <c r="DP1455" s="4"/>
      <c r="DQ1455" s="4"/>
      <c r="DR1455" s="4"/>
      <c r="DS1455" s="4"/>
      <c r="DT1455" s="4"/>
      <c r="DU1455" s="4"/>
      <c r="DV1455" s="4"/>
      <c r="DW1455" s="4"/>
      <c r="DX1455" s="4"/>
      <c r="DY1455" s="4"/>
      <c r="DZ1455" s="4"/>
      <c r="EA1455" s="4"/>
      <c r="EB1455" s="4"/>
      <c r="EC1455" s="4"/>
      <c r="ED1455" s="4"/>
      <c r="EE1455" s="4"/>
      <c r="EF1455" s="4"/>
      <c r="EG1455" s="4"/>
      <c r="EH1455" s="4"/>
      <c r="EI1455" s="4"/>
      <c r="EJ1455" s="4"/>
      <c r="EK1455" s="4"/>
      <c r="EL1455" s="4"/>
      <c r="EM1455" s="4"/>
      <c r="EN1455" s="4"/>
      <c r="EO1455" s="4"/>
      <c r="EP1455" s="4"/>
      <c r="EQ1455" s="4"/>
      <c r="ER1455" s="4"/>
      <c r="ES1455" s="4"/>
      <c r="ET1455" s="4"/>
      <c r="EU1455" s="4"/>
      <c r="EV1455" s="4"/>
      <c r="EW1455" s="4"/>
      <c r="EX1455" s="4"/>
      <c r="EY1455" s="4"/>
      <c r="EZ1455" s="4"/>
      <c r="FA1455" s="4"/>
      <c r="FB1455" s="4">
        <v>150</v>
      </c>
      <c r="FC1455" s="4"/>
      <c r="FD1455" s="4"/>
      <c r="FE1455" s="4"/>
      <c r="FF1455" s="4"/>
      <c r="FG1455" s="4"/>
      <c r="FH1455" s="4"/>
      <c r="FI1455" s="4"/>
      <c r="FJ1455" s="4"/>
      <c r="FK1455" s="4"/>
      <c r="FL1455" s="4"/>
      <c r="FM1455" s="4"/>
      <c r="FN1455" s="4"/>
      <c r="FO1455" s="4"/>
      <c r="FP1455" s="4"/>
      <c r="FQ1455" s="4"/>
      <c r="FR1455" s="4"/>
      <c r="FS1455" s="4"/>
      <c r="FT1455" s="4"/>
      <c r="FU1455" s="4"/>
      <c r="FV1455" s="4"/>
      <c r="FW1455" s="4"/>
      <c r="FX1455" s="4"/>
      <c r="FY1455" s="4"/>
      <c r="FZ1455" s="4"/>
      <c r="GA1455" s="4"/>
      <c r="GB1455" s="4"/>
      <c r="GC1455" s="4"/>
      <c r="GD1455" s="4"/>
      <c r="GE1455" s="4"/>
      <c r="GF1455" s="4"/>
      <c r="GG1455" s="4"/>
      <c r="GH1455" s="4"/>
    </row>
    <row r="1456">
      <c r="A1456" s="2" t="s">
        <v>7843</v>
      </c>
      <c r="B1456" s="2" t="s">
        <v>195</v>
      </c>
      <c r="C1456" s="2" t="s">
        <v>231</v>
      </c>
      <c r="D1456" s="2" t="s">
        <v>608</v>
      </c>
      <c r="E1456" s="2" t="s">
        <v>1324</v>
      </c>
      <c r="F1456" s="2" t="s">
        <v>7838</v>
      </c>
      <c r="G1456" s="2" t="s">
        <v>7839</v>
      </c>
      <c r="H1456" s="2" t="s">
        <v>7839</v>
      </c>
      <c r="I1456" s="2" t="s">
        <v>7840</v>
      </c>
      <c r="J1456" s="2" t="s">
        <v>612</v>
      </c>
      <c r="K1456" s="2" t="s">
        <v>1174</v>
      </c>
      <c r="L1456" s="3">
        <v>61.9</v>
      </c>
      <c r="M1456" s="3">
        <v>65</v>
      </c>
      <c r="N1456" s="3">
        <v>129.99</v>
      </c>
      <c r="O1456" s="2" t="s">
        <v>212</v>
      </c>
      <c r="P1456" s="2" t="s">
        <v>205</v>
      </c>
      <c r="Q1456" s="2" t="s">
        <v>206</v>
      </c>
      <c r="R1456" s="2" t="s">
        <v>200</v>
      </c>
      <c r="S1456" s="2" t="s">
        <v>7841</v>
      </c>
      <c r="T1456" s="2" t="s">
        <v>2165</v>
      </c>
      <c r="U1456" s="2" t="s">
        <v>454</v>
      </c>
      <c r="V1456" s="2" t="s">
        <v>208</v>
      </c>
      <c r="W1456" s="2" t="s">
        <v>1399</v>
      </c>
      <c r="X1456" s="2" t="s">
        <v>1900</v>
      </c>
      <c r="Y1456" s="2" t="s">
        <v>3155</v>
      </c>
      <c r="Z1456" s="4">
        <v>202</v>
      </c>
      <c r="AA1456" s="4">
        <f>=ROUNDDOWN(25.25,0)</f>
      </c>
      <c r="AB1456" s="5">
        <v>8</v>
      </c>
      <c r="AC1456" s="2" t="s">
        <v>7054</v>
      </c>
      <c r="AD1456" s="4">
        <v>250</v>
      </c>
      <c r="AE1456" s="4">
        <v>250</v>
      </c>
      <c r="AF1456" s="6">
        <v>65</v>
      </c>
      <c r="AG1456" s="6"/>
      <c r="AH1456" s="7">
        <v>1</v>
      </c>
      <c r="AI1456" s="4"/>
      <c r="AJ1456" s="4">
        <f>=ROUNDDOWN({0},0)</f>
      </c>
      <c r="AK1456" s="5"/>
      <c r="AL1456" s="2" t="s">
        <v>200</v>
      </c>
      <c r="AM1456" s="4"/>
      <c r="AN1456" s="4"/>
      <c r="AO1456" s="7"/>
      <c r="AP1456" s="4"/>
      <c r="AQ1456" s="8"/>
      <c r="AR1456" s="4"/>
      <c r="AS1456" s="8"/>
      <c r="AT1456" s="7"/>
      <c r="AU1456" s="7"/>
      <c r="AV1456" s="4" t="s">
        <v>200</v>
      </c>
      <c r="AW1456" s="8" t="s">
        <v>200</v>
      </c>
      <c r="AX1456" s="4" t="s">
        <v>200</v>
      </c>
      <c r="AY1456" s="8" t="s">
        <v>200</v>
      </c>
      <c r="AZ1456" s="7" t="s">
        <v>200</v>
      </c>
      <c r="BA1456" s="7" t="s">
        <v>200</v>
      </c>
      <c r="BB1456" s="7"/>
      <c r="BC1456" s="4" t="s">
        <v>200</v>
      </c>
      <c r="BD1456" s="8" t="s">
        <v>200</v>
      </c>
      <c r="BE1456" s="4" t="s">
        <v>200</v>
      </c>
      <c r="BF1456" s="8" t="s">
        <v>200</v>
      </c>
      <c r="BG1456" s="7" t="s">
        <v>200</v>
      </c>
      <c r="BH1456" s="7" t="s">
        <v>200</v>
      </c>
      <c r="BI1456" s="7"/>
      <c r="BJ1456" s="4">
        <v>41</v>
      </c>
      <c r="BK1456" s="8">
        <v>2853.76</v>
      </c>
      <c r="BL1456" s="2" t="s">
        <v>327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7844</v>
      </c>
      <c r="BV1456" s="2" t="s">
        <v>200</v>
      </c>
      <c r="BW1456" s="2" t="s">
        <v>200</v>
      </c>
      <c r="BX1456" s="2" t="s">
        <v>264</v>
      </c>
      <c r="BY1456" s="2" t="s">
        <v>247</v>
      </c>
      <c r="BZ1456" s="2" t="s">
        <v>212</v>
      </c>
      <c r="CA1456" s="2" t="s">
        <v>915</v>
      </c>
      <c r="CB1456" s="2" t="s">
        <v>6228</v>
      </c>
      <c r="CC1456" s="2" t="s">
        <v>213</v>
      </c>
      <c r="CD1456" s="2" t="s">
        <v>200</v>
      </c>
      <c r="CE1456" s="4">
        <v>202</v>
      </c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  <c r="DB1456" s="4"/>
      <c r="DC1456" s="4"/>
      <c r="DD1456" s="4"/>
      <c r="DE1456" s="4"/>
      <c r="DF1456" s="4"/>
      <c r="DG1456" s="4"/>
      <c r="DH1456" s="4"/>
      <c r="DI1456" s="4"/>
      <c r="DJ1456" s="4"/>
      <c r="DK1456" s="4"/>
      <c r="DL1456" s="4"/>
      <c r="DM1456" s="4"/>
      <c r="DN1456" s="4"/>
      <c r="DO1456" s="4"/>
      <c r="DP1456" s="4"/>
      <c r="DQ1456" s="4"/>
      <c r="DR1456" s="4"/>
      <c r="DS1456" s="4"/>
      <c r="DT1456" s="4"/>
      <c r="DU1456" s="4"/>
      <c r="DV1456" s="4"/>
      <c r="DW1456" s="4"/>
      <c r="DX1456" s="4"/>
      <c r="DY1456" s="4"/>
      <c r="DZ1456" s="4"/>
      <c r="EA1456" s="4"/>
      <c r="EB1456" s="4"/>
      <c r="EC1456" s="4"/>
      <c r="ED1456" s="4"/>
      <c r="EE1456" s="4"/>
      <c r="EF1456" s="4"/>
      <c r="EG1456" s="4"/>
      <c r="EH1456" s="4"/>
      <c r="EI1456" s="4"/>
      <c r="EJ1456" s="4"/>
      <c r="EK1456" s="4"/>
      <c r="EL1456" s="4"/>
      <c r="EM1456" s="4"/>
      <c r="EN1456" s="4"/>
      <c r="EO1456" s="4"/>
      <c r="EP1456" s="4"/>
      <c r="EQ1456" s="4"/>
      <c r="ER1456" s="4"/>
      <c r="ES1456" s="4"/>
      <c r="ET1456" s="4"/>
      <c r="EU1456" s="4"/>
      <c r="EV1456" s="4"/>
      <c r="EW1456" s="4"/>
      <c r="EX1456" s="4"/>
      <c r="EY1456" s="4"/>
      <c r="EZ1456" s="4"/>
      <c r="FA1456" s="4"/>
      <c r="FB1456" s="4">
        <v>250</v>
      </c>
      <c r="FC1456" s="4"/>
      <c r="FD1456" s="4"/>
      <c r="FE1456" s="4"/>
      <c r="FF1456" s="4"/>
      <c r="FG1456" s="4"/>
      <c r="FH1456" s="4"/>
      <c r="FI1456" s="4"/>
      <c r="FJ1456" s="4"/>
      <c r="FK1456" s="4"/>
      <c r="FL1456" s="4"/>
      <c r="FM1456" s="4"/>
      <c r="FN1456" s="4"/>
      <c r="FO1456" s="4"/>
      <c r="FP1456" s="4"/>
      <c r="FQ1456" s="4"/>
      <c r="FR1456" s="4"/>
      <c r="FS1456" s="4"/>
      <c r="FT1456" s="4"/>
      <c r="FU1456" s="4"/>
      <c r="FV1456" s="4"/>
      <c r="FW1456" s="4"/>
      <c r="FX1456" s="4"/>
      <c r="FY1456" s="4"/>
      <c r="FZ1456" s="4"/>
      <c r="GA1456" s="4"/>
      <c r="GB1456" s="4"/>
      <c r="GC1456" s="4"/>
      <c r="GD1456" s="4"/>
      <c r="GE1456" s="4"/>
      <c r="GF1456" s="4"/>
      <c r="GG1456" s="4"/>
      <c r="GH1456" s="4"/>
    </row>
    <row r="1457">
      <c r="A1457" s="2" t="s">
        <v>7845</v>
      </c>
      <c r="B1457" s="2" t="s">
        <v>932</v>
      </c>
      <c r="C1457" s="2" t="s">
        <v>877</v>
      </c>
      <c r="D1457" s="2" t="s">
        <v>608</v>
      </c>
      <c r="E1457" s="2" t="s">
        <v>904</v>
      </c>
      <c r="F1457" s="2" t="s">
        <v>7846</v>
      </c>
      <c r="G1457" s="2" t="s">
        <v>7847</v>
      </c>
      <c r="H1457" s="2" t="s">
        <v>7848</v>
      </c>
      <c r="I1457" s="2" t="s">
        <v>7849</v>
      </c>
      <c r="J1457" s="2" t="s">
        <v>269</v>
      </c>
      <c r="K1457" s="2" t="s">
        <v>7850</v>
      </c>
      <c r="L1457" s="3">
        <v>35.52</v>
      </c>
      <c r="M1457" s="3">
        <v>37.3</v>
      </c>
      <c r="N1457" s="3">
        <v>78.99</v>
      </c>
      <c r="O1457" s="2" t="s">
        <v>212</v>
      </c>
      <c r="P1457" s="2" t="s">
        <v>258</v>
      </c>
      <c r="Q1457" s="2" t="s">
        <v>206</v>
      </c>
      <c r="R1457" s="2" t="s">
        <v>200</v>
      </c>
      <c r="S1457" s="2" t="s">
        <v>7851</v>
      </c>
      <c r="T1457" s="2" t="s">
        <v>378</v>
      </c>
      <c r="U1457" s="2" t="s">
        <v>1067</v>
      </c>
      <c r="V1457" s="2" t="s">
        <v>1198</v>
      </c>
      <c r="W1457" s="2" t="s">
        <v>241</v>
      </c>
      <c r="X1457" s="2" t="s">
        <v>1900</v>
      </c>
      <c r="Y1457" s="2" t="s">
        <v>2406</v>
      </c>
      <c r="Z1457" s="4">
        <v>221</v>
      </c>
      <c r="AA1457" s="4">
        <f>=ROUNDDOWN(55.25,0)</f>
      </c>
      <c r="AB1457" s="5">
        <v>4</v>
      </c>
      <c r="AC1457" s="2" t="s">
        <v>200</v>
      </c>
      <c r="AD1457" s="4"/>
      <c r="AE1457" s="4"/>
      <c r="AF1457" s="6">
        <v>64</v>
      </c>
      <c r="AG1457" s="6"/>
      <c r="AH1457" s="7">
        <v>1</v>
      </c>
      <c r="AI1457" s="4"/>
      <c r="AJ1457" s="4">
        <f>=ROUNDDOWN({0},0)</f>
      </c>
      <c r="AK1457" s="5"/>
      <c r="AL1457" s="2" t="s">
        <v>200</v>
      </c>
      <c r="AM1457" s="4"/>
      <c r="AN1457" s="4"/>
      <c r="AO1457" s="7"/>
      <c r="AP1457" s="4"/>
      <c r="AQ1457" s="8"/>
      <c r="AR1457" s="4"/>
      <c r="AS1457" s="8"/>
      <c r="AT1457" s="7"/>
      <c r="AU1457" s="7"/>
      <c r="AV1457" s="4" t="s">
        <v>200</v>
      </c>
      <c r="AW1457" s="8" t="s">
        <v>200</v>
      </c>
      <c r="AX1457" s="4" t="s">
        <v>200</v>
      </c>
      <c r="AY1457" s="8" t="s">
        <v>200</v>
      </c>
      <c r="AZ1457" s="7" t="s">
        <v>200</v>
      </c>
      <c r="BA1457" s="7" t="s">
        <v>200</v>
      </c>
      <c r="BB1457" s="7"/>
      <c r="BC1457" s="4" t="s">
        <v>200</v>
      </c>
      <c r="BD1457" s="8" t="s">
        <v>200</v>
      </c>
      <c r="BE1457" s="4" t="s">
        <v>200</v>
      </c>
      <c r="BF1457" s="8" t="s">
        <v>200</v>
      </c>
      <c r="BG1457" s="7" t="s">
        <v>200</v>
      </c>
      <c r="BH1457" s="7" t="s">
        <v>200</v>
      </c>
      <c r="BI1457" s="7"/>
      <c r="BJ1457" s="4">
        <v>8</v>
      </c>
      <c r="BK1457" s="8">
        <v>278.22</v>
      </c>
      <c r="BL1457" s="2" t="s">
        <v>791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7852</v>
      </c>
      <c r="BV1457" s="2" t="s">
        <v>200</v>
      </c>
      <c r="BW1457" s="2" t="s">
        <v>200</v>
      </c>
      <c r="BX1457" s="2" t="s">
        <v>629</v>
      </c>
      <c r="BY1457" s="2" t="s">
        <v>247</v>
      </c>
      <c r="BZ1457" s="2" t="s">
        <v>212</v>
      </c>
      <c r="CA1457" s="2" t="s">
        <v>915</v>
      </c>
      <c r="CB1457" s="2" t="s">
        <v>200</v>
      </c>
      <c r="CC1457" s="2" t="s">
        <v>213</v>
      </c>
      <c r="CD1457" s="2" t="s">
        <v>200</v>
      </c>
      <c r="CE1457" s="4">
        <v>221</v>
      </c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  <c r="DD1457" s="4"/>
      <c r="DE1457" s="4"/>
      <c r="DF1457" s="4"/>
      <c r="DG1457" s="4"/>
      <c r="DH1457" s="4"/>
      <c r="DI1457" s="4"/>
      <c r="DJ1457" s="4"/>
      <c r="DK1457" s="4"/>
      <c r="DL1457" s="4"/>
      <c r="DM1457" s="4"/>
      <c r="DN1457" s="4"/>
      <c r="DO1457" s="4"/>
      <c r="DP1457" s="4"/>
      <c r="DQ1457" s="4"/>
      <c r="DR1457" s="4"/>
      <c r="DS1457" s="4"/>
      <c r="DT1457" s="4"/>
      <c r="DU1457" s="4"/>
      <c r="DV1457" s="4"/>
      <c r="DW1457" s="4"/>
      <c r="DX1457" s="4"/>
      <c r="DY1457" s="4"/>
      <c r="DZ1457" s="4"/>
      <c r="EA1457" s="4"/>
      <c r="EB1457" s="4"/>
      <c r="EC1457" s="4"/>
      <c r="ED1457" s="4"/>
      <c r="EE1457" s="4"/>
      <c r="EF1457" s="4"/>
      <c r="EG1457" s="4"/>
      <c r="EH1457" s="4"/>
      <c r="EI1457" s="4"/>
      <c r="EJ1457" s="4"/>
      <c r="EK1457" s="4"/>
      <c r="EL1457" s="4"/>
      <c r="EM1457" s="4"/>
      <c r="EN1457" s="4"/>
      <c r="EO1457" s="4"/>
      <c r="EP1457" s="4"/>
      <c r="EQ1457" s="4"/>
      <c r="ER1457" s="4"/>
      <c r="ES1457" s="4"/>
      <c r="ET1457" s="4"/>
      <c r="EU1457" s="4"/>
      <c r="EV1457" s="4"/>
      <c r="EW1457" s="4"/>
      <c r="EX1457" s="4"/>
      <c r="EY1457" s="4"/>
      <c r="EZ1457" s="4"/>
      <c r="FA1457" s="4"/>
      <c r="FB1457" s="4"/>
      <c r="FC1457" s="4"/>
      <c r="FD1457" s="4"/>
      <c r="FE1457" s="4"/>
      <c r="FF1457" s="4"/>
      <c r="FG1457" s="4"/>
      <c r="FH1457" s="4"/>
      <c r="FI1457" s="4"/>
      <c r="FJ1457" s="4"/>
      <c r="FK1457" s="4"/>
      <c r="FL1457" s="4"/>
      <c r="FM1457" s="4"/>
      <c r="FN1457" s="4"/>
      <c r="FO1457" s="4"/>
      <c r="FP1457" s="4"/>
      <c r="FQ1457" s="4"/>
      <c r="FR1457" s="4"/>
      <c r="FS1457" s="4"/>
      <c r="FT1457" s="4"/>
      <c r="FU1457" s="4"/>
      <c r="FV1457" s="4"/>
      <c r="FW1457" s="4"/>
      <c r="FX1457" s="4"/>
      <c r="FY1457" s="4"/>
      <c r="FZ1457" s="4"/>
      <c r="GA1457" s="4"/>
      <c r="GB1457" s="4"/>
      <c r="GC1457" s="4"/>
      <c r="GD1457" s="4"/>
      <c r="GE1457" s="4"/>
      <c r="GF1457" s="4"/>
      <c r="GG1457" s="4"/>
      <c r="GH1457" s="4"/>
    </row>
    <row r="1458">
      <c r="A1458" s="2" t="s">
        <v>7853</v>
      </c>
      <c r="B1458" s="2" t="s">
        <v>932</v>
      </c>
      <c r="C1458" s="2" t="s">
        <v>877</v>
      </c>
      <c r="D1458" s="2" t="s">
        <v>608</v>
      </c>
      <c r="E1458" s="2" t="s">
        <v>904</v>
      </c>
      <c r="F1458" s="2" t="s">
        <v>7846</v>
      </c>
      <c r="G1458" s="2" t="s">
        <v>7847</v>
      </c>
      <c r="H1458" s="2" t="s">
        <v>7848</v>
      </c>
      <c r="I1458" s="2" t="s">
        <v>7849</v>
      </c>
      <c r="J1458" s="2" t="s">
        <v>297</v>
      </c>
      <c r="K1458" s="2" t="s">
        <v>7850</v>
      </c>
      <c r="L1458" s="3">
        <v>44.1</v>
      </c>
      <c r="M1458" s="3">
        <v>46.31</v>
      </c>
      <c r="N1458" s="3">
        <v>94.99</v>
      </c>
      <c r="O1458" s="2" t="s">
        <v>212</v>
      </c>
      <c r="P1458" s="2" t="s">
        <v>258</v>
      </c>
      <c r="Q1458" s="2" t="s">
        <v>206</v>
      </c>
      <c r="R1458" s="2" t="s">
        <v>200</v>
      </c>
      <c r="S1458" s="2" t="s">
        <v>7851</v>
      </c>
      <c r="T1458" s="2" t="s">
        <v>378</v>
      </c>
      <c r="U1458" s="2" t="s">
        <v>909</v>
      </c>
      <c r="V1458" s="2" t="s">
        <v>1198</v>
      </c>
      <c r="W1458" s="2" t="s">
        <v>241</v>
      </c>
      <c r="X1458" s="2" t="s">
        <v>1900</v>
      </c>
      <c r="Y1458" s="2" t="s">
        <v>2406</v>
      </c>
      <c r="Z1458" s="4">
        <v>312</v>
      </c>
      <c r="AA1458" s="4">
        <f>=ROUNDDOWN(34.6666666666667,0)</f>
      </c>
      <c r="AB1458" s="5">
        <v>9</v>
      </c>
      <c r="AC1458" s="2" t="s">
        <v>200</v>
      </c>
      <c r="AD1458" s="4"/>
      <c r="AE1458" s="4"/>
      <c r="AF1458" s="6">
        <v>64</v>
      </c>
      <c r="AG1458" s="6"/>
      <c r="AH1458" s="7">
        <v>1</v>
      </c>
      <c r="AI1458" s="4"/>
      <c r="AJ1458" s="4">
        <f>=ROUNDDOWN({0},0)</f>
      </c>
      <c r="AK1458" s="5"/>
      <c r="AL1458" s="2" t="s">
        <v>200</v>
      </c>
      <c r="AM1458" s="4"/>
      <c r="AN1458" s="4"/>
      <c r="AO1458" s="7"/>
      <c r="AP1458" s="4"/>
      <c r="AQ1458" s="8"/>
      <c r="AR1458" s="4"/>
      <c r="AS1458" s="8"/>
      <c r="AT1458" s="7"/>
      <c r="AU1458" s="7"/>
      <c r="AV1458" s="4" t="s">
        <v>200</v>
      </c>
      <c r="AW1458" s="8" t="s">
        <v>200</v>
      </c>
      <c r="AX1458" s="4" t="s">
        <v>200</v>
      </c>
      <c r="AY1458" s="8" t="s">
        <v>200</v>
      </c>
      <c r="AZ1458" s="7" t="s">
        <v>200</v>
      </c>
      <c r="BA1458" s="7" t="s">
        <v>200</v>
      </c>
      <c r="BB1458" s="7"/>
      <c r="BC1458" s="4" t="s">
        <v>200</v>
      </c>
      <c r="BD1458" s="8" t="s">
        <v>200</v>
      </c>
      <c r="BE1458" s="4" t="s">
        <v>200</v>
      </c>
      <c r="BF1458" s="8" t="s">
        <v>200</v>
      </c>
      <c r="BG1458" s="7" t="s">
        <v>200</v>
      </c>
      <c r="BH1458" s="7" t="s">
        <v>200</v>
      </c>
      <c r="BI1458" s="7"/>
      <c r="BJ1458" s="4">
        <v>20</v>
      </c>
      <c r="BK1458" s="8">
        <v>933.36</v>
      </c>
      <c r="BL1458" s="2" t="s">
        <v>7854</v>
      </c>
      <c r="BM1458" s="7"/>
      <c r="BN1458" s="7"/>
      <c r="BO1458" s="4"/>
      <c r="BP1458" s="8"/>
      <c r="BQ1458" s="4"/>
      <c r="BR1458" s="8"/>
      <c r="BS1458" s="7"/>
      <c r="BT1458" s="7"/>
      <c r="BU1458" s="2" t="s">
        <v>7855</v>
      </c>
      <c r="BV1458" s="2" t="s">
        <v>200</v>
      </c>
      <c r="BW1458" s="2" t="s">
        <v>200</v>
      </c>
      <c r="BX1458" s="2" t="s">
        <v>629</v>
      </c>
      <c r="BY1458" s="2" t="s">
        <v>247</v>
      </c>
      <c r="BZ1458" s="2" t="s">
        <v>212</v>
      </c>
      <c r="CA1458" s="2" t="s">
        <v>915</v>
      </c>
      <c r="CB1458" s="2" t="s">
        <v>5535</v>
      </c>
      <c r="CC1458" s="2" t="s">
        <v>213</v>
      </c>
      <c r="CD1458" s="2" t="s">
        <v>200</v>
      </c>
      <c r="CE1458" s="4">
        <v>312</v>
      </c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/>
      <c r="DA1458" s="4"/>
      <c r="DB1458" s="4"/>
      <c r="DC1458" s="4"/>
      <c r="DD1458" s="4"/>
      <c r="DE1458" s="4"/>
      <c r="DF1458" s="4"/>
      <c r="DG1458" s="4"/>
      <c r="DH1458" s="4"/>
      <c r="DI1458" s="4"/>
      <c r="DJ1458" s="4"/>
      <c r="DK1458" s="4"/>
      <c r="DL1458" s="4"/>
      <c r="DM1458" s="4"/>
      <c r="DN1458" s="4"/>
      <c r="DO1458" s="4"/>
      <c r="DP1458" s="4"/>
      <c r="DQ1458" s="4"/>
      <c r="DR1458" s="4"/>
      <c r="DS1458" s="4"/>
      <c r="DT1458" s="4"/>
      <c r="DU1458" s="4"/>
      <c r="DV1458" s="4"/>
      <c r="DW1458" s="4"/>
      <c r="DX1458" s="4"/>
      <c r="DY1458" s="4"/>
      <c r="DZ1458" s="4"/>
      <c r="EA1458" s="4"/>
      <c r="EB1458" s="4"/>
      <c r="EC1458" s="4"/>
      <c r="ED1458" s="4"/>
      <c r="EE1458" s="4"/>
      <c r="EF1458" s="4"/>
      <c r="EG1458" s="4"/>
      <c r="EH1458" s="4"/>
      <c r="EI1458" s="4"/>
      <c r="EJ1458" s="4"/>
      <c r="EK1458" s="4"/>
      <c r="EL1458" s="4"/>
      <c r="EM1458" s="4"/>
      <c r="EN1458" s="4"/>
      <c r="EO1458" s="4"/>
      <c r="EP1458" s="4"/>
      <c r="EQ1458" s="4"/>
      <c r="ER1458" s="4"/>
      <c r="ES1458" s="4"/>
      <c r="ET1458" s="4"/>
      <c r="EU1458" s="4"/>
      <c r="EV1458" s="4"/>
      <c r="EW1458" s="4"/>
      <c r="EX1458" s="4"/>
      <c r="EY1458" s="4"/>
      <c r="EZ1458" s="4"/>
      <c r="FA1458" s="4"/>
      <c r="FB1458" s="4"/>
      <c r="FC1458" s="4"/>
      <c r="FD1458" s="4"/>
      <c r="FE1458" s="4"/>
      <c r="FF1458" s="4"/>
      <c r="FG1458" s="4"/>
      <c r="FH1458" s="4"/>
      <c r="FI1458" s="4"/>
      <c r="FJ1458" s="4"/>
      <c r="FK1458" s="4"/>
      <c r="FL1458" s="4"/>
      <c r="FM1458" s="4"/>
      <c r="FN1458" s="4"/>
      <c r="FO1458" s="4"/>
      <c r="FP1458" s="4"/>
      <c r="FQ1458" s="4"/>
      <c r="FR1458" s="4"/>
      <c r="FS1458" s="4"/>
      <c r="FT1458" s="4"/>
      <c r="FU1458" s="4"/>
      <c r="FV1458" s="4"/>
      <c r="FW1458" s="4"/>
      <c r="FX1458" s="4"/>
      <c r="FY1458" s="4"/>
      <c r="FZ1458" s="4"/>
      <c r="GA1458" s="4"/>
      <c r="GB1458" s="4"/>
      <c r="GC1458" s="4"/>
      <c r="GD1458" s="4"/>
      <c r="GE1458" s="4"/>
      <c r="GF1458" s="4"/>
      <c r="GG1458" s="4"/>
      <c r="GH1458" s="4"/>
    </row>
    <row r="1459">
      <c r="A1459" s="2" t="s">
        <v>7856</v>
      </c>
      <c r="B1459" s="2" t="s">
        <v>744</v>
      </c>
      <c r="C1459" s="2" t="s">
        <v>745</v>
      </c>
      <c r="D1459" s="2" t="s">
        <v>1275</v>
      </c>
      <c r="E1459" s="2" t="s">
        <v>1276</v>
      </c>
      <c r="F1459" s="2" t="s">
        <v>7857</v>
      </c>
      <c r="G1459" s="2" t="s">
        <v>7857</v>
      </c>
      <c r="H1459" s="2" t="s">
        <v>200</v>
      </c>
      <c r="I1459" s="2" t="s">
        <v>7858</v>
      </c>
      <c r="J1459" s="2" t="s">
        <v>711</v>
      </c>
      <c r="K1459" s="2" t="s">
        <v>464</v>
      </c>
      <c r="L1459" s="3">
        <v>161.5</v>
      </c>
      <c r="M1459" s="3">
        <v>169.58</v>
      </c>
      <c r="N1459" s="3">
        <v>339</v>
      </c>
      <c r="O1459" s="2" t="s">
        <v>212</v>
      </c>
      <c r="P1459" s="2" t="s">
        <v>258</v>
      </c>
      <c r="Q1459" s="2" t="s">
        <v>206</v>
      </c>
      <c r="R1459" s="2" t="s">
        <v>200</v>
      </c>
      <c r="S1459" s="2" t="s">
        <v>7859</v>
      </c>
      <c r="T1459" s="2" t="s">
        <v>200</v>
      </c>
      <c r="U1459" s="2" t="s">
        <v>200</v>
      </c>
      <c r="V1459" s="2" t="s">
        <v>208</v>
      </c>
      <c r="W1459" s="2" t="s">
        <v>712</v>
      </c>
      <c r="X1459" s="2" t="s">
        <v>200</v>
      </c>
      <c r="Y1459" s="2" t="s">
        <v>261</v>
      </c>
      <c r="Z1459" s="4">
        <v>137</v>
      </c>
      <c r="AA1459" s="4">
        <f>=ROUNDDOWN(8.05882352941176,0)</f>
      </c>
      <c r="AB1459" s="5">
        <v>17</v>
      </c>
      <c r="AC1459" s="2" t="s">
        <v>7860</v>
      </c>
      <c r="AD1459" s="4">
        <v>72</v>
      </c>
      <c r="AE1459" s="4">
        <v>150</v>
      </c>
      <c r="AF1459" s="6">
        <v>66</v>
      </c>
      <c r="AG1459" s="6">
        <v>49</v>
      </c>
      <c r="AH1459" s="7">
        <v>1</v>
      </c>
      <c r="AI1459" s="4"/>
      <c r="AJ1459" s="4">
        <f>=ROUNDDOWN({0},0)</f>
      </c>
      <c r="AK1459" s="5">
        <v>1.9</v>
      </c>
      <c r="AL1459" s="2" t="s">
        <v>200</v>
      </c>
      <c r="AM1459" s="4"/>
      <c r="AN1459" s="4"/>
      <c r="AO1459" s="7">
        <v>1</v>
      </c>
      <c r="AP1459" s="4"/>
      <c r="AQ1459" s="8"/>
      <c r="AR1459" s="4"/>
      <c r="AS1459" s="8"/>
      <c r="AT1459" s="7"/>
      <c r="AU1459" s="7"/>
      <c r="AV1459" s="4"/>
      <c r="AW1459" s="8"/>
      <c r="AX1459" s="4"/>
      <c r="AY1459" s="8"/>
      <c r="AZ1459" s="7"/>
      <c r="BA1459" s="7"/>
      <c r="BB1459" s="7"/>
      <c r="BC1459" s="4"/>
      <c r="BD1459" s="8"/>
      <c r="BE1459" s="4"/>
      <c r="BF1459" s="8"/>
      <c r="BG1459" s="7"/>
      <c r="BH1459" s="7"/>
      <c r="BI1459" s="7"/>
      <c r="BJ1459" s="4">
        <v>8</v>
      </c>
      <c r="BK1459" s="8">
        <v>1277.2</v>
      </c>
      <c r="BL1459" s="2" t="s">
        <v>7861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7862</v>
      </c>
      <c r="BV1459" s="2" t="s">
        <v>200</v>
      </c>
      <c r="BW1459" s="2" t="s">
        <v>200</v>
      </c>
      <c r="BX1459" s="2" t="s">
        <v>620</v>
      </c>
      <c r="BY1459" s="2" t="s">
        <v>247</v>
      </c>
      <c r="BZ1459" s="2" t="s">
        <v>212</v>
      </c>
      <c r="CA1459" s="2" t="s">
        <v>3604</v>
      </c>
      <c r="CB1459" s="2" t="s">
        <v>4803</v>
      </c>
      <c r="CC1459" s="2" t="s">
        <v>213</v>
      </c>
      <c r="CD1459" s="2" t="s">
        <v>200</v>
      </c>
      <c r="CE1459" s="4"/>
      <c r="CF1459" s="4">
        <v>137</v>
      </c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  <c r="DE1459" s="4"/>
      <c r="DF1459" s="4"/>
      <c r="DG1459" s="4"/>
      <c r="DH1459" s="4"/>
      <c r="DI1459" s="4"/>
      <c r="DJ1459" s="4"/>
      <c r="DK1459" s="4"/>
      <c r="DL1459" s="4"/>
      <c r="DM1459" s="4"/>
      <c r="DN1459" s="4"/>
      <c r="DO1459" s="4"/>
      <c r="DP1459" s="4"/>
      <c r="DQ1459" s="4"/>
      <c r="DR1459" s="4"/>
      <c r="DS1459" s="4"/>
      <c r="DT1459" s="4"/>
      <c r="DU1459" s="4"/>
      <c r="DV1459" s="4"/>
      <c r="DW1459" s="4"/>
      <c r="DX1459" s="4">
        <v>72</v>
      </c>
      <c r="DY1459" s="4"/>
      <c r="DZ1459" s="4"/>
      <c r="EA1459" s="4"/>
      <c r="EB1459" s="4"/>
      <c r="EC1459" s="4"/>
      <c r="ED1459" s="4">
        <v>70</v>
      </c>
      <c r="EE1459" s="4"/>
      <c r="EF1459" s="4"/>
      <c r="EG1459" s="4"/>
      <c r="EH1459" s="4"/>
      <c r="EI1459" s="4"/>
      <c r="EJ1459" s="4"/>
      <c r="EK1459" s="4"/>
      <c r="EL1459" s="4"/>
      <c r="EM1459" s="4"/>
      <c r="EN1459" s="4"/>
      <c r="EO1459" s="4"/>
      <c r="EP1459" s="4"/>
      <c r="EQ1459" s="4"/>
      <c r="ER1459" s="4"/>
      <c r="ES1459" s="4"/>
      <c r="ET1459" s="4"/>
      <c r="EU1459" s="4">
        <v>8</v>
      </c>
      <c r="EV1459" s="4"/>
      <c r="EW1459" s="4"/>
      <c r="EX1459" s="4"/>
      <c r="EY1459" s="4"/>
      <c r="EZ1459" s="4"/>
      <c r="FA1459" s="4"/>
      <c r="FB1459" s="4"/>
      <c r="FC1459" s="4"/>
      <c r="FD1459" s="4"/>
      <c r="FE1459" s="4"/>
      <c r="FF1459" s="4"/>
      <c r="FG1459" s="4"/>
      <c r="FH1459" s="4"/>
      <c r="FI1459" s="4"/>
      <c r="FJ1459" s="4"/>
      <c r="FK1459" s="4"/>
      <c r="FL1459" s="4"/>
      <c r="FM1459" s="4"/>
      <c r="FN1459" s="4"/>
      <c r="FO1459" s="4"/>
      <c r="FP1459" s="4"/>
      <c r="FQ1459" s="4"/>
      <c r="FR1459" s="4"/>
      <c r="FS1459" s="4"/>
      <c r="FT1459" s="4"/>
      <c r="FU1459" s="4"/>
      <c r="FV1459" s="4"/>
      <c r="FW1459" s="4"/>
      <c r="FX1459" s="4"/>
      <c r="FY1459" s="4"/>
      <c r="FZ1459" s="4"/>
      <c r="GA1459" s="4"/>
      <c r="GB1459" s="4"/>
      <c r="GC1459" s="4"/>
      <c r="GD1459" s="4"/>
      <c r="GE1459" s="4"/>
      <c r="GF1459" s="4"/>
      <c r="GG1459" s="4"/>
      <c r="GH1459" s="4"/>
    </row>
    <row r="1460">
      <c r="A1460" s="2" t="s">
        <v>7863</v>
      </c>
      <c r="B1460" s="2" t="s">
        <v>744</v>
      </c>
      <c r="C1460" s="2" t="s">
        <v>745</v>
      </c>
      <c r="D1460" s="2" t="s">
        <v>746</v>
      </c>
      <c r="E1460" s="2" t="s">
        <v>747</v>
      </c>
      <c r="F1460" s="2" t="s">
        <v>7864</v>
      </c>
      <c r="G1460" s="2" t="s">
        <v>7864</v>
      </c>
      <c r="H1460" s="2" t="s">
        <v>7864</v>
      </c>
      <c r="I1460" s="2" t="s">
        <v>7865</v>
      </c>
      <c r="J1460" s="2" t="s">
        <v>711</v>
      </c>
      <c r="K1460" s="2" t="s">
        <v>7866</v>
      </c>
      <c r="L1460" s="3">
        <v>123</v>
      </c>
      <c r="M1460" s="3">
        <v>129.15</v>
      </c>
      <c r="N1460" s="3">
        <v>259</v>
      </c>
      <c r="O1460" s="2" t="s">
        <v>212</v>
      </c>
      <c r="P1460" s="2" t="s">
        <v>285</v>
      </c>
      <c r="Q1460" s="2" t="s">
        <v>206</v>
      </c>
      <c r="R1460" s="2" t="s">
        <v>200</v>
      </c>
      <c r="S1460" s="2" t="s">
        <v>200</v>
      </c>
      <c r="T1460" s="2" t="s">
        <v>200</v>
      </c>
      <c r="U1460" s="2" t="s">
        <v>270</v>
      </c>
      <c r="V1460" s="2" t="s">
        <v>616</v>
      </c>
      <c r="W1460" s="2" t="s">
        <v>379</v>
      </c>
      <c r="X1460" s="2" t="s">
        <v>241</v>
      </c>
      <c r="Y1460" s="2" t="s">
        <v>7867</v>
      </c>
      <c r="Z1460" s="4">
        <v>72</v>
      </c>
      <c r="AA1460" s="4">
        <f>=ROUNDDOWN(72,0)</f>
      </c>
      <c r="AB1460" s="5">
        <v>1</v>
      </c>
      <c r="AC1460" s="2" t="s">
        <v>200</v>
      </c>
      <c r="AD1460" s="4"/>
      <c r="AE1460" s="4"/>
      <c r="AF1460" s="6">
        <v>66</v>
      </c>
      <c r="AG1460" s="6"/>
      <c r="AH1460" s="7">
        <v>1</v>
      </c>
      <c r="AI1460" s="4"/>
      <c r="AJ1460" s="4">
        <f>=ROUNDDOWN({0},0)</f>
      </c>
      <c r="AK1460" s="5"/>
      <c r="AL1460" s="2" t="s">
        <v>200</v>
      </c>
      <c r="AM1460" s="4"/>
      <c r="AN1460" s="4"/>
      <c r="AO1460" s="7"/>
      <c r="AP1460" s="4"/>
      <c r="AQ1460" s="8"/>
      <c r="AR1460" s="4"/>
      <c r="AS1460" s="8"/>
      <c r="AT1460" s="7"/>
      <c r="AU1460" s="7"/>
      <c r="AV1460" s="4"/>
      <c r="AW1460" s="8"/>
      <c r="AX1460" s="4"/>
      <c r="AY1460" s="8"/>
      <c r="AZ1460" s="7"/>
      <c r="BA1460" s="7"/>
      <c r="BB1460" s="7"/>
      <c r="BC1460" s="4"/>
      <c r="BD1460" s="8"/>
      <c r="BE1460" s="4"/>
      <c r="BF1460" s="8"/>
      <c r="BG1460" s="7"/>
      <c r="BH1460" s="7"/>
      <c r="BI1460" s="7"/>
      <c r="BJ1460" s="4"/>
      <c r="BK1460" s="8"/>
      <c r="BL1460" s="2" t="s">
        <v>200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7868</v>
      </c>
      <c r="BV1460" s="2" t="s">
        <v>200</v>
      </c>
      <c r="BW1460" s="2" t="s">
        <v>200</v>
      </c>
      <c r="BX1460" s="2" t="s">
        <v>289</v>
      </c>
      <c r="BY1460" s="2" t="s">
        <v>247</v>
      </c>
      <c r="BZ1460" s="2" t="s">
        <v>212</v>
      </c>
      <c r="CA1460" s="2" t="s">
        <v>7869</v>
      </c>
      <c r="CB1460" s="2" t="s">
        <v>1264</v>
      </c>
      <c r="CC1460" s="2" t="s">
        <v>213</v>
      </c>
      <c r="CD1460" s="2" t="s">
        <v>200</v>
      </c>
      <c r="CE1460" s="4"/>
      <c r="CF1460" s="4">
        <v>72</v>
      </c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  <c r="DB1460" s="4"/>
      <c r="DC1460" s="4"/>
      <c r="DD1460" s="4"/>
      <c r="DE1460" s="4"/>
      <c r="DF1460" s="4"/>
      <c r="DG1460" s="4"/>
      <c r="DH1460" s="4"/>
      <c r="DI1460" s="4"/>
      <c r="DJ1460" s="4"/>
      <c r="DK1460" s="4"/>
      <c r="DL1460" s="4"/>
      <c r="DM1460" s="4"/>
      <c r="DN1460" s="4"/>
      <c r="DO1460" s="4"/>
      <c r="DP1460" s="4"/>
      <c r="DQ1460" s="4"/>
      <c r="DR1460" s="4"/>
      <c r="DS1460" s="4"/>
      <c r="DT1460" s="4"/>
      <c r="DU1460" s="4"/>
      <c r="DV1460" s="4"/>
      <c r="DW1460" s="4"/>
      <c r="DX1460" s="4"/>
      <c r="DY1460" s="4"/>
      <c r="DZ1460" s="4"/>
      <c r="EA1460" s="4"/>
      <c r="EB1460" s="4"/>
      <c r="EC1460" s="4"/>
      <c r="ED1460" s="4"/>
      <c r="EE1460" s="4"/>
      <c r="EF1460" s="4"/>
      <c r="EG1460" s="4"/>
      <c r="EH1460" s="4"/>
      <c r="EI1460" s="4"/>
      <c r="EJ1460" s="4"/>
      <c r="EK1460" s="4"/>
      <c r="EL1460" s="4"/>
      <c r="EM1460" s="4"/>
      <c r="EN1460" s="4"/>
      <c r="EO1460" s="4"/>
      <c r="EP1460" s="4"/>
      <c r="EQ1460" s="4"/>
      <c r="ER1460" s="4"/>
      <c r="ES1460" s="4"/>
      <c r="ET1460" s="4"/>
      <c r="EU1460" s="4"/>
      <c r="EV1460" s="4"/>
      <c r="EW1460" s="4"/>
      <c r="EX1460" s="4"/>
      <c r="EY1460" s="4"/>
      <c r="EZ1460" s="4"/>
      <c r="FA1460" s="4"/>
      <c r="FB1460" s="4"/>
      <c r="FC1460" s="4"/>
      <c r="FD1460" s="4"/>
      <c r="FE1460" s="4"/>
      <c r="FF1460" s="4"/>
      <c r="FG1460" s="4"/>
      <c r="FH1460" s="4"/>
      <c r="FI1460" s="4"/>
      <c r="FJ1460" s="4"/>
      <c r="FK1460" s="4"/>
      <c r="FL1460" s="4"/>
      <c r="FM1460" s="4"/>
      <c r="FN1460" s="4"/>
      <c r="FO1460" s="4"/>
      <c r="FP1460" s="4"/>
      <c r="FQ1460" s="4"/>
      <c r="FR1460" s="4"/>
      <c r="FS1460" s="4"/>
      <c r="FT1460" s="4"/>
      <c r="FU1460" s="4"/>
      <c r="FV1460" s="4"/>
      <c r="FW1460" s="4"/>
      <c r="FX1460" s="4"/>
      <c r="FY1460" s="4"/>
      <c r="FZ1460" s="4"/>
      <c r="GA1460" s="4"/>
      <c r="GB1460" s="4"/>
      <c r="GC1460" s="4"/>
      <c r="GD1460" s="4"/>
      <c r="GE1460" s="4"/>
      <c r="GF1460" s="4"/>
      <c r="GG1460" s="4"/>
      <c r="GH1460" s="4"/>
    </row>
    <row r="1461">
      <c r="A1461" s="2" t="s">
        <v>7870</v>
      </c>
      <c r="B1461" s="2" t="s">
        <v>719</v>
      </c>
      <c r="C1461" s="2" t="s">
        <v>745</v>
      </c>
      <c r="D1461" s="2" t="s">
        <v>1554</v>
      </c>
      <c r="E1461" s="2" t="s">
        <v>1555</v>
      </c>
      <c r="F1461" s="2" t="s">
        <v>7871</v>
      </c>
      <c r="G1461" s="2" t="s">
        <v>7871</v>
      </c>
      <c r="H1461" s="2" t="s">
        <v>7871</v>
      </c>
      <c r="I1461" s="2" t="s">
        <v>4531</v>
      </c>
      <c r="J1461" s="2" t="s">
        <v>711</v>
      </c>
      <c r="K1461" s="2" t="s">
        <v>387</v>
      </c>
      <c r="L1461" s="3">
        <v>41.27</v>
      </c>
      <c r="M1461" s="3">
        <v>43.33</v>
      </c>
      <c r="N1461" s="3">
        <v>84.99</v>
      </c>
      <c r="O1461" s="2" t="s">
        <v>212</v>
      </c>
      <c r="P1461" s="2" t="s">
        <v>750</v>
      </c>
      <c r="Q1461" s="2" t="s">
        <v>206</v>
      </c>
      <c r="R1461" s="2" t="s">
        <v>200</v>
      </c>
      <c r="S1461" s="2" t="s">
        <v>7872</v>
      </c>
      <c r="T1461" s="2" t="s">
        <v>200</v>
      </c>
      <c r="U1461" s="2" t="s">
        <v>454</v>
      </c>
      <c r="V1461" s="2" t="s">
        <v>724</v>
      </c>
      <c r="W1461" s="2" t="s">
        <v>379</v>
      </c>
      <c r="X1461" s="2" t="s">
        <v>200</v>
      </c>
      <c r="Y1461" s="2" t="s">
        <v>261</v>
      </c>
      <c r="Z1461" s="4">
        <v>36</v>
      </c>
      <c r="AA1461" s="4">
        <f>=ROUNDDOWN(12.8571428571429,0)</f>
      </c>
      <c r="AB1461" s="5">
        <v>2.8</v>
      </c>
      <c r="AC1461" s="2" t="s">
        <v>1568</v>
      </c>
      <c r="AD1461" s="4">
        <v>50</v>
      </c>
      <c r="AE1461" s="4">
        <v>50</v>
      </c>
      <c r="AF1461" s="6">
        <v>61</v>
      </c>
      <c r="AG1461" s="6"/>
      <c r="AH1461" s="7">
        <v>1</v>
      </c>
      <c r="AI1461" s="4"/>
      <c r="AJ1461" s="4">
        <f>=ROUNDDOWN({0},0)</f>
      </c>
      <c r="AK1461" s="5"/>
      <c r="AL1461" s="2" t="s">
        <v>200</v>
      </c>
      <c r="AM1461" s="4"/>
      <c r="AN1461" s="4"/>
      <c r="AO1461" s="7"/>
      <c r="AP1461" s="4"/>
      <c r="AQ1461" s="8"/>
      <c r="AR1461" s="4"/>
      <c r="AS1461" s="8"/>
      <c r="AT1461" s="7"/>
      <c r="AU1461" s="7"/>
      <c r="AV1461" s="4"/>
      <c r="AW1461" s="8"/>
      <c r="AX1461" s="4"/>
      <c r="AY1461" s="8"/>
      <c r="AZ1461" s="7"/>
      <c r="BA1461" s="7"/>
      <c r="BB1461" s="7"/>
      <c r="BC1461" s="4"/>
      <c r="BD1461" s="8"/>
      <c r="BE1461" s="4"/>
      <c r="BF1461" s="8"/>
      <c r="BG1461" s="7"/>
      <c r="BH1461" s="7"/>
      <c r="BI1461" s="7"/>
      <c r="BJ1461" s="4">
        <v>11</v>
      </c>
      <c r="BK1461" s="8">
        <v>560.58</v>
      </c>
      <c r="BL1461" s="2" t="s">
        <v>7873</v>
      </c>
      <c r="BM1461" s="7"/>
      <c r="BN1461" s="7"/>
      <c r="BO1461" s="4"/>
      <c r="BP1461" s="8"/>
      <c r="BQ1461" s="4"/>
      <c r="BR1461" s="8"/>
      <c r="BS1461" s="7"/>
      <c r="BT1461" s="7"/>
      <c r="BU1461" s="2" t="s">
        <v>7874</v>
      </c>
      <c r="BV1461" s="2" t="s">
        <v>200</v>
      </c>
      <c r="BW1461" s="2" t="s">
        <v>200</v>
      </c>
      <c r="BX1461" s="2" t="s">
        <v>264</v>
      </c>
      <c r="BY1461" s="2" t="s">
        <v>247</v>
      </c>
      <c r="BZ1461" s="2" t="s">
        <v>212</v>
      </c>
      <c r="CA1461" s="2" t="s">
        <v>265</v>
      </c>
      <c r="CB1461" s="2" t="s">
        <v>7875</v>
      </c>
      <c r="CC1461" s="2" t="s">
        <v>213</v>
      </c>
      <c r="CD1461" s="2" t="s">
        <v>200</v>
      </c>
      <c r="CE1461" s="4"/>
      <c r="CF1461" s="4">
        <v>36</v>
      </c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  <c r="DE1461" s="4"/>
      <c r="DF1461" s="4"/>
      <c r="DG1461" s="4"/>
      <c r="DH1461" s="4"/>
      <c r="DI1461" s="4"/>
      <c r="DJ1461" s="4"/>
      <c r="DK1461" s="4"/>
      <c r="DL1461" s="4"/>
      <c r="DM1461" s="4"/>
      <c r="DN1461" s="4"/>
      <c r="DO1461" s="4"/>
      <c r="DP1461" s="4"/>
      <c r="DQ1461" s="4"/>
      <c r="DR1461" s="4"/>
      <c r="DS1461" s="4"/>
      <c r="DT1461" s="4"/>
      <c r="DU1461" s="4"/>
      <c r="DV1461" s="4"/>
      <c r="DW1461" s="4"/>
      <c r="DX1461" s="4"/>
      <c r="DY1461" s="4"/>
      <c r="DZ1461" s="4"/>
      <c r="EA1461" s="4"/>
      <c r="EB1461" s="4"/>
      <c r="EC1461" s="4"/>
      <c r="ED1461" s="4"/>
      <c r="EE1461" s="4"/>
      <c r="EF1461" s="4"/>
      <c r="EG1461" s="4"/>
      <c r="EH1461" s="4"/>
      <c r="EI1461" s="4"/>
      <c r="EJ1461" s="4"/>
      <c r="EK1461" s="4"/>
      <c r="EL1461" s="4"/>
      <c r="EM1461" s="4"/>
      <c r="EN1461" s="4"/>
      <c r="EO1461" s="4">
        <v>50</v>
      </c>
      <c r="EP1461" s="4"/>
      <c r="EQ1461" s="4"/>
      <c r="ER1461" s="4"/>
      <c r="ES1461" s="4"/>
      <c r="ET1461" s="4"/>
      <c r="EU1461" s="4"/>
      <c r="EV1461" s="4"/>
      <c r="EW1461" s="4"/>
      <c r="EX1461" s="4"/>
      <c r="EY1461" s="4"/>
      <c r="EZ1461" s="4"/>
      <c r="FA1461" s="4"/>
      <c r="FB1461" s="4"/>
      <c r="FC1461" s="4"/>
      <c r="FD1461" s="4"/>
      <c r="FE1461" s="4"/>
      <c r="FF1461" s="4"/>
      <c r="FG1461" s="4"/>
      <c r="FH1461" s="4"/>
      <c r="FI1461" s="4"/>
      <c r="FJ1461" s="4"/>
      <c r="FK1461" s="4"/>
      <c r="FL1461" s="4"/>
      <c r="FM1461" s="4"/>
      <c r="FN1461" s="4"/>
      <c r="FO1461" s="4"/>
      <c r="FP1461" s="4"/>
      <c r="FQ1461" s="4"/>
      <c r="FR1461" s="4"/>
      <c r="FS1461" s="4"/>
      <c r="FT1461" s="4"/>
      <c r="FU1461" s="4"/>
      <c r="FV1461" s="4"/>
      <c r="FW1461" s="4"/>
      <c r="FX1461" s="4"/>
      <c r="FY1461" s="4"/>
      <c r="FZ1461" s="4"/>
      <c r="GA1461" s="4"/>
      <c r="GB1461" s="4"/>
      <c r="GC1461" s="4"/>
      <c r="GD1461" s="4"/>
      <c r="GE1461" s="4"/>
      <c r="GF1461" s="4"/>
      <c r="GG1461" s="4"/>
      <c r="GH1461" s="4"/>
    </row>
    <row r="1462">
      <c r="A1462" s="2" t="s">
        <v>7876</v>
      </c>
      <c r="B1462" s="2" t="s">
        <v>827</v>
      </c>
      <c r="C1462" s="2" t="s">
        <v>1211</v>
      </c>
      <c r="D1462" s="2" t="s">
        <v>828</v>
      </c>
      <c r="E1462" s="2" t="s">
        <v>1011</v>
      </c>
      <c r="F1462" s="2" t="s">
        <v>7877</v>
      </c>
      <c r="G1462" s="2" t="s">
        <v>7877</v>
      </c>
      <c r="H1462" s="2" t="s">
        <v>7877</v>
      </c>
      <c r="I1462" s="2" t="s">
        <v>7878</v>
      </c>
      <c r="J1462" s="2" t="s">
        <v>1606</v>
      </c>
      <c r="K1462" s="2" t="s">
        <v>613</v>
      </c>
      <c r="L1462" s="3">
        <v>17.02</v>
      </c>
      <c r="M1462" s="3">
        <v>17.87</v>
      </c>
      <c r="N1462" s="3">
        <v>49.99</v>
      </c>
      <c r="O1462" s="2" t="s">
        <v>212</v>
      </c>
      <c r="P1462" s="2" t="s">
        <v>285</v>
      </c>
      <c r="Q1462" s="2" t="s">
        <v>206</v>
      </c>
      <c r="R1462" s="2" t="s">
        <v>200</v>
      </c>
      <c r="S1462" s="2" t="s">
        <v>200</v>
      </c>
      <c r="T1462" s="2" t="s">
        <v>200</v>
      </c>
      <c r="U1462" s="2" t="s">
        <v>270</v>
      </c>
      <c r="V1462" s="2" t="s">
        <v>1068</v>
      </c>
      <c r="W1462" s="2" t="s">
        <v>241</v>
      </c>
      <c r="X1462" s="2" t="s">
        <v>200</v>
      </c>
      <c r="Y1462" s="2" t="s">
        <v>2017</v>
      </c>
      <c r="Z1462" s="4">
        <v>35</v>
      </c>
      <c r="AA1462" s="4">
        <f>=ROUNDDOWN(35,0)</f>
      </c>
      <c r="AB1462" s="5">
        <v>1</v>
      </c>
      <c r="AC1462" s="2" t="s">
        <v>200</v>
      </c>
      <c r="AD1462" s="4"/>
      <c r="AE1462" s="4"/>
      <c r="AF1462" s="6">
        <v>65</v>
      </c>
      <c r="AG1462" s="6"/>
      <c r="AH1462" s="7">
        <v>1</v>
      </c>
      <c r="AI1462" s="4"/>
      <c r="AJ1462" s="4">
        <f>=ROUNDDOWN({0},0)</f>
      </c>
      <c r="AK1462" s="5"/>
      <c r="AL1462" s="2" t="s">
        <v>200</v>
      </c>
      <c r="AM1462" s="4"/>
      <c r="AN1462" s="4"/>
      <c r="AO1462" s="7"/>
      <c r="AP1462" s="4"/>
      <c r="AQ1462" s="8"/>
      <c r="AR1462" s="4"/>
      <c r="AS1462" s="8"/>
      <c r="AT1462" s="7"/>
      <c r="AU1462" s="7"/>
      <c r="AV1462" s="4"/>
      <c r="AW1462" s="8"/>
      <c r="AX1462" s="4"/>
      <c r="AY1462" s="8"/>
      <c r="AZ1462" s="7"/>
      <c r="BA1462" s="7"/>
      <c r="BB1462" s="7"/>
      <c r="BC1462" s="4"/>
      <c r="BD1462" s="8"/>
      <c r="BE1462" s="4"/>
      <c r="BF1462" s="8"/>
      <c r="BG1462" s="7"/>
      <c r="BH1462" s="7"/>
      <c r="BI1462" s="7"/>
      <c r="BJ1462" s="4">
        <v>10</v>
      </c>
      <c r="BK1462" s="8">
        <v>223.66</v>
      </c>
      <c r="BL1462" s="2" t="s">
        <v>7879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7880</v>
      </c>
      <c r="BV1462" s="2" t="s">
        <v>200</v>
      </c>
      <c r="BW1462" s="2" t="s">
        <v>200</v>
      </c>
      <c r="BX1462" s="2" t="s">
        <v>289</v>
      </c>
      <c r="BY1462" s="2" t="s">
        <v>247</v>
      </c>
      <c r="BZ1462" s="2" t="s">
        <v>212</v>
      </c>
      <c r="CA1462" s="2" t="s">
        <v>1610</v>
      </c>
      <c r="CB1462" s="2" t="s">
        <v>7752</v>
      </c>
      <c r="CC1462" s="2" t="s">
        <v>213</v>
      </c>
      <c r="CD1462" s="2" t="s">
        <v>200</v>
      </c>
      <c r="CE1462" s="4">
        <v>35</v>
      </c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/>
      <c r="DD1462" s="4"/>
      <c r="DE1462" s="4"/>
      <c r="DF1462" s="4"/>
      <c r="DG1462" s="4"/>
      <c r="DH1462" s="4"/>
      <c r="DI1462" s="4"/>
      <c r="DJ1462" s="4"/>
      <c r="DK1462" s="4"/>
      <c r="DL1462" s="4"/>
      <c r="DM1462" s="4"/>
      <c r="DN1462" s="4"/>
      <c r="DO1462" s="4"/>
      <c r="DP1462" s="4"/>
      <c r="DQ1462" s="4"/>
      <c r="DR1462" s="4"/>
      <c r="DS1462" s="4"/>
      <c r="DT1462" s="4"/>
      <c r="DU1462" s="4"/>
      <c r="DV1462" s="4"/>
      <c r="DW1462" s="4"/>
      <c r="DX1462" s="4"/>
      <c r="DY1462" s="4"/>
      <c r="DZ1462" s="4"/>
      <c r="EA1462" s="4"/>
      <c r="EB1462" s="4"/>
      <c r="EC1462" s="4"/>
      <c r="ED1462" s="4"/>
      <c r="EE1462" s="4"/>
      <c r="EF1462" s="4"/>
      <c r="EG1462" s="4"/>
      <c r="EH1462" s="4"/>
      <c r="EI1462" s="4"/>
      <c r="EJ1462" s="4"/>
      <c r="EK1462" s="4"/>
      <c r="EL1462" s="4"/>
      <c r="EM1462" s="4"/>
      <c r="EN1462" s="4"/>
      <c r="EO1462" s="4"/>
      <c r="EP1462" s="4"/>
      <c r="EQ1462" s="4"/>
      <c r="ER1462" s="4"/>
      <c r="ES1462" s="4"/>
      <c r="ET1462" s="4"/>
      <c r="EU1462" s="4"/>
      <c r="EV1462" s="4"/>
      <c r="EW1462" s="4"/>
      <c r="EX1462" s="4"/>
      <c r="EY1462" s="4"/>
      <c r="EZ1462" s="4"/>
      <c r="FA1462" s="4"/>
      <c r="FB1462" s="4"/>
      <c r="FC1462" s="4"/>
      <c r="FD1462" s="4"/>
      <c r="FE1462" s="4"/>
      <c r="FF1462" s="4"/>
      <c r="FG1462" s="4"/>
      <c r="FH1462" s="4"/>
      <c r="FI1462" s="4"/>
      <c r="FJ1462" s="4"/>
      <c r="FK1462" s="4"/>
      <c r="FL1462" s="4"/>
      <c r="FM1462" s="4"/>
      <c r="FN1462" s="4"/>
      <c r="FO1462" s="4"/>
      <c r="FP1462" s="4"/>
      <c r="FQ1462" s="4"/>
      <c r="FR1462" s="4"/>
      <c r="FS1462" s="4"/>
      <c r="FT1462" s="4"/>
      <c r="FU1462" s="4"/>
      <c r="FV1462" s="4"/>
      <c r="FW1462" s="4"/>
      <c r="FX1462" s="4"/>
      <c r="FY1462" s="4"/>
      <c r="FZ1462" s="4"/>
      <c r="GA1462" s="4"/>
      <c r="GB1462" s="4"/>
      <c r="GC1462" s="4"/>
      <c r="GD1462" s="4"/>
      <c r="GE1462" s="4"/>
      <c r="GF1462" s="4"/>
      <c r="GG1462" s="4"/>
      <c r="GH1462" s="4"/>
    </row>
    <row r="1463">
      <c r="A1463" s="2" t="s">
        <v>7881</v>
      </c>
      <c r="B1463" s="2" t="s">
        <v>932</v>
      </c>
      <c r="C1463" s="2" t="s">
        <v>933</v>
      </c>
      <c r="D1463" s="2" t="s">
        <v>608</v>
      </c>
      <c r="E1463" s="2" t="s">
        <v>609</v>
      </c>
      <c r="F1463" s="2" t="s">
        <v>7882</v>
      </c>
      <c r="G1463" s="2" t="s">
        <v>7883</v>
      </c>
      <c r="H1463" s="2" t="s">
        <v>1504</v>
      </c>
      <c r="I1463" s="2" t="s">
        <v>7884</v>
      </c>
      <c r="J1463" s="2" t="s">
        <v>1390</v>
      </c>
      <c r="K1463" s="2" t="s">
        <v>4807</v>
      </c>
      <c r="L1463" s="3">
        <v>33.33</v>
      </c>
      <c r="M1463" s="3">
        <v>35</v>
      </c>
      <c r="N1463" s="3">
        <v>69.99</v>
      </c>
      <c r="O1463" s="2" t="s">
        <v>212</v>
      </c>
      <c r="P1463" s="2" t="s">
        <v>258</v>
      </c>
      <c r="Q1463" s="2" t="s">
        <v>206</v>
      </c>
      <c r="R1463" s="2" t="s">
        <v>200</v>
      </c>
      <c r="S1463" s="2" t="s">
        <v>7885</v>
      </c>
      <c r="T1463" s="2" t="s">
        <v>2604</v>
      </c>
      <c r="U1463" s="2" t="s">
        <v>454</v>
      </c>
      <c r="V1463" s="2" t="s">
        <v>208</v>
      </c>
      <c r="W1463" s="2" t="s">
        <v>241</v>
      </c>
      <c r="X1463" s="2" t="s">
        <v>419</v>
      </c>
      <c r="Y1463" s="2" t="s">
        <v>4253</v>
      </c>
      <c r="Z1463" s="4">
        <v>355</v>
      </c>
      <c r="AA1463" s="4">
        <f>=ROUNDDOWN(29.5833333333333,0)</f>
      </c>
      <c r="AB1463" s="5">
        <v>12</v>
      </c>
      <c r="AC1463" s="2" t="s">
        <v>117</v>
      </c>
      <c r="AD1463" s="4">
        <v>400</v>
      </c>
      <c r="AE1463" s="4">
        <v>400</v>
      </c>
      <c r="AF1463" s="6">
        <v>65</v>
      </c>
      <c r="AG1463" s="6"/>
      <c r="AH1463" s="7">
        <v>1</v>
      </c>
      <c r="AI1463" s="4"/>
      <c r="AJ1463" s="4">
        <f>=ROUNDDOWN({0},0)</f>
      </c>
      <c r="AK1463" s="5"/>
      <c r="AL1463" s="2" t="s">
        <v>200</v>
      </c>
      <c r="AM1463" s="4"/>
      <c r="AN1463" s="4"/>
      <c r="AO1463" s="7"/>
      <c r="AP1463" s="4"/>
      <c r="AQ1463" s="8"/>
      <c r="AR1463" s="4"/>
      <c r="AS1463" s="8"/>
      <c r="AT1463" s="7"/>
      <c r="AU1463" s="7"/>
      <c r="AV1463" s="4" t="s">
        <v>200</v>
      </c>
      <c r="AW1463" s="8" t="s">
        <v>200</v>
      </c>
      <c r="AX1463" s="4" t="s">
        <v>200</v>
      </c>
      <c r="AY1463" s="8" t="s">
        <v>200</v>
      </c>
      <c r="AZ1463" s="7" t="s">
        <v>200</v>
      </c>
      <c r="BA1463" s="7" t="s">
        <v>200</v>
      </c>
      <c r="BB1463" s="7"/>
      <c r="BC1463" s="4" t="s">
        <v>200</v>
      </c>
      <c r="BD1463" s="8" t="s">
        <v>200</v>
      </c>
      <c r="BE1463" s="4" t="s">
        <v>200</v>
      </c>
      <c r="BF1463" s="8" t="s">
        <v>200</v>
      </c>
      <c r="BG1463" s="7" t="s">
        <v>200</v>
      </c>
      <c r="BH1463" s="7" t="s">
        <v>200</v>
      </c>
      <c r="BI1463" s="7"/>
      <c r="BJ1463" s="4">
        <v>24</v>
      </c>
      <c r="BK1463" s="8">
        <v>911.42</v>
      </c>
      <c r="BL1463" s="2" t="s">
        <v>7886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7887</v>
      </c>
      <c r="BV1463" s="2" t="s">
        <v>200</v>
      </c>
      <c r="BW1463" s="2" t="s">
        <v>200</v>
      </c>
      <c r="BX1463" s="2" t="s">
        <v>629</v>
      </c>
      <c r="BY1463" s="2" t="s">
        <v>247</v>
      </c>
      <c r="BZ1463" s="2" t="s">
        <v>212</v>
      </c>
      <c r="CA1463" s="2" t="s">
        <v>7888</v>
      </c>
      <c r="CB1463" s="2" t="s">
        <v>3598</v>
      </c>
      <c r="CC1463" s="2" t="s">
        <v>213</v>
      </c>
      <c r="CD1463" s="2" t="s">
        <v>200</v>
      </c>
      <c r="CE1463" s="4">
        <v>355</v>
      </c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>
        <v>400</v>
      </c>
      <c r="DE1463" s="4"/>
      <c r="DF1463" s="4"/>
      <c r="DG1463" s="4"/>
      <c r="DH1463" s="4"/>
      <c r="DI1463" s="4"/>
      <c r="DJ1463" s="4"/>
      <c r="DK1463" s="4"/>
      <c r="DL1463" s="4"/>
      <c r="DM1463" s="4"/>
      <c r="DN1463" s="4"/>
      <c r="DO1463" s="4"/>
      <c r="DP1463" s="4"/>
      <c r="DQ1463" s="4"/>
      <c r="DR1463" s="4"/>
      <c r="DS1463" s="4"/>
      <c r="DT1463" s="4"/>
      <c r="DU1463" s="4"/>
      <c r="DV1463" s="4"/>
      <c r="DW1463" s="4"/>
      <c r="DX1463" s="4"/>
      <c r="DY1463" s="4"/>
      <c r="DZ1463" s="4"/>
      <c r="EA1463" s="4"/>
      <c r="EB1463" s="4"/>
      <c r="EC1463" s="4"/>
      <c r="ED1463" s="4"/>
      <c r="EE1463" s="4"/>
      <c r="EF1463" s="4"/>
      <c r="EG1463" s="4"/>
      <c r="EH1463" s="4"/>
      <c r="EI1463" s="4"/>
      <c r="EJ1463" s="4"/>
      <c r="EK1463" s="4"/>
      <c r="EL1463" s="4"/>
      <c r="EM1463" s="4"/>
      <c r="EN1463" s="4"/>
      <c r="EO1463" s="4"/>
      <c r="EP1463" s="4"/>
      <c r="EQ1463" s="4"/>
      <c r="ER1463" s="4"/>
      <c r="ES1463" s="4"/>
      <c r="ET1463" s="4"/>
      <c r="EU1463" s="4"/>
      <c r="EV1463" s="4"/>
      <c r="EW1463" s="4"/>
      <c r="EX1463" s="4"/>
      <c r="EY1463" s="4"/>
      <c r="EZ1463" s="4"/>
      <c r="FA1463" s="4"/>
      <c r="FB1463" s="4"/>
      <c r="FC1463" s="4"/>
      <c r="FD1463" s="4"/>
      <c r="FE1463" s="4"/>
      <c r="FF1463" s="4"/>
      <c r="FG1463" s="4"/>
      <c r="FH1463" s="4"/>
      <c r="FI1463" s="4"/>
      <c r="FJ1463" s="4"/>
      <c r="FK1463" s="4"/>
      <c r="FL1463" s="4"/>
      <c r="FM1463" s="4"/>
      <c r="FN1463" s="4"/>
      <c r="FO1463" s="4"/>
      <c r="FP1463" s="4"/>
      <c r="FQ1463" s="4"/>
      <c r="FR1463" s="4"/>
      <c r="FS1463" s="4"/>
      <c r="FT1463" s="4"/>
      <c r="FU1463" s="4"/>
      <c r="FV1463" s="4"/>
      <c r="FW1463" s="4"/>
      <c r="FX1463" s="4"/>
      <c r="FY1463" s="4"/>
      <c r="FZ1463" s="4"/>
      <c r="GA1463" s="4"/>
      <c r="GB1463" s="4"/>
      <c r="GC1463" s="4"/>
      <c r="GD1463" s="4"/>
      <c r="GE1463" s="4"/>
      <c r="GF1463" s="4"/>
      <c r="GG1463" s="4"/>
      <c r="GH1463" s="4"/>
    </row>
    <row r="1464">
      <c r="A1464" s="2" t="s">
        <v>7889</v>
      </c>
      <c r="B1464" s="2" t="s">
        <v>932</v>
      </c>
      <c r="C1464" s="2" t="s">
        <v>933</v>
      </c>
      <c r="D1464" s="2" t="s">
        <v>608</v>
      </c>
      <c r="E1464" s="2" t="s">
        <v>609</v>
      </c>
      <c r="F1464" s="2" t="s">
        <v>7882</v>
      </c>
      <c r="G1464" s="2" t="s">
        <v>7883</v>
      </c>
      <c r="H1464" s="2" t="s">
        <v>1504</v>
      </c>
      <c r="I1464" s="2" t="s">
        <v>7884</v>
      </c>
      <c r="J1464" s="2" t="s">
        <v>612</v>
      </c>
      <c r="K1464" s="2" t="s">
        <v>4807</v>
      </c>
      <c r="L1464" s="3">
        <v>38.09</v>
      </c>
      <c r="M1464" s="3">
        <v>39.99</v>
      </c>
      <c r="N1464" s="3">
        <v>79.99</v>
      </c>
      <c r="O1464" s="2" t="s">
        <v>212</v>
      </c>
      <c r="P1464" s="2" t="s">
        <v>258</v>
      </c>
      <c r="Q1464" s="2" t="s">
        <v>206</v>
      </c>
      <c r="R1464" s="2" t="s">
        <v>200</v>
      </c>
      <c r="S1464" s="2" t="s">
        <v>7885</v>
      </c>
      <c r="T1464" s="2" t="s">
        <v>2604</v>
      </c>
      <c r="U1464" s="2" t="s">
        <v>240</v>
      </c>
      <c r="V1464" s="2" t="s">
        <v>208</v>
      </c>
      <c r="W1464" s="2" t="s">
        <v>241</v>
      </c>
      <c r="X1464" s="2" t="s">
        <v>419</v>
      </c>
      <c r="Y1464" s="2" t="s">
        <v>4253</v>
      </c>
      <c r="Z1464" s="4">
        <v>459</v>
      </c>
      <c r="AA1464" s="4">
        <f>=ROUNDDOWN(27,0)</f>
      </c>
      <c r="AB1464" s="5">
        <v>17</v>
      </c>
      <c r="AC1464" s="2" t="s">
        <v>117</v>
      </c>
      <c r="AD1464" s="4">
        <v>600</v>
      </c>
      <c r="AE1464" s="4">
        <v>600</v>
      </c>
      <c r="AF1464" s="6">
        <v>65</v>
      </c>
      <c r="AG1464" s="6"/>
      <c r="AH1464" s="7">
        <v>1</v>
      </c>
      <c r="AI1464" s="4"/>
      <c r="AJ1464" s="4">
        <f>=ROUNDDOWN({0},0)</f>
      </c>
      <c r="AK1464" s="5"/>
      <c r="AL1464" s="2" t="s">
        <v>200</v>
      </c>
      <c r="AM1464" s="4"/>
      <c r="AN1464" s="4"/>
      <c r="AO1464" s="7"/>
      <c r="AP1464" s="4"/>
      <c r="AQ1464" s="8"/>
      <c r="AR1464" s="4"/>
      <c r="AS1464" s="8"/>
      <c r="AT1464" s="7"/>
      <c r="AU1464" s="7"/>
      <c r="AV1464" s="4" t="s">
        <v>200</v>
      </c>
      <c r="AW1464" s="8" t="s">
        <v>200</v>
      </c>
      <c r="AX1464" s="4" t="s">
        <v>200</v>
      </c>
      <c r="AY1464" s="8" t="s">
        <v>200</v>
      </c>
      <c r="AZ1464" s="7" t="s">
        <v>200</v>
      </c>
      <c r="BA1464" s="7" t="s">
        <v>200</v>
      </c>
      <c r="BB1464" s="7"/>
      <c r="BC1464" s="4" t="s">
        <v>200</v>
      </c>
      <c r="BD1464" s="8" t="s">
        <v>200</v>
      </c>
      <c r="BE1464" s="4" t="s">
        <v>200</v>
      </c>
      <c r="BF1464" s="8" t="s">
        <v>200</v>
      </c>
      <c r="BG1464" s="7" t="s">
        <v>200</v>
      </c>
      <c r="BH1464" s="7" t="s">
        <v>200</v>
      </c>
      <c r="BI1464" s="7"/>
      <c r="BJ1464" s="4">
        <v>33</v>
      </c>
      <c r="BK1464" s="8">
        <v>1435.39</v>
      </c>
      <c r="BL1464" s="2" t="s">
        <v>7886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7890</v>
      </c>
      <c r="BV1464" s="2" t="s">
        <v>200</v>
      </c>
      <c r="BW1464" s="2" t="s">
        <v>200</v>
      </c>
      <c r="BX1464" s="2" t="s">
        <v>629</v>
      </c>
      <c r="BY1464" s="2" t="s">
        <v>247</v>
      </c>
      <c r="BZ1464" s="2" t="s">
        <v>212</v>
      </c>
      <c r="CA1464" s="2" t="s">
        <v>7888</v>
      </c>
      <c r="CB1464" s="2" t="s">
        <v>3329</v>
      </c>
      <c r="CC1464" s="2" t="s">
        <v>213</v>
      </c>
      <c r="CD1464" s="2" t="s">
        <v>200</v>
      </c>
      <c r="CE1464" s="4">
        <v>459</v>
      </c>
      <c r="CF1464" s="4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  <c r="DB1464" s="4"/>
      <c r="DC1464" s="4"/>
      <c r="DD1464" s="4">
        <v>600</v>
      </c>
      <c r="DE1464" s="4"/>
      <c r="DF1464" s="4"/>
      <c r="DG1464" s="4"/>
      <c r="DH1464" s="4"/>
      <c r="DI1464" s="4"/>
      <c r="DJ1464" s="4"/>
      <c r="DK1464" s="4"/>
      <c r="DL1464" s="4"/>
      <c r="DM1464" s="4"/>
      <c r="DN1464" s="4"/>
      <c r="DO1464" s="4"/>
      <c r="DP1464" s="4"/>
      <c r="DQ1464" s="4"/>
      <c r="DR1464" s="4"/>
      <c r="DS1464" s="4"/>
      <c r="DT1464" s="4"/>
      <c r="DU1464" s="4"/>
      <c r="DV1464" s="4"/>
      <c r="DW1464" s="4"/>
      <c r="DX1464" s="4"/>
      <c r="DY1464" s="4"/>
      <c r="DZ1464" s="4"/>
      <c r="EA1464" s="4"/>
      <c r="EB1464" s="4"/>
      <c r="EC1464" s="4"/>
      <c r="ED1464" s="4"/>
      <c r="EE1464" s="4"/>
      <c r="EF1464" s="4"/>
      <c r="EG1464" s="4"/>
      <c r="EH1464" s="4"/>
      <c r="EI1464" s="4"/>
      <c r="EJ1464" s="4"/>
      <c r="EK1464" s="4"/>
      <c r="EL1464" s="4"/>
      <c r="EM1464" s="4"/>
      <c r="EN1464" s="4"/>
      <c r="EO1464" s="4"/>
      <c r="EP1464" s="4"/>
      <c r="EQ1464" s="4"/>
      <c r="ER1464" s="4"/>
      <c r="ES1464" s="4"/>
      <c r="ET1464" s="4"/>
      <c r="EU1464" s="4"/>
      <c r="EV1464" s="4"/>
      <c r="EW1464" s="4"/>
      <c r="EX1464" s="4"/>
      <c r="EY1464" s="4"/>
      <c r="EZ1464" s="4"/>
      <c r="FA1464" s="4"/>
      <c r="FB1464" s="4"/>
      <c r="FC1464" s="4"/>
      <c r="FD1464" s="4"/>
      <c r="FE1464" s="4"/>
      <c r="FF1464" s="4"/>
      <c r="FG1464" s="4"/>
      <c r="FH1464" s="4"/>
      <c r="FI1464" s="4"/>
      <c r="FJ1464" s="4"/>
      <c r="FK1464" s="4"/>
      <c r="FL1464" s="4"/>
      <c r="FM1464" s="4"/>
      <c r="FN1464" s="4"/>
      <c r="FO1464" s="4"/>
      <c r="FP1464" s="4"/>
      <c r="FQ1464" s="4"/>
      <c r="FR1464" s="4"/>
      <c r="FS1464" s="4"/>
      <c r="FT1464" s="4"/>
      <c r="FU1464" s="4"/>
      <c r="FV1464" s="4"/>
      <c r="FW1464" s="4"/>
      <c r="FX1464" s="4"/>
      <c r="FY1464" s="4"/>
      <c r="FZ1464" s="4"/>
      <c r="GA1464" s="4"/>
      <c r="GB1464" s="4"/>
      <c r="GC1464" s="4"/>
      <c r="GD1464" s="4"/>
      <c r="GE1464" s="4"/>
      <c r="GF1464" s="4"/>
      <c r="GG1464" s="4"/>
      <c r="GH1464" s="4"/>
    </row>
    <row r="1465">
      <c r="A1465" s="2" t="s">
        <v>7891</v>
      </c>
      <c r="B1465" s="2" t="s">
        <v>932</v>
      </c>
      <c r="C1465" s="2" t="s">
        <v>933</v>
      </c>
      <c r="D1465" s="2" t="s">
        <v>608</v>
      </c>
      <c r="E1465" s="2" t="s">
        <v>609</v>
      </c>
      <c r="F1465" s="2" t="s">
        <v>7882</v>
      </c>
      <c r="G1465" s="2" t="s">
        <v>7883</v>
      </c>
      <c r="H1465" s="2" t="s">
        <v>1504</v>
      </c>
      <c r="I1465" s="2" t="s">
        <v>7884</v>
      </c>
      <c r="J1465" s="2" t="s">
        <v>1390</v>
      </c>
      <c r="K1465" s="2" t="s">
        <v>2110</v>
      </c>
      <c r="L1465" s="3">
        <v>33.33</v>
      </c>
      <c r="M1465" s="3">
        <v>35</v>
      </c>
      <c r="N1465" s="3">
        <v>69.99</v>
      </c>
      <c r="O1465" s="2" t="s">
        <v>212</v>
      </c>
      <c r="P1465" s="2" t="s">
        <v>258</v>
      </c>
      <c r="Q1465" s="2" t="s">
        <v>206</v>
      </c>
      <c r="R1465" s="2" t="s">
        <v>200</v>
      </c>
      <c r="S1465" s="2" t="s">
        <v>7892</v>
      </c>
      <c r="T1465" s="2" t="s">
        <v>2604</v>
      </c>
      <c r="U1465" s="2" t="s">
        <v>454</v>
      </c>
      <c r="V1465" s="2" t="s">
        <v>208</v>
      </c>
      <c r="W1465" s="2" t="s">
        <v>241</v>
      </c>
      <c r="X1465" s="2" t="s">
        <v>419</v>
      </c>
      <c r="Y1465" s="2" t="s">
        <v>3161</v>
      </c>
      <c r="Z1465" s="4">
        <v>385</v>
      </c>
      <c r="AA1465" s="4">
        <f>=ROUNDDOWN(32.0833333333333,0)</f>
      </c>
      <c r="AB1465" s="5">
        <v>12</v>
      </c>
      <c r="AC1465" s="2" t="s">
        <v>117</v>
      </c>
      <c r="AD1465" s="4">
        <v>400</v>
      </c>
      <c r="AE1465" s="4">
        <v>400</v>
      </c>
      <c r="AF1465" s="6">
        <v>65</v>
      </c>
      <c r="AG1465" s="6"/>
      <c r="AH1465" s="7">
        <v>1</v>
      </c>
      <c r="AI1465" s="4"/>
      <c r="AJ1465" s="4">
        <f>=ROUNDDOWN({0},0)</f>
      </c>
      <c r="AK1465" s="5"/>
      <c r="AL1465" s="2" t="s">
        <v>200</v>
      </c>
      <c r="AM1465" s="4"/>
      <c r="AN1465" s="4"/>
      <c r="AO1465" s="7"/>
      <c r="AP1465" s="4"/>
      <c r="AQ1465" s="8"/>
      <c r="AR1465" s="4"/>
      <c r="AS1465" s="8"/>
      <c r="AT1465" s="7"/>
      <c r="AU1465" s="7"/>
      <c r="AV1465" s="4" t="s">
        <v>200</v>
      </c>
      <c r="AW1465" s="8" t="s">
        <v>200</v>
      </c>
      <c r="AX1465" s="4" t="s">
        <v>200</v>
      </c>
      <c r="AY1465" s="8" t="s">
        <v>200</v>
      </c>
      <c r="AZ1465" s="7" t="s">
        <v>200</v>
      </c>
      <c r="BA1465" s="7" t="s">
        <v>200</v>
      </c>
      <c r="BB1465" s="7"/>
      <c r="BC1465" s="4" t="s">
        <v>200</v>
      </c>
      <c r="BD1465" s="8" t="s">
        <v>200</v>
      </c>
      <c r="BE1465" s="4" t="s">
        <v>200</v>
      </c>
      <c r="BF1465" s="8" t="s">
        <v>200</v>
      </c>
      <c r="BG1465" s="7" t="s">
        <v>200</v>
      </c>
      <c r="BH1465" s="7" t="s">
        <v>200</v>
      </c>
      <c r="BI1465" s="7"/>
      <c r="BJ1465" s="4">
        <v>6</v>
      </c>
      <c r="BK1465" s="8">
        <v>228.57</v>
      </c>
      <c r="BL1465" s="2" t="s">
        <v>2436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7893</v>
      </c>
      <c r="BV1465" s="2" t="s">
        <v>200</v>
      </c>
      <c r="BW1465" s="2" t="s">
        <v>200</v>
      </c>
      <c r="BX1465" s="2" t="s">
        <v>629</v>
      </c>
      <c r="BY1465" s="2" t="s">
        <v>247</v>
      </c>
      <c r="BZ1465" s="2" t="s">
        <v>212</v>
      </c>
      <c r="CA1465" s="2" t="s">
        <v>7888</v>
      </c>
      <c r="CB1465" s="2" t="s">
        <v>1105</v>
      </c>
      <c r="CC1465" s="2" t="s">
        <v>213</v>
      </c>
      <c r="CD1465" s="2" t="s">
        <v>200</v>
      </c>
      <c r="CE1465" s="4">
        <v>385</v>
      </c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>
        <v>400</v>
      </c>
      <c r="DE1465" s="4"/>
      <c r="DF1465" s="4"/>
      <c r="DG1465" s="4"/>
      <c r="DH1465" s="4"/>
      <c r="DI1465" s="4"/>
      <c r="DJ1465" s="4"/>
      <c r="DK1465" s="4"/>
      <c r="DL1465" s="4"/>
      <c r="DM1465" s="4"/>
      <c r="DN1465" s="4"/>
      <c r="DO1465" s="4"/>
      <c r="DP1465" s="4"/>
      <c r="DQ1465" s="4"/>
      <c r="DR1465" s="4"/>
      <c r="DS1465" s="4"/>
      <c r="DT1465" s="4"/>
      <c r="DU1465" s="4"/>
      <c r="DV1465" s="4"/>
      <c r="DW1465" s="4"/>
      <c r="DX1465" s="4"/>
      <c r="DY1465" s="4"/>
      <c r="DZ1465" s="4"/>
      <c r="EA1465" s="4"/>
      <c r="EB1465" s="4"/>
      <c r="EC1465" s="4"/>
      <c r="ED1465" s="4"/>
      <c r="EE1465" s="4"/>
      <c r="EF1465" s="4"/>
      <c r="EG1465" s="4"/>
      <c r="EH1465" s="4"/>
      <c r="EI1465" s="4"/>
      <c r="EJ1465" s="4"/>
      <c r="EK1465" s="4"/>
      <c r="EL1465" s="4"/>
      <c r="EM1465" s="4"/>
      <c r="EN1465" s="4"/>
      <c r="EO1465" s="4"/>
      <c r="EP1465" s="4"/>
      <c r="EQ1465" s="4"/>
      <c r="ER1465" s="4"/>
      <c r="ES1465" s="4"/>
      <c r="ET1465" s="4"/>
      <c r="EU1465" s="4"/>
      <c r="EV1465" s="4"/>
      <c r="EW1465" s="4"/>
      <c r="EX1465" s="4"/>
      <c r="EY1465" s="4"/>
      <c r="EZ1465" s="4"/>
      <c r="FA1465" s="4"/>
      <c r="FB1465" s="4"/>
      <c r="FC1465" s="4"/>
      <c r="FD1465" s="4"/>
      <c r="FE1465" s="4"/>
      <c r="FF1465" s="4"/>
      <c r="FG1465" s="4"/>
      <c r="FH1465" s="4"/>
      <c r="FI1465" s="4"/>
      <c r="FJ1465" s="4"/>
      <c r="FK1465" s="4"/>
      <c r="FL1465" s="4"/>
      <c r="FM1465" s="4"/>
      <c r="FN1465" s="4"/>
      <c r="FO1465" s="4"/>
      <c r="FP1465" s="4"/>
      <c r="FQ1465" s="4"/>
      <c r="FR1465" s="4"/>
      <c r="FS1465" s="4"/>
      <c r="FT1465" s="4"/>
      <c r="FU1465" s="4"/>
      <c r="FV1465" s="4"/>
      <c r="FW1465" s="4"/>
      <c r="FX1465" s="4"/>
      <c r="FY1465" s="4"/>
      <c r="FZ1465" s="4"/>
      <c r="GA1465" s="4"/>
      <c r="GB1465" s="4"/>
      <c r="GC1465" s="4"/>
      <c r="GD1465" s="4"/>
      <c r="GE1465" s="4"/>
      <c r="GF1465" s="4"/>
      <c r="GG1465" s="4"/>
      <c r="GH1465" s="4"/>
    </row>
    <row r="1466">
      <c r="A1466" s="2" t="s">
        <v>7894</v>
      </c>
      <c r="B1466" s="2" t="s">
        <v>932</v>
      </c>
      <c r="C1466" s="2" t="s">
        <v>933</v>
      </c>
      <c r="D1466" s="2" t="s">
        <v>608</v>
      </c>
      <c r="E1466" s="2" t="s">
        <v>609</v>
      </c>
      <c r="F1466" s="2" t="s">
        <v>7882</v>
      </c>
      <c r="G1466" s="2" t="s">
        <v>7883</v>
      </c>
      <c r="H1466" s="2" t="s">
        <v>1504</v>
      </c>
      <c r="I1466" s="2" t="s">
        <v>7884</v>
      </c>
      <c r="J1466" s="2" t="s">
        <v>612</v>
      </c>
      <c r="K1466" s="2" t="s">
        <v>2110</v>
      </c>
      <c r="L1466" s="3">
        <v>38.09</v>
      </c>
      <c r="M1466" s="3">
        <v>39.99</v>
      </c>
      <c r="N1466" s="3">
        <v>79.99</v>
      </c>
      <c r="O1466" s="2" t="s">
        <v>212</v>
      </c>
      <c r="P1466" s="2" t="s">
        <v>258</v>
      </c>
      <c r="Q1466" s="2" t="s">
        <v>206</v>
      </c>
      <c r="R1466" s="2" t="s">
        <v>200</v>
      </c>
      <c r="S1466" s="2" t="s">
        <v>7892</v>
      </c>
      <c r="T1466" s="2" t="s">
        <v>2604</v>
      </c>
      <c r="U1466" s="2" t="s">
        <v>240</v>
      </c>
      <c r="V1466" s="2" t="s">
        <v>208</v>
      </c>
      <c r="W1466" s="2" t="s">
        <v>241</v>
      </c>
      <c r="X1466" s="2" t="s">
        <v>419</v>
      </c>
      <c r="Y1466" s="2" t="s">
        <v>3161</v>
      </c>
      <c r="Z1466" s="4">
        <v>456</v>
      </c>
      <c r="AA1466" s="4">
        <f>=ROUNDDOWN(25.3333333333333,0)</f>
      </c>
      <c r="AB1466" s="5">
        <v>18</v>
      </c>
      <c r="AC1466" s="2" t="s">
        <v>117</v>
      </c>
      <c r="AD1466" s="4">
        <v>600</v>
      </c>
      <c r="AE1466" s="4">
        <v>600</v>
      </c>
      <c r="AF1466" s="6">
        <v>65</v>
      </c>
      <c r="AG1466" s="6"/>
      <c r="AH1466" s="7">
        <v>1</v>
      </c>
      <c r="AI1466" s="4"/>
      <c r="AJ1466" s="4">
        <f>=ROUNDDOWN({0},0)</f>
      </c>
      <c r="AK1466" s="5"/>
      <c r="AL1466" s="2" t="s">
        <v>200</v>
      </c>
      <c r="AM1466" s="4"/>
      <c r="AN1466" s="4"/>
      <c r="AO1466" s="7"/>
      <c r="AP1466" s="4"/>
      <c r="AQ1466" s="8"/>
      <c r="AR1466" s="4"/>
      <c r="AS1466" s="8"/>
      <c r="AT1466" s="7"/>
      <c r="AU1466" s="7"/>
      <c r="AV1466" s="4" t="s">
        <v>200</v>
      </c>
      <c r="AW1466" s="8" t="s">
        <v>200</v>
      </c>
      <c r="AX1466" s="4" t="s">
        <v>200</v>
      </c>
      <c r="AY1466" s="8" t="s">
        <v>200</v>
      </c>
      <c r="AZ1466" s="7" t="s">
        <v>200</v>
      </c>
      <c r="BA1466" s="7" t="s">
        <v>200</v>
      </c>
      <c r="BB1466" s="7"/>
      <c r="BC1466" s="4" t="s">
        <v>200</v>
      </c>
      <c r="BD1466" s="8" t="s">
        <v>200</v>
      </c>
      <c r="BE1466" s="4" t="s">
        <v>200</v>
      </c>
      <c r="BF1466" s="8" t="s">
        <v>200</v>
      </c>
      <c r="BG1466" s="7" t="s">
        <v>200</v>
      </c>
      <c r="BH1466" s="7" t="s">
        <v>200</v>
      </c>
      <c r="BI1466" s="7"/>
      <c r="BJ1466" s="4">
        <v>46</v>
      </c>
      <c r="BK1466" s="8">
        <v>2013.22</v>
      </c>
      <c r="BL1466" s="2" t="s">
        <v>359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7895</v>
      </c>
      <c r="BV1466" s="2" t="s">
        <v>200</v>
      </c>
      <c r="BW1466" s="2" t="s">
        <v>200</v>
      </c>
      <c r="BX1466" s="2" t="s">
        <v>629</v>
      </c>
      <c r="BY1466" s="2" t="s">
        <v>247</v>
      </c>
      <c r="BZ1466" s="2" t="s">
        <v>212</v>
      </c>
      <c r="CA1466" s="2" t="s">
        <v>7888</v>
      </c>
      <c r="CB1466" s="2" t="s">
        <v>3289</v>
      </c>
      <c r="CC1466" s="2" t="s">
        <v>213</v>
      </c>
      <c r="CD1466" s="2" t="s">
        <v>200</v>
      </c>
      <c r="CE1466" s="4">
        <v>456</v>
      </c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4"/>
      <c r="CX1466" s="4"/>
      <c r="CY1466" s="4"/>
      <c r="CZ1466" s="4"/>
      <c r="DA1466" s="4"/>
      <c r="DB1466" s="4"/>
      <c r="DC1466" s="4"/>
      <c r="DD1466" s="4">
        <v>600</v>
      </c>
      <c r="DE1466" s="4"/>
      <c r="DF1466" s="4"/>
      <c r="DG1466" s="4"/>
      <c r="DH1466" s="4"/>
      <c r="DI1466" s="4"/>
      <c r="DJ1466" s="4"/>
      <c r="DK1466" s="4"/>
      <c r="DL1466" s="4"/>
      <c r="DM1466" s="4"/>
      <c r="DN1466" s="4"/>
      <c r="DO1466" s="4"/>
      <c r="DP1466" s="4"/>
      <c r="DQ1466" s="4"/>
      <c r="DR1466" s="4"/>
      <c r="DS1466" s="4"/>
      <c r="DT1466" s="4"/>
      <c r="DU1466" s="4"/>
      <c r="DV1466" s="4"/>
      <c r="DW1466" s="4"/>
      <c r="DX1466" s="4"/>
      <c r="DY1466" s="4"/>
      <c r="DZ1466" s="4"/>
      <c r="EA1466" s="4"/>
      <c r="EB1466" s="4"/>
      <c r="EC1466" s="4"/>
      <c r="ED1466" s="4"/>
      <c r="EE1466" s="4"/>
      <c r="EF1466" s="4"/>
      <c r="EG1466" s="4"/>
      <c r="EH1466" s="4"/>
      <c r="EI1466" s="4"/>
      <c r="EJ1466" s="4"/>
      <c r="EK1466" s="4"/>
      <c r="EL1466" s="4"/>
      <c r="EM1466" s="4"/>
      <c r="EN1466" s="4"/>
      <c r="EO1466" s="4"/>
      <c r="EP1466" s="4"/>
      <c r="EQ1466" s="4"/>
      <c r="ER1466" s="4"/>
      <c r="ES1466" s="4"/>
      <c r="ET1466" s="4"/>
      <c r="EU1466" s="4"/>
      <c r="EV1466" s="4"/>
      <c r="EW1466" s="4"/>
      <c r="EX1466" s="4"/>
      <c r="EY1466" s="4"/>
      <c r="EZ1466" s="4"/>
      <c r="FA1466" s="4"/>
      <c r="FB1466" s="4"/>
      <c r="FC1466" s="4"/>
      <c r="FD1466" s="4"/>
      <c r="FE1466" s="4"/>
      <c r="FF1466" s="4"/>
      <c r="FG1466" s="4"/>
      <c r="FH1466" s="4"/>
      <c r="FI1466" s="4"/>
      <c r="FJ1466" s="4"/>
      <c r="FK1466" s="4"/>
      <c r="FL1466" s="4"/>
      <c r="FM1466" s="4"/>
      <c r="FN1466" s="4"/>
      <c r="FO1466" s="4"/>
      <c r="FP1466" s="4"/>
      <c r="FQ1466" s="4"/>
      <c r="FR1466" s="4"/>
      <c r="FS1466" s="4"/>
      <c r="FT1466" s="4"/>
      <c r="FU1466" s="4"/>
      <c r="FV1466" s="4"/>
      <c r="FW1466" s="4"/>
      <c r="FX1466" s="4"/>
      <c r="FY1466" s="4"/>
      <c r="FZ1466" s="4"/>
      <c r="GA1466" s="4"/>
      <c r="GB1466" s="4"/>
      <c r="GC1466" s="4"/>
      <c r="GD1466" s="4"/>
      <c r="GE1466" s="4"/>
      <c r="GF1466" s="4"/>
      <c r="GG1466" s="4"/>
      <c r="GH1466" s="4"/>
    </row>
    <row r="1467">
      <c r="A1467" s="2" t="s">
        <v>7896</v>
      </c>
      <c r="B1467" s="2" t="s">
        <v>827</v>
      </c>
      <c r="C1467" s="2" t="s">
        <v>231</v>
      </c>
      <c r="D1467" s="2" t="s">
        <v>828</v>
      </c>
      <c r="E1467" s="2" t="s">
        <v>1588</v>
      </c>
      <c r="F1467" s="2" t="s">
        <v>7897</v>
      </c>
      <c r="G1467" s="2" t="s">
        <v>7898</v>
      </c>
      <c r="H1467" s="2" t="s">
        <v>7899</v>
      </c>
      <c r="I1467" s="2" t="s">
        <v>7900</v>
      </c>
      <c r="J1467" s="2" t="s">
        <v>4001</v>
      </c>
      <c r="K1467" s="2" t="s">
        <v>499</v>
      </c>
      <c r="L1467" s="3">
        <v>13.5</v>
      </c>
      <c r="M1467" s="3">
        <v>14.18</v>
      </c>
      <c r="N1467" s="3">
        <v>29.99</v>
      </c>
      <c r="O1467" s="2" t="s">
        <v>212</v>
      </c>
      <c r="P1467" s="2" t="s">
        <v>258</v>
      </c>
      <c r="Q1467" s="2" t="s">
        <v>206</v>
      </c>
      <c r="R1467" s="2" t="s">
        <v>200</v>
      </c>
      <c r="S1467" s="2" t="s">
        <v>7901</v>
      </c>
      <c r="T1467" s="2" t="s">
        <v>200</v>
      </c>
      <c r="U1467" s="2" t="s">
        <v>270</v>
      </c>
      <c r="V1467" s="2" t="s">
        <v>208</v>
      </c>
      <c r="W1467" s="2" t="s">
        <v>2087</v>
      </c>
      <c r="X1467" s="2" t="s">
        <v>1588</v>
      </c>
      <c r="Y1467" s="2" t="s">
        <v>7902</v>
      </c>
      <c r="Z1467" s="4">
        <v>205</v>
      </c>
      <c r="AA1467" s="4">
        <f>=ROUNDDOWN(41,0)</f>
      </c>
      <c r="AB1467" s="5">
        <v>5</v>
      </c>
      <c r="AC1467" s="2" t="s">
        <v>200</v>
      </c>
      <c r="AD1467" s="4"/>
      <c r="AE1467" s="4"/>
      <c r="AF1467" s="6">
        <v>65</v>
      </c>
      <c r="AG1467" s="6"/>
      <c r="AH1467" s="7">
        <v>1</v>
      </c>
      <c r="AI1467" s="4"/>
      <c r="AJ1467" s="4">
        <f>=ROUNDDOWN({0},0)</f>
      </c>
      <c r="AK1467" s="5"/>
      <c r="AL1467" s="2" t="s">
        <v>200</v>
      </c>
      <c r="AM1467" s="4"/>
      <c r="AN1467" s="4"/>
      <c r="AO1467" s="7"/>
      <c r="AP1467" s="4"/>
      <c r="AQ1467" s="8"/>
      <c r="AR1467" s="4"/>
      <c r="AS1467" s="8"/>
      <c r="AT1467" s="7"/>
      <c r="AU1467" s="7"/>
      <c r="AV1467" s="4" t="s">
        <v>200</v>
      </c>
      <c r="AW1467" s="8" t="s">
        <v>200</v>
      </c>
      <c r="AX1467" s="4" t="s">
        <v>200</v>
      </c>
      <c r="AY1467" s="8" t="s">
        <v>200</v>
      </c>
      <c r="AZ1467" s="7" t="s">
        <v>200</v>
      </c>
      <c r="BA1467" s="7" t="s">
        <v>200</v>
      </c>
      <c r="BB1467" s="7"/>
      <c r="BC1467" s="4" t="s">
        <v>200</v>
      </c>
      <c r="BD1467" s="8" t="s">
        <v>200</v>
      </c>
      <c r="BE1467" s="4" t="s">
        <v>200</v>
      </c>
      <c r="BF1467" s="8" t="s">
        <v>200</v>
      </c>
      <c r="BG1467" s="7" t="s">
        <v>200</v>
      </c>
      <c r="BH1467" s="7" t="s">
        <v>200</v>
      </c>
      <c r="BI1467" s="7"/>
      <c r="BJ1467" s="4">
        <v>26</v>
      </c>
      <c r="BK1467" s="8">
        <v>383.73</v>
      </c>
      <c r="BL1467" s="2" t="s">
        <v>7903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7904</v>
      </c>
      <c r="BV1467" s="2" t="s">
        <v>200</v>
      </c>
      <c r="BW1467" s="2" t="s">
        <v>200</v>
      </c>
      <c r="BX1467" s="2" t="s">
        <v>264</v>
      </c>
      <c r="BY1467" s="2" t="s">
        <v>247</v>
      </c>
      <c r="BZ1467" s="2" t="s">
        <v>212</v>
      </c>
      <c r="CA1467" s="2" t="s">
        <v>7905</v>
      </c>
      <c r="CB1467" s="2" t="s">
        <v>7906</v>
      </c>
      <c r="CC1467" s="2" t="s">
        <v>213</v>
      </c>
      <c r="CD1467" s="2" t="s">
        <v>200</v>
      </c>
      <c r="CE1467" s="4">
        <v>205</v>
      </c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  <c r="DE1467" s="4"/>
      <c r="DF1467" s="4"/>
      <c r="DG1467" s="4"/>
      <c r="DH1467" s="4"/>
      <c r="DI1467" s="4"/>
      <c r="DJ1467" s="4"/>
      <c r="DK1467" s="4"/>
      <c r="DL1467" s="4"/>
      <c r="DM1467" s="4"/>
      <c r="DN1467" s="4"/>
      <c r="DO1467" s="4"/>
      <c r="DP1467" s="4"/>
      <c r="DQ1467" s="4"/>
      <c r="DR1467" s="4"/>
      <c r="DS1467" s="4"/>
      <c r="DT1467" s="4"/>
      <c r="DU1467" s="4"/>
      <c r="DV1467" s="4"/>
      <c r="DW1467" s="4"/>
      <c r="DX1467" s="4"/>
      <c r="DY1467" s="4"/>
      <c r="DZ1467" s="4"/>
      <c r="EA1467" s="4"/>
      <c r="EB1467" s="4"/>
      <c r="EC1467" s="4"/>
      <c r="ED1467" s="4"/>
      <c r="EE1467" s="4"/>
      <c r="EF1467" s="4"/>
      <c r="EG1467" s="4"/>
      <c r="EH1467" s="4"/>
      <c r="EI1467" s="4"/>
      <c r="EJ1467" s="4"/>
      <c r="EK1467" s="4"/>
      <c r="EL1467" s="4"/>
      <c r="EM1467" s="4"/>
      <c r="EN1467" s="4"/>
      <c r="EO1467" s="4"/>
      <c r="EP1467" s="4"/>
      <c r="EQ1467" s="4"/>
      <c r="ER1467" s="4"/>
      <c r="ES1467" s="4"/>
      <c r="ET1467" s="4"/>
      <c r="EU1467" s="4"/>
      <c r="EV1467" s="4"/>
      <c r="EW1467" s="4"/>
      <c r="EX1467" s="4"/>
      <c r="EY1467" s="4"/>
      <c r="EZ1467" s="4"/>
      <c r="FA1467" s="4"/>
      <c r="FB1467" s="4"/>
      <c r="FC1467" s="4"/>
      <c r="FD1467" s="4"/>
      <c r="FE1467" s="4"/>
      <c r="FF1467" s="4"/>
      <c r="FG1467" s="4"/>
      <c r="FH1467" s="4"/>
      <c r="FI1467" s="4"/>
      <c r="FJ1467" s="4"/>
      <c r="FK1467" s="4"/>
      <c r="FL1467" s="4"/>
      <c r="FM1467" s="4"/>
      <c r="FN1467" s="4"/>
      <c r="FO1467" s="4"/>
      <c r="FP1467" s="4"/>
      <c r="FQ1467" s="4"/>
      <c r="FR1467" s="4"/>
      <c r="FS1467" s="4"/>
      <c r="FT1467" s="4"/>
      <c r="FU1467" s="4"/>
      <c r="FV1467" s="4"/>
      <c r="FW1467" s="4"/>
      <c r="FX1467" s="4"/>
      <c r="FY1467" s="4"/>
      <c r="FZ1467" s="4"/>
      <c r="GA1467" s="4"/>
      <c r="GB1467" s="4"/>
      <c r="GC1467" s="4"/>
      <c r="GD1467" s="4"/>
      <c r="GE1467" s="4"/>
      <c r="GF1467" s="4"/>
      <c r="GG1467" s="4"/>
      <c r="GH1467" s="4"/>
    </row>
    <row r="1468">
      <c r="A1468" s="2" t="s">
        <v>7907</v>
      </c>
      <c r="B1468" s="2" t="s">
        <v>827</v>
      </c>
      <c r="C1468" s="2" t="s">
        <v>231</v>
      </c>
      <c r="D1468" s="2" t="s">
        <v>828</v>
      </c>
      <c r="E1468" s="2" t="s">
        <v>1588</v>
      </c>
      <c r="F1468" s="2" t="s">
        <v>7897</v>
      </c>
      <c r="G1468" s="2" t="s">
        <v>7898</v>
      </c>
      <c r="H1468" s="2" t="s">
        <v>7899</v>
      </c>
      <c r="I1468" s="2" t="s">
        <v>7900</v>
      </c>
      <c r="J1468" s="2" t="s">
        <v>1242</v>
      </c>
      <c r="K1468" s="2" t="s">
        <v>499</v>
      </c>
      <c r="L1468" s="3">
        <v>17.2</v>
      </c>
      <c r="M1468" s="3">
        <v>18.06</v>
      </c>
      <c r="N1468" s="3">
        <v>39.99</v>
      </c>
      <c r="O1468" s="2" t="s">
        <v>212</v>
      </c>
      <c r="P1468" s="2" t="s">
        <v>258</v>
      </c>
      <c r="Q1468" s="2" t="s">
        <v>206</v>
      </c>
      <c r="R1468" s="2" t="s">
        <v>200</v>
      </c>
      <c r="S1468" s="2" t="s">
        <v>7901</v>
      </c>
      <c r="T1468" s="2" t="s">
        <v>200</v>
      </c>
      <c r="U1468" s="2" t="s">
        <v>270</v>
      </c>
      <c r="V1468" s="2" t="s">
        <v>208</v>
      </c>
      <c r="W1468" s="2" t="s">
        <v>2087</v>
      </c>
      <c r="X1468" s="2" t="s">
        <v>1588</v>
      </c>
      <c r="Y1468" s="2" t="s">
        <v>7902</v>
      </c>
      <c r="Z1468" s="4">
        <v>170</v>
      </c>
      <c r="AA1468" s="4">
        <f>=ROUNDDOWN(42.5,0)</f>
      </c>
      <c r="AB1468" s="5">
        <v>4</v>
      </c>
      <c r="AC1468" s="2" t="s">
        <v>200</v>
      </c>
      <c r="AD1468" s="4"/>
      <c r="AE1468" s="4"/>
      <c r="AF1468" s="6">
        <v>65</v>
      </c>
      <c r="AG1468" s="6"/>
      <c r="AH1468" s="7">
        <v>1</v>
      </c>
      <c r="AI1468" s="4"/>
      <c r="AJ1468" s="4">
        <f>=ROUNDDOWN({0},0)</f>
      </c>
      <c r="AK1468" s="5"/>
      <c r="AL1468" s="2" t="s">
        <v>200</v>
      </c>
      <c r="AM1468" s="4"/>
      <c r="AN1468" s="4"/>
      <c r="AO1468" s="7"/>
      <c r="AP1468" s="4"/>
      <c r="AQ1468" s="8"/>
      <c r="AR1468" s="4"/>
      <c r="AS1468" s="8"/>
      <c r="AT1468" s="7"/>
      <c r="AU1468" s="7"/>
      <c r="AV1468" s="4" t="s">
        <v>200</v>
      </c>
      <c r="AW1468" s="8" t="s">
        <v>200</v>
      </c>
      <c r="AX1468" s="4" t="s">
        <v>200</v>
      </c>
      <c r="AY1468" s="8" t="s">
        <v>200</v>
      </c>
      <c r="AZ1468" s="7" t="s">
        <v>200</v>
      </c>
      <c r="BA1468" s="7" t="s">
        <v>200</v>
      </c>
      <c r="BB1468" s="7"/>
      <c r="BC1468" s="4" t="s">
        <v>200</v>
      </c>
      <c r="BD1468" s="8" t="s">
        <v>200</v>
      </c>
      <c r="BE1468" s="4" t="s">
        <v>200</v>
      </c>
      <c r="BF1468" s="8" t="s">
        <v>200</v>
      </c>
      <c r="BG1468" s="7" t="s">
        <v>200</v>
      </c>
      <c r="BH1468" s="7" t="s">
        <v>200</v>
      </c>
      <c r="BI1468" s="7"/>
      <c r="BJ1468" s="4">
        <v>24</v>
      </c>
      <c r="BK1468" s="8">
        <v>446.16</v>
      </c>
      <c r="BL1468" s="2" t="s">
        <v>1860</v>
      </c>
      <c r="BM1468" s="7"/>
      <c r="BN1468" s="7"/>
      <c r="BO1468" s="4"/>
      <c r="BP1468" s="8"/>
      <c r="BQ1468" s="4"/>
      <c r="BR1468" s="8"/>
      <c r="BS1468" s="7"/>
      <c r="BT1468" s="7"/>
      <c r="BU1468" s="2" t="s">
        <v>7908</v>
      </c>
      <c r="BV1468" s="2" t="s">
        <v>200</v>
      </c>
      <c r="BW1468" s="2" t="s">
        <v>200</v>
      </c>
      <c r="BX1468" s="2" t="s">
        <v>264</v>
      </c>
      <c r="BY1468" s="2" t="s">
        <v>247</v>
      </c>
      <c r="BZ1468" s="2" t="s">
        <v>212</v>
      </c>
      <c r="CA1468" s="2" t="s">
        <v>7905</v>
      </c>
      <c r="CB1468" s="2" t="s">
        <v>7909</v>
      </c>
      <c r="CC1468" s="2" t="s">
        <v>213</v>
      </c>
      <c r="CD1468" s="2" t="s">
        <v>200</v>
      </c>
      <c r="CE1468" s="4">
        <v>170</v>
      </c>
      <c r="CF1468" s="4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4"/>
      <c r="CX1468" s="4"/>
      <c r="CY1468" s="4"/>
      <c r="CZ1468" s="4"/>
      <c r="DA1468" s="4"/>
      <c r="DB1468" s="4"/>
      <c r="DC1468" s="4"/>
      <c r="DD1468" s="4"/>
      <c r="DE1468" s="4"/>
      <c r="DF1468" s="4"/>
      <c r="DG1468" s="4"/>
      <c r="DH1468" s="4"/>
      <c r="DI1468" s="4"/>
      <c r="DJ1468" s="4"/>
      <c r="DK1468" s="4"/>
      <c r="DL1468" s="4"/>
      <c r="DM1468" s="4"/>
      <c r="DN1468" s="4"/>
      <c r="DO1468" s="4"/>
      <c r="DP1468" s="4"/>
      <c r="DQ1468" s="4"/>
      <c r="DR1468" s="4"/>
      <c r="DS1468" s="4"/>
      <c r="DT1468" s="4"/>
      <c r="DU1468" s="4"/>
      <c r="DV1468" s="4"/>
      <c r="DW1468" s="4"/>
      <c r="DX1468" s="4"/>
      <c r="DY1468" s="4"/>
      <c r="DZ1468" s="4"/>
      <c r="EA1468" s="4"/>
      <c r="EB1468" s="4"/>
      <c r="EC1468" s="4"/>
      <c r="ED1468" s="4"/>
      <c r="EE1468" s="4"/>
      <c r="EF1468" s="4"/>
      <c r="EG1468" s="4"/>
      <c r="EH1468" s="4"/>
      <c r="EI1468" s="4"/>
      <c r="EJ1468" s="4"/>
      <c r="EK1468" s="4"/>
      <c r="EL1468" s="4"/>
      <c r="EM1468" s="4"/>
      <c r="EN1468" s="4"/>
      <c r="EO1468" s="4"/>
      <c r="EP1468" s="4"/>
      <c r="EQ1468" s="4"/>
      <c r="ER1468" s="4"/>
      <c r="ES1468" s="4"/>
      <c r="ET1468" s="4"/>
      <c r="EU1468" s="4"/>
      <c r="EV1468" s="4"/>
      <c r="EW1468" s="4"/>
      <c r="EX1468" s="4"/>
      <c r="EY1468" s="4"/>
      <c r="EZ1468" s="4"/>
      <c r="FA1468" s="4"/>
      <c r="FB1468" s="4"/>
      <c r="FC1468" s="4"/>
      <c r="FD1468" s="4"/>
      <c r="FE1468" s="4"/>
      <c r="FF1468" s="4"/>
      <c r="FG1468" s="4"/>
      <c r="FH1468" s="4"/>
      <c r="FI1468" s="4"/>
      <c r="FJ1468" s="4"/>
      <c r="FK1468" s="4"/>
      <c r="FL1468" s="4"/>
      <c r="FM1468" s="4"/>
      <c r="FN1468" s="4"/>
      <c r="FO1468" s="4"/>
      <c r="FP1468" s="4"/>
      <c r="FQ1468" s="4"/>
      <c r="FR1468" s="4"/>
      <c r="FS1468" s="4"/>
      <c r="FT1468" s="4"/>
      <c r="FU1468" s="4"/>
      <c r="FV1468" s="4"/>
      <c r="FW1468" s="4"/>
      <c r="FX1468" s="4"/>
      <c r="FY1468" s="4"/>
      <c r="FZ1468" s="4"/>
      <c r="GA1468" s="4"/>
      <c r="GB1468" s="4"/>
      <c r="GC1468" s="4"/>
      <c r="GD1468" s="4"/>
      <c r="GE1468" s="4"/>
      <c r="GF1468" s="4"/>
      <c r="GG1468" s="4"/>
      <c r="GH1468" s="4"/>
    </row>
    <row r="1469">
      <c r="A1469" s="2" t="s">
        <v>7910</v>
      </c>
      <c r="B1469" s="2" t="s">
        <v>827</v>
      </c>
      <c r="C1469" s="2" t="s">
        <v>231</v>
      </c>
      <c r="D1469" s="2" t="s">
        <v>828</v>
      </c>
      <c r="E1469" s="2" t="s">
        <v>1588</v>
      </c>
      <c r="F1469" s="2" t="s">
        <v>7897</v>
      </c>
      <c r="G1469" s="2" t="s">
        <v>7898</v>
      </c>
      <c r="H1469" s="2" t="s">
        <v>7899</v>
      </c>
      <c r="I1469" s="2" t="s">
        <v>7900</v>
      </c>
      <c r="J1469" s="2" t="s">
        <v>4001</v>
      </c>
      <c r="K1469" s="2" t="s">
        <v>221</v>
      </c>
      <c r="L1469" s="3">
        <v>13.5</v>
      </c>
      <c r="M1469" s="3">
        <v>14.18</v>
      </c>
      <c r="N1469" s="3">
        <v>29.99</v>
      </c>
      <c r="O1469" s="2" t="s">
        <v>212</v>
      </c>
      <c r="P1469" s="2" t="s">
        <v>258</v>
      </c>
      <c r="Q1469" s="2" t="s">
        <v>206</v>
      </c>
      <c r="R1469" s="2" t="s">
        <v>200</v>
      </c>
      <c r="S1469" s="2" t="s">
        <v>7911</v>
      </c>
      <c r="T1469" s="2" t="s">
        <v>200</v>
      </c>
      <c r="U1469" s="2" t="s">
        <v>270</v>
      </c>
      <c r="V1469" s="2" t="s">
        <v>208</v>
      </c>
      <c r="W1469" s="2" t="s">
        <v>2087</v>
      </c>
      <c r="X1469" s="2" t="s">
        <v>1588</v>
      </c>
      <c r="Y1469" s="2" t="s">
        <v>7912</v>
      </c>
      <c r="Z1469" s="4">
        <v>246</v>
      </c>
      <c r="AA1469" s="4">
        <f>=ROUNDDOWN(49.2,0)</f>
      </c>
      <c r="AB1469" s="5">
        <v>5</v>
      </c>
      <c r="AC1469" s="2" t="s">
        <v>200</v>
      </c>
      <c r="AD1469" s="4"/>
      <c r="AE1469" s="4"/>
      <c r="AF1469" s="6">
        <v>65</v>
      </c>
      <c r="AG1469" s="6"/>
      <c r="AH1469" s="7">
        <v>1</v>
      </c>
      <c r="AI1469" s="4"/>
      <c r="AJ1469" s="4">
        <f>=ROUNDDOWN({0},0)</f>
      </c>
      <c r="AK1469" s="5"/>
      <c r="AL1469" s="2" t="s">
        <v>200</v>
      </c>
      <c r="AM1469" s="4"/>
      <c r="AN1469" s="4"/>
      <c r="AO1469" s="7"/>
      <c r="AP1469" s="4"/>
      <c r="AQ1469" s="8"/>
      <c r="AR1469" s="4"/>
      <c r="AS1469" s="8"/>
      <c r="AT1469" s="7"/>
      <c r="AU1469" s="7"/>
      <c r="AV1469" s="4"/>
      <c r="AW1469" s="8"/>
      <c r="AX1469" s="4"/>
      <c r="AY1469" s="8"/>
      <c r="AZ1469" s="7"/>
      <c r="BA1469" s="7"/>
      <c r="BB1469" s="7"/>
      <c r="BC1469" s="4" t="s">
        <v>200</v>
      </c>
      <c r="BD1469" s="8" t="s">
        <v>200</v>
      </c>
      <c r="BE1469" s="4" t="s">
        <v>200</v>
      </c>
      <c r="BF1469" s="8" t="s">
        <v>200</v>
      </c>
      <c r="BG1469" s="7" t="s">
        <v>200</v>
      </c>
      <c r="BH1469" s="7" t="s">
        <v>200</v>
      </c>
      <c r="BI1469" s="7"/>
      <c r="BJ1469" s="4">
        <v>16</v>
      </c>
      <c r="BK1469" s="8">
        <v>241.84</v>
      </c>
      <c r="BL1469" s="2" t="s">
        <v>3796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7913</v>
      </c>
      <c r="BV1469" s="2" t="s">
        <v>200</v>
      </c>
      <c r="BW1469" s="2" t="s">
        <v>200</v>
      </c>
      <c r="BX1469" s="2" t="s">
        <v>264</v>
      </c>
      <c r="BY1469" s="2" t="s">
        <v>247</v>
      </c>
      <c r="BZ1469" s="2" t="s">
        <v>212</v>
      </c>
      <c r="CA1469" s="2" t="s">
        <v>7905</v>
      </c>
      <c r="CB1469" s="2" t="s">
        <v>2310</v>
      </c>
      <c r="CC1469" s="2" t="s">
        <v>213</v>
      </c>
      <c r="CD1469" s="2" t="s">
        <v>200</v>
      </c>
      <c r="CE1469" s="4">
        <v>246</v>
      </c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  <c r="DD1469" s="4"/>
      <c r="DE1469" s="4"/>
      <c r="DF1469" s="4"/>
      <c r="DG1469" s="4"/>
      <c r="DH1469" s="4"/>
      <c r="DI1469" s="4"/>
      <c r="DJ1469" s="4"/>
      <c r="DK1469" s="4"/>
      <c r="DL1469" s="4"/>
      <c r="DM1469" s="4"/>
      <c r="DN1469" s="4"/>
      <c r="DO1469" s="4"/>
      <c r="DP1469" s="4"/>
      <c r="DQ1469" s="4"/>
      <c r="DR1469" s="4"/>
      <c r="DS1469" s="4"/>
      <c r="DT1469" s="4"/>
      <c r="DU1469" s="4"/>
      <c r="DV1469" s="4"/>
      <c r="DW1469" s="4"/>
      <c r="DX1469" s="4"/>
      <c r="DY1469" s="4"/>
      <c r="DZ1469" s="4"/>
      <c r="EA1469" s="4"/>
      <c r="EB1469" s="4"/>
      <c r="EC1469" s="4"/>
      <c r="ED1469" s="4"/>
      <c r="EE1469" s="4"/>
      <c r="EF1469" s="4"/>
      <c r="EG1469" s="4"/>
      <c r="EH1469" s="4"/>
      <c r="EI1469" s="4"/>
      <c r="EJ1469" s="4"/>
      <c r="EK1469" s="4"/>
      <c r="EL1469" s="4"/>
      <c r="EM1469" s="4"/>
      <c r="EN1469" s="4"/>
      <c r="EO1469" s="4"/>
      <c r="EP1469" s="4"/>
      <c r="EQ1469" s="4"/>
      <c r="ER1469" s="4"/>
      <c r="ES1469" s="4"/>
      <c r="ET1469" s="4"/>
      <c r="EU1469" s="4"/>
      <c r="EV1469" s="4"/>
      <c r="EW1469" s="4"/>
      <c r="EX1469" s="4"/>
      <c r="EY1469" s="4"/>
      <c r="EZ1469" s="4"/>
      <c r="FA1469" s="4"/>
      <c r="FB1469" s="4"/>
      <c r="FC1469" s="4"/>
      <c r="FD1469" s="4"/>
      <c r="FE1469" s="4"/>
      <c r="FF1469" s="4"/>
      <c r="FG1469" s="4"/>
      <c r="FH1469" s="4"/>
      <c r="FI1469" s="4"/>
      <c r="FJ1469" s="4"/>
      <c r="FK1469" s="4"/>
      <c r="FL1469" s="4"/>
      <c r="FM1469" s="4"/>
      <c r="FN1469" s="4"/>
      <c r="FO1469" s="4"/>
      <c r="FP1469" s="4"/>
      <c r="FQ1469" s="4"/>
      <c r="FR1469" s="4"/>
      <c r="FS1469" s="4"/>
      <c r="FT1469" s="4"/>
      <c r="FU1469" s="4"/>
      <c r="FV1469" s="4"/>
      <c r="FW1469" s="4"/>
      <c r="FX1469" s="4"/>
      <c r="FY1469" s="4"/>
      <c r="FZ1469" s="4"/>
      <c r="GA1469" s="4"/>
      <c r="GB1469" s="4"/>
      <c r="GC1469" s="4"/>
      <c r="GD1469" s="4"/>
      <c r="GE1469" s="4"/>
      <c r="GF1469" s="4"/>
      <c r="GG1469" s="4"/>
      <c r="GH1469" s="4"/>
    </row>
    <row r="1470">
      <c r="A1470" s="2" t="s">
        <v>7914</v>
      </c>
      <c r="B1470" s="2" t="s">
        <v>827</v>
      </c>
      <c r="C1470" s="2" t="s">
        <v>231</v>
      </c>
      <c r="D1470" s="2" t="s">
        <v>828</v>
      </c>
      <c r="E1470" s="2" t="s">
        <v>1588</v>
      </c>
      <c r="F1470" s="2" t="s">
        <v>7897</v>
      </c>
      <c r="G1470" s="2" t="s">
        <v>7898</v>
      </c>
      <c r="H1470" s="2" t="s">
        <v>7899</v>
      </c>
      <c r="I1470" s="2" t="s">
        <v>7900</v>
      </c>
      <c r="J1470" s="2" t="s">
        <v>4001</v>
      </c>
      <c r="K1470" s="2" t="s">
        <v>4544</v>
      </c>
      <c r="L1470" s="3">
        <v>13.5</v>
      </c>
      <c r="M1470" s="3">
        <v>14.18</v>
      </c>
      <c r="N1470" s="3">
        <v>29.99</v>
      </c>
      <c r="O1470" s="2" t="s">
        <v>212</v>
      </c>
      <c r="P1470" s="2" t="s">
        <v>258</v>
      </c>
      <c r="Q1470" s="2" t="s">
        <v>206</v>
      </c>
      <c r="R1470" s="2" t="s">
        <v>200</v>
      </c>
      <c r="S1470" s="2" t="s">
        <v>7915</v>
      </c>
      <c r="T1470" s="2" t="s">
        <v>200</v>
      </c>
      <c r="U1470" s="2" t="s">
        <v>270</v>
      </c>
      <c r="V1470" s="2" t="s">
        <v>208</v>
      </c>
      <c r="W1470" s="2" t="s">
        <v>2087</v>
      </c>
      <c r="X1470" s="2" t="s">
        <v>1588</v>
      </c>
      <c r="Y1470" s="2" t="s">
        <v>741</v>
      </c>
      <c r="Z1470" s="4">
        <v>434</v>
      </c>
      <c r="AA1470" s="4">
        <f>=ROUNDDOWN(62,0)</f>
      </c>
      <c r="AB1470" s="5">
        <v>7</v>
      </c>
      <c r="AC1470" s="2" t="s">
        <v>200</v>
      </c>
      <c r="AD1470" s="4"/>
      <c r="AE1470" s="4"/>
      <c r="AF1470" s="6">
        <v>65</v>
      </c>
      <c r="AG1470" s="6"/>
      <c r="AH1470" s="7">
        <v>1</v>
      </c>
      <c r="AI1470" s="4"/>
      <c r="AJ1470" s="4">
        <f>=ROUNDDOWN({0},0)</f>
      </c>
      <c r="AK1470" s="5"/>
      <c r="AL1470" s="2" t="s">
        <v>200</v>
      </c>
      <c r="AM1470" s="4"/>
      <c r="AN1470" s="4"/>
      <c r="AO1470" s="7"/>
      <c r="AP1470" s="4"/>
      <c r="AQ1470" s="8"/>
      <c r="AR1470" s="4"/>
      <c r="AS1470" s="8"/>
      <c r="AT1470" s="7"/>
      <c r="AU1470" s="7"/>
      <c r="AV1470" s="4" t="s">
        <v>200</v>
      </c>
      <c r="AW1470" s="8" t="s">
        <v>200</v>
      </c>
      <c r="AX1470" s="4" t="s">
        <v>200</v>
      </c>
      <c r="AY1470" s="8" t="s">
        <v>200</v>
      </c>
      <c r="AZ1470" s="7" t="s">
        <v>200</v>
      </c>
      <c r="BA1470" s="7" t="s">
        <v>200</v>
      </c>
      <c r="BB1470" s="7"/>
      <c r="BC1470" s="4" t="s">
        <v>200</v>
      </c>
      <c r="BD1470" s="8" t="s">
        <v>200</v>
      </c>
      <c r="BE1470" s="4" t="s">
        <v>200</v>
      </c>
      <c r="BF1470" s="8" t="s">
        <v>200</v>
      </c>
      <c r="BG1470" s="7" t="s">
        <v>200</v>
      </c>
      <c r="BH1470" s="7" t="s">
        <v>200</v>
      </c>
      <c r="BI1470" s="7"/>
      <c r="BJ1470" s="4">
        <v>39</v>
      </c>
      <c r="BK1470" s="8">
        <v>563.72</v>
      </c>
      <c r="BL1470" s="2" t="s">
        <v>7916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7917</v>
      </c>
      <c r="BV1470" s="2" t="s">
        <v>200</v>
      </c>
      <c r="BW1470" s="2" t="s">
        <v>200</v>
      </c>
      <c r="BX1470" s="2" t="s">
        <v>264</v>
      </c>
      <c r="BY1470" s="2" t="s">
        <v>247</v>
      </c>
      <c r="BZ1470" s="2" t="s">
        <v>212</v>
      </c>
      <c r="CA1470" s="2" t="s">
        <v>7918</v>
      </c>
      <c r="CB1470" s="2" t="s">
        <v>7919</v>
      </c>
      <c r="CC1470" s="2" t="s">
        <v>213</v>
      </c>
      <c r="CD1470" s="2" t="s">
        <v>200</v>
      </c>
      <c r="CE1470" s="4">
        <v>434</v>
      </c>
      <c r="CF1470" s="4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/>
      <c r="DD1470" s="4"/>
      <c r="DE1470" s="4"/>
      <c r="DF1470" s="4"/>
      <c r="DG1470" s="4"/>
      <c r="DH1470" s="4"/>
      <c r="DI1470" s="4"/>
      <c r="DJ1470" s="4"/>
      <c r="DK1470" s="4"/>
      <c r="DL1470" s="4"/>
      <c r="DM1470" s="4"/>
      <c r="DN1470" s="4"/>
      <c r="DO1470" s="4"/>
      <c r="DP1470" s="4"/>
      <c r="DQ1470" s="4"/>
      <c r="DR1470" s="4"/>
      <c r="DS1470" s="4"/>
      <c r="DT1470" s="4"/>
      <c r="DU1470" s="4"/>
      <c r="DV1470" s="4"/>
      <c r="DW1470" s="4"/>
      <c r="DX1470" s="4"/>
      <c r="DY1470" s="4"/>
      <c r="DZ1470" s="4"/>
      <c r="EA1470" s="4"/>
      <c r="EB1470" s="4"/>
      <c r="EC1470" s="4"/>
      <c r="ED1470" s="4"/>
      <c r="EE1470" s="4"/>
      <c r="EF1470" s="4"/>
      <c r="EG1470" s="4"/>
      <c r="EH1470" s="4"/>
      <c r="EI1470" s="4"/>
      <c r="EJ1470" s="4"/>
      <c r="EK1470" s="4"/>
      <c r="EL1470" s="4"/>
      <c r="EM1470" s="4"/>
      <c r="EN1470" s="4"/>
      <c r="EO1470" s="4"/>
      <c r="EP1470" s="4"/>
      <c r="EQ1470" s="4"/>
      <c r="ER1470" s="4"/>
      <c r="ES1470" s="4"/>
      <c r="ET1470" s="4"/>
      <c r="EU1470" s="4"/>
      <c r="EV1470" s="4"/>
      <c r="EW1470" s="4"/>
      <c r="EX1470" s="4"/>
      <c r="EY1470" s="4"/>
      <c r="EZ1470" s="4"/>
      <c r="FA1470" s="4"/>
      <c r="FB1470" s="4"/>
      <c r="FC1470" s="4"/>
      <c r="FD1470" s="4"/>
      <c r="FE1470" s="4"/>
      <c r="FF1470" s="4"/>
      <c r="FG1470" s="4"/>
      <c r="FH1470" s="4"/>
      <c r="FI1470" s="4"/>
      <c r="FJ1470" s="4"/>
      <c r="FK1470" s="4"/>
      <c r="FL1470" s="4"/>
      <c r="FM1470" s="4"/>
      <c r="FN1470" s="4"/>
      <c r="FO1470" s="4"/>
      <c r="FP1470" s="4"/>
      <c r="FQ1470" s="4"/>
      <c r="FR1470" s="4"/>
      <c r="FS1470" s="4"/>
      <c r="FT1470" s="4"/>
      <c r="FU1470" s="4"/>
      <c r="FV1470" s="4"/>
      <c r="FW1470" s="4"/>
      <c r="FX1470" s="4"/>
      <c r="FY1470" s="4"/>
      <c r="FZ1470" s="4"/>
      <c r="GA1470" s="4"/>
      <c r="GB1470" s="4"/>
      <c r="GC1470" s="4"/>
      <c r="GD1470" s="4"/>
      <c r="GE1470" s="4"/>
      <c r="GF1470" s="4"/>
      <c r="GG1470" s="4"/>
      <c r="GH1470" s="4"/>
    </row>
    <row r="1471">
      <c r="A1471" s="2" t="s">
        <v>7920</v>
      </c>
      <c r="B1471" s="2" t="s">
        <v>827</v>
      </c>
      <c r="C1471" s="2" t="s">
        <v>231</v>
      </c>
      <c r="D1471" s="2" t="s">
        <v>828</v>
      </c>
      <c r="E1471" s="2" t="s">
        <v>1588</v>
      </c>
      <c r="F1471" s="2" t="s">
        <v>7897</v>
      </c>
      <c r="G1471" s="2" t="s">
        <v>7898</v>
      </c>
      <c r="H1471" s="2" t="s">
        <v>7899</v>
      </c>
      <c r="I1471" s="2" t="s">
        <v>7900</v>
      </c>
      <c r="J1471" s="2" t="s">
        <v>1016</v>
      </c>
      <c r="K1471" s="2" t="s">
        <v>4544</v>
      </c>
      <c r="L1471" s="3">
        <v>15.05</v>
      </c>
      <c r="M1471" s="3">
        <v>15.8</v>
      </c>
      <c r="N1471" s="3">
        <v>34.99</v>
      </c>
      <c r="O1471" s="2" t="s">
        <v>212</v>
      </c>
      <c r="P1471" s="2" t="s">
        <v>258</v>
      </c>
      <c r="Q1471" s="2" t="s">
        <v>206</v>
      </c>
      <c r="R1471" s="2" t="s">
        <v>200</v>
      </c>
      <c r="S1471" s="2" t="s">
        <v>7915</v>
      </c>
      <c r="T1471" s="2" t="s">
        <v>200</v>
      </c>
      <c r="U1471" s="2" t="s">
        <v>270</v>
      </c>
      <c r="V1471" s="2" t="s">
        <v>208</v>
      </c>
      <c r="W1471" s="2" t="s">
        <v>2087</v>
      </c>
      <c r="X1471" s="2" t="s">
        <v>1588</v>
      </c>
      <c r="Y1471" s="2" t="s">
        <v>741</v>
      </c>
      <c r="Z1471" s="4">
        <v>300</v>
      </c>
      <c r="AA1471" s="4">
        <f>=ROUNDDOWN(23.0769230769231,0)</f>
      </c>
      <c r="AB1471" s="5">
        <v>13</v>
      </c>
      <c r="AC1471" s="2" t="s">
        <v>200</v>
      </c>
      <c r="AD1471" s="4"/>
      <c r="AE1471" s="4"/>
      <c r="AF1471" s="6">
        <v>65</v>
      </c>
      <c r="AG1471" s="6"/>
      <c r="AH1471" s="7">
        <v>1</v>
      </c>
      <c r="AI1471" s="4"/>
      <c r="AJ1471" s="4">
        <f>=ROUNDDOWN({0},0)</f>
      </c>
      <c r="AK1471" s="5"/>
      <c r="AL1471" s="2" t="s">
        <v>200</v>
      </c>
      <c r="AM1471" s="4"/>
      <c r="AN1471" s="4"/>
      <c r="AO1471" s="7"/>
      <c r="AP1471" s="4"/>
      <c r="AQ1471" s="8"/>
      <c r="AR1471" s="4"/>
      <c r="AS1471" s="8"/>
      <c r="AT1471" s="7"/>
      <c r="AU1471" s="7"/>
      <c r="AV1471" s="4" t="s">
        <v>200</v>
      </c>
      <c r="AW1471" s="8" t="s">
        <v>200</v>
      </c>
      <c r="AX1471" s="4" t="s">
        <v>200</v>
      </c>
      <c r="AY1471" s="8" t="s">
        <v>200</v>
      </c>
      <c r="AZ1471" s="7" t="s">
        <v>200</v>
      </c>
      <c r="BA1471" s="7" t="s">
        <v>200</v>
      </c>
      <c r="BB1471" s="7"/>
      <c r="BC1471" s="4" t="s">
        <v>200</v>
      </c>
      <c r="BD1471" s="8" t="s">
        <v>200</v>
      </c>
      <c r="BE1471" s="4" t="s">
        <v>200</v>
      </c>
      <c r="BF1471" s="8" t="s">
        <v>200</v>
      </c>
      <c r="BG1471" s="7" t="s">
        <v>200</v>
      </c>
      <c r="BH1471" s="7" t="s">
        <v>200</v>
      </c>
      <c r="BI1471" s="7"/>
      <c r="BJ1471" s="4">
        <v>68</v>
      </c>
      <c r="BK1471" s="8">
        <v>1079.84</v>
      </c>
      <c r="BL1471" s="2" t="s">
        <v>7921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7922</v>
      </c>
      <c r="BV1471" s="2" t="s">
        <v>200</v>
      </c>
      <c r="BW1471" s="2" t="s">
        <v>200</v>
      </c>
      <c r="BX1471" s="2" t="s">
        <v>264</v>
      </c>
      <c r="BY1471" s="2" t="s">
        <v>247</v>
      </c>
      <c r="BZ1471" s="2" t="s">
        <v>212</v>
      </c>
      <c r="CA1471" s="2" t="s">
        <v>7918</v>
      </c>
      <c r="CB1471" s="2" t="s">
        <v>7300</v>
      </c>
      <c r="CC1471" s="2" t="s">
        <v>213</v>
      </c>
      <c r="CD1471" s="2" t="s">
        <v>200</v>
      </c>
      <c r="CE1471" s="4">
        <v>300</v>
      </c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  <c r="CZ1471" s="4"/>
      <c r="DA1471" s="4"/>
      <c r="DB1471" s="4"/>
      <c r="DC1471" s="4"/>
      <c r="DD1471" s="4"/>
      <c r="DE1471" s="4"/>
      <c r="DF1471" s="4"/>
      <c r="DG1471" s="4"/>
      <c r="DH1471" s="4"/>
      <c r="DI1471" s="4"/>
      <c r="DJ1471" s="4"/>
      <c r="DK1471" s="4"/>
      <c r="DL1471" s="4"/>
      <c r="DM1471" s="4"/>
      <c r="DN1471" s="4"/>
      <c r="DO1471" s="4"/>
      <c r="DP1471" s="4"/>
      <c r="DQ1471" s="4"/>
      <c r="DR1471" s="4"/>
      <c r="DS1471" s="4"/>
      <c r="DT1471" s="4"/>
      <c r="DU1471" s="4"/>
      <c r="DV1471" s="4"/>
      <c r="DW1471" s="4"/>
      <c r="DX1471" s="4"/>
      <c r="DY1471" s="4"/>
      <c r="DZ1471" s="4"/>
      <c r="EA1471" s="4"/>
      <c r="EB1471" s="4"/>
      <c r="EC1471" s="4"/>
      <c r="ED1471" s="4"/>
      <c r="EE1471" s="4"/>
      <c r="EF1471" s="4"/>
      <c r="EG1471" s="4"/>
      <c r="EH1471" s="4"/>
      <c r="EI1471" s="4"/>
      <c r="EJ1471" s="4"/>
      <c r="EK1471" s="4"/>
      <c r="EL1471" s="4"/>
      <c r="EM1471" s="4"/>
      <c r="EN1471" s="4"/>
      <c r="EO1471" s="4"/>
      <c r="EP1471" s="4"/>
      <c r="EQ1471" s="4"/>
      <c r="ER1471" s="4"/>
      <c r="ES1471" s="4"/>
      <c r="ET1471" s="4"/>
      <c r="EU1471" s="4"/>
      <c r="EV1471" s="4"/>
      <c r="EW1471" s="4"/>
      <c r="EX1471" s="4"/>
      <c r="EY1471" s="4"/>
      <c r="EZ1471" s="4"/>
      <c r="FA1471" s="4"/>
      <c r="FB1471" s="4"/>
      <c r="FC1471" s="4"/>
      <c r="FD1471" s="4"/>
      <c r="FE1471" s="4"/>
      <c r="FF1471" s="4"/>
      <c r="FG1471" s="4"/>
      <c r="FH1471" s="4"/>
      <c r="FI1471" s="4"/>
      <c r="FJ1471" s="4"/>
      <c r="FK1471" s="4"/>
      <c r="FL1471" s="4"/>
      <c r="FM1471" s="4"/>
      <c r="FN1471" s="4"/>
      <c r="FO1471" s="4"/>
      <c r="FP1471" s="4"/>
      <c r="FQ1471" s="4"/>
      <c r="FR1471" s="4"/>
      <c r="FS1471" s="4"/>
      <c r="FT1471" s="4"/>
      <c r="FU1471" s="4"/>
      <c r="FV1471" s="4"/>
      <c r="FW1471" s="4"/>
      <c r="FX1471" s="4"/>
      <c r="FY1471" s="4"/>
      <c r="FZ1471" s="4"/>
      <c r="GA1471" s="4"/>
      <c r="GB1471" s="4"/>
      <c r="GC1471" s="4"/>
      <c r="GD1471" s="4"/>
      <c r="GE1471" s="4"/>
      <c r="GF1471" s="4"/>
      <c r="GG1471" s="4"/>
      <c r="GH1471" s="4"/>
    </row>
    <row r="1472">
      <c r="A1472" s="2" t="s">
        <v>7923</v>
      </c>
      <c r="B1472" s="2" t="s">
        <v>932</v>
      </c>
      <c r="C1472" s="2" t="s">
        <v>1839</v>
      </c>
      <c r="D1472" s="2" t="s">
        <v>918</v>
      </c>
      <c r="E1472" s="2" t="s">
        <v>919</v>
      </c>
      <c r="F1472" s="2" t="s">
        <v>7924</v>
      </c>
      <c r="G1472" s="2" t="s">
        <v>7925</v>
      </c>
      <c r="H1472" s="2" t="s">
        <v>7926</v>
      </c>
      <c r="I1472" s="2" t="s">
        <v>7927</v>
      </c>
      <c r="J1472" s="2" t="s">
        <v>612</v>
      </c>
      <c r="K1472" s="2" t="s">
        <v>387</v>
      </c>
      <c r="L1472" s="3">
        <v>23.8</v>
      </c>
      <c r="M1472" s="3">
        <v>24.99</v>
      </c>
      <c r="N1472" s="3">
        <v>49.99</v>
      </c>
      <c r="O1472" s="2" t="s">
        <v>212</v>
      </c>
      <c r="P1472" s="2" t="s">
        <v>285</v>
      </c>
      <c r="Q1472" s="2" t="s">
        <v>206</v>
      </c>
      <c r="R1472" s="2" t="s">
        <v>200</v>
      </c>
      <c r="S1472" s="2" t="s">
        <v>7928</v>
      </c>
      <c r="T1472" s="2" t="s">
        <v>1176</v>
      </c>
      <c r="U1472" s="2" t="s">
        <v>454</v>
      </c>
      <c r="V1472" s="2" t="s">
        <v>339</v>
      </c>
      <c r="W1472" s="2" t="s">
        <v>379</v>
      </c>
      <c r="X1472" s="2" t="s">
        <v>241</v>
      </c>
      <c r="Y1472" s="2" t="s">
        <v>1395</v>
      </c>
      <c r="Z1472" s="4">
        <v>11</v>
      </c>
      <c r="AA1472" s="4">
        <f>=ROUNDDOWN(3.66666666666667,0)</f>
      </c>
      <c r="AB1472" s="5">
        <v>3</v>
      </c>
      <c r="AC1472" s="2" t="s">
        <v>200</v>
      </c>
      <c r="AD1472" s="4"/>
      <c r="AE1472" s="4"/>
      <c r="AF1472" s="6">
        <v>65</v>
      </c>
      <c r="AG1472" s="6"/>
      <c r="AH1472" s="7">
        <v>1</v>
      </c>
      <c r="AI1472" s="4"/>
      <c r="AJ1472" s="4">
        <f>=ROUNDDOWN({0},0)</f>
      </c>
      <c r="AK1472" s="5"/>
      <c r="AL1472" s="2" t="s">
        <v>200</v>
      </c>
      <c r="AM1472" s="4"/>
      <c r="AN1472" s="4"/>
      <c r="AO1472" s="7"/>
      <c r="AP1472" s="4"/>
      <c r="AQ1472" s="8"/>
      <c r="AR1472" s="4"/>
      <c r="AS1472" s="8"/>
      <c r="AT1472" s="7"/>
      <c r="AU1472" s="7"/>
      <c r="AV1472" s="4" t="s">
        <v>200</v>
      </c>
      <c r="AW1472" s="8" t="s">
        <v>200</v>
      </c>
      <c r="AX1472" s="4" t="s">
        <v>200</v>
      </c>
      <c r="AY1472" s="8" t="s">
        <v>200</v>
      </c>
      <c r="AZ1472" s="7" t="s">
        <v>200</v>
      </c>
      <c r="BA1472" s="7" t="s">
        <v>200</v>
      </c>
      <c r="BB1472" s="7"/>
      <c r="BC1472" s="4" t="s">
        <v>200</v>
      </c>
      <c r="BD1472" s="8" t="s">
        <v>200</v>
      </c>
      <c r="BE1472" s="4" t="s">
        <v>200</v>
      </c>
      <c r="BF1472" s="8" t="s">
        <v>200</v>
      </c>
      <c r="BG1472" s="7" t="s">
        <v>200</v>
      </c>
      <c r="BH1472" s="7" t="s">
        <v>200</v>
      </c>
      <c r="BI1472" s="7"/>
      <c r="BJ1472" s="4">
        <v>12</v>
      </c>
      <c r="BK1472" s="8">
        <v>317.9</v>
      </c>
      <c r="BL1472" s="2" t="s">
        <v>370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7929</v>
      </c>
      <c r="BV1472" s="2" t="s">
        <v>200</v>
      </c>
      <c r="BW1472" s="2" t="s">
        <v>200</v>
      </c>
      <c r="BX1472" s="2" t="s">
        <v>289</v>
      </c>
      <c r="BY1472" s="2" t="s">
        <v>247</v>
      </c>
      <c r="BZ1472" s="2" t="s">
        <v>212</v>
      </c>
      <c r="CA1472" s="2" t="s">
        <v>7930</v>
      </c>
      <c r="CB1472" s="2" t="s">
        <v>7931</v>
      </c>
      <c r="CC1472" s="2" t="s">
        <v>213</v>
      </c>
      <c r="CD1472" s="2" t="s">
        <v>200</v>
      </c>
      <c r="CE1472" s="4">
        <v>11</v>
      </c>
      <c r="CF1472" s="4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  <c r="CZ1472" s="4"/>
      <c r="DA1472" s="4"/>
      <c r="DB1472" s="4"/>
      <c r="DC1472" s="4"/>
      <c r="DD1472" s="4"/>
      <c r="DE1472" s="4"/>
      <c r="DF1472" s="4"/>
      <c r="DG1472" s="4"/>
      <c r="DH1472" s="4"/>
      <c r="DI1472" s="4"/>
      <c r="DJ1472" s="4"/>
      <c r="DK1472" s="4"/>
      <c r="DL1472" s="4"/>
      <c r="DM1472" s="4"/>
      <c r="DN1472" s="4"/>
      <c r="DO1472" s="4"/>
      <c r="DP1472" s="4"/>
      <c r="DQ1472" s="4"/>
      <c r="DR1472" s="4"/>
      <c r="DS1472" s="4"/>
      <c r="DT1472" s="4"/>
      <c r="DU1472" s="4"/>
      <c r="DV1472" s="4"/>
      <c r="DW1472" s="4"/>
      <c r="DX1472" s="4"/>
      <c r="DY1472" s="4"/>
      <c r="DZ1472" s="4"/>
      <c r="EA1472" s="4"/>
      <c r="EB1472" s="4"/>
      <c r="EC1472" s="4"/>
      <c r="ED1472" s="4"/>
      <c r="EE1472" s="4"/>
      <c r="EF1472" s="4"/>
      <c r="EG1472" s="4"/>
      <c r="EH1472" s="4"/>
      <c r="EI1472" s="4"/>
      <c r="EJ1472" s="4"/>
      <c r="EK1472" s="4"/>
      <c r="EL1472" s="4"/>
      <c r="EM1472" s="4"/>
      <c r="EN1472" s="4"/>
      <c r="EO1472" s="4"/>
      <c r="EP1472" s="4"/>
      <c r="EQ1472" s="4"/>
      <c r="ER1472" s="4"/>
      <c r="ES1472" s="4"/>
      <c r="ET1472" s="4"/>
      <c r="EU1472" s="4"/>
      <c r="EV1472" s="4"/>
      <c r="EW1472" s="4"/>
      <c r="EX1472" s="4"/>
      <c r="EY1472" s="4"/>
      <c r="EZ1472" s="4"/>
      <c r="FA1472" s="4"/>
      <c r="FB1472" s="4"/>
      <c r="FC1472" s="4"/>
      <c r="FD1472" s="4"/>
      <c r="FE1472" s="4"/>
      <c r="FF1472" s="4"/>
      <c r="FG1472" s="4"/>
      <c r="FH1472" s="4"/>
      <c r="FI1472" s="4"/>
      <c r="FJ1472" s="4"/>
      <c r="FK1472" s="4"/>
      <c r="FL1472" s="4"/>
      <c r="FM1472" s="4"/>
      <c r="FN1472" s="4"/>
      <c r="FO1472" s="4"/>
      <c r="FP1472" s="4"/>
      <c r="FQ1472" s="4"/>
      <c r="FR1472" s="4"/>
      <c r="FS1472" s="4"/>
      <c r="FT1472" s="4"/>
      <c r="FU1472" s="4"/>
      <c r="FV1472" s="4"/>
      <c r="FW1472" s="4"/>
      <c r="FX1472" s="4"/>
      <c r="FY1472" s="4"/>
      <c r="FZ1472" s="4"/>
      <c r="GA1472" s="4"/>
      <c r="GB1472" s="4"/>
      <c r="GC1472" s="4"/>
      <c r="GD1472" s="4"/>
      <c r="GE1472" s="4"/>
      <c r="GF1472" s="4"/>
      <c r="GG1472" s="4"/>
      <c r="GH1472" s="4"/>
    </row>
    <row r="1473">
      <c r="A1473" s="2" t="s">
        <v>7932</v>
      </c>
      <c r="B1473" s="2" t="s">
        <v>932</v>
      </c>
      <c r="C1473" s="2" t="s">
        <v>1839</v>
      </c>
      <c r="D1473" s="2" t="s">
        <v>608</v>
      </c>
      <c r="E1473" s="2" t="s">
        <v>1324</v>
      </c>
      <c r="F1473" s="2" t="s">
        <v>7924</v>
      </c>
      <c r="G1473" s="2" t="s">
        <v>7925</v>
      </c>
      <c r="H1473" s="2" t="s">
        <v>7926</v>
      </c>
      <c r="I1473" s="2" t="s">
        <v>7933</v>
      </c>
      <c r="J1473" s="2" t="s">
        <v>924</v>
      </c>
      <c r="K1473" s="2" t="s">
        <v>387</v>
      </c>
      <c r="L1473" s="3">
        <v>38.09</v>
      </c>
      <c r="M1473" s="3">
        <v>39.99</v>
      </c>
      <c r="N1473" s="3">
        <v>79.99</v>
      </c>
      <c r="O1473" s="2" t="s">
        <v>212</v>
      </c>
      <c r="P1473" s="2" t="s">
        <v>285</v>
      </c>
      <c r="Q1473" s="2" t="s">
        <v>206</v>
      </c>
      <c r="R1473" s="2" t="s">
        <v>200</v>
      </c>
      <c r="S1473" s="2" t="s">
        <v>7928</v>
      </c>
      <c r="T1473" s="2" t="s">
        <v>1176</v>
      </c>
      <c r="U1473" s="2" t="s">
        <v>454</v>
      </c>
      <c r="V1473" s="2" t="s">
        <v>339</v>
      </c>
      <c r="W1473" s="2" t="s">
        <v>379</v>
      </c>
      <c r="X1473" s="2" t="s">
        <v>241</v>
      </c>
      <c r="Y1473" s="2" t="s">
        <v>4277</v>
      </c>
      <c r="Z1473" s="4">
        <v>17</v>
      </c>
      <c r="AA1473" s="4">
        <f>=ROUNDDOWN(5.66666666666667,0)</f>
      </c>
      <c r="AB1473" s="5">
        <v>3</v>
      </c>
      <c r="AC1473" s="2" t="s">
        <v>200</v>
      </c>
      <c r="AD1473" s="4"/>
      <c r="AE1473" s="4"/>
      <c r="AF1473" s="6">
        <v>65</v>
      </c>
      <c r="AG1473" s="6"/>
      <c r="AH1473" s="7">
        <v>1</v>
      </c>
      <c r="AI1473" s="4"/>
      <c r="AJ1473" s="4">
        <f>=ROUNDDOWN({0},0)</f>
      </c>
      <c r="AK1473" s="5"/>
      <c r="AL1473" s="2" t="s">
        <v>200</v>
      </c>
      <c r="AM1473" s="4"/>
      <c r="AN1473" s="4"/>
      <c r="AO1473" s="7"/>
      <c r="AP1473" s="4"/>
      <c r="AQ1473" s="8"/>
      <c r="AR1473" s="4"/>
      <c r="AS1473" s="8"/>
      <c r="AT1473" s="7"/>
      <c r="AU1473" s="7"/>
      <c r="AV1473" s="4" t="s">
        <v>200</v>
      </c>
      <c r="AW1473" s="8" t="s">
        <v>200</v>
      </c>
      <c r="AX1473" s="4" t="s">
        <v>200</v>
      </c>
      <c r="AY1473" s="8" t="s">
        <v>200</v>
      </c>
      <c r="AZ1473" s="7" t="s">
        <v>200</v>
      </c>
      <c r="BA1473" s="7" t="s">
        <v>200</v>
      </c>
      <c r="BB1473" s="7" t="s">
        <v>200</v>
      </c>
      <c r="BC1473" s="4" t="s">
        <v>200</v>
      </c>
      <c r="BD1473" s="8" t="s">
        <v>200</v>
      </c>
      <c r="BE1473" s="4" t="s">
        <v>200</v>
      </c>
      <c r="BF1473" s="8" t="s">
        <v>200</v>
      </c>
      <c r="BG1473" s="7" t="s">
        <v>200</v>
      </c>
      <c r="BH1473" s="7" t="s">
        <v>200</v>
      </c>
      <c r="BI1473" s="7"/>
      <c r="BJ1473" s="4">
        <v>5</v>
      </c>
      <c r="BK1473" s="8">
        <v>212.35</v>
      </c>
      <c r="BL1473" s="2" t="s">
        <v>7934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7935</v>
      </c>
      <c r="BV1473" s="2" t="s">
        <v>200</v>
      </c>
      <c r="BW1473" s="2" t="s">
        <v>200</v>
      </c>
      <c r="BX1473" s="2" t="s">
        <v>289</v>
      </c>
      <c r="BY1473" s="2" t="s">
        <v>247</v>
      </c>
      <c r="BZ1473" s="2" t="s">
        <v>212</v>
      </c>
      <c r="CA1473" s="2" t="s">
        <v>7930</v>
      </c>
      <c r="CB1473" s="2" t="s">
        <v>7936</v>
      </c>
      <c r="CC1473" s="2" t="s">
        <v>213</v>
      </c>
      <c r="CD1473" s="2" t="s">
        <v>200</v>
      </c>
      <c r="CE1473" s="4">
        <v>17</v>
      </c>
      <c r="CF1473" s="4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  <c r="DE1473" s="4"/>
      <c r="DF1473" s="4"/>
      <c r="DG1473" s="4"/>
      <c r="DH1473" s="4"/>
      <c r="DI1473" s="4"/>
      <c r="DJ1473" s="4"/>
      <c r="DK1473" s="4"/>
      <c r="DL1473" s="4"/>
      <c r="DM1473" s="4"/>
      <c r="DN1473" s="4"/>
      <c r="DO1473" s="4"/>
      <c r="DP1473" s="4"/>
      <c r="DQ1473" s="4"/>
      <c r="DR1473" s="4"/>
      <c r="DS1473" s="4"/>
      <c r="DT1473" s="4"/>
      <c r="DU1473" s="4"/>
      <c r="DV1473" s="4"/>
      <c r="DW1473" s="4"/>
      <c r="DX1473" s="4"/>
      <c r="DY1473" s="4"/>
      <c r="DZ1473" s="4"/>
      <c r="EA1473" s="4"/>
      <c r="EB1473" s="4"/>
      <c r="EC1473" s="4"/>
      <c r="ED1473" s="4"/>
      <c r="EE1473" s="4"/>
      <c r="EF1473" s="4"/>
      <c r="EG1473" s="4"/>
      <c r="EH1473" s="4"/>
      <c r="EI1473" s="4"/>
      <c r="EJ1473" s="4"/>
      <c r="EK1473" s="4"/>
      <c r="EL1473" s="4"/>
      <c r="EM1473" s="4"/>
      <c r="EN1473" s="4"/>
      <c r="EO1473" s="4"/>
      <c r="EP1473" s="4"/>
      <c r="EQ1473" s="4"/>
      <c r="ER1473" s="4"/>
      <c r="ES1473" s="4"/>
      <c r="ET1473" s="4"/>
      <c r="EU1473" s="4"/>
      <c r="EV1473" s="4"/>
      <c r="EW1473" s="4"/>
      <c r="EX1473" s="4"/>
      <c r="EY1473" s="4"/>
      <c r="EZ1473" s="4"/>
      <c r="FA1473" s="4"/>
      <c r="FB1473" s="4"/>
      <c r="FC1473" s="4"/>
      <c r="FD1473" s="4"/>
      <c r="FE1473" s="4"/>
      <c r="FF1473" s="4"/>
      <c r="FG1473" s="4"/>
      <c r="FH1473" s="4"/>
      <c r="FI1473" s="4"/>
      <c r="FJ1473" s="4"/>
      <c r="FK1473" s="4"/>
      <c r="FL1473" s="4"/>
      <c r="FM1473" s="4"/>
      <c r="FN1473" s="4"/>
      <c r="FO1473" s="4"/>
      <c r="FP1473" s="4"/>
      <c r="FQ1473" s="4"/>
      <c r="FR1473" s="4"/>
      <c r="FS1473" s="4"/>
      <c r="FT1473" s="4"/>
      <c r="FU1473" s="4"/>
      <c r="FV1473" s="4"/>
      <c r="FW1473" s="4"/>
      <c r="FX1473" s="4"/>
      <c r="FY1473" s="4"/>
      <c r="FZ1473" s="4"/>
      <c r="GA1473" s="4"/>
      <c r="GB1473" s="4"/>
      <c r="GC1473" s="4"/>
      <c r="GD1473" s="4"/>
      <c r="GE1473" s="4"/>
      <c r="GF1473" s="4"/>
      <c r="GG1473" s="4"/>
      <c r="GH1473" s="4"/>
    </row>
    <row r="1474">
      <c r="A1474" s="2" t="s">
        <v>7937</v>
      </c>
      <c r="B1474" s="2" t="s">
        <v>932</v>
      </c>
      <c r="C1474" s="2" t="s">
        <v>1839</v>
      </c>
      <c r="D1474" s="2" t="s">
        <v>918</v>
      </c>
      <c r="E1474" s="2" t="s">
        <v>919</v>
      </c>
      <c r="F1474" s="2" t="s">
        <v>7924</v>
      </c>
      <c r="G1474" s="2" t="s">
        <v>7925</v>
      </c>
      <c r="H1474" s="2" t="s">
        <v>7926</v>
      </c>
      <c r="I1474" s="2" t="s">
        <v>7927</v>
      </c>
      <c r="J1474" s="2" t="s">
        <v>924</v>
      </c>
      <c r="K1474" s="2" t="s">
        <v>387</v>
      </c>
      <c r="L1474" s="3">
        <v>28.57</v>
      </c>
      <c r="M1474" s="3">
        <v>30</v>
      </c>
      <c r="N1474" s="3">
        <v>59.99</v>
      </c>
      <c r="O1474" s="2" t="s">
        <v>212</v>
      </c>
      <c r="P1474" s="2" t="s">
        <v>285</v>
      </c>
      <c r="Q1474" s="2" t="s">
        <v>206</v>
      </c>
      <c r="R1474" s="2" t="s">
        <v>200</v>
      </c>
      <c r="S1474" s="2" t="s">
        <v>7928</v>
      </c>
      <c r="T1474" s="2" t="s">
        <v>1176</v>
      </c>
      <c r="U1474" s="2" t="s">
        <v>454</v>
      </c>
      <c r="V1474" s="2" t="s">
        <v>339</v>
      </c>
      <c r="W1474" s="2" t="s">
        <v>379</v>
      </c>
      <c r="X1474" s="2" t="s">
        <v>241</v>
      </c>
      <c r="Y1474" s="2" t="s">
        <v>4277</v>
      </c>
      <c r="Z1474" s="4">
        <v>45</v>
      </c>
      <c r="AA1474" s="4">
        <f>=ROUNDDOWN(22.5,0)</f>
      </c>
      <c r="AB1474" s="5">
        <v>2</v>
      </c>
      <c r="AC1474" s="2" t="s">
        <v>200</v>
      </c>
      <c r="AD1474" s="4"/>
      <c r="AE1474" s="4"/>
      <c r="AF1474" s="6">
        <v>65</v>
      </c>
      <c r="AG1474" s="6"/>
      <c r="AH1474" s="7">
        <v>1</v>
      </c>
      <c r="AI1474" s="4"/>
      <c r="AJ1474" s="4">
        <f>=ROUNDDOWN({0},0)</f>
      </c>
      <c r="AK1474" s="5"/>
      <c r="AL1474" s="2" t="s">
        <v>200</v>
      </c>
      <c r="AM1474" s="4"/>
      <c r="AN1474" s="4"/>
      <c r="AO1474" s="7"/>
      <c r="AP1474" s="4"/>
      <c r="AQ1474" s="8"/>
      <c r="AR1474" s="4"/>
      <c r="AS1474" s="8"/>
      <c r="AT1474" s="7"/>
      <c r="AU1474" s="7"/>
      <c r="AV1474" s="4" t="s">
        <v>200</v>
      </c>
      <c r="AW1474" s="8" t="s">
        <v>200</v>
      </c>
      <c r="AX1474" s="4" t="s">
        <v>200</v>
      </c>
      <c r="AY1474" s="8" t="s">
        <v>200</v>
      </c>
      <c r="AZ1474" s="7" t="s">
        <v>200</v>
      </c>
      <c r="BA1474" s="7" t="s">
        <v>200</v>
      </c>
      <c r="BB1474" s="7" t="s">
        <v>200</v>
      </c>
      <c r="BC1474" s="4" t="s">
        <v>200</v>
      </c>
      <c r="BD1474" s="8" t="s">
        <v>200</v>
      </c>
      <c r="BE1474" s="4" t="s">
        <v>200</v>
      </c>
      <c r="BF1474" s="8" t="s">
        <v>200</v>
      </c>
      <c r="BG1474" s="7" t="s">
        <v>200</v>
      </c>
      <c r="BH1474" s="7" t="s">
        <v>200</v>
      </c>
      <c r="BI1474" s="7"/>
      <c r="BJ1474" s="4">
        <v>7</v>
      </c>
      <c r="BK1474" s="8">
        <v>223.5</v>
      </c>
      <c r="BL1474" s="2" t="s">
        <v>6172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7938</v>
      </c>
      <c r="BV1474" s="2" t="s">
        <v>200</v>
      </c>
      <c r="BW1474" s="2" t="s">
        <v>200</v>
      </c>
      <c r="BX1474" s="2" t="s">
        <v>289</v>
      </c>
      <c r="BY1474" s="2" t="s">
        <v>247</v>
      </c>
      <c r="BZ1474" s="2" t="s">
        <v>212</v>
      </c>
      <c r="CA1474" s="2" t="s">
        <v>7930</v>
      </c>
      <c r="CB1474" s="2" t="s">
        <v>7939</v>
      </c>
      <c r="CC1474" s="2" t="s">
        <v>213</v>
      </c>
      <c r="CD1474" s="2" t="s">
        <v>200</v>
      </c>
      <c r="CE1474" s="4">
        <v>45</v>
      </c>
      <c r="CF1474" s="4"/>
      <c r="CG1474" s="4"/>
      <c r="CH1474" s="4"/>
      <c r="CI1474" s="4"/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4"/>
      <c r="CX1474" s="4"/>
      <c r="CY1474" s="4"/>
      <c r="CZ1474" s="4"/>
      <c r="DA1474" s="4"/>
      <c r="DB1474" s="4"/>
      <c r="DC1474" s="4"/>
      <c r="DD1474" s="4"/>
      <c r="DE1474" s="4"/>
      <c r="DF1474" s="4"/>
      <c r="DG1474" s="4"/>
      <c r="DH1474" s="4"/>
      <c r="DI1474" s="4"/>
      <c r="DJ1474" s="4"/>
      <c r="DK1474" s="4"/>
      <c r="DL1474" s="4"/>
      <c r="DM1474" s="4"/>
      <c r="DN1474" s="4"/>
      <c r="DO1474" s="4"/>
      <c r="DP1474" s="4"/>
      <c r="DQ1474" s="4"/>
      <c r="DR1474" s="4"/>
      <c r="DS1474" s="4"/>
      <c r="DT1474" s="4"/>
      <c r="DU1474" s="4"/>
      <c r="DV1474" s="4"/>
      <c r="DW1474" s="4"/>
      <c r="DX1474" s="4"/>
      <c r="DY1474" s="4"/>
      <c r="DZ1474" s="4"/>
      <c r="EA1474" s="4"/>
      <c r="EB1474" s="4"/>
      <c r="EC1474" s="4"/>
      <c r="ED1474" s="4"/>
      <c r="EE1474" s="4"/>
      <c r="EF1474" s="4"/>
      <c r="EG1474" s="4"/>
      <c r="EH1474" s="4"/>
      <c r="EI1474" s="4"/>
      <c r="EJ1474" s="4"/>
      <c r="EK1474" s="4"/>
      <c r="EL1474" s="4"/>
      <c r="EM1474" s="4"/>
      <c r="EN1474" s="4"/>
      <c r="EO1474" s="4"/>
      <c r="EP1474" s="4"/>
      <c r="EQ1474" s="4"/>
      <c r="ER1474" s="4"/>
      <c r="ES1474" s="4"/>
      <c r="ET1474" s="4"/>
      <c r="EU1474" s="4"/>
      <c r="EV1474" s="4"/>
      <c r="EW1474" s="4"/>
      <c r="EX1474" s="4"/>
      <c r="EY1474" s="4"/>
      <c r="EZ1474" s="4"/>
      <c r="FA1474" s="4"/>
      <c r="FB1474" s="4"/>
      <c r="FC1474" s="4"/>
      <c r="FD1474" s="4"/>
      <c r="FE1474" s="4"/>
      <c r="FF1474" s="4"/>
      <c r="FG1474" s="4"/>
      <c r="FH1474" s="4"/>
      <c r="FI1474" s="4"/>
      <c r="FJ1474" s="4"/>
      <c r="FK1474" s="4"/>
      <c r="FL1474" s="4"/>
      <c r="FM1474" s="4"/>
      <c r="FN1474" s="4"/>
      <c r="FO1474" s="4"/>
      <c r="FP1474" s="4"/>
      <c r="FQ1474" s="4"/>
      <c r="FR1474" s="4"/>
      <c r="FS1474" s="4"/>
      <c r="FT1474" s="4"/>
      <c r="FU1474" s="4"/>
      <c r="FV1474" s="4"/>
      <c r="FW1474" s="4"/>
      <c r="FX1474" s="4"/>
      <c r="FY1474" s="4"/>
      <c r="FZ1474" s="4"/>
      <c r="GA1474" s="4"/>
      <c r="GB1474" s="4"/>
      <c r="GC1474" s="4"/>
      <c r="GD1474" s="4"/>
      <c r="GE1474" s="4"/>
      <c r="GF1474" s="4"/>
      <c r="GG1474" s="4"/>
      <c r="GH1474" s="4"/>
    </row>
    <row r="1475">
      <c r="A1475" s="2" t="s">
        <v>7940</v>
      </c>
      <c r="B1475" s="2" t="s">
        <v>195</v>
      </c>
      <c r="C1475" s="2" t="s">
        <v>231</v>
      </c>
      <c r="D1475" s="2" t="s">
        <v>2254</v>
      </c>
      <c r="E1475" s="2" t="s">
        <v>2255</v>
      </c>
      <c r="F1475" s="2" t="s">
        <v>7924</v>
      </c>
      <c r="G1475" s="2" t="s">
        <v>3991</v>
      </c>
      <c r="H1475" s="2" t="s">
        <v>3991</v>
      </c>
      <c r="I1475" s="2" t="s">
        <v>7941</v>
      </c>
      <c r="J1475" s="2" t="s">
        <v>1173</v>
      </c>
      <c r="K1475" s="2" t="s">
        <v>1174</v>
      </c>
      <c r="L1475" s="3">
        <v>23.8</v>
      </c>
      <c r="M1475" s="3">
        <v>24.99</v>
      </c>
      <c r="N1475" s="3">
        <v>49.99</v>
      </c>
      <c r="O1475" s="2" t="s">
        <v>212</v>
      </c>
      <c r="P1475" s="2" t="s">
        <v>258</v>
      </c>
      <c r="Q1475" s="2" t="s">
        <v>206</v>
      </c>
      <c r="R1475" s="2" t="s">
        <v>200</v>
      </c>
      <c r="S1475" s="2" t="s">
        <v>7942</v>
      </c>
      <c r="T1475" s="2" t="s">
        <v>200</v>
      </c>
      <c r="U1475" s="2" t="s">
        <v>270</v>
      </c>
      <c r="V1475" s="2" t="s">
        <v>208</v>
      </c>
      <c r="W1475" s="2" t="s">
        <v>241</v>
      </c>
      <c r="X1475" s="2" t="s">
        <v>200</v>
      </c>
      <c r="Y1475" s="2" t="s">
        <v>1381</v>
      </c>
      <c r="Z1475" s="4"/>
      <c r="AA1475" s="4">
        <f>=ROUNDDOWN({0},0)</f>
      </c>
      <c r="AB1475" s="5">
        <v>9.6</v>
      </c>
      <c r="AC1475" s="2" t="s">
        <v>369</v>
      </c>
      <c r="AD1475" s="4">
        <v>500</v>
      </c>
      <c r="AE1475" s="4">
        <v>500</v>
      </c>
      <c r="AF1475" s="6">
        <v>65</v>
      </c>
      <c r="AG1475" s="6"/>
      <c r="AH1475" s="7">
        <v>0.6667</v>
      </c>
      <c r="AI1475" s="4"/>
      <c r="AJ1475" s="4">
        <f>=ROUNDDOWN({0},0)</f>
      </c>
      <c r="AK1475" s="5"/>
      <c r="AL1475" s="2" t="s">
        <v>200</v>
      </c>
      <c r="AM1475" s="4"/>
      <c r="AN1475" s="4"/>
      <c r="AO1475" s="7"/>
      <c r="AP1475" s="4"/>
      <c r="AQ1475" s="8"/>
      <c r="AR1475" s="4"/>
      <c r="AS1475" s="8"/>
      <c r="AT1475" s="7"/>
      <c r="AU1475" s="7"/>
      <c r="AV1475" s="4"/>
      <c r="AW1475" s="8"/>
      <c r="AX1475" s="4"/>
      <c r="AY1475" s="8"/>
      <c r="AZ1475" s="7"/>
      <c r="BA1475" s="7"/>
      <c r="BB1475" s="7"/>
      <c r="BC1475" s="4" t="s">
        <v>200</v>
      </c>
      <c r="BD1475" s="8" t="s">
        <v>200</v>
      </c>
      <c r="BE1475" s="4" t="s">
        <v>200</v>
      </c>
      <c r="BF1475" s="8" t="s">
        <v>200</v>
      </c>
      <c r="BG1475" s="7" t="s">
        <v>200</v>
      </c>
      <c r="BH1475" s="7" t="s">
        <v>200</v>
      </c>
      <c r="BI1475" s="7"/>
      <c r="BJ1475" s="4">
        <v>211</v>
      </c>
      <c r="BK1475" s="8">
        <v>5689.22</v>
      </c>
      <c r="BL1475" s="2" t="s">
        <v>2460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7943</v>
      </c>
      <c r="BV1475" s="2" t="s">
        <v>200</v>
      </c>
      <c r="BW1475" s="2" t="s">
        <v>200</v>
      </c>
      <c r="BX1475" s="2" t="s">
        <v>264</v>
      </c>
      <c r="BY1475" s="2" t="s">
        <v>247</v>
      </c>
      <c r="BZ1475" s="2" t="s">
        <v>212</v>
      </c>
      <c r="CA1475" s="2" t="s">
        <v>383</v>
      </c>
      <c r="CB1475" s="2" t="s">
        <v>365</v>
      </c>
      <c r="CC1475" s="2" t="s">
        <v>213</v>
      </c>
      <c r="CD1475" s="2" t="s">
        <v>200</v>
      </c>
      <c r="CE1475" s="4"/>
      <c r="CF1475" s="4"/>
      <c r="CG1475" s="4"/>
      <c r="CH1475" s="4"/>
      <c r="CI1475" s="4"/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/>
      <c r="CV1475" s="4"/>
      <c r="CW1475" s="4"/>
      <c r="CX1475" s="4"/>
      <c r="CY1475" s="4"/>
      <c r="CZ1475" s="4"/>
      <c r="DA1475" s="4"/>
      <c r="DB1475" s="4"/>
      <c r="DC1475" s="4"/>
      <c r="DD1475" s="4"/>
      <c r="DE1475" s="4"/>
      <c r="DF1475" s="4"/>
      <c r="DG1475" s="4"/>
      <c r="DH1475" s="4"/>
      <c r="DI1475" s="4"/>
      <c r="DJ1475" s="4"/>
      <c r="DK1475" s="4"/>
      <c r="DL1475" s="4"/>
      <c r="DM1475" s="4"/>
      <c r="DN1475" s="4"/>
      <c r="DO1475" s="4"/>
      <c r="DP1475" s="4"/>
      <c r="DQ1475" s="4"/>
      <c r="DR1475" s="4"/>
      <c r="DS1475" s="4"/>
      <c r="DT1475" s="4"/>
      <c r="DU1475" s="4"/>
      <c r="DV1475" s="4"/>
      <c r="DW1475" s="4"/>
      <c r="DX1475" s="4"/>
      <c r="DY1475" s="4"/>
      <c r="DZ1475" s="4"/>
      <c r="EA1475" s="4"/>
      <c r="EB1475" s="4"/>
      <c r="EC1475" s="4"/>
      <c r="ED1475" s="4"/>
      <c r="EE1475" s="4"/>
      <c r="EF1475" s="4"/>
      <c r="EG1475" s="4"/>
      <c r="EH1475" s="4"/>
      <c r="EI1475" s="4"/>
      <c r="EJ1475" s="4"/>
      <c r="EK1475" s="4"/>
      <c r="EL1475" s="4"/>
      <c r="EM1475" s="4"/>
      <c r="EN1475" s="4"/>
      <c r="EO1475" s="4"/>
      <c r="EP1475" s="4"/>
      <c r="EQ1475" s="4"/>
      <c r="ER1475" s="4"/>
      <c r="ES1475" s="4"/>
      <c r="ET1475" s="4"/>
      <c r="EU1475" s="4"/>
      <c r="EV1475" s="4"/>
      <c r="EW1475" s="4">
        <v>500</v>
      </c>
      <c r="EX1475" s="4"/>
      <c r="EY1475" s="4"/>
      <c r="EZ1475" s="4"/>
      <c r="FA1475" s="4"/>
      <c r="FB1475" s="4"/>
      <c r="FC1475" s="4"/>
      <c r="FD1475" s="4"/>
      <c r="FE1475" s="4"/>
      <c r="FF1475" s="4"/>
      <c r="FG1475" s="4"/>
      <c r="FH1475" s="4"/>
      <c r="FI1475" s="4"/>
      <c r="FJ1475" s="4"/>
      <c r="FK1475" s="4"/>
      <c r="FL1475" s="4"/>
      <c r="FM1475" s="4"/>
      <c r="FN1475" s="4"/>
      <c r="FO1475" s="4"/>
      <c r="FP1475" s="4"/>
      <c r="FQ1475" s="4"/>
      <c r="FR1475" s="4"/>
      <c r="FS1475" s="4"/>
      <c r="FT1475" s="4"/>
      <c r="FU1475" s="4"/>
      <c r="FV1475" s="4"/>
      <c r="FW1475" s="4"/>
      <c r="FX1475" s="4"/>
      <c r="FY1475" s="4"/>
      <c r="FZ1475" s="4"/>
      <c r="GA1475" s="4"/>
      <c r="GB1475" s="4"/>
      <c r="GC1475" s="4"/>
      <c r="GD1475" s="4"/>
      <c r="GE1475" s="4"/>
      <c r="GF1475" s="4"/>
      <c r="GG1475" s="4"/>
      <c r="GH1475" s="4"/>
    </row>
    <row r="1476">
      <c r="A1476" s="2" t="s">
        <v>7944</v>
      </c>
      <c r="B1476" s="2" t="s">
        <v>932</v>
      </c>
      <c r="C1476" s="2" t="s">
        <v>1839</v>
      </c>
      <c r="D1476" s="2" t="s">
        <v>608</v>
      </c>
      <c r="E1476" s="2" t="s">
        <v>1324</v>
      </c>
      <c r="F1476" s="2" t="s">
        <v>7924</v>
      </c>
      <c r="G1476" s="2" t="s">
        <v>7925</v>
      </c>
      <c r="H1476" s="2" t="s">
        <v>7926</v>
      </c>
      <c r="I1476" s="2" t="s">
        <v>7933</v>
      </c>
      <c r="J1476" s="2" t="s">
        <v>1390</v>
      </c>
      <c r="K1476" s="2" t="s">
        <v>221</v>
      </c>
      <c r="L1476" s="3">
        <v>28.57</v>
      </c>
      <c r="M1476" s="3">
        <v>30</v>
      </c>
      <c r="N1476" s="3">
        <v>59.99</v>
      </c>
      <c r="O1476" s="2" t="s">
        <v>212</v>
      </c>
      <c r="P1476" s="2" t="s">
        <v>285</v>
      </c>
      <c r="Q1476" s="2" t="s">
        <v>206</v>
      </c>
      <c r="R1476" s="2" t="s">
        <v>200</v>
      </c>
      <c r="S1476" s="2" t="s">
        <v>7945</v>
      </c>
      <c r="T1476" s="2" t="s">
        <v>1176</v>
      </c>
      <c r="U1476" s="2" t="s">
        <v>677</v>
      </c>
      <c r="V1476" s="2" t="s">
        <v>339</v>
      </c>
      <c r="W1476" s="2" t="s">
        <v>379</v>
      </c>
      <c r="X1476" s="2" t="s">
        <v>241</v>
      </c>
      <c r="Y1476" s="2" t="s">
        <v>4277</v>
      </c>
      <c r="Z1476" s="4">
        <v>1</v>
      </c>
      <c r="AA1476" s="4">
        <f>=ROUNDDOWN(0.333333333333333,0)</f>
      </c>
      <c r="AB1476" s="5">
        <v>3</v>
      </c>
      <c r="AC1476" s="2" t="s">
        <v>200</v>
      </c>
      <c r="AD1476" s="4"/>
      <c r="AE1476" s="4"/>
      <c r="AF1476" s="6">
        <v>65</v>
      </c>
      <c r="AG1476" s="6"/>
      <c r="AH1476" s="7">
        <v>0</v>
      </c>
      <c r="AI1476" s="4"/>
      <c r="AJ1476" s="4">
        <f>=ROUNDDOWN({0},0)</f>
      </c>
      <c r="AK1476" s="5"/>
      <c r="AL1476" s="2" t="s">
        <v>200</v>
      </c>
      <c r="AM1476" s="4"/>
      <c r="AN1476" s="4"/>
      <c r="AO1476" s="7"/>
      <c r="AP1476" s="4"/>
      <c r="AQ1476" s="8"/>
      <c r="AR1476" s="4"/>
      <c r="AS1476" s="8"/>
      <c r="AT1476" s="7"/>
      <c r="AU1476" s="7"/>
      <c r="AV1476" s="4" t="s">
        <v>200</v>
      </c>
      <c r="AW1476" s="8" t="s">
        <v>200</v>
      </c>
      <c r="AX1476" s="4" t="s">
        <v>200</v>
      </c>
      <c r="AY1476" s="8" t="s">
        <v>200</v>
      </c>
      <c r="AZ1476" s="7" t="s">
        <v>200</v>
      </c>
      <c r="BA1476" s="7" t="s">
        <v>200</v>
      </c>
      <c r="BB1476" s="7"/>
      <c r="BC1476" s="4" t="s">
        <v>200</v>
      </c>
      <c r="BD1476" s="8" t="s">
        <v>200</v>
      </c>
      <c r="BE1476" s="4" t="s">
        <v>200</v>
      </c>
      <c r="BF1476" s="8" t="s">
        <v>200</v>
      </c>
      <c r="BG1476" s="7" t="s">
        <v>200</v>
      </c>
      <c r="BH1476" s="7" t="s">
        <v>200</v>
      </c>
      <c r="BI1476" s="7"/>
      <c r="BJ1476" s="4"/>
      <c r="BK1476" s="8"/>
      <c r="BL1476" s="2" t="s">
        <v>791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7946</v>
      </c>
      <c r="BV1476" s="2" t="s">
        <v>200</v>
      </c>
      <c r="BW1476" s="2" t="s">
        <v>200</v>
      </c>
      <c r="BX1476" s="2" t="s">
        <v>289</v>
      </c>
      <c r="BY1476" s="2" t="s">
        <v>247</v>
      </c>
      <c r="BZ1476" s="2" t="s">
        <v>212</v>
      </c>
      <c r="CA1476" s="2" t="s">
        <v>7930</v>
      </c>
      <c r="CB1476" s="2" t="s">
        <v>4452</v>
      </c>
      <c r="CC1476" s="2" t="s">
        <v>213</v>
      </c>
      <c r="CD1476" s="2" t="s">
        <v>200</v>
      </c>
      <c r="CE1476" s="4">
        <v>1</v>
      </c>
      <c r="CF1476" s="4"/>
      <c r="CG1476" s="4"/>
      <c r="CH1476" s="4"/>
      <c r="CI1476" s="4"/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  <c r="CW1476" s="4"/>
      <c r="CX1476" s="4"/>
      <c r="CY1476" s="4"/>
      <c r="CZ1476" s="4"/>
      <c r="DA1476" s="4"/>
      <c r="DB1476" s="4"/>
      <c r="DC1476" s="4"/>
      <c r="DD1476" s="4"/>
      <c r="DE1476" s="4"/>
      <c r="DF1476" s="4"/>
      <c r="DG1476" s="4"/>
      <c r="DH1476" s="4"/>
      <c r="DI1476" s="4"/>
      <c r="DJ1476" s="4"/>
      <c r="DK1476" s="4"/>
      <c r="DL1476" s="4"/>
      <c r="DM1476" s="4"/>
      <c r="DN1476" s="4"/>
      <c r="DO1476" s="4"/>
      <c r="DP1476" s="4"/>
      <c r="DQ1476" s="4"/>
      <c r="DR1476" s="4"/>
      <c r="DS1476" s="4"/>
      <c r="DT1476" s="4"/>
      <c r="DU1476" s="4"/>
      <c r="DV1476" s="4"/>
      <c r="DW1476" s="4"/>
      <c r="DX1476" s="4"/>
      <c r="DY1476" s="4"/>
      <c r="DZ1476" s="4"/>
      <c r="EA1476" s="4"/>
      <c r="EB1476" s="4"/>
      <c r="EC1476" s="4"/>
      <c r="ED1476" s="4"/>
      <c r="EE1476" s="4"/>
      <c r="EF1476" s="4"/>
      <c r="EG1476" s="4"/>
      <c r="EH1476" s="4"/>
      <c r="EI1476" s="4"/>
      <c r="EJ1476" s="4"/>
      <c r="EK1476" s="4"/>
      <c r="EL1476" s="4"/>
      <c r="EM1476" s="4"/>
      <c r="EN1476" s="4"/>
      <c r="EO1476" s="4"/>
      <c r="EP1476" s="4"/>
      <c r="EQ1476" s="4"/>
      <c r="ER1476" s="4"/>
      <c r="ES1476" s="4"/>
      <c r="ET1476" s="4"/>
      <c r="EU1476" s="4"/>
      <c r="EV1476" s="4"/>
      <c r="EW1476" s="4"/>
      <c r="EX1476" s="4"/>
      <c r="EY1476" s="4"/>
      <c r="EZ1476" s="4"/>
      <c r="FA1476" s="4"/>
      <c r="FB1476" s="4"/>
      <c r="FC1476" s="4"/>
      <c r="FD1476" s="4"/>
      <c r="FE1476" s="4"/>
      <c r="FF1476" s="4"/>
      <c r="FG1476" s="4"/>
      <c r="FH1476" s="4"/>
      <c r="FI1476" s="4"/>
      <c r="FJ1476" s="4"/>
      <c r="FK1476" s="4"/>
      <c r="FL1476" s="4"/>
      <c r="FM1476" s="4"/>
      <c r="FN1476" s="4"/>
      <c r="FO1476" s="4"/>
      <c r="FP1476" s="4"/>
      <c r="FQ1476" s="4"/>
      <c r="FR1476" s="4"/>
      <c r="FS1476" s="4"/>
      <c r="FT1476" s="4"/>
      <c r="FU1476" s="4"/>
      <c r="FV1476" s="4"/>
      <c r="FW1476" s="4"/>
      <c r="FX1476" s="4"/>
      <c r="FY1476" s="4"/>
      <c r="FZ1476" s="4"/>
      <c r="GA1476" s="4"/>
      <c r="GB1476" s="4"/>
      <c r="GC1476" s="4"/>
      <c r="GD1476" s="4"/>
      <c r="GE1476" s="4"/>
      <c r="GF1476" s="4"/>
      <c r="GG1476" s="4"/>
      <c r="GH1476" s="4"/>
    </row>
    <row r="1477">
      <c r="A1477" s="2" t="s">
        <v>7947</v>
      </c>
      <c r="B1477" s="2" t="s">
        <v>932</v>
      </c>
      <c r="C1477" s="2" t="s">
        <v>1839</v>
      </c>
      <c r="D1477" s="2" t="s">
        <v>608</v>
      </c>
      <c r="E1477" s="2" t="s">
        <v>1324</v>
      </c>
      <c r="F1477" s="2" t="s">
        <v>7924</v>
      </c>
      <c r="G1477" s="2" t="s">
        <v>7925</v>
      </c>
      <c r="H1477" s="2" t="s">
        <v>7926</v>
      </c>
      <c r="I1477" s="2" t="s">
        <v>7933</v>
      </c>
      <c r="J1477" s="2" t="s">
        <v>612</v>
      </c>
      <c r="K1477" s="2" t="s">
        <v>221</v>
      </c>
      <c r="L1477" s="3">
        <v>33.33</v>
      </c>
      <c r="M1477" s="3">
        <v>35</v>
      </c>
      <c r="N1477" s="3">
        <v>69.99</v>
      </c>
      <c r="O1477" s="2" t="s">
        <v>212</v>
      </c>
      <c r="P1477" s="2" t="s">
        <v>285</v>
      </c>
      <c r="Q1477" s="2" t="s">
        <v>206</v>
      </c>
      <c r="R1477" s="2" t="s">
        <v>200</v>
      </c>
      <c r="S1477" s="2" t="s">
        <v>7945</v>
      </c>
      <c r="T1477" s="2" t="s">
        <v>1176</v>
      </c>
      <c r="U1477" s="2" t="s">
        <v>454</v>
      </c>
      <c r="V1477" s="2" t="s">
        <v>339</v>
      </c>
      <c r="W1477" s="2" t="s">
        <v>379</v>
      </c>
      <c r="X1477" s="2" t="s">
        <v>241</v>
      </c>
      <c r="Y1477" s="2" t="s">
        <v>4277</v>
      </c>
      <c r="Z1477" s="4">
        <v>98</v>
      </c>
      <c r="AA1477" s="4">
        <f>=ROUNDDOWN(19.6,0)</f>
      </c>
      <c r="AB1477" s="5">
        <v>5</v>
      </c>
      <c r="AC1477" s="2" t="s">
        <v>200</v>
      </c>
      <c r="AD1477" s="4"/>
      <c r="AE1477" s="4"/>
      <c r="AF1477" s="6">
        <v>65</v>
      </c>
      <c r="AG1477" s="6"/>
      <c r="AH1477" s="7">
        <v>1</v>
      </c>
      <c r="AI1477" s="4"/>
      <c r="AJ1477" s="4">
        <f>=ROUNDDOWN({0},0)</f>
      </c>
      <c r="AK1477" s="5"/>
      <c r="AL1477" s="2" t="s">
        <v>200</v>
      </c>
      <c r="AM1477" s="4"/>
      <c r="AN1477" s="4"/>
      <c r="AO1477" s="7"/>
      <c r="AP1477" s="4"/>
      <c r="AQ1477" s="8"/>
      <c r="AR1477" s="4"/>
      <c r="AS1477" s="8"/>
      <c r="AT1477" s="7"/>
      <c r="AU1477" s="7"/>
      <c r="AV1477" s="4" t="s">
        <v>200</v>
      </c>
      <c r="AW1477" s="8" t="s">
        <v>200</v>
      </c>
      <c r="AX1477" s="4" t="s">
        <v>200</v>
      </c>
      <c r="AY1477" s="8" t="s">
        <v>200</v>
      </c>
      <c r="AZ1477" s="7" t="s">
        <v>200</v>
      </c>
      <c r="BA1477" s="7" t="s">
        <v>200</v>
      </c>
      <c r="BB1477" s="7" t="s">
        <v>200</v>
      </c>
      <c r="BC1477" s="4" t="s">
        <v>200</v>
      </c>
      <c r="BD1477" s="8" t="s">
        <v>200</v>
      </c>
      <c r="BE1477" s="4" t="s">
        <v>200</v>
      </c>
      <c r="BF1477" s="8" t="s">
        <v>200</v>
      </c>
      <c r="BG1477" s="7" t="s">
        <v>200</v>
      </c>
      <c r="BH1477" s="7" t="s">
        <v>200</v>
      </c>
      <c r="BI1477" s="7"/>
      <c r="BJ1477" s="4">
        <v>9</v>
      </c>
      <c r="BK1477" s="8">
        <v>337.58</v>
      </c>
      <c r="BL1477" s="2" t="s">
        <v>7948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7949</v>
      </c>
      <c r="BV1477" s="2" t="s">
        <v>200</v>
      </c>
      <c r="BW1477" s="2" t="s">
        <v>200</v>
      </c>
      <c r="BX1477" s="2" t="s">
        <v>289</v>
      </c>
      <c r="BY1477" s="2" t="s">
        <v>247</v>
      </c>
      <c r="BZ1477" s="2" t="s">
        <v>212</v>
      </c>
      <c r="CA1477" s="2" t="s">
        <v>7930</v>
      </c>
      <c r="CB1477" s="2" t="s">
        <v>2185</v>
      </c>
      <c r="CC1477" s="2" t="s">
        <v>213</v>
      </c>
      <c r="CD1477" s="2" t="s">
        <v>200</v>
      </c>
      <c r="CE1477" s="4">
        <v>98</v>
      </c>
      <c r="CF1477" s="4"/>
      <c r="CG1477" s="4"/>
      <c r="CH1477" s="4"/>
      <c r="CI1477" s="4"/>
      <c r="CJ1477" s="4"/>
      <c r="CK1477" s="4"/>
      <c r="CL1477" s="4"/>
      <c r="CM1477" s="4"/>
      <c r="CN1477" s="4"/>
      <c r="CO1477" s="4"/>
      <c r="CP1477" s="4"/>
      <c r="CQ1477" s="4"/>
      <c r="CR1477" s="4"/>
      <c r="CS1477" s="4"/>
      <c r="CT1477" s="4"/>
      <c r="CU1477" s="4"/>
      <c r="CV1477" s="4"/>
      <c r="CW1477" s="4"/>
      <c r="CX1477" s="4"/>
      <c r="CY1477" s="4"/>
      <c r="CZ1477" s="4"/>
      <c r="DA1477" s="4"/>
      <c r="DB1477" s="4"/>
      <c r="DC1477" s="4"/>
      <c r="DD1477" s="4"/>
      <c r="DE1477" s="4"/>
      <c r="DF1477" s="4"/>
      <c r="DG1477" s="4"/>
      <c r="DH1477" s="4"/>
      <c r="DI1477" s="4"/>
      <c r="DJ1477" s="4"/>
      <c r="DK1477" s="4"/>
      <c r="DL1477" s="4"/>
      <c r="DM1477" s="4"/>
      <c r="DN1477" s="4"/>
      <c r="DO1477" s="4"/>
      <c r="DP1477" s="4"/>
      <c r="DQ1477" s="4"/>
      <c r="DR1477" s="4"/>
      <c r="DS1477" s="4"/>
      <c r="DT1477" s="4"/>
      <c r="DU1477" s="4"/>
      <c r="DV1477" s="4"/>
      <c r="DW1477" s="4"/>
      <c r="DX1477" s="4"/>
      <c r="DY1477" s="4"/>
      <c r="DZ1477" s="4"/>
      <c r="EA1477" s="4"/>
      <c r="EB1477" s="4"/>
      <c r="EC1477" s="4"/>
      <c r="ED1477" s="4"/>
      <c r="EE1477" s="4"/>
      <c r="EF1477" s="4"/>
      <c r="EG1477" s="4"/>
      <c r="EH1477" s="4"/>
      <c r="EI1477" s="4"/>
      <c r="EJ1477" s="4"/>
      <c r="EK1477" s="4"/>
      <c r="EL1477" s="4"/>
      <c r="EM1477" s="4"/>
      <c r="EN1477" s="4"/>
      <c r="EO1477" s="4"/>
      <c r="EP1477" s="4"/>
      <c r="EQ1477" s="4"/>
      <c r="ER1477" s="4"/>
      <c r="ES1477" s="4"/>
      <c r="ET1477" s="4"/>
      <c r="EU1477" s="4"/>
      <c r="EV1477" s="4"/>
      <c r="EW1477" s="4"/>
      <c r="EX1477" s="4"/>
      <c r="EY1477" s="4"/>
      <c r="EZ1477" s="4"/>
      <c r="FA1477" s="4"/>
      <c r="FB1477" s="4"/>
      <c r="FC1477" s="4"/>
      <c r="FD1477" s="4"/>
      <c r="FE1477" s="4"/>
      <c r="FF1477" s="4"/>
      <c r="FG1477" s="4"/>
      <c r="FH1477" s="4"/>
      <c r="FI1477" s="4"/>
      <c r="FJ1477" s="4"/>
      <c r="FK1477" s="4"/>
      <c r="FL1477" s="4"/>
      <c r="FM1477" s="4"/>
      <c r="FN1477" s="4"/>
      <c r="FO1477" s="4"/>
      <c r="FP1477" s="4"/>
      <c r="FQ1477" s="4"/>
      <c r="FR1477" s="4"/>
      <c r="FS1477" s="4"/>
      <c r="FT1477" s="4"/>
      <c r="FU1477" s="4"/>
      <c r="FV1477" s="4"/>
      <c r="FW1477" s="4"/>
      <c r="FX1477" s="4"/>
      <c r="FY1477" s="4"/>
      <c r="FZ1477" s="4"/>
      <c r="GA1477" s="4"/>
      <c r="GB1477" s="4"/>
      <c r="GC1477" s="4"/>
      <c r="GD1477" s="4"/>
      <c r="GE1477" s="4"/>
      <c r="GF1477" s="4"/>
      <c r="GG1477" s="4"/>
      <c r="GH1477" s="4"/>
    </row>
    <row r="1478">
      <c r="A1478" s="2" t="s">
        <v>7950</v>
      </c>
      <c r="B1478" s="2" t="s">
        <v>932</v>
      </c>
      <c r="C1478" s="2" t="s">
        <v>1839</v>
      </c>
      <c r="D1478" s="2" t="s">
        <v>918</v>
      </c>
      <c r="E1478" s="2" t="s">
        <v>919</v>
      </c>
      <c r="F1478" s="2" t="s">
        <v>7924</v>
      </c>
      <c r="G1478" s="2" t="s">
        <v>7925</v>
      </c>
      <c r="H1478" s="2" t="s">
        <v>7926</v>
      </c>
      <c r="I1478" s="2" t="s">
        <v>7927</v>
      </c>
      <c r="J1478" s="2" t="s">
        <v>612</v>
      </c>
      <c r="K1478" s="2" t="s">
        <v>221</v>
      </c>
      <c r="L1478" s="3">
        <v>23.8</v>
      </c>
      <c r="M1478" s="3">
        <v>24.99</v>
      </c>
      <c r="N1478" s="3">
        <v>49.99</v>
      </c>
      <c r="O1478" s="2" t="s">
        <v>212</v>
      </c>
      <c r="P1478" s="2" t="s">
        <v>285</v>
      </c>
      <c r="Q1478" s="2" t="s">
        <v>206</v>
      </c>
      <c r="R1478" s="2" t="s">
        <v>200</v>
      </c>
      <c r="S1478" s="2" t="s">
        <v>7945</v>
      </c>
      <c r="T1478" s="2" t="s">
        <v>1176</v>
      </c>
      <c r="U1478" s="2" t="s">
        <v>454</v>
      </c>
      <c r="V1478" s="2" t="s">
        <v>339</v>
      </c>
      <c r="W1478" s="2" t="s">
        <v>379</v>
      </c>
      <c r="X1478" s="2" t="s">
        <v>241</v>
      </c>
      <c r="Y1478" s="2" t="s">
        <v>4277</v>
      </c>
      <c r="Z1478" s="4">
        <v>70</v>
      </c>
      <c r="AA1478" s="4">
        <f>=ROUNDDOWN(35,0)</f>
      </c>
      <c r="AB1478" s="5">
        <v>2</v>
      </c>
      <c r="AC1478" s="2" t="s">
        <v>200</v>
      </c>
      <c r="AD1478" s="4"/>
      <c r="AE1478" s="4"/>
      <c r="AF1478" s="6">
        <v>65</v>
      </c>
      <c r="AG1478" s="6"/>
      <c r="AH1478" s="7">
        <v>1</v>
      </c>
      <c r="AI1478" s="4"/>
      <c r="AJ1478" s="4">
        <f>=ROUNDDOWN({0},0)</f>
      </c>
      <c r="AK1478" s="5"/>
      <c r="AL1478" s="2" t="s">
        <v>200</v>
      </c>
      <c r="AM1478" s="4"/>
      <c r="AN1478" s="4"/>
      <c r="AO1478" s="7"/>
      <c r="AP1478" s="4"/>
      <c r="AQ1478" s="8"/>
      <c r="AR1478" s="4"/>
      <c r="AS1478" s="8"/>
      <c r="AT1478" s="7"/>
      <c r="AU1478" s="7"/>
      <c r="AV1478" s="4" t="s">
        <v>200</v>
      </c>
      <c r="AW1478" s="8" t="s">
        <v>200</v>
      </c>
      <c r="AX1478" s="4" t="s">
        <v>200</v>
      </c>
      <c r="AY1478" s="8" t="s">
        <v>200</v>
      </c>
      <c r="AZ1478" s="7" t="s">
        <v>200</v>
      </c>
      <c r="BA1478" s="7" t="s">
        <v>200</v>
      </c>
      <c r="BB1478" s="7" t="s">
        <v>200</v>
      </c>
      <c r="BC1478" s="4" t="s">
        <v>200</v>
      </c>
      <c r="BD1478" s="8" t="s">
        <v>200</v>
      </c>
      <c r="BE1478" s="4" t="s">
        <v>200</v>
      </c>
      <c r="BF1478" s="8" t="s">
        <v>200</v>
      </c>
      <c r="BG1478" s="7" t="s">
        <v>200</v>
      </c>
      <c r="BH1478" s="7" t="s">
        <v>200</v>
      </c>
      <c r="BI1478" s="7"/>
      <c r="BJ1478" s="4">
        <v>9</v>
      </c>
      <c r="BK1478" s="8">
        <v>240.16</v>
      </c>
      <c r="BL1478" s="2" t="s">
        <v>293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7951</v>
      </c>
      <c r="BV1478" s="2" t="s">
        <v>200</v>
      </c>
      <c r="BW1478" s="2" t="s">
        <v>200</v>
      </c>
      <c r="BX1478" s="2" t="s">
        <v>289</v>
      </c>
      <c r="BY1478" s="2" t="s">
        <v>247</v>
      </c>
      <c r="BZ1478" s="2" t="s">
        <v>212</v>
      </c>
      <c r="CA1478" s="2" t="s">
        <v>7930</v>
      </c>
      <c r="CB1478" s="2" t="s">
        <v>2574</v>
      </c>
      <c r="CC1478" s="2" t="s">
        <v>213</v>
      </c>
      <c r="CD1478" s="2" t="s">
        <v>200</v>
      </c>
      <c r="CE1478" s="4">
        <v>70</v>
      </c>
      <c r="CF1478" s="4"/>
      <c r="CG1478" s="4"/>
      <c r="CH1478" s="4"/>
      <c r="CI1478" s="4"/>
      <c r="CJ1478" s="4"/>
      <c r="CK1478" s="4"/>
      <c r="CL1478" s="4"/>
      <c r="CM1478" s="4"/>
      <c r="CN1478" s="4"/>
      <c r="CO1478" s="4"/>
      <c r="CP1478" s="4"/>
      <c r="CQ1478" s="4"/>
      <c r="CR1478" s="4"/>
      <c r="CS1478" s="4"/>
      <c r="CT1478" s="4"/>
      <c r="CU1478" s="4"/>
      <c r="CV1478" s="4"/>
      <c r="CW1478" s="4"/>
      <c r="CX1478" s="4"/>
      <c r="CY1478" s="4"/>
      <c r="CZ1478" s="4"/>
      <c r="DA1478" s="4"/>
      <c r="DB1478" s="4"/>
      <c r="DC1478" s="4"/>
      <c r="DD1478" s="4"/>
      <c r="DE1478" s="4"/>
      <c r="DF1478" s="4"/>
      <c r="DG1478" s="4"/>
      <c r="DH1478" s="4"/>
      <c r="DI1478" s="4"/>
      <c r="DJ1478" s="4"/>
      <c r="DK1478" s="4"/>
      <c r="DL1478" s="4"/>
      <c r="DM1478" s="4"/>
      <c r="DN1478" s="4"/>
      <c r="DO1478" s="4"/>
      <c r="DP1478" s="4"/>
      <c r="DQ1478" s="4"/>
      <c r="DR1478" s="4"/>
      <c r="DS1478" s="4"/>
      <c r="DT1478" s="4"/>
      <c r="DU1478" s="4"/>
      <c r="DV1478" s="4"/>
      <c r="DW1478" s="4"/>
      <c r="DX1478" s="4"/>
      <c r="DY1478" s="4"/>
      <c r="DZ1478" s="4"/>
      <c r="EA1478" s="4"/>
      <c r="EB1478" s="4"/>
      <c r="EC1478" s="4"/>
      <c r="ED1478" s="4"/>
      <c r="EE1478" s="4"/>
      <c r="EF1478" s="4"/>
      <c r="EG1478" s="4"/>
      <c r="EH1478" s="4"/>
      <c r="EI1478" s="4"/>
      <c r="EJ1478" s="4"/>
      <c r="EK1478" s="4"/>
      <c r="EL1478" s="4"/>
      <c r="EM1478" s="4"/>
      <c r="EN1478" s="4"/>
      <c r="EO1478" s="4"/>
      <c r="EP1478" s="4"/>
      <c r="EQ1478" s="4"/>
      <c r="ER1478" s="4"/>
      <c r="ES1478" s="4"/>
      <c r="ET1478" s="4"/>
      <c r="EU1478" s="4"/>
      <c r="EV1478" s="4"/>
      <c r="EW1478" s="4"/>
      <c r="EX1478" s="4"/>
      <c r="EY1478" s="4"/>
      <c r="EZ1478" s="4"/>
      <c r="FA1478" s="4"/>
      <c r="FB1478" s="4"/>
      <c r="FC1478" s="4"/>
      <c r="FD1478" s="4"/>
      <c r="FE1478" s="4"/>
      <c r="FF1478" s="4"/>
      <c r="FG1478" s="4"/>
      <c r="FH1478" s="4"/>
      <c r="FI1478" s="4"/>
      <c r="FJ1478" s="4"/>
      <c r="FK1478" s="4"/>
      <c r="FL1478" s="4"/>
      <c r="FM1478" s="4"/>
      <c r="FN1478" s="4"/>
      <c r="FO1478" s="4"/>
      <c r="FP1478" s="4"/>
      <c r="FQ1478" s="4"/>
      <c r="FR1478" s="4"/>
      <c r="FS1478" s="4"/>
      <c r="FT1478" s="4"/>
      <c r="FU1478" s="4"/>
      <c r="FV1478" s="4"/>
      <c r="FW1478" s="4"/>
      <c r="FX1478" s="4"/>
      <c r="FY1478" s="4"/>
      <c r="FZ1478" s="4"/>
      <c r="GA1478" s="4"/>
      <c r="GB1478" s="4"/>
      <c r="GC1478" s="4"/>
      <c r="GD1478" s="4"/>
      <c r="GE1478" s="4"/>
      <c r="GF1478" s="4"/>
      <c r="GG1478" s="4"/>
      <c r="GH1478" s="4"/>
    </row>
    <row r="1479">
      <c r="A1479" s="2" t="s">
        <v>7952</v>
      </c>
      <c r="B1479" s="2" t="s">
        <v>932</v>
      </c>
      <c r="C1479" s="2" t="s">
        <v>1839</v>
      </c>
      <c r="D1479" s="2" t="s">
        <v>608</v>
      </c>
      <c r="E1479" s="2" t="s">
        <v>1324</v>
      </c>
      <c r="F1479" s="2" t="s">
        <v>7924</v>
      </c>
      <c r="G1479" s="2" t="s">
        <v>7925</v>
      </c>
      <c r="H1479" s="2" t="s">
        <v>7926</v>
      </c>
      <c r="I1479" s="2" t="s">
        <v>7933</v>
      </c>
      <c r="J1479" s="2" t="s">
        <v>924</v>
      </c>
      <c r="K1479" s="2" t="s">
        <v>221</v>
      </c>
      <c r="L1479" s="3">
        <v>38.09</v>
      </c>
      <c r="M1479" s="3">
        <v>39.99</v>
      </c>
      <c r="N1479" s="3">
        <v>79.99</v>
      </c>
      <c r="O1479" s="2" t="s">
        <v>212</v>
      </c>
      <c r="P1479" s="2" t="s">
        <v>285</v>
      </c>
      <c r="Q1479" s="2" t="s">
        <v>206</v>
      </c>
      <c r="R1479" s="2" t="s">
        <v>200</v>
      </c>
      <c r="S1479" s="2" t="s">
        <v>7945</v>
      </c>
      <c r="T1479" s="2" t="s">
        <v>1176</v>
      </c>
      <c r="U1479" s="2" t="s">
        <v>454</v>
      </c>
      <c r="V1479" s="2" t="s">
        <v>339</v>
      </c>
      <c r="W1479" s="2" t="s">
        <v>379</v>
      </c>
      <c r="X1479" s="2" t="s">
        <v>241</v>
      </c>
      <c r="Y1479" s="2" t="s">
        <v>4277</v>
      </c>
      <c r="Z1479" s="4">
        <v>5</v>
      </c>
      <c r="AA1479" s="4">
        <f>=ROUNDDOWN(1.66666666666667,0)</f>
      </c>
      <c r="AB1479" s="5">
        <v>3</v>
      </c>
      <c r="AC1479" s="2" t="s">
        <v>200</v>
      </c>
      <c r="AD1479" s="4"/>
      <c r="AE1479" s="4"/>
      <c r="AF1479" s="6">
        <v>65</v>
      </c>
      <c r="AG1479" s="6"/>
      <c r="AH1479" s="7">
        <v>1</v>
      </c>
      <c r="AI1479" s="4"/>
      <c r="AJ1479" s="4">
        <f>=ROUNDDOWN({0},0)</f>
      </c>
      <c r="AK1479" s="5"/>
      <c r="AL1479" s="2" t="s">
        <v>200</v>
      </c>
      <c r="AM1479" s="4"/>
      <c r="AN1479" s="4"/>
      <c r="AO1479" s="7"/>
      <c r="AP1479" s="4"/>
      <c r="AQ1479" s="8"/>
      <c r="AR1479" s="4"/>
      <c r="AS1479" s="8"/>
      <c r="AT1479" s="7"/>
      <c r="AU1479" s="7"/>
      <c r="AV1479" s="4" t="s">
        <v>200</v>
      </c>
      <c r="AW1479" s="8" t="s">
        <v>200</v>
      </c>
      <c r="AX1479" s="4" t="s">
        <v>200</v>
      </c>
      <c r="AY1479" s="8" t="s">
        <v>200</v>
      </c>
      <c r="AZ1479" s="7" t="s">
        <v>200</v>
      </c>
      <c r="BA1479" s="7" t="s">
        <v>200</v>
      </c>
      <c r="BB1479" s="7" t="s">
        <v>200</v>
      </c>
      <c r="BC1479" s="4" t="s">
        <v>200</v>
      </c>
      <c r="BD1479" s="8" t="s">
        <v>200</v>
      </c>
      <c r="BE1479" s="4" t="s">
        <v>200</v>
      </c>
      <c r="BF1479" s="8" t="s">
        <v>200</v>
      </c>
      <c r="BG1479" s="7" t="s">
        <v>200</v>
      </c>
      <c r="BH1479" s="7" t="s">
        <v>200</v>
      </c>
      <c r="BI1479" s="7"/>
      <c r="BJ1479" s="4">
        <v>8</v>
      </c>
      <c r="BK1479" s="8">
        <v>353.76</v>
      </c>
      <c r="BL1479" s="2" t="s">
        <v>7953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7954</v>
      </c>
      <c r="BV1479" s="2" t="s">
        <v>200</v>
      </c>
      <c r="BW1479" s="2" t="s">
        <v>200</v>
      </c>
      <c r="BX1479" s="2" t="s">
        <v>289</v>
      </c>
      <c r="BY1479" s="2" t="s">
        <v>247</v>
      </c>
      <c r="BZ1479" s="2" t="s">
        <v>212</v>
      </c>
      <c r="CA1479" s="2" t="s">
        <v>7930</v>
      </c>
      <c r="CB1479" s="2" t="s">
        <v>2516</v>
      </c>
      <c r="CC1479" s="2" t="s">
        <v>213</v>
      </c>
      <c r="CD1479" s="2" t="s">
        <v>200</v>
      </c>
      <c r="CE1479" s="4">
        <v>5</v>
      </c>
      <c r="CF1479" s="4"/>
      <c r="CG1479" s="4"/>
      <c r="CH1479" s="4"/>
      <c r="CI1479" s="4"/>
      <c r="CJ1479" s="4"/>
      <c r="CK1479" s="4"/>
      <c r="CL1479" s="4"/>
      <c r="CM1479" s="4"/>
      <c r="CN1479" s="4"/>
      <c r="CO1479" s="4"/>
      <c r="CP1479" s="4"/>
      <c r="CQ1479" s="4"/>
      <c r="CR1479" s="4"/>
      <c r="CS1479" s="4"/>
      <c r="CT1479" s="4"/>
      <c r="CU1479" s="4"/>
      <c r="CV1479" s="4"/>
      <c r="CW1479" s="4"/>
      <c r="CX1479" s="4"/>
      <c r="CY1479" s="4"/>
      <c r="CZ1479" s="4"/>
      <c r="DA1479" s="4"/>
      <c r="DB1479" s="4"/>
      <c r="DC1479" s="4"/>
      <c r="DD1479" s="4"/>
      <c r="DE1479" s="4"/>
      <c r="DF1479" s="4"/>
      <c r="DG1479" s="4"/>
      <c r="DH1479" s="4"/>
      <c r="DI1479" s="4"/>
      <c r="DJ1479" s="4"/>
      <c r="DK1479" s="4"/>
      <c r="DL1479" s="4"/>
      <c r="DM1479" s="4"/>
      <c r="DN1479" s="4"/>
      <c r="DO1479" s="4"/>
      <c r="DP1479" s="4"/>
      <c r="DQ1479" s="4"/>
      <c r="DR1479" s="4"/>
      <c r="DS1479" s="4"/>
      <c r="DT1479" s="4"/>
      <c r="DU1479" s="4"/>
      <c r="DV1479" s="4"/>
      <c r="DW1479" s="4"/>
      <c r="DX1479" s="4"/>
      <c r="DY1479" s="4"/>
      <c r="DZ1479" s="4"/>
      <c r="EA1479" s="4"/>
      <c r="EB1479" s="4"/>
      <c r="EC1479" s="4"/>
      <c r="ED1479" s="4"/>
      <c r="EE1479" s="4"/>
      <c r="EF1479" s="4"/>
      <c r="EG1479" s="4"/>
      <c r="EH1479" s="4"/>
      <c r="EI1479" s="4"/>
      <c r="EJ1479" s="4"/>
      <c r="EK1479" s="4"/>
      <c r="EL1479" s="4"/>
      <c r="EM1479" s="4"/>
      <c r="EN1479" s="4"/>
      <c r="EO1479" s="4"/>
      <c r="EP1479" s="4"/>
      <c r="EQ1479" s="4"/>
      <c r="ER1479" s="4"/>
      <c r="ES1479" s="4"/>
      <c r="ET1479" s="4"/>
      <c r="EU1479" s="4"/>
      <c r="EV1479" s="4"/>
      <c r="EW1479" s="4"/>
      <c r="EX1479" s="4"/>
      <c r="EY1479" s="4"/>
      <c r="EZ1479" s="4"/>
      <c r="FA1479" s="4"/>
      <c r="FB1479" s="4"/>
      <c r="FC1479" s="4"/>
      <c r="FD1479" s="4"/>
      <c r="FE1479" s="4"/>
      <c r="FF1479" s="4"/>
      <c r="FG1479" s="4"/>
      <c r="FH1479" s="4"/>
      <c r="FI1479" s="4"/>
      <c r="FJ1479" s="4"/>
      <c r="FK1479" s="4"/>
      <c r="FL1479" s="4"/>
      <c r="FM1479" s="4"/>
      <c r="FN1479" s="4"/>
      <c r="FO1479" s="4"/>
      <c r="FP1479" s="4"/>
      <c r="FQ1479" s="4"/>
      <c r="FR1479" s="4"/>
      <c r="FS1479" s="4"/>
      <c r="FT1479" s="4"/>
      <c r="FU1479" s="4"/>
      <c r="FV1479" s="4"/>
      <c r="FW1479" s="4"/>
      <c r="FX1479" s="4"/>
      <c r="FY1479" s="4"/>
      <c r="FZ1479" s="4"/>
      <c r="GA1479" s="4"/>
      <c r="GB1479" s="4"/>
      <c r="GC1479" s="4"/>
      <c r="GD1479" s="4"/>
      <c r="GE1479" s="4"/>
      <c r="GF1479" s="4"/>
      <c r="GG1479" s="4"/>
      <c r="GH1479" s="4"/>
    </row>
    <row r="1480">
      <c r="A1480" s="2" t="s">
        <v>7955</v>
      </c>
      <c r="B1480" s="2" t="s">
        <v>932</v>
      </c>
      <c r="C1480" s="2" t="s">
        <v>1839</v>
      </c>
      <c r="D1480" s="2" t="s">
        <v>918</v>
      </c>
      <c r="E1480" s="2" t="s">
        <v>919</v>
      </c>
      <c r="F1480" s="2" t="s">
        <v>7924</v>
      </c>
      <c r="G1480" s="2" t="s">
        <v>7925</v>
      </c>
      <c r="H1480" s="2" t="s">
        <v>7926</v>
      </c>
      <c r="I1480" s="2" t="s">
        <v>7927</v>
      </c>
      <c r="J1480" s="2" t="s">
        <v>924</v>
      </c>
      <c r="K1480" s="2" t="s">
        <v>221</v>
      </c>
      <c r="L1480" s="3">
        <v>28.57</v>
      </c>
      <c r="M1480" s="3">
        <v>30</v>
      </c>
      <c r="N1480" s="3">
        <v>59.99</v>
      </c>
      <c r="O1480" s="2" t="s">
        <v>212</v>
      </c>
      <c r="P1480" s="2" t="s">
        <v>285</v>
      </c>
      <c r="Q1480" s="2" t="s">
        <v>206</v>
      </c>
      <c r="R1480" s="2" t="s">
        <v>200</v>
      </c>
      <c r="S1480" s="2" t="s">
        <v>7945</v>
      </c>
      <c r="T1480" s="2" t="s">
        <v>1176</v>
      </c>
      <c r="U1480" s="2" t="s">
        <v>454</v>
      </c>
      <c r="V1480" s="2" t="s">
        <v>339</v>
      </c>
      <c r="W1480" s="2" t="s">
        <v>379</v>
      </c>
      <c r="X1480" s="2" t="s">
        <v>241</v>
      </c>
      <c r="Y1480" s="2" t="s">
        <v>4277</v>
      </c>
      <c r="Z1480" s="4">
        <v>56</v>
      </c>
      <c r="AA1480" s="4">
        <f>=ROUNDDOWN(28,0)</f>
      </c>
      <c r="AB1480" s="5">
        <v>2</v>
      </c>
      <c r="AC1480" s="2" t="s">
        <v>200</v>
      </c>
      <c r="AD1480" s="4"/>
      <c r="AE1480" s="4"/>
      <c r="AF1480" s="6">
        <v>65</v>
      </c>
      <c r="AG1480" s="6"/>
      <c r="AH1480" s="7">
        <v>1</v>
      </c>
      <c r="AI1480" s="4"/>
      <c r="AJ1480" s="4">
        <f>=ROUNDDOWN({0},0)</f>
      </c>
      <c r="AK1480" s="5"/>
      <c r="AL1480" s="2" t="s">
        <v>200</v>
      </c>
      <c r="AM1480" s="4"/>
      <c r="AN1480" s="4"/>
      <c r="AO1480" s="7"/>
      <c r="AP1480" s="4"/>
      <c r="AQ1480" s="8"/>
      <c r="AR1480" s="4"/>
      <c r="AS1480" s="8"/>
      <c r="AT1480" s="7"/>
      <c r="AU1480" s="7"/>
      <c r="AV1480" s="4" t="s">
        <v>200</v>
      </c>
      <c r="AW1480" s="8" t="s">
        <v>200</v>
      </c>
      <c r="AX1480" s="4" t="s">
        <v>200</v>
      </c>
      <c r="AY1480" s="8" t="s">
        <v>200</v>
      </c>
      <c r="AZ1480" s="7" t="s">
        <v>200</v>
      </c>
      <c r="BA1480" s="7" t="s">
        <v>200</v>
      </c>
      <c r="BB1480" s="7" t="s">
        <v>200</v>
      </c>
      <c r="BC1480" s="4" t="s">
        <v>200</v>
      </c>
      <c r="BD1480" s="8" t="s">
        <v>200</v>
      </c>
      <c r="BE1480" s="4" t="s">
        <v>200</v>
      </c>
      <c r="BF1480" s="8" t="s">
        <v>200</v>
      </c>
      <c r="BG1480" s="7" t="s">
        <v>200</v>
      </c>
      <c r="BH1480" s="7" t="s">
        <v>200</v>
      </c>
      <c r="BI1480" s="7"/>
      <c r="BJ1480" s="4">
        <v>14</v>
      </c>
      <c r="BK1480" s="8">
        <v>468.47</v>
      </c>
      <c r="BL1480" s="2" t="s">
        <v>7956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7957</v>
      </c>
      <c r="BV1480" s="2" t="s">
        <v>200</v>
      </c>
      <c r="BW1480" s="2" t="s">
        <v>200</v>
      </c>
      <c r="BX1480" s="2" t="s">
        <v>289</v>
      </c>
      <c r="BY1480" s="2" t="s">
        <v>247</v>
      </c>
      <c r="BZ1480" s="2" t="s">
        <v>212</v>
      </c>
      <c r="CA1480" s="2" t="s">
        <v>7930</v>
      </c>
      <c r="CB1480" s="2" t="s">
        <v>4809</v>
      </c>
      <c r="CC1480" s="2" t="s">
        <v>213</v>
      </c>
      <c r="CD1480" s="2" t="s">
        <v>200</v>
      </c>
      <c r="CE1480" s="4">
        <v>56</v>
      </c>
      <c r="CF1480" s="4"/>
      <c r="CG1480" s="4"/>
      <c r="CH1480" s="4"/>
      <c r="CI1480" s="4"/>
      <c r="CJ1480" s="4"/>
      <c r="CK1480" s="4"/>
      <c r="CL1480" s="4"/>
      <c r="CM1480" s="4"/>
      <c r="CN1480" s="4"/>
      <c r="CO1480" s="4"/>
      <c r="CP1480" s="4"/>
      <c r="CQ1480" s="4"/>
      <c r="CR1480" s="4"/>
      <c r="CS1480" s="4"/>
      <c r="CT1480" s="4"/>
      <c r="CU1480" s="4"/>
      <c r="CV1480" s="4"/>
      <c r="CW1480" s="4"/>
      <c r="CX1480" s="4"/>
      <c r="CY1480" s="4"/>
      <c r="CZ1480" s="4"/>
      <c r="DA1480" s="4"/>
      <c r="DB1480" s="4"/>
      <c r="DC1480" s="4"/>
      <c r="DD1480" s="4"/>
      <c r="DE1480" s="4"/>
      <c r="DF1480" s="4"/>
      <c r="DG1480" s="4"/>
      <c r="DH1480" s="4"/>
      <c r="DI1480" s="4"/>
      <c r="DJ1480" s="4"/>
      <c r="DK1480" s="4"/>
      <c r="DL1480" s="4"/>
      <c r="DM1480" s="4"/>
      <c r="DN1480" s="4"/>
      <c r="DO1480" s="4"/>
      <c r="DP1480" s="4"/>
      <c r="DQ1480" s="4"/>
      <c r="DR1480" s="4"/>
      <c r="DS1480" s="4"/>
      <c r="DT1480" s="4"/>
      <c r="DU1480" s="4"/>
      <c r="DV1480" s="4"/>
      <c r="DW1480" s="4"/>
      <c r="DX1480" s="4"/>
      <c r="DY1480" s="4"/>
      <c r="DZ1480" s="4"/>
      <c r="EA1480" s="4"/>
      <c r="EB1480" s="4"/>
      <c r="EC1480" s="4"/>
      <c r="ED1480" s="4"/>
      <c r="EE1480" s="4"/>
      <c r="EF1480" s="4"/>
      <c r="EG1480" s="4"/>
      <c r="EH1480" s="4"/>
      <c r="EI1480" s="4"/>
      <c r="EJ1480" s="4"/>
      <c r="EK1480" s="4"/>
      <c r="EL1480" s="4"/>
      <c r="EM1480" s="4"/>
      <c r="EN1480" s="4"/>
      <c r="EO1480" s="4"/>
      <c r="EP1480" s="4"/>
      <c r="EQ1480" s="4"/>
      <c r="ER1480" s="4"/>
      <c r="ES1480" s="4"/>
      <c r="ET1480" s="4"/>
      <c r="EU1480" s="4"/>
      <c r="EV1480" s="4"/>
      <c r="EW1480" s="4"/>
      <c r="EX1480" s="4"/>
      <c r="EY1480" s="4"/>
      <c r="EZ1480" s="4"/>
      <c r="FA1480" s="4"/>
      <c r="FB1480" s="4"/>
      <c r="FC1480" s="4"/>
      <c r="FD1480" s="4"/>
      <c r="FE1480" s="4"/>
      <c r="FF1480" s="4"/>
      <c r="FG1480" s="4"/>
      <c r="FH1480" s="4"/>
      <c r="FI1480" s="4"/>
      <c r="FJ1480" s="4"/>
      <c r="FK1480" s="4"/>
      <c r="FL1480" s="4"/>
      <c r="FM1480" s="4"/>
      <c r="FN1480" s="4"/>
      <c r="FO1480" s="4"/>
      <c r="FP1480" s="4"/>
      <c r="FQ1480" s="4"/>
      <c r="FR1480" s="4"/>
      <c r="FS1480" s="4"/>
      <c r="FT1480" s="4"/>
      <c r="FU1480" s="4"/>
      <c r="FV1480" s="4"/>
      <c r="FW1480" s="4"/>
      <c r="FX1480" s="4"/>
      <c r="FY1480" s="4"/>
      <c r="FZ1480" s="4"/>
      <c r="GA1480" s="4"/>
      <c r="GB1480" s="4"/>
      <c r="GC1480" s="4"/>
      <c r="GD1480" s="4"/>
      <c r="GE1480" s="4"/>
      <c r="GF1480" s="4"/>
      <c r="GG1480" s="4"/>
      <c r="GH1480" s="4"/>
    </row>
    <row r="1481">
      <c r="A1481" s="2" t="s">
        <v>7958</v>
      </c>
      <c r="B1481" s="2" t="s">
        <v>744</v>
      </c>
      <c r="C1481" s="2" t="s">
        <v>745</v>
      </c>
      <c r="D1481" s="2" t="s">
        <v>1275</v>
      </c>
      <c r="E1481" s="2" t="s">
        <v>2091</v>
      </c>
      <c r="F1481" s="2" t="s">
        <v>7959</v>
      </c>
      <c r="G1481" s="2" t="s">
        <v>7959</v>
      </c>
      <c r="H1481" s="2" t="s">
        <v>7959</v>
      </c>
      <c r="I1481" s="2" t="s">
        <v>2093</v>
      </c>
      <c r="J1481" s="2" t="s">
        <v>711</v>
      </c>
      <c r="K1481" s="2" t="s">
        <v>221</v>
      </c>
      <c r="L1481" s="3">
        <v>120</v>
      </c>
      <c r="M1481" s="3">
        <v>126</v>
      </c>
      <c r="N1481" s="3">
        <v>249</v>
      </c>
      <c r="O1481" s="2" t="s">
        <v>460</v>
      </c>
      <c r="P1481" s="2" t="s">
        <v>285</v>
      </c>
      <c r="Q1481" s="2" t="s">
        <v>206</v>
      </c>
      <c r="R1481" s="2" t="s">
        <v>200</v>
      </c>
      <c r="S1481" s="2" t="s">
        <v>200</v>
      </c>
      <c r="T1481" s="2" t="s">
        <v>200</v>
      </c>
      <c r="U1481" s="2" t="s">
        <v>270</v>
      </c>
      <c r="V1481" s="2" t="s">
        <v>616</v>
      </c>
      <c r="W1481" s="2" t="s">
        <v>379</v>
      </c>
      <c r="X1481" s="2" t="s">
        <v>200</v>
      </c>
      <c r="Y1481" s="2" t="s">
        <v>5085</v>
      </c>
      <c r="Z1481" s="4">
        <v>98</v>
      </c>
      <c r="AA1481" s="4">
        <f>=ROUNDDOWN({0},0)</f>
      </c>
      <c r="AB1481" s="5"/>
      <c r="AC1481" s="2" t="s">
        <v>200</v>
      </c>
      <c r="AD1481" s="4"/>
      <c r="AE1481" s="4"/>
      <c r="AF1481" s="6">
        <v>66</v>
      </c>
      <c r="AG1481" s="6"/>
      <c r="AH1481" s="7">
        <v>1</v>
      </c>
      <c r="AI1481" s="4"/>
      <c r="AJ1481" s="4">
        <f>=ROUNDDOWN({0},0)</f>
      </c>
      <c r="AK1481" s="5"/>
      <c r="AL1481" s="2" t="s">
        <v>200</v>
      </c>
      <c r="AM1481" s="4"/>
      <c r="AN1481" s="4"/>
      <c r="AO1481" s="7"/>
      <c r="AP1481" s="4"/>
      <c r="AQ1481" s="8"/>
      <c r="AR1481" s="4"/>
      <c r="AS1481" s="8"/>
      <c r="AT1481" s="7"/>
      <c r="AU1481" s="7"/>
      <c r="AV1481" s="4"/>
      <c r="AW1481" s="8"/>
      <c r="AX1481" s="4"/>
      <c r="AY1481" s="8"/>
      <c r="AZ1481" s="7"/>
      <c r="BA1481" s="7"/>
      <c r="BB1481" s="7"/>
      <c r="BC1481" s="4"/>
      <c r="BD1481" s="8"/>
      <c r="BE1481" s="4"/>
      <c r="BF1481" s="8"/>
      <c r="BG1481" s="7"/>
      <c r="BH1481" s="7"/>
      <c r="BI1481" s="7"/>
      <c r="BJ1481" s="4">
        <v>18</v>
      </c>
      <c r="BK1481" s="8">
        <v>494.49</v>
      </c>
      <c r="BL1481" s="2" t="s">
        <v>752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7960</v>
      </c>
      <c r="BV1481" s="2" t="s">
        <v>200</v>
      </c>
      <c r="BW1481" s="2" t="s">
        <v>200</v>
      </c>
      <c r="BX1481" s="2" t="s">
        <v>289</v>
      </c>
      <c r="BY1481" s="2" t="s">
        <v>247</v>
      </c>
      <c r="BZ1481" s="2" t="s">
        <v>212</v>
      </c>
      <c r="CA1481" s="2" t="s">
        <v>1039</v>
      </c>
      <c r="CB1481" s="2" t="s">
        <v>7961</v>
      </c>
      <c r="CC1481" s="2" t="s">
        <v>213</v>
      </c>
      <c r="CD1481" s="2" t="s">
        <v>200</v>
      </c>
      <c r="CE1481" s="4"/>
      <c r="CF1481" s="4">
        <v>98</v>
      </c>
      <c r="CG1481" s="4"/>
      <c r="CH1481" s="4"/>
      <c r="CI1481" s="4"/>
      <c r="CJ1481" s="4"/>
      <c r="CK1481" s="4"/>
      <c r="CL1481" s="4"/>
      <c r="CM1481" s="4"/>
      <c r="CN1481" s="4"/>
      <c r="CO1481" s="4"/>
      <c r="CP1481" s="4"/>
      <c r="CQ1481" s="4"/>
      <c r="CR1481" s="4"/>
      <c r="CS1481" s="4"/>
      <c r="CT1481" s="4"/>
      <c r="CU1481" s="4"/>
      <c r="CV1481" s="4"/>
      <c r="CW1481" s="4"/>
      <c r="CX1481" s="4"/>
      <c r="CY1481" s="4"/>
      <c r="CZ1481" s="4"/>
      <c r="DA1481" s="4"/>
      <c r="DB1481" s="4"/>
      <c r="DC1481" s="4"/>
      <c r="DD1481" s="4"/>
      <c r="DE1481" s="4"/>
      <c r="DF1481" s="4"/>
      <c r="DG1481" s="4"/>
      <c r="DH1481" s="4"/>
      <c r="DI1481" s="4"/>
      <c r="DJ1481" s="4"/>
      <c r="DK1481" s="4"/>
      <c r="DL1481" s="4"/>
      <c r="DM1481" s="4"/>
      <c r="DN1481" s="4"/>
      <c r="DO1481" s="4"/>
      <c r="DP1481" s="4"/>
      <c r="DQ1481" s="4"/>
      <c r="DR1481" s="4"/>
      <c r="DS1481" s="4"/>
      <c r="DT1481" s="4"/>
      <c r="DU1481" s="4"/>
      <c r="DV1481" s="4"/>
      <c r="DW1481" s="4"/>
      <c r="DX1481" s="4"/>
      <c r="DY1481" s="4"/>
      <c r="DZ1481" s="4"/>
      <c r="EA1481" s="4"/>
      <c r="EB1481" s="4"/>
      <c r="EC1481" s="4"/>
      <c r="ED1481" s="4"/>
      <c r="EE1481" s="4"/>
      <c r="EF1481" s="4"/>
      <c r="EG1481" s="4"/>
      <c r="EH1481" s="4"/>
      <c r="EI1481" s="4"/>
      <c r="EJ1481" s="4"/>
      <c r="EK1481" s="4"/>
      <c r="EL1481" s="4"/>
      <c r="EM1481" s="4"/>
      <c r="EN1481" s="4"/>
      <c r="EO1481" s="4"/>
      <c r="EP1481" s="4"/>
      <c r="EQ1481" s="4"/>
      <c r="ER1481" s="4"/>
      <c r="ES1481" s="4"/>
      <c r="ET1481" s="4"/>
      <c r="EU1481" s="4"/>
      <c r="EV1481" s="4"/>
      <c r="EW1481" s="4"/>
      <c r="EX1481" s="4"/>
      <c r="EY1481" s="4"/>
      <c r="EZ1481" s="4"/>
      <c r="FA1481" s="4"/>
      <c r="FB1481" s="4"/>
      <c r="FC1481" s="4"/>
      <c r="FD1481" s="4"/>
      <c r="FE1481" s="4"/>
      <c r="FF1481" s="4"/>
      <c r="FG1481" s="4"/>
      <c r="FH1481" s="4"/>
      <c r="FI1481" s="4"/>
      <c r="FJ1481" s="4"/>
      <c r="FK1481" s="4"/>
      <c r="FL1481" s="4"/>
      <c r="FM1481" s="4"/>
      <c r="FN1481" s="4"/>
      <c r="FO1481" s="4"/>
      <c r="FP1481" s="4"/>
      <c r="FQ1481" s="4"/>
      <c r="FR1481" s="4"/>
      <c r="FS1481" s="4"/>
      <c r="FT1481" s="4"/>
      <c r="FU1481" s="4"/>
      <c r="FV1481" s="4"/>
      <c r="FW1481" s="4"/>
      <c r="FX1481" s="4"/>
      <c r="FY1481" s="4"/>
      <c r="FZ1481" s="4"/>
      <c r="GA1481" s="4"/>
      <c r="GB1481" s="4"/>
      <c r="GC1481" s="4"/>
      <c r="GD1481" s="4"/>
      <c r="GE1481" s="4"/>
      <c r="GF1481" s="4"/>
      <c r="GG1481" s="4"/>
      <c r="GH1481" s="4"/>
    </row>
    <row r="1482">
      <c r="A1482" s="2" t="s">
        <v>7962</v>
      </c>
      <c r="B1482" s="2" t="s">
        <v>932</v>
      </c>
      <c r="C1482" s="2" t="s">
        <v>877</v>
      </c>
      <c r="D1482" s="2" t="s">
        <v>608</v>
      </c>
      <c r="E1482" s="2" t="s">
        <v>609</v>
      </c>
      <c r="F1482" s="2" t="s">
        <v>7963</v>
      </c>
      <c r="G1482" s="2" t="s">
        <v>7964</v>
      </c>
      <c r="H1482" s="2" t="s">
        <v>2538</v>
      </c>
      <c r="I1482" s="2" t="s">
        <v>1983</v>
      </c>
      <c r="J1482" s="2" t="s">
        <v>1390</v>
      </c>
      <c r="K1482" s="2" t="s">
        <v>237</v>
      </c>
      <c r="L1482" s="3">
        <v>29.25</v>
      </c>
      <c r="M1482" s="3">
        <v>30.71</v>
      </c>
      <c r="N1482" s="3">
        <v>64.99</v>
      </c>
      <c r="O1482" s="2" t="s">
        <v>212</v>
      </c>
      <c r="P1482" s="2" t="s">
        <v>258</v>
      </c>
      <c r="Q1482" s="2" t="s">
        <v>206</v>
      </c>
      <c r="R1482" s="2" t="s">
        <v>200</v>
      </c>
      <c r="S1482" s="2" t="s">
        <v>200</v>
      </c>
      <c r="T1482" s="2" t="s">
        <v>378</v>
      </c>
      <c r="U1482" s="2" t="s">
        <v>240</v>
      </c>
      <c r="V1482" s="2" t="s">
        <v>1198</v>
      </c>
      <c r="W1482" s="2" t="s">
        <v>241</v>
      </c>
      <c r="X1482" s="2" t="s">
        <v>1900</v>
      </c>
      <c r="Y1482" s="2" t="s">
        <v>2306</v>
      </c>
      <c r="Z1482" s="4">
        <v>396</v>
      </c>
      <c r="AA1482" s="4">
        <f>=ROUNDDOWN(66,0)</f>
      </c>
      <c r="AB1482" s="5">
        <v>6</v>
      </c>
      <c r="AC1482" s="2" t="s">
        <v>200</v>
      </c>
      <c r="AD1482" s="4"/>
      <c r="AE1482" s="4"/>
      <c r="AF1482" s="6">
        <v>64</v>
      </c>
      <c r="AG1482" s="6">
        <v>47</v>
      </c>
      <c r="AH1482" s="7">
        <v>1</v>
      </c>
      <c r="AI1482" s="4"/>
      <c r="AJ1482" s="4">
        <f>=ROUNDDOWN({0},0)</f>
      </c>
      <c r="AK1482" s="5"/>
      <c r="AL1482" s="2" t="s">
        <v>200</v>
      </c>
      <c r="AM1482" s="4"/>
      <c r="AN1482" s="4"/>
      <c r="AO1482" s="7"/>
      <c r="AP1482" s="4"/>
      <c r="AQ1482" s="8"/>
      <c r="AR1482" s="4"/>
      <c r="AS1482" s="8"/>
      <c r="AT1482" s="7"/>
      <c r="AU1482" s="7"/>
      <c r="AV1482" s="4"/>
      <c r="AW1482" s="8"/>
      <c r="AX1482" s="4"/>
      <c r="AY1482" s="8"/>
      <c r="AZ1482" s="7"/>
      <c r="BA1482" s="7"/>
      <c r="BB1482" s="7"/>
      <c r="BC1482" s="4"/>
      <c r="BD1482" s="8"/>
      <c r="BE1482" s="4"/>
      <c r="BF1482" s="8"/>
      <c r="BG1482" s="7"/>
      <c r="BH1482" s="7"/>
      <c r="BI1482" s="7"/>
      <c r="BJ1482" s="4">
        <v>15</v>
      </c>
      <c r="BK1482" s="8">
        <v>468.89</v>
      </c>
      <c r="BL1482" s="2" t="s">
        <v>7965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7966</v>
      </c>
      <c r="BV1482" s="2" t="s">
        <v>200</v>
      </c>
      <c r="BW1482" s="2" t="s">
        <v>200</v>
      </c>
      <c r="BX1482" s="2" t="s">
        <v>264</v>
      </c>
      <c r="BY1482" s="2" t="s">
        <v>247</v>
      </c>
      <c r="BZ1482" s="2" t="s">
        <v>212</v>
      </c>
      <c r="CA1482" s="2" t="s">
        <v>7661</v>
      </c>
      <c r="CB1482" s="2" t="s">
        <v>2048</v>
      </c>
      <c r="CC1482" s="2" t="s">
        <v>213</v>
      </c>
      <c r="CD1482" s="2" t="s">
        <v>200</v>
      </c>
      <c r="CE1482" s="4">
        <v>263</v>
      </c>
      <c r="CF1482" s="4"/>
      <c r="CG1482" s="4"/>
      <c r="CH1482" s="4">
        <v>133</v>
      </c>
      <c r="CI1482" s="4"/>
      <c r="CJ1482" s="4"/>
      <c r="CK1482" s="4"/>
      <c r="CL1482" s="4"/>
      <c r="CM1482" s="4"/>
      <c r="CN1482" s="4"/>
      <c r="CO1482" s="4"/>
      <c r="CP1482" s="4"/>
      <c r="CQ1482" s="4"/>
      <c r="CR1482" s="4"/>
      <c r="CS1482" s="4"/>
      <c r="CT1482" s="4"/>
      <c r="CU1482" s="4"/>
      <c r="CV1482" s="4"/>
      <c r="CW1482" s="4"/>
      <c r="CX1482" s="4"/>
      <c r="CY1482" s="4"/>
      <c r="CZ1482" s="4"/>
      <c r="DA1482" s="4"/>
      <c r="DB1482" s="4"/>
      <c r="DC1482" s="4"/>
      <c r="DD1482" s="4"/>
      <c r="DE1482" s="4"/>
      <c r="DF1482" s="4"/>
      <c r="DG1482" s="4"/>
      <c r="DH1482" s="4"/>
      <c r="DI1482" s="4"/>
      <c r="DJ1482" s="4"/>
      <c r="DK1482" s="4"/>
      <c r="DL1482" s="4"/>
      <c r="DM1482" s="4"/>
      <c r="DN1482" s="4"/>
      <c r="DO1482" s="4"/>
      <c r="DP1482" s="4"/>
      <c r="DQ1482" s="4"/>
      <c r="DR1482" s="4"/>
      <c r="DS1482" s="4"/>
      <c r="DT1482" s="4"/>
      <c r="DU1482" s="4"/>
      <c r="DV1482" s="4"/>
      <c r="DW1482" s="4"/>
      <c r="DX1482" s="4"/>
      <c r="DY1482" s="4"/>
      <c r="DZ1482" s="4"/>
      <c r="EA1482" s="4"/>
      <c r="EB1482" s="4"/>
      <c r="EC1482" s="4"/>
      <c r="ED1482" s="4"/>
      <c r="EE1482" s="4"/>
      <c r="EF1482" s="4"/>
      <c r="EG1482" s="4"/>
      <c r="EH1482" s="4"/>
      <c r="EI1482" s="4"/>
      <c r="EJ1482" s="4"/>
      <c r="EK1482" s="4"/>
      <c r="EL1482" s="4"/>
      <c r="EM1482" s="4"/>
      <c r="EN1482" s="4"/>
      <c r="EO1482" s="4"/>
      <c r="EP1482" s="4"/>
      <c r="EQ1482" s="4"/>
      <c r="ER1482" s="4"/>
      <c r="ES1482" s="4"/>
      <c r="ET1482" s="4"/>
      <c r="EU1482" s="4"/>
      <c r="EV1482" s="4"/>
      <c r="EW1482" s="4"/>
      <c r="EX1482" s="4"/>
      <c r="EY1482" s="4"/>
      <c r="EZ1482" s="4"/>
      <c r="FA1482" s="4"/>
      <c r="FB1482" s="4"/>
      <c r="FC1482" s="4"/>
      <c r="FD1482" s="4"/>
      <c r="FE1482" s="4"/>
      <c r="FF1482" s="4"/>
      <c r="FG1482" s="4"/>
      <c r="FH1482" s="4"/>
      <c r="FI1482" s="4"/>
      <c r="FJ1482" s="4"/>
      <c r="FK1482" s="4"/>
      <c r="FL1482" s="4"/>
      <c r="FM1482" s="4"/>
      <c r="FN1482" s="4"/>
      <c r="FO1482" s="4"/>
      <c r="FP1482" s="4"/>
      <c r="FQ1482" s="4"/>
      <c r="FR1482" s="4"/>
      <c r="FS1482" s="4"/>
      <c r="FT1482" s="4"/>
      <c r="FU1482" s="4"/>
      <c r="FV1482" s="4"/>
      <c r="FW1482" s="4"/>
      <c r="FX1482" s="4"/>
      <c r="FY1482" s="4"/>
      <c r="FZ1482" s="4"/>
      <c r="GA1482" s="4"/>
      <c r="GB1482" s="4"/>
      <c r="GC1482" s="4"/>
      <c r="GD1482" s="4"/>
      <c r="GE1482" s="4"/>
      <c r="GF1482" s="4"/>
      <c r="GG1482" s="4"/>
      <c r="GH1482" s="4"/>
    </row>
    <row r="1483">
      <c r="A1483" s="2" t="s">
        <v>7967</v>
      </c>
      <c r="B1483" s="2" t="s">
        <v>903</v>
      </c>
      <c r="C1483" s="2" t="s">
        <v>1323</v>
      </c>
      <c r="D1483" s="2" t="s">
        <v>608</v>
      </c>
      <c r="E1483" s="2" t="s">
        <v>1324</v>
      </c>
      <c r="F1483" s="2" t="s">
        <v>7968</v>
      </c>
      <c r="G1483" s="2" t="s">
        <v>7968</v>
      </c>
      <c r="H1483" s="2" t="s">
        <v>7968</v>
      </c>
      <c r="I1483" s="2" t="s">
        <v>1324</v>
      </c>
      <c r="J1483" s="2" t="s">
        <v>612</v>
      </c>
      <c r="K1483" s="2" t="s">
        <v>237</v>
      </c>
      <c r="L1483" s="3">
        <v>90.75</v>
      </c>
      <c r="M1483" s="3">
        <v>95.29</v>
      </c>
      <c r="N1483" s="3">
        <v>219.99</v>
      </c>
      <c r="O1483" s="2" t="s">
        <v>212</v>
      </c>
      <c r="P1483" s="2" t="s">
        <v>205</v>
      </c>
      <c r="Q1483" s="2" t="s">
        <v>206</v>
      </c>
      <c r="R1483" s="2" t="s">
        <v>200</v>
      </c>
      <c r="S1483" s="2" t="s">
        <v>200</v>
      </c>
      <c r="T1483" s="2" t="s">
        <v>312</v>
      </c>
      <c r="U1483" s="2" t="s">
        <v>454</v>
      </c>
      <c r="V1483" s="2" t="s">
        <v>339</v>
      </c>
      <c r="W1483" s="2" t="s">
        <v>200</v>
      </c>
      <c r="X1483" s="2" t="s">
        <v>200</v>
      </c>
      <c r="Y1483" s="2" t="s">
        <v>200</v>
      </c>
      <c r="Z1483" s="4"/>
      <c r="AA1483" s="4">
        <f>=ROUNDDOWN({0},0)</f>
      </c>
      <c r="AB1483" s="5"/>
      <c r="AC1483" s="2" t="s">
        <v>200</v>
      </c>
      <c r="AD1483" s="4"/>
      <c r="AE1483" s="4"/>
      <c r="AF1483" s="6"/>
      <c r="AG1483" s="6"/>
      <c r="AH1483" s="7"/>
      <c r="AI1483" s="4"/>
      <c r="AJ1483" s="4">
        <f>=ROUNDDOWN({0},0)</f>
      </c>
      <c r="AK1483" s="5"/>
      <c r="AL1483" s="2" t="s">
        <v>200</v>
      </c>
      <c r="AM1483" s="4"/>
      <c r="AN1483" s="4"/>
      <c r="AO1483" s="7"/>
      <c r="AP1483" s="4"/>
      <c r="AQ1483" s="8"/>
      <c r="AR1483" s="4"/>
      <c r="AS1483" s="8"/>
      <c r="AT1483" s="7"/>
      <c r="AU1483" s="7"/>
      <c r="AV1483" s="4" t="s">
        <v>200</v>
      </c>
      <c r="AW1483" s="8" t="s">
        <v>200</v>
      </c>
      <c r="AX1483" s="4" t="s">
        <v>200</v>
      </c>
      <c r="AY1483" s="8" t="s">
        <v>200</v>
      </c>
      <c r="AZ1483" s="7" t="s">
        <v>200</v>
      </c>
      <c r="BA1483" s="7" t="s">
        <v>200</v>
      </c>
      <c r="BB1483" s="7"/>
      <c r="BC1483" s="4" t="s">
        <v>200</v>
      </c>
      <c r="BD1483" s="8" t="s">
        <v>200</v>
      </c>
      <c r="BE1483" s="4" t="s">
        <v>200</v>
      </c>
      <c r="BF1483" s="8" t="s">
        <v>200</v>
      </c>
      <c r="BG1483" s="7" t="s">
        <v>200</v>
      </c>
      <c r="BH1483" s="7" t="s">
        <v>200</v>
      </c>
      <c r="BI1483" s="7"/>
      <c r="BJ1483" s="4"/>
      <c r="BK1483" s="8"/>
      <c r="BL1483" s="2" t="s">
        <v>200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210</v>
      </c>
      <c r="BV1483" s="2" t="s">
        <v>200</v>
      </c>
      <c r="BW1483" s="2" t="s">
        <v>200</v>
      </c>
      <c r="BX1483" s="2" t="s">
        <v>210</v>
      </c>
      <c r="BY1483" s="2" t="s">
        <v>1329</v>
      </c>
      <c r="BZ1483" s="2" t="s">
        <v>212</v>
      </c>
      <c r="CA1483" s="2" t="s">
        <v>200</v>
      </c>
      <c r="CB1483" s="2" t="s">
        <v>200</v>
      </c>
      <c r="CC1483" s="2" t="s">
        <v>213</v>
      </c>
      <c r="CD1483" s="2" t="s">
        <v>200</v>
      </c>
      <c r="CE1483" s="4"/>
      <c r="CF1483" s="4"/>
      <c r="CG1483" s="4"/>
      <c r="CH1483" s="4"/>
      <c r="CI1483" s="4"/>
      <c r="CJ1483" s="4"/>
      <c r="CK1483" s="4"/>
      <c r="CL1483" s="4"/>
      <c r="CM1483" s="4"/>
      <c r="CN1483" s="4"/>
      <c r="CO1483" s="4"/>
      <c r="CP1483" s="4"/>
      <c r="CQ1483" s="4"/>
      <c r="CR1483" s="4"/>
      <c r="CS1483" s="4"/>
      <c r="CT1483" s="4"/>
      <c r="CU1483" s="4"/>
      <c r="CV1483" s="4"/>
      <c r="CW1483" s="4"/>
      <c r="CX1483" s="4"/>
      <c r="CY1483" s="4"/>
      <c r="CZ1483" s="4"/>
      <c r="DA1483" s="4"/>
      <c r="DB1483" s="4"/>
      <c r="DC1483" s="4"/>
      <c r="DD1483" s="4"/>
      <c r="DE1483" s="4"/>
      <c r="DF1483" s="4"/>
      <c r="DG1483" s="4"/>
      <c r="DH1483" s="4"/>
      <c r="DI1483" s="4"/>
      <c r="DJ1483" s="4"/>
      <c r="DK1483" s="4"/>
      <c r="DL1483" s="4"/>
      <c r="DM1483" s="4"/>
      <c r="DN1483" s="4"/>
      <c r="DO1483" s="4"/>
      <c r="DP1483" s="4"/>
      <c r="DQ1483" s="4"/>
      <c r="DR1483" s="4"/>
      <c r="DS1483" s="4"/>
      <c r="DT1483" s="4"/>
      <c r="DU1483" s="4"/>
      <c r="DV1483" s="4"/>
      <c r="DW1483" s="4"/>
      <c r="DX1483" s="4"/>
      <c r="DY1483" s="4"/>
      <c r="DZ1483" s="4"/>
      <c r="EA1483" s="4"/>
      <c r="EB1483" s="4"/>
      <c r="EC1483" s="4"/>
      <c r="ED1483" s="4"/>
      <c r="EE1483" s="4"/>
      <c r="EF1483" s="4"/>
      <c r="EG1483" s="4"/>
      <c r="EH1483" s="4"/>
      <c r="EI1483" s="4"/>
      <c r="EJ1483" s="4"/>
      <c r="EK1483" s="4"/>
      <c r="EL1483" s="4"/>
      <c r="EM1483" s="4"/>
      <c r="EN1483" s="4"/>
      <c r="EO1483" s="4"/>
      <c r="EP1483" s="4"/>
      <c r="EQ1483" s="4"/>
      <c r="ER1483" s="4"/>
      <c r="ES1483" s="4"/>
      <c r="ET1483" s="4"/>
      <c r="EU1483" s="4"/>
      <c r="EV1483" s="4"/>
      <c r="EW1483" s="4"/>
      <c r="EX1483" s="4"/>
      <c r="EY1483" s="4"/>
      <c r="EZ1483" s="4"/>
      <c r="FA1483" s="4"/>
      <c r="FB1483" s="4"/>
      <c r="FC1483" s="4"/>
      <c r="FD1483" s="4"/>
      <c r="FE1483" s="4"/>
      <c r="FF1483" s="4"/>
      <c r="FG1483" s="4"/>
      <c r="FH1483" s="4"/>
      <c r="FI1483" s="4"/>
      <c r="FJ1483" s="4"/>
      <c r="FK1483" s="4"/>
      <c r="FL1483" s="4"/>
      <c r="FM1483" s="4"/>
      <c r="FN1483" s="4"/>
      <c r="FO1483" s="4"/>
      <c r="FP1483" s="4"/>
      <c r="FQ1483" s="4"/>
      <c r="FR1483" s="4"/>
      <c r="FS1483" s="4"/>
      <c r="FT1483" s="4"/>
      <c r="FU1483" s="4"/>
      <c r="FV1483" s="4"/>
      <c r="FW1483" s="4"/>
      <c r="FX1483" s="4"/>
      <c r="FY1483" s="4"/>
      <c r="FZ1483" s="4"/>
      <c r="GA1483" s="4"/>
      <c r="GB1483" s="4"/>
      <c r="GC1483" s="4"/>
      <c r="GD1483" s="4"/>
      <c r="GE1483" s="4"/>
      <c r="GF1483" s="4"/>
      <c r="GG1483" s="4"/>
      <c r="GH1483" s="4"/>
    </row>
    <row r="1484">
      <c r="A1484" s="2" t="s">
        <v>7969</v>
      </c>
      <c r="B1484" s="2" t="s">
        <v>903</v>
      </c>
      <c r="C1484" s="2" t="s">
        <v>1323</v>
      </c>
      <c r="D1484" s="2" t="s">
        <v>608</v>
      </c>
      <c r="E1484" s="2" t="s">
        <v>1324</v>
      </c>
      <c r="F1484" s="2" t="s">
        <v>7968</v>
      </c>
      <c r="G1484" s="2" t="s">
        <v>7968</v>
      </c>
      <c r="H1484" s="2" t="s">
        <v>7968</v>
      </c>
      <c r="I1484" s="2" t="s">
        <v>1324</v>
      </c>
      <c r="J1484" s="2" t="s">
        <v>924</v>
      </c>
      <c r="K1484" s="2" t="s">
        <v>237</v>
      </c>
      <c r="L1484" s="3">
        <v>103.12</v>
      </c>
      <c r="M1484" s="3">
        <v>108.28</v>
      </c>
      <c r="N1484" s="3">
        <v>249.99</v>
      </c>
      <c r="O1484" s="2" t="s">
        <v>212</v>
      </c>
      <c r="P1484" s="2" t="s">
        <v>205</v>
      </c>
      <c r="Q1484" s="2" t="s">
        <v>206</v>
      </c>
      <c r="R1484" s="2" t="s">
        <v>200</v>
      </c>
      <c r="S1484" s="2" t="s">
        <v>200</v>
      </c>
      <c r="T1484" s="2" t="s">
        <v>312</v>
      </c>
      <c r="U1484" s="2" t="s">
        <v>454</v>
      </c>
      <c r="V1484" s="2" t="s">
        <v>339</v>
      </c>
      <c r="W1484" s="2" t="s">
        <v>200</v>
      </c>
      <c r="X1484" s="2" t="s">
        <v>200</v>
      </c>
      <c r="Y1484" s="2" t="s">
        <v>200</v>
      </c>
      <c r="Z1484" s="4"/>
      <c r="AA1484" s="4">
        <f>=ROUNDDOWN({0},0)</f>
      </c>
      <c r="AB1484" s="5"/>
      <c r="AC1484" s="2" t="s">
        <v>200</v>
      </c>
      <c r="AD1484" s="4"/>
      <c r="AE1484" s="4"/>
      <c r="AF1484" s="6"/>
      <c r="AG1484" s="6"/>
      <c r="AH1484" s="7"/>
      <c r="AI1484" s="4"/>
      <c r="AJ1484" s="4">
        <f>=ROUNDDOWN({0},0)</f>
      </c>
      <c r="AK1484" s="5"/>
      <c r="AL1484" s="2" t="s">
        <v>200</v>
      </c>
      <c r="AM1484" s="4"/>
      <c r="AN1484" s="4"/>
      <c r="AO1484" s="7"/>
      <c r="AP1484" s="4"/>
      <c r="AQ1484" s="8"/>
      <c r="AR1484" s="4"/>
      <c r="AS1484" s="8"/>
      <c r="AT1484" s="7"/>
      <c r="AU1484" s="7"/>
      <c r="AV1484" s="4" t="s">
        <v>200</v>
      </c>
      <c r="AW1484" s="8" t="s">
        <v>200</v>
      </c>
      <c r="AX1484" s="4" t="s">
        <v>200</v>
      </c>
      <c r="AY1484" s="8" t="s">
        <v>200</v>
      </c>
      <c r="AZ1484" s="7" t="s">
        <v>200</v>
      </c>
      <c r="BA1484" s="7" t="s">
        <v>200</v>
      </c>
      <c r="BB1484" s="7"/>
      <c r="BC1484" s="4" t="s">
        <v>200</v>
      </c>
      <c r="BD1484" s="8" t="s">
        <v>200</v>
      </c>
      <c r="BE1484" s="4" t="s">
        <v>200</v>
      </c>
      <c r="BF1484" s="8" t="s">
        <v>200</v>
      </c>
      <c r="BG1484" s="7" t="s">
        <v>200</v>
      </c>
      <c r="BH1484" s="7" t="s">
        <v>200</v>
      </c>
      <c r="BI1484" s="7"/>
      <c r="BJ1484" s="4"/>
      <c r="BK1484" s="8"/>
      <c r="BL1484" s="2" t="s">
        <v>200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210</v>
      </c>
      <c r="BV1484" s="2" t="s">
        <v>200</v>
      </c>
      <c r="BW1484" s="2" t="s">
        <v>200</v>
      </c>
      <c r="BX1484" s="2" t="s">
        <v>210</v>
      </c>
      <c r="BY1484" s="2" t="s">
        <v>1329</v>
      </c>
      <c r="BZ1484" s="2" t="s">
        <v>212</v>
      </c>
      <c r="CA1484" s="2" t="s">
        <v>200</v>
      </c>
      <c r="CB1484" s="2" t="s">
        <v>200</v>
      </c>
      <c r="CC1484" s="2" t="s">
        <v>213</v>
      </c>
      <c r="CD1484" s="2" t="s">
        <v>200</v>
      </c>
      <c r="CE1484" s="4"/>
      <c r="CF1484" s="4"/>
      <c r="CG1484" s="4"/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4"/>
      <c r="CS1484" s="4"/>
      <c r="CT1484" s="4"/>
      <c r="CU1484" s="4"/>
      <c r="CV1484" s="4"/>
      <c r="CW1484" s="4"/>
      <c r="CX1484" s="4"/>
      <c r="CY1484" s="4"/>
      <c r="CZ1484" s="4"/>
      <c r="DA1484" s="4"/>
      <c r="DB1484" s="4"/>
      <c r="DC1484" s="4"/>
      <c r="DD1484" s="4"/>
      <c r="DE1484" s="4"/>
      <c r="DF1484" s="4"/>
      <c r="DG1484" s="4"/>
      <c r="DH1484" s="4"/>
      <c r="DI1484" s="4"/>
      <c r="DJ1484" s="4"/>
      <c r="DK1484" s="4"/>
      <c r="DL1484" s="4"/>
      <c r="DM1484" s="4"/>
      <c r="DN1484" s="4"/>
      <c r="DO1484" s="4"/>
      <c r="DP1484" s="4"/>
      <c r="DQ1484" s="4"/>
      <c r="DR1484" s="4"/>
      <c r="DS1484" s="4"/>
      <c r="DT1484" s="4"/>
      <c r="DU1484" s="4"/>
      <c r="DV1484" s="4"/>
      <c r="DW1484" s="4"/>
      <c r="DX1484" s="4"/>
      <c r="DY1484" s="4"/>
      <c r="DZ1484" s="4"/>
      <c r="EA1484" s="4"/>
      <c r="EB1484" s="4"/>
      <c r="EC1484" s="4"/>
      <c r="ED1484" s="4"/>
      <c r="EE1484" s="4"/>
      <c r="EF1484" s="4"/>
      <c r="EG1484" s="4"/>
      <c r="EH1484" s="4"/>
      <c r="EI1484" s="4"/>
      <c r="EJ1484" s="4"/>
      <c r="EK1484" s="4"/>
      <c r="EL1484" s="4"/>
      <c r="EM1484" s="4"/>
      <c r="EN1484" s="4"/>
      <c r="EO1484" s="4"/>
      <c r="EP1484" s="4"/>
      <c r="EQ1484" s="4"/>
      <c r="ER1484" s="4"/>
      <c r="ES1484" s="4"/>
      <c r="ET1484" s="4"/>
      <c r="EU1484" s="4"/>
      <c r="EV1484" s="4"/>
      <c r="EW1484" s="4"/>
      <c r="EX1484" s="4"/>
      <c r="EY1484" s="4"/>
      <c r="EZ1484" s="4"/>
      <c r="FA1484" s="4"/>
      <c r="FB1484" s="4"/>
      <c r="FC1484" s="4"/>
      <c r="FD1484" s="4"/>
      <c r="FE1484" s="4"/>
      <c r="FF1484" s="4"/>
      <c r="FG1484" s="4"/>
      <c r="FH1484" s="4"/>
      <c r="FI1484" s="4"/>
      <c r="FJ1484" s="4"/>
      <c r="FK1484" s="4"/>
      <c r="FL1484" s="4"/>
      <c r="FM1484" s="4"/>
      <c r="FN1484" s="4"/>
      <c r="FO1484" s="4"/>
      <c r="FP1484" s="4"/>
      <c r="FQ1484" s="4"/>
      <c r="FR1484" s="4"/>
      <c r="FS1484" s="4"/>
      <c r="FT1484" s="4"/>
      <c r="FU1484" s="4"/>
      <c r="FV1484" s="4"/>
      <c r="FW1484" s="4"/>
      <c r="FX1484" s="4"/>
      <c r="FY1484" s="4"/>
      <c r="FZ1484" s="4"/>
      <c r="GA1484" s="4"/>
      <c r="GB1484" s="4"/>
      <c r="GC1484" s="4"/>
      <c r="GD1484" s="4"/>
      <c r="GE1484" s="4"/>
      <c r="GF1484" s="4"/>
      <c r="GG1484" s="4"/>
      <c r="GH1484" s="4"/>
    </row>
    <row r="1485">
      <c r="A1485" s="2" t="s">
        <v>7970</v>
      </c>
      <c r="B1485" s="2" t="s">
        <v>744</v>
      </c>
      <c r="C1485" s="2" t="s">
        <v>231</v>
      </c>
      <c r="D1485" s="2" t="s">
        <v>795</v>
      </c>
      <c r="E1485" s="2" t="s">
        <v>796</v>
      </c>
      <c r="F1485" s="2" t="s">
        <v>7971</v>
      </c>
      <c r="G1485" s="2" t="s">
        <v>7972</v>
      </c>
      <c r="H1485" s="2" t="s">
        <v>3791</v>
      </c>
      <c r="I1485" s="2" t="s">
        <v>7973</v>
      </c>
      <c r="J1485" s="2" t="s">
        <v>711</v>
      </c>
      <c r="K1485" s="2" t="s">
        <v>203</v>
      </c>
      <c r="L1485" s="3">
        <v>250</v>
      </c>
      <c r="M1485" s="3">
        <v>262.5</v>
      </c>
      <c r="N1485" s="3">
        <v>529</v>
      </c>
      <c r="O1485" s="2" t="s">
        <v>460</v>
      </c>
      <c r="P1485" s="2" t="s">
        <v>285</v>
      </c>
      <c r="Q1485" s="2" t="s">
        <v>206</v>
      </c>
      <c r="R1485" s="2" t="s">
        <v>200</v>
      </c>
      <c r="S1485" s="2" t="s">
        <v>200</v>
      </c>
      <c r="T1485" s="2" t="s">
        <v>200</v>
      </c>
      <c r="U1485" s="2" t="s">
        <v>270</v>
      </c>
      <c r="V1485" s="2" t="s">
        <v>616</v>
      </c>
      <c r="W1485" s="2" t="s">
        <v>419</v>
      </c>
      <c r="X1485" s="2" t="s">
        <v>200</v>
      </c>
      <c r="Y1485" s="2" t="s">
        <v>7974</v>
      </c>
      <c r="Z1485" s="4">
        <v>1</v>
      </c>
      <c r="AA1485" s="4">
        <f>=ROUNDDOWN(5,0)</f>
      </c>
      <c r="AB1485" s="5">
        <v>0.2</v>
      </c>
      <c r="AC1485" s="2" t="s">
        <v>200</v>
      </c>
      <c r="AD1485" s="4"/>
      <c r="AE1485" s="4"/>
      <c r="AF1485" s="6">
        <v>65</v>
      </c>
      <c r="AG1485" s="6"/>
      <c r="AH1485" s="7">
        <v>1</v>
      </c>
      <c r="AI1485" s="4"/>
      <c r="AJ1485" s="4">
        <f>=ROUNDDOWN({0},0)</f>
      </c>
      <c r="AK1485" s="5"/>
      <c r="AL1485" s="2" t="s">
        <v>200</v>
      </c>
      <c r="AM1485" s="4"/>
      <c r="AN1485" s="4"/>
      <c r="AO1485" s="7"/>
      <c r="AP1485" s="4"/>
      <c r="AQ1485" s="8"/>
      <c r="AR1485" s="4"/>
      <c r="AS1485" s="8"/>
      <c r="AT1485" s="7"/>
      <c r="AU1485" s="7"/>
      <c r="AV1485" s="4"/>
      <c r="AW1485" s="8"/>
      <c r="AX1485" s="4"/>
      <c r="AY1485" s="8"/>
      <c r="AZ1485" s="7"/>
      <c r="BA1485" s="7"/>
      <c r="BB1485" s="7"/>
      <c r="BC1485" s="4"/>
      <c r="BD1485" s="8"/>
      <c r="BE1485" s="4"/>
      <c r="BF1485" s="8"/>
      <c r="BG1485" s="7"/>
      <c r="BH1485" s="7"/>
      <c r="BI1485" s="7"/>
      <c r="BJ1485" s="4">
        <v>24</v>
      </c>
      <c r="BK1485" s="8">
        <v>2963.52</v>
      </c>
      <c r="BL1485" s="2" t="s">
        <v>1292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7975</v>
      </c>
      <c r="BV1485" s="2" t="s">
        <v>200</v>
      </c>
      <c r="BW1485" s="2" t="s">
        <v>200</v>
      </c>
      <c r="BX1485" s="2" t="s">
        <v>289</v>
      </c>
      <c r="BY1485" s="2" t="s">
        <v>247</v>
      </c>
      <c r="BZ1485" s="2" t="s">
        <v>212</v>
      </c>
      <c r="CA1485" s="2" t="s">
        <v>7976</v>
      </c>
      <c r="CB1485" s="2" t="s">
        <v>7024</v>
      </c>
      <c r="CC1485" s="2" t="s">
        <v>213</v>
      </c>
      <c r="CD1485" s="2" t="s">
        <v>200</v>
      </c>
      <c r="CE1485" s="4"/>
      <c r="CF1485" s="4"/>
      <c r="CG1485" s="4"/>
      <c r="CH1485" s="4">
        <v>1</v>
      </c>
      <c r="CI1485" s="4"/>
      <c r="CJ1485" s="4"/>
      <c r="CK1485" s="4"/>
      <c r="CL1485" s="4"/>
      <c r="CM1485" s="4"/>
      <c r="CN1485" s="4"/>
      <c r="CO1485" s="4"/>
      <c r="CP1485" s="4"/>
      <c r="CQ1485" s="4"/>
      <c r="CR1485" s="4"/>
      <c r="CS1485" s="4"/>
      <c r="CT1485" s="4"/>
      <c r="CU1485" s="4"/>
      <c r="CV1485" s="4"/>
      <c r="CW1485" s="4"/>
      <c r="CX1485" s="4"/>
      <c r="CY1485" s="4"/>
      <c r="CZ1485" s="4"/>
      <c r="DA1485" s="4"/>
      <c r="DB1485" s="4"/>
      <c r="DC1485" s="4"/>
      <c r="DD1485" s="4"/>
      <c r="DE1485" s="4"/>
      <c r="DF1485" s="4"/>
      <c r="DG1485" s="4"/>
      <c r="DH1485" s="4"/>
      <c r="DI1485" s="4"/>
      <c r="DJ1485" s="4"/>
      <c r="DK1485" s="4"/>
      <c r="DL1485" s="4"/>
      <c r="DM1485" s="4"/>
      <c r="DN1485" s="4"/>
      <c r="DO1485" s="4"/>
      <c r="DP1485" s="4"/>
      <c r="DQ1485" s="4"/>
      <c r="DR1485" s="4"/>
      <c r="DS1485" s="4"/>
      <c r="DT1485" s="4"/>
      <c r="DU1485" s="4"/>
      <c r="DV1485" s="4"/>
      <c r="DW1485" s="4"/>
      <c r="DX1485" s="4"/>
      <c r="DY1485" s="4"/>
      <c r="DZ1485" s="4"/>
      <c r="EA1485" s="4"/>
      <c r="EB1485" s="4"/>
      <c r="EC1485" s="4"/>
      <c r="ED1485" s="4"/>
      <c r="EE1485" s="4"/>
      <c r="EF1485" s="4"/>
      <c r="EG1485" s="4"/>
      <c r="EH1485" s="4"/>
      <c r="EI1485" s="4"/>
      <c r="EJ1485" s="4"/>
      <c r="EK1485" s="4"/>
      <c r="EL1485" s="4"/>
      <c r="EM1485" s="4"/>
      <c r="EN1485" s="4"/>
      <c r="EO1485" s="4"/>
      <c r="EP1485" s="4"/>
      <c r="EQ1485" s="4"/>
      <c r="ER1485" s="4"/>
      <c r="ES1485" s="4"/>
      <c r="ET1485" s="4"/>
      <c r="EU1485" s="4"/>
      <c r="EV1485" s="4"/>
      <c r="EW1485" s="4"/>
      <c r="EX1485" s="4"/>
      <c r="EY1485" s="4"/>
      <c r="EZ1485" s="4"/>
      <c r="FA1485" s="4"/>
      <c r="FB1485" s="4"/>
      <c r="FC1485" s="4"/>
      <c r="FD1485" s="4"/>
      <c r="FE1485" s="4"/>
      <c r="FF1485" s="4"/>
      <c r="FG1485" s="4"/>
      <c r="FH1485" s="4"/>
      <c r="FI1485" s="4"/>
      <c r="FJ1485" s="4"/>
      <c r="FK1485" s="4"/>
      <c r="FL1485" s="4"/>
      <c r="FM1485" s="4"/>
      <c r="FN1485" s="4"/>
      <c r="FO1485" s="4"/>
      <c r="FP1485" s="4"/>
      <c r="FQ1485" s="4"/>
      <c r="FR1485" s="4"/>
      <c r="FS1485" s="4"/>
      <c r="FT1485" s="4"/>
      <c r="FU1485" s="4"/>
      <c r="FV1485" s="4"/>
      <c r="FW1485" s="4"/>
      <c r="FX1485" s="4"/>
      <c r="FY1485" s="4"/>
      <c r="FZ1485" s="4"/>
      <c r="GA1485" s="4"/>
      <c r="GB1485" s="4"/>
      <c r="GC1485" s="4"/>
      <c r="GD1485" s="4"/>
      <c r="GE1485" s="4"/>
      <c r="GF1485" s="4"/>
      <c r="GG1485" s="4"/>
      <c r="GH1485" s="4"/>
    </row>
    <row r="1486">
      <c r="A1486" s="2" t="s">
        <v>7977</v>
      </c>
      <c r="B1486" s="2" t="s">
        <v>705</v>
      </c>
      <c r="C1486" s="2" t="s">
        <v>745</v>
      </c>
      <c r="D1486" s="2" t="s">
        <v>808</v>
      </c>
      <c r="E1486" s="2" t="s">
        <v>809</v>
      </c>
      <c r="F1486" s="2" t="s">
        <v>7978</v>
      </c>
      <c r="G1486" s="2" t="s">
        <v>7978</v>
      </c>
      <c r="H1486" s="2" t="s">
        <v>7978</v>
      </c>
      <c r="I1486" s="2" t="s">
        <v>7979</v>
      </c>
      <c r="J1486" s="2" t="s">
        <v>711</v>
      </c>
      <c r="K1486" s="2" t="s">
        <v>3802</v>
      </c>
      <c r="L1486" s="3">
        <v>16.43</v>
      </c>
      <c r="M1486" s="3">
        <v>17.25</v>
      </c>
      <c r="N1486" s="3">
        <v>34.99</v>
      </c>
      <c r="O1486" s="2" t="s">
        <v>460</v>
      </c>
      <c r="P1486" s="2" t="s">
        <v>285</v>
      </c>
      <c r="Q1486" s="2" t="s">
        <v>206</v>
      </c>
      <c r="R1486" s="2" t="s">
        <v>200</v>
      </c>
      <c r="S1486" s="2" t="s">
        <v>200</v>
      </c>
      <c r="T1486" s="2" t="s">
        <v>200</v>
      </c>
      <c r="U1486" s="2" t="s">
        <v>270</v>
      </c>
      <c r="V1486" s="2" t="s">
        <v>616</v>
      </c>
      <c r="W1486" s="2" t="s">
        <v>712</v>
      </c>
      <c r="X1486" s="2" t="s">
        <v>200</v>
      </c>
      <c r="Y1486" s="2" t="s">
        <v>899</v>
      </c>
      <c r="Z1486" s="4">
        <v>137</v>
      </c>
      <c r="AA1486" s="4">
        <f>=ROUNDDOWN(85.625,0)</f>
      </c>
      <c r="AB1486" s="5">
        <v>1.6</v>
      </c>
      <c r="AC1486" s="2" t="s">
        <v>200</v>
      </c>
      <c r="AD1486" s="4"/>
      <c r="AE1486" s="4"/>
      <c r="AF1486" s="6">
        <v>65</v>
      </c>
      <c r="AG1486" s="6"/>
      <c r="AH1486" s="7">
        <v>1</v>
      </c>
      <c r="AI1486" s="4"/>
      <c r="AJ1486" s="4">
        <f>=ROUNDDOWN({0},0)</f>
      </c>
      <c r="AK1486" s="5"/>
      <c r="AL1486" s="2" t="s">
        <v>200</v>
      </c>
      <c r="AM1486" s="4"/>
      <c r="AN1486" s="4"/>
      <c r="AO1486" s="7"/>
      <c r="AP1486" s="4"/>
      <c r="AQ1486" s="8"/>
      <c r="AR1486" s="4"/>
      <c r="AS1486" s="8"/>
      <c r="AT1486" s="7"/>
      <c r="AU1486" s="7"/>
      <c r="AV1486" s="4"/>
      <c r="AW1486" s="8"/>
      <c r="AX1486" s="4"/>
      <c r="AY1486" s="8"/>
      <c r="AZ1486" s="7"/>
      <c r="BA1486" s="7"/>
      <c r="BB1486" s="7"/>
      <c r="BC1486" s="4"/>
      <c r="BD1486" s="8"/>
      <c r="BE1486" s="4"/>
      <c r="BF1486" s="8"/>
      <c r="BG1486" s="7"/>
      <c r="BH1486" s="7"/>
      <c r="BI1486" s="7"/>
      <c r="BJ1486" s="4">
        <v>6</v>
      </c>
      <c r="BK1486" s="8">
        <v>279.48</v>
      </c>
      <c r="BL1486" s="2" t="s">
        <v>7980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7981</v>
      </c>
      <c r="BV1486" s="2" t="s">
        <v>200</v>
      </c>
      <c r="BW1486" s="2" t="s">
        <v>200</v>
      </c>
      <c r="BX1486" s="2" t="s">
        <v>289</v>
      </c>
      <c r="BY1486" s="2" t="s">
        <v>247</v>
      </c>
      <c r="BZ1486" s="2" t="s">
        <v>212</v>
      </c>
      <c r="CA1486" s="2" t="s">
        <v>4056</v>
      </c>
      <c r="CB1486" s="2" t="s">
        <v>1311</v>
      </c>
      <c r="CC1486" s="2" t="s">
        <v>213</v>
      </c>
      <c r="CD1486" s="2" t="s">
        <v>200</v>
      </c>
      <c r="CE1486" s="4"/>
      <c r="CF1486" s="4">
        <v>137</v>
      </c>
      <c r="CG1486" s="4"/>
      <c r="CH1486" s="4"/>
      <c r="CI1486" s="4"/>
      <c r="CJ1486" s="4"/>
      <c r="CK1486" s="4"/>
      <c r="CL1486" s="4"/>
      <c r="CM1486" s="4"/>
      <c r="CN1486" s="4"/>
      <c r="CO1486" s="4"/>
      <c r="CP1486" s="4"/>
      <c r="CQ1486" s="4"/>
      <c r="CR1486" s="4"/>
      <c r="CS1486" s="4"/>
      <c r="CT1486" s="4"/>
      <c r="CU1486" s="4"/>
      <c r="CV1486" s="4"/>
      <c r="CW1486" s="4"/>
      <c r="CX1486" s="4"/>
      <c r="CY1486" s="4"/>
      <c r="CZ1486" s="4"/>
      <c r="DA1486" s="4"/>
      <c r="DB1486" s="4"/>
      <c r="DC1486" s="4"/>
      <c r="DD1486" s="4"/>
      <c r="DE1486" s="4"/>
      <c r="DF1486" s="4"/>
      <c r="DG1486" s="4"/>
      <c r="DH1486" s="4"/>
      <c r="DI1486" s="4"/>
      <c r="DJ1486" s="4"/>
      <c r="DK1486" s="4"/>
      <c r="DL1486" s="4"/>
      <c r="DM1486" s="4"/>
      <c r="DN1486" s="4"/>
      <c r="DO1486" s="4"/>
      <c r="DP1486" s="4"/>
      <c r="DQ1486" s="4"/>
      <c r="DR1486" s="4"/>
      <c r="DS1486" s="4"/>
      <c r="DT1486" s="4"/>
      <c r="DU1486" s="4"/>
      <c r="DV1486" s="4"/>
      <c r="DW1486" s="4"/>
      <c r="DX1486" s="4"/>
      <c r="DY1486" s="4"/>
      <c r="DZ1486" s="4"/>
      <c r="EA1486" s="4"/>
      <c r="EB1486" s="4"/>
      <c r="EC1486" s="4"/>
      <c r="ED1486" s="4"/>
      <c r="EE1486" s="4"/>
      <c r="EF1486" s="4"/>
      <c r="EG1486" s="4"/>
      <c r="EH1486" s="4"/>
      <c r="EI1486" s="4"/>
      <c r="EJ1486" s="4"/>
      <c r="EK1486" s="4"/>
      <c r="EL1486" s="4"/>
      <c r="EM1486" s="4"/>
      <c r="EN1486" s="4"/>
      <c r="EO1486" s="4"/>
      <c r="EP1486" s="4"/>
      <c r="EQ1486" s="4"/>
      <c r="ER1486" s="4"/>
      <c r="ES1486" s="4"/>
      <c r="ET1486" s="4"/>
      <c r="EU1486" s="4"/>
      <c r="EV1486" s="4"/>
      <c r="EW1486" s="4"/>
      <c r="EX1486" s="4"/>
      <c r="EY1486" s="4"/>
      <c r="EZ1486" s="4"/>
      <c r="FA1486" s="4"/>
      <c r="FB1486" s="4"/>
      <c r="FC1486" s="4"/>
      <c r="FD1486" s="4"/>
      <c r="FE1486" s="4"/>
      <c r="FF1486" s="4"/>
      <c r="FG1486" s="4"/>
      <c r="FH1486" s="4"/>
      <c r="FI1486" s="4"/>
      <c r="FJ1486" s="4"/>
      <c r="FK1486" s="4"/>
      <c r="FL1486" s="4"/>
      <c r="FM1486" s="4"/>
      <c r="FN1486" s="4"/>
      <c r="FO1486" s="4"/>
      <c r="FP1486" s="4"/>
      <c r="FQ1486" s="4"/>
      <c r="FR1486" s="4"/>
      <c r="FS1486" s="4"/>
      <c r="FT1486" s="4"/>
      <c r="FU1486" s="4"/>
      <c r="FV1486" s="4"/>
      <c r="FW1486" s="4"/>
      <c r="FX1486" s="4"/>
      <c r="FY1486" s="4"/>
      <c r="FZ1486" s="4"/>
      <c r="GA1486" s="4"/>
      <c r="GB1486" s="4"/>
      <c r="GC1486" s="4"/>
      <c r="GD1486" s="4"/>
      <c r="GE1486" s="4"/>
      <c r="GF1486" s="4"/>
      <c r="GG1486" s="4"/>
      <c r="GH1486" s="4"/>
    </row>
    <row r="1487">
      <c r="A1487" s="2" t="s">
        <v>7982</v>
      </c>
      <c r="B1487" s="2" t="s">
        <v>195</v>
      </c>
      <c r="C1487" s="2" t="s">
        <v>756</v>
      </c>
      <c r="D1487" s="2" t="s">
        <v>1524</v>
      </c>
      <c r="E1487" s="2" t="s">
        <v>1525</v>
      </c>
      <c r="F1487" s="2" t="s">
        <v>7983</v>
      </c>
      <c r="G1487" s="2" t="s">
        <v>7983</v>
      </c>
      <c r="H1487" s="2" t="s">
        <v>7983</v>
      </c>
      <c r="I1487" s="2" t="s">
        <v>7984</v>
      </c>
      <c r="J1487" s="2" t="s">
        <v>1660</v>
      </c>
      <c r="K1487" s="2" t="s">
        <v>1442</v>
      </c>
      <c r="L1487" s="3">
        <v>22.28</v>
      </c>
      <c r="M1487" s="3">
        <v>23.39</v>
      </c>
      <c r="N1487" s="3">
        <v>59.99</v>
      </c>
      <c r="O1487" s="2" t="s">
        <v>212</v>
      </c>
      <c r="P1487" s="2" t="s">
        <v>285</v>
      </c>
      <c r="Q1487" s="2" t="s">
        <v>206</v>
      </c>
      <c r="R1487" s="2" t="s">
        <v>200</v>
      </c>
      <c r="S1487" s="2" t="s">
        <v>200</v>
      </c>
      <c r="T1487" s="2" t="s">
        <v>1899</v>
      </c>
      <c r="U1487" s="2" t="s">
        <v>270</v>
      </c>
      <c r="V1487" s="2" t="s">
        <v>208</v>
      </c>
      <c r="W1487" s="2" t="s">
        <v>242</v>
      </c>
      <c r="X1487" s="2" t="s">
        <v>200</v>
      </c>
      <c r="Y1487" s="2" t="s">
        <v>1060</v>
      </c>
      <c r="Z1487" s="4">
        <v>42</v>
      </c>
      <c r="AA1487" s="4">
        <f>=ROUNDDOWN(21,0)</f>
      </c>
      <c r="AB1487" s="5">
        <v>2</v>
      </c>
      <c r="AC1487" s="2" t="s">
        <v>200</v>
      </c>
      <c r="AD1487" s="4"/>
      <c r="AE1487" s="4"/>
      <c r="AF1487" s="6">
        <v>65</v>
      </c>
      <c r="AG1487" s="6"/>
      <c r="AH1487" s="7">
        <v>1</v>
      </c>
      <c r="AI1487" s="4"/>
      <c r="AJ1487" s="4">
        <f>=ROUNDDOWN({0},0)</f>
      </c>
      <c r="AK1487" s="5"/>
      <c r="AL1487" s="2" t="s">
        <v>200</v>
      </c>
      <c r="AM1487" s="4"/>
      <c r="AN1487" s="4"/>
      <c r="AO1487" s="7"/>
      <c r="AP1487" s="4"/>
      <c r="AQ1487" s="8"/>
      <c r="AR1487" s="4"/>
      <c r="AS1487" s="8"/>
      <c r="AT1487" s="7"/>
      <c r="AU1487" s="7"/>
      <c r="AV1487" s="4"/>
      <c r="AW1487" s="8"/>
      <c r="AX1487" s="4"/>
      <c r="AY1487" s="8"/>
      <c r="AZ1487" s="7"/>
      <c r="BA1487" s="7"/>
      <c r="BB1487" s="7"/>
      <c r="BC1487" s="4" t="s">
        <v>200</v>
      </c>
      <c r="BD1487" s="8" t="s">
        <v>200</v>
      </c>
      <c r="BE1487" s="4" t="s">
        <v>200</v>
      </c>
      <c r="BF1487" s="8" t="s">
        <v>200</v>
      </c>
      <c r="BG1487" s="7" t="s">
        <v>200</v>
      </c>
      <c r="BH1487" s="7" t="s">
        <v>200</v>
      </c>
      <c r="BI1487" s="7"/>
      <c r="BJ1487" s="4">
        <v>15</v>
      </c>
      <c r="BK1487" s="8">
        <v>375.87</v>
      </c>
      <c r="BL1487" s="2" t="s">
        <v>7985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7986</v>
      </c>
      <c r="BV1487" s="2" t="s">
        <v>200</v>
      </c>
      <c r="BW1487" s="2" t="s">
        <v>200</v>
      </c>
      <c r="BX1487" s="2" t="s">
        <v>289</v>
      </c>
      <c r="BY1487" s="2" t="s">
        <v>247</v>
      </c>
      <c r="BZ1487" s="2" t="s">
        <v>212</v>
      </c>
      <c r="CA1487" s="2" t="s">
        <v>1328</v>
      </c>
      <c r="CB1487" s="2" t="s">
        <v>1966</v>
      </c>
      <c r="CC1487" s="2" t="s">
        <v>213</v>
      </c>
      <c r="CD1487" s="2" t="s">
        <v>200</v>
      </c>
      <c r="CE1487" s="4">
        <v>42</v>
      </c>
      <c r="CF1487" s="4"/>
      <c r="CG1487" s="4"/>
      <c r="CH1487" s="4"/>
      <c r="CI1487" s="4"/>
      <c r="CJ1487" s="4"/>
      <c r="CK1487" s="4"/>
      <c r="CL1487" s="4"/>
      <c r="CM1487" s="4"/>
      <c r="CN1487" s="4"/>
      <c r="CO1487" s="4"/>
      <c r="CP1487" s="4"/>
      <c r="CQ1487" s="4"/>
      <c r="CR1487" s="4"/>
      <c r="CS1487" s="4"/>
      <c r="CT1487" s="4"/>
      <c r="CU1487" s="4"/>
      <c r="CV1487" s="4"/>
      <c r="CW1487" s="4"/>
      <c r="CX1487" s="4"/>
      <c r="CY1487" s="4"/>
      <c r="CZ1487" s="4"/>
      <c r="DA1487" s="4"/>
      <c r="DB1487" s="4"/>
      <c r="DC1487" s="4"/>
      <c r="DD1487" s="4"/>
      <c r="DE1487" s="4"/>
      <c r="DF1487" s="4"/>
      <c r="DG1487" s="4"/>
      <c r="DH1487" s="4"/>
      <c r="DI1487" s="4"/>
      <c r="DJ1487" s="4"/>
      <c r="DK1487" s="4"/>
      <c r="DL1487" s="4"/>
      <c r="DM1487" s="4"/>
      <c r="DN1487" s="4"/>
      <c r="DO1487" s="4"/>
      <c r="DP1487" s="4"/>
      <c r="DQ1487" s="4"/>
      <c r="DR1487" s="4"/>
      <c r="DS1487" s="4"/>
      <c r="DT1487" s="4"/>
      <c r="DU1487" s="4"/>
      <c r="DV1487" s="4"/>
      <c r="DW1487" s="4"/>
      <c r="DX1487" s="4"/>
      <c r="DY1487" s="4"/>
      <c r="DZ1487" s="4"/>
      <c r="EA1487" s="4"/>
      <c r="EB1487" s="4"/>
      <c r="EC1487" s="4"/>
      <c r="ED1487" s="4"/>
      <c r="EE1487" s="4"/>
      <c r="EF1487" s="4"/>
      <c r="EG1487" s="4"/>
      <c r="EH1487" s="4"/>
      <c r="EI1487" s="4"/>
      <c r="EJ1487" s="4"/>
      <c r="EK1487" s="4"/>
      <c r="EL1487" s="4"/>
      <c r="EM1487" s="4"/>
      <c r="EN1487" s="4"/>
      <c r="EO1487" s="4"/>
      <c r="EP1487" s="4"/>
      <c r="EQ1487" s="4"/>
      <c r="ER1487" s="4"/>
      <c r="ES1487" s="4"/>
      <c r="ET1487" s="4"/>
      <c r="EU1487" s="4"/>
      <c r="EV1487" s="4"/>
      <c r="EW1487" s="4"/>
      <c r="EX1487" s="4"/>
      <c r="EY1487" s="4"/>
      <c r="EZ1487" s="4"/>
      <c r="FA1487" s="4"/>
      <c r="FB1487" s="4"/>
      <c r="FC1487" s="4"/>
      <c r="FD1487" s="4"/>
      <c r="FE1487" s="4"/>
      <c r="FF1487" s="4"/>
      <c r="FG1487" s="4"/>
      <c r="FH1487" s="4"/>
      <c r="FI1487" s="4"/>
      <c r="FJ1487" s="4"/>
      <c r="FK1487" s="4"/>
      <c r="FL1487" s="4"/>
      <c r="FM1487" s="4"/>
      <c r="FN1487" s="4"/>
      <c r="FO1487" s="4"/>
      <c r="FP1487" s="4"/>
      <c r="FQ1487" s="4"/>
      <c r="FR1487" s="4"/>
      <c r="FS1487" s="4"/>
      <c r="FT1487" s="4"/>
      <c r="FU1487" s="4"/>
      <c r="FV1487" s="4"/>
      <c r="FW1487" s="4"/>
      <c r="FX1487" s="4"/>
      <c r="FY1487" s="4"/>
      <c r="FZ1487" s="4"/>
      <c r="GA1487" s="4"/>
      <c r="GB1487" s="4"/>
      <c r="GC1487" s="4"/>
      <c r="GD1487" s="4"/>
      <c r="GE1487" s="4"/>
      <c r="GF1487" s="4"/>
      <c r="GG1487" s="4"/>
      <c r="GH1487" s="4"/>
    </row>
    <row r="1488">
      <c r="A1488" s="2" t="s">
        <v>7987</v>
      </c>
      <c r="B1488" s="2" t="s">
        <v>195</v>
      </c>
      <c r="C1488" s="2" t="s">
        <v>756</v>
      </c>
      <c r="D1488" s="2" t="s">
        <v>1524</v>
      </c>
      <c r="E1488" s="2" t="s">
        <v>1525</v>
      </c>
      <c r="F1488" s="2" t="s">
        <v>7983</v>
      </c>
      <c r="G1488" s="2" t="s">
        <v>7983</v>
      </c>
      <c r="H1488" s="2" t="s">
        <v>7983</v>
      </c>
      <c r="I1488" s="2" t="s">
        <v>7984</v>
      </c>
      <c r="J1488" s="2" t="s">
        <v>1660</v>
      </c>
      <c r="K1488" s="2" t="s">
        <v>7988</v>
      </c>
      <c r="L1488" s="3">
        <v>22.28</v>
      </c>
      <c r="M1488" s="3">
        <v>23.39</v>
      </c>
      <c r="N1488" s="3">
        <v>59.99</v>
      </c>
      <c r="O1488" s="2" t="s">
        <v>212</v>
      </c>
      <c r="P1488" s="2" t="s">
        <v>285</v>
      </c>
      <c r="Q1488" s="2" t="s">
        <v>206</v>
      </c>
      <c r="R1488" s="2" t="s">
        <v>200</v>
      </c>
      <c r="S1488" s="2" t="s">
        <v>200</v>
      </c>
      <c r="T1488" s="2" t="s">
        <v>1899</v>
      </c>
      <c r="U1488" s="2" t="s">
        <v>270</v>
      </c>
      <c r="V1488" s="2" t="s">
        <v>208</v>
      </c>
      <c r="W1488" s="2" t="s">
        <v>242</v>
      </c>
      <c r="X1488" s="2" t="s">
        <v>200</v>
      </c>
      <c r="Y1488" s="2" t="s">
        <v>1060</v>
      </c>
      <c r="Z1488" s="4">
        <v>112</v>
      </c>
      <c r="AA1488" s="4">
        <f>=ROUNDDOWN(112,0)</f>
      </c>
      <c r="AB1488" s="5">
        <v>1</v>
      </c>
      <c r="AC1488" s="2" t="s">
        <v>200</v>
      </c>
      <c r="AD1488" s="4"/>
      <c r="AE1488" s="4"/>
      <c r="AF1488" s="6">
        <v>65</v>
      </c>
      <c r="AG1488" s="6"/>
      <c r="AH1488" s="7">
        <v>1</v>
      </c>
      <c r="AI1488" s="4"/>
      <c r="AJ1488" s="4">
        <f>=ROUNDDOWN({0},0)</f>
      </c>
      <c r="AK1488" s="5"/>
      <c r="AL1488" s="2" t="s">
        <v>200</v>
      </c>
      <c r="AM1488" s="4"/>
      <c r="AN1488" s="4"/>
      <c r="AO1488" s="7"/>
      <c r="AP1488" s="4"/>
      <c r="AQ1488" s="8"/>
      <c r="AR1488" s="4"/>
      <c r="AS1488" s="8"/>
      <c r="AT1488" s="7"/>
      <c r="AU1488" s="7"/>
      <c r="AV1488" s="4"/>
      <c r="AW1488" s="8"/>
      <c r="AX1488" s="4"/>
      <c r="AY1488" s="8"/>
      <c r="AZ1488" s="7"/>
      <c r="BA1488" s="7"/>
      <c r="BB1488" s="7"/>
      <c r="BC1488" s="4" t="s">
        <v>200</v>
      </c>
      <c r="BD1488" s="8" t="s">
        <v>200</v>
      </c>
      <c r="BE1488" s="4" t="s">
        <v>200</v>
      </c>
      <c r="BF1488" s="8" t="s">
        <v>200</v>
      </c>
      <c r="BG1488" s="7" t="s">
        <v>200</v>
      </c>
      <c r="BH1488" s="7" t="s">
        <v>200</v>
      </c>
      <c r="BI1488" s="7"/>
      <c r="BJ1488" s="4">
        <v>12</v>
      </c>
      <c r="BK1488" s="8">
        <v>254.36</v>
      </c>
      <c r="BL1488" s="2" t="s">
        <v>7989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7990</v>
      </c>
      <c r="BV1488" s="2" t="s">
        <v>200</v>
      </c>
      <c r="BW1488" s="2" t="s">
        <v>200</v>
      </c>
      <c r="BX1488" s="2" t="s">
        <v>289</v>
      </c>
      <c r="BY1488" s="2" t="s">
        <v>247</v>
      </c>
      <c r="BZ1488" s="2" t="s">
        <v>212</v>
      </c>
      <c r="CA1488" s="2" t="s">
        <v>4512</v>
      </c>
      <c r="CB1488" s="2" t="s">
        <v>1206</v>
      </c>
      <c r="CC1488" s="2" t="s">
        <v>213</v>
      </c>
      <c r="CD1488" s="2" t="s">
        <v>200</v>
      </c>
      <c r="CE1488" s="4">
        <v>112</v>
      </c>
      <c r="CF1488" s="4"/>
      <c r="CG1488" s="4"/>
      <c r="CH1488" s="4"/>
      <c r="CI1488" s="4"/>
      <c r="CJ1488" s="4"/>
      <c r="CK1488" s="4"/>
      <c r="CL1488" s="4"/>
      <c r="CM1488" s="4"/>
      <c r="CN1488" s="4"/>
      <c r="CO1488" s="4"/>
      <c r="CP1488" s="4"/>
      <c r="CQ1488" s="4"/>
      <c r="CR1488" s="4"/>
      <c r="CS1488" s="4"/>
      <c r="CT1488" s="4"/>
      <c r="CU1488" s="4"/>
      <c r="CV1488" s="4"/>
      <c r="CW1488" s="4"/>
      <c r="CX1488" s="4"/>
      <c r="CY1488" s="4"/>
      <c r="CZ1488" s="4"/>
      <c r="DA1488" s="4"/>
      <c r="DB1488" s="4"/>
      <c r="DC1488" s="4"/>
      <c r="DD1488" s="4"/>
      <c r="DE1488" s="4"/>
      <c r="DF1488" s="4"/>
      <c r="DG1488" s="4"/>
      <c r="DH1488" s="4"/>
      <c r="DI1488" s="4"/>
      <c r="DJ1488" s="4"/>
      <c r="DK1488" s="4"/>
      <c r="DL1488" s="4"/>
      <c r="DM1488" s="4"/>
      <c r="DN1488" s="4"/>
      <c r="DO1488" s="4"/>
      <c r="DP1488" s="4"/>
      <c r="DQ1488" s="4"/>
      <c r="DR1488" s="4"/>
      <c r="DS1488" s="4"/>
      <c r="DT1488" s="4"/>
      <c r="DU1488" s="4"/>
      <c r="DV1488" s="4"/>
      <c r="DW1488" s="4"/>
      <c r="DX1488" s="4"/>
      <c r="DY1488" s="4"/>
      <c r="DZ1488" s="4"/>
      <c r="EA1488" s="4"/>
      <c r="EB1488" s="4"/>
      <c r="EC1488" s="4"/>
      <c r="ED1488" s="4"/>
      <c r="EE1488" s="4"/>
      <c r="EF1488" s="4"/>
      <c r="EG1488" s="4"/>
      <c r="EH1488" s="4"/>
      <c r="EI1488" s="4"/>
      <c r="EJ1488" s="4"/>
      <c r="EK1488" s="4"/>
      <c r="EL1488" s="4"/>
      <c r="EM1488" s="4"/>
      <c r="EN1488" s="4"/>
      <c r="EO1488" s="4"/>
      <c r="EP1488" s="4"/>
      <c r="EQ1488" s="4"/>
      <c r="ER1488" s="4"/>
      <c r="ES1488" s="4"/>
      <c r="ET1488" s="4"/>
      <c r="EU1488" s="4"/>
      <c r="EV1488" s="4"/>
      <c r="EW1488" s="4"/>
      <c r="EX1488" s="4"/>
      <c r="EY1488" s="4"/>
      <c r="EZ1488" s="4"/>
      <c r="FA1488" s="4"/>
      <c r="FB1488" s="4"/>
      <c r="FC1488" s="4"/>
      <c r="FD1488" s="4"/>
      <c r="FE1488" s="4"/>
      <c r="FF1488" s="4"/>
      <c r="FG1488" s="4"/>
      <c r="FH1488" s="4"/>
      <c r="FI1488" s="4"/>
      <c r="FJ1488" s="4"/>
      <c r="FK1488" s="4"/>
      <c r="FL1488" s="4"/>
      <c r="FM1488" s="4"/>
      <c r="FN1488" s="4"/>
      <c r="FO1488" s="4"/>
      <c r="FP1488" s="4"/>
      <c r="FQ1488" s="4"/>
      <c r="FR1488" s="4"/>
      <c r="FS1488" s="4"/>
      <c r="FT1488" s="4"/>
      <c r="FU1488" s="4"/>
      <c r="FV1488" s="4"/>
      <c r="FW1488" s="4"/>
      <c r="FX1488" s="4"/>
      <c r="FY1488" s="4"/>
      <c r="FZ1488" s="4"/>
      <c r="GA1488" s="4"/>
      <c r="GB1488" s="4"/>
      <c r="GC1488" s="4"/>
      <c r="GD1488" s="4"/>
      <c r="GE1488" s="4"/>
      <c r="GF1488" s="4"/>
      <c r="GG1488" s="4"/>
      <c r="GH1488" s="4"/>
    </row>
    <row r="1489">
      <c r="A1489" s="2" t="s">
        <v>7991</v>
      </c>
      <c r="B1489" s="2" t="s">
        <v>195</v>
      </c>
      <c r="C1489" s="2" t="s">
        <v>756</v>
      </c>
      <c r="D1489" s="2" t="s">
        <v>1524</v>
      </c>
      <c r="E1489" s="2" t="s">
        <v>1525</v>
      </c>
      <c r="F1489" s="2" t="s">
        <v>7983</v>
      </c>
      <c r="G1489" s="2" t="s">
        <v>7983</v>
      </c>
      <c r="H1489" s="2" t="s">
        <v>7983</v>
      </c>
      <c r="I1489" s="2" t="s">
        <v>7984</v>
      </c>
      <c r="J1489" s="2" t="s">
        <v>1660</v>
      </c>
      <c r="K1489" s="2" t="s">
        <v>221</v>
      </c>
      <c r="L1489" s="3">
        <v>22.28</v>
      </c>
      <c r="M1489" s="3">
        <v>23.39</v>
      </c>
      <c r="N1489" s="3">
        <v>59.99</v>
      </c>
      <c r="O1489" s="2" t="s">
        <v>212</v>
      </c>
      <c r="P1489" s="2" t="s">
        <v>285</v>
      </c>
      <c r="Q1489" s="2" t="s">
        <v>206</v>
      </c>
      <c r="R1489" s="2" t="s">
        <v>200</v>
      </c>
      <c r="S1489" s="2" t="s">
        <v>200</v>
      </c>
      <c r="T1489" s="2" t="s">
        <v>1899</v>
      </c>
      <c r="U1489" s="2" t="s">
        <v>270</v>
      </c>
      <c r="V1489" s="2" t="s">
        <v>208</v>
      </c>
      <c r="W1489" s="2" t="s">
        <v>242</v>
      </c>
      <c r="X1489" s="2" t="s">
        <v>200</v>
      </c>
      <c r="Y1489" s="2" t="s">
        <v>1060</v>
      </c>
      <c r="Z1489" s="4">
        <v>114</v>
      </c>
      <c r="AA1489" s="4">
        <f>=ROUNDDOWN(114,0)</f>
      </c>
      <c r="AB1489" s="5">
        <v>1</v>
      </c>
      <c r="AC1489" s="2" t="s">
        <v>200</v>
      </c>
      <c r="AD1489" s="4"/>
      <c r="AE1489" s="4"/>
      <c r="AF1489" s="6">
        <v>65</v>
      </c>
      <c r="AG1489" s="6"/>
      <c r="AH1489" s="7">
        <v>1</v>
      </c>
      <c r="AI1489" s="4"/>
      <c r="AJ1489" s="4">
        <f>=ROUNDDOWN({0},0)</f>
      </c>
      <c r="AK1489" s="5"/>
      <c r="AL1489" s="2" t="s">
        <v>200</v>
      </c>
      <c r="AM1489" s="4"/>
      <c r="AN1489" s="4"/>
      <c r="AO1489" s="7"/>
      <c r="AP1489" s="4"/>
      <c r="AQ1489" s="8"/>
      <c r="AR1489" s="4"/>
      <c r="AS1489" s="8"/>
      <c r="AT1489" s="7"/>
      <c r="AU1489" s="7"/>
      <c r="AV1489" s="4"/>
      <c r="AW1489" s="8"/>
      <c r="AX1489" s="4"/>
      <c r="AY1489" s="8"/>
      <c r="AZ1489" s="7"/>
      <c r="BA1489" s="7"/>
      <c r="BB1489" s="7"/>
      <c r="BC1489" s="4" t="s">
        <v>200</v>
      </c>
      <c r="BD1489" s="8" t="s">
        <v>200</v>
      </c>
      <c r="BE1489" s="4" t="s">
        <v>200</v>
      </c>
      <c r="BF1489" s="8" t="s">
        <v>200</v>
      </c>
      <c r="BG1489" s="7" t="s">
        <v>200</v>
      </c>
      <c r="BH1489" s="7" t="s">
        <v>200</v>
      </c>
      <c r="BI1489" s="7"/>
      <c r="BJ1489" s="4">
        <v>4</v>
      </c>
      <c r="BK1489" s="8">
        <v>87.5</v>
      </c>
      <c r="BL1489" s="2" t="s">
        <v>2865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7992</v>
      </c>
      <c r="BV1489" s="2" t="s">
        <v>200</v>
      </c>
      <c r="BW1489" s="2" t="s">
        <v>200</v>
      </c>
      <c r="BX1489" s="2" t="s">
        <v>289</v>
      </c>
      <c r="BY1489" s="2" t="s">
        <v>247</v>
      </c>
      <c r="BZ1489" s="2" t="s">
        <v>212</v>
      </c>
      <c r="CA1489" s="2" t="s">
        <v>4512</v>
      </c>
      <c r="CB1489" s="2" t="s">
        <v>365</v>
      </c>
      <c r="CC1489" s="2" t="s">
        <v>213</v>
      </c>
      <c r="CD1489" s="2" t="s">
        <v>200</v>
      </c>
      <c r="CE1489" s="4">
        <v>114</v>
      </c>
      <c r="CF1489" s="4"/>
      <c r="CG1489" s="4"/>
      <c r="CH1489" s="4"/>
      <c r="CI1489" s="4"/>
      <c r="CJ1489" s="4"/>
      <c r="CK1489" s="4"/>
      <c r="CL1489" s="4"/>
      <c r="CM1489" s="4"/>
      <c r="CN1489" s="4"/>
      <c r="CO1489" s="4"/>
      <c r="CP1489" s="4"/>
      <c r="CQ1489" s="4"/>
      <c r="CR1489" s="4"/>
      <c r="CS1489" s="4"/>
      <c r="CT1489" s="4"/>
      <c r="CU1489" s="4"/>
      <c r="CV1489" s="4"/>
      <c r="CW1489" s="4"/>
      <c r="CX1489" s="4"/>
      <c r="CY1489" s="4"/>
      <c r="CZ1489" s="4"/>
      <c r="DA1489" s="4"/>
      <c r="DB1489" s="4"/>
      <c r="DC1489" s="4"/>
      <c r="DD1489" s="4"/>
      <c r="DE1489" s="4"/>
      <c r="DF1489" s="4"/>
      <c r="DG1489" s="4"/>
      <c r="DH1489" s="4"/>
      <c r="DI1489" s="4"/>
      <c r="DJ1489" s="4"/>
      <c r="DK1489" s="4"/>
      <c r="DL1489" s="4"/>
      <c r="DM1489" s="4"/>
      <c r="DN1489" s="4"/>
      <c r="DO1489" s="4"/>
      <c r="DP1489" s="4"/>
      <c r="DQ1489" s="4"/>
      <c r="DR1489" s="4"/>
      <c r="DS1489" s="4"/>
      <c r="DT1489" s="4"/>
      <c r="DU1489" s="4"/>
      <c r="DV1489" s="4"/>
      <c r="DW1489" s="4"/>
      <c r="DX1489" s="4"/>
      <c r="DY1489" s="4"/>
      <c r="DZ1489" s="4"/>
      <c r="EA1489" s="4"/>
      <c r="EB1489" s="4"/>
      <c r="EC1489" s="4"/>
      <c r="ED1489" s="4"/>
      <c r="EE1489" s="4"/>
      <c r="EF1489" s="4"/>
      <c r="EG1489" s="4"/>
      <c r="EH1489" s="4"/>
      <c r="EI1489" s="4"/>
      <c r="EJ1489" s="4"/>
      <c r="EK1489" s="4"/>
      <c r="EL1489" s="4"/>
      <c r="EM1489" s="4"/>
      <c r="EN1489" s="4"/>
      <c r="EO1489" s="4"/>
      <c r="EP1489" s="4"/>
      <c r="EQ1489" s="4"/>
      <c r="ER1489" s="4"/>
      <c r="ES1489" s="4"/>
      <c r="ET1489" s="4"/>
      <c r="EU1489" s="4"/>
      <c r="EV1489" s="4"/>
      <c r="EW1489" s="4"/>
      <c r="EX1489" s="4"/>
      <c r="EY1489" s="4"/>
      <c r="EZ1489" s="4"/>
      <c r="FA1489" s="4"/>
      <c r="FB1489" s="4"/>
      <c r="FC1489" s="4"/>
      <c r="FD1489" s="4"/>
      <c r="FE1489" s="4"/>
      <c r="FF1489" s="4"/>
      <c r="FG1489" s="4"/>
      <c r="FH1489" s="4"/>
      <c r="FI1489" s="4"/>
      <c r="FJ1489" s="4"/>
      <c r="FK1489" s="4"/>
      <c r="FL1489" s="4"/>
      <c r="FM1489" s="4"/>
      <c r="FN1489" s="4"/>
      <c r="FO1489" s="4"/>
      <c r="FP1489" s="4"/>
      <c r="FQ1489" s="4"/>
      <c r="FR1489" s="4"/>
      <c r="FS1489" s="4"/>
      <c r="FT1489" s="4"/>
      <c r="FU1489" s="4"/>
      <c r="FV1489" s="4"/>
      <c r="FW1489" s="4"/>
      <c r="FX1489" s="4"/>
      <c r="FY1489" s="4"/>
      <c r="FZ1489" s="4"/>
      <c r="GA1489" s="4"/>
      <c r="GB1489" s="4"/>
      <c r="GC1489" s="4"/>
      <c r="GD1489" s="4"/>
      <c r="GE1489" s="4"/>
      <c r="GF1489" s="4"/>
      <c r="GG1489" s="4"/>
      <c r="GH1489" s="4"/>
    </row>
    <row r="1490">
      <c r="A1490" s="2" t="s">
        <v>7993</v>
      </c>
      <c r="B1490" s="2" t="s">
        <v>195</v>
      </c>
      <c r="C1490" s="2" t="s">
        <v>756</v>
      </c>
      <c r="D1490" s="2" t="s">
        <v>1524</v>
      </c>
      <c r="E1490" s="2" t="s">
        <v>1525</v>
      </c>
      <c r="F1490" s="2" t="s">
        <v>7983</v>
      </c>
      <c r="G1490" s="2" t="s">
        <v>7983</v>
      </c>
      <c r="H1490" s="2" t="s">
        <v>7983</v>
      </c>
      <c r="I1490" s="2" t="s">
        <v>7984</v>
      </c>
      <c r="J1490" s="2" t="s">
        <v>1660</v>
      </c>
      <c r="K1490" s="2" t="s">
        <v>436</v>
      </c>
      <c r="L1490" s="3">
        <v>22.28</v>
      </c>
      <c r="M1490" s="3">
        <v>23.39</v>
      </c>
      <c r="N1490" s="3">
        <v>59.99</v>
      </c>
      <c r="O1490" s="2" t="s">
        <v>212</v>
      </c>
      <c r="P1490" s="2" t="s">
        <v>285</v>
      </c>
      <c r="Q1490" s="2" t="s">
        <v>206</v>
      </c>
      <c r="R1490" s="2" t="s">
        <v>200</v>
      </c>
      <c r="S1490" s="2" t="s">
        <v>200</v>
      </c>
      <c r="T1490" s="2" t="s">
        <v>1899</v>
      </c>
      <c r="U1490" s="2" t="s">
        <v>270</v>
      </c>
      <c r="V1490" s="2" t="s">
        <v>208</v>
      </c>
      <c r="W1490" s="2" t="s">
        <v>242</v>
      </c>
      <c r="X1490" s="2" t="s">
        <v>200</v>
      </c>
      <c r="Y1490" s="2" t="s">
        <v>1060</v>
      </c>
      <c r="Z1490" s="4">
        <v>91</v>
      </c>
      <c r="AA1490" s="4">
        <f>=ROUNDDOWN(45.5,0)</f>
      </c>
      <c r="AB1490" s="5">
        <v>2</v>
      </c>
      <c r="AC1490" s="2" t="s">
        <v>200</v>
      </c>
      <c r="AD1490" s="4"/>
      <c r="AE1490" s="4"/>
      <c r="AF1490" s="6">
        <v>65</v>
      </c>
      <c r="AG1490" s="6"/>
      <c r="AH1490" s="7">
        <v>1</v>
      </c>
      <c r="AI1490" s="4"/>
      <c r="AJ1490" s="4">
        <f>=ROUNDDOWN({0},0)</f>
      </c>
      <c r="AK1490" s="5"/>
      <c r="AL1490" s="2" t="s">
        <v>200</v>
      </c>
      <c r="AM1490" s="4"/>
      <c r="AN1490" s="4"/>
      <c r="AO1490" s="7"/>
      <c r="AP1490" s="4"/>
      <c r="AQ1490" s="8"/>
      <c r="AR1490" s="4"/>
      <c r="AS1490" s="8"/>
      <c r="AT1490" s="7"/>
      <c r="AU1490" s="7"/>
      <c r="AV1490" s="4"/>
      <c r="AW1490" s="8"/>
      <c r="AX1490" s="4"/>
      <c r="AY1490" s="8"/>
      <c r="AZ1490" s="7"/>
      <c r="BA1490" s="7"/>
      <c r="BB1490" s="7"/>
      <c r="BC1490" s="4" t="s">
        <v>200</v>
      </c>
      <c r="BD1490" s="8" t="s">
        <v>200</v>
      </c>
      <c r="BE1490" s="4" t="s">
        <v>200</v>
      </c>
      <c r="BF1490" s="8" t="s">
        <v>200</v>
      </c>
      <c r="BG1490" s="7" t="s">
        <v>200</v>
      </c>
      <c r="BH1490" s="7" t="s">
        <v>200</v>
      </c>
      <c r="BI1490" s="7"/>
      <c r="BJ1490" s="4">
        <v>17</v>
      </c>
      <c r="BK1490" s="8">
        <v>354.35</v>
      </c>
      <c r="BL1490" s="2" t="s">
        <v>941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7994</v>
      </c>
      <c r="BV1490" s="2" t="s">
        <v>200</v>
      </c>
      <c r="BW1490" s="2" t="s">
        <v>200</v>
      </c>
      <c r="BX1490" s="2" t="s">
        <v>289</v>
      </c>
      <c r="BY1490" s="2" t="s">
        <v>247</v>
      </c>
      <c r="BZ1490" s="2" t="s">
        <v>212</v>
      </c>
      <c r="CA1490" s="2" t="s">
        <v>4512</v>
      </c>
      <c r="CB1490" s="2" t="s">
        <v>4107</v>
      </c>
      <c r="CC1490" s="2" t="s">
        <v>213</v>
      </c>
      <c r="CD1490" s="2" t="s">
        <v>200</v>
      </c>
      <c r="CE1490" s="4">
        <v>91</v>
      </c>
      <c r="CF1490" s="4"/>
      <c r="CG1490" s="4"/>
      <c r="CH1490" s="4"/>
      <c r="CI1490" s="4"/>
      <c r="CJ1490" s="4"/>
      <c r="CK1490" s="4"/>
      <c r="CL1490" s="4"/>
      <c r="CM1490" s="4"/>
      <c r="CN1490" s="4"/>
      <c r="CO1490" s="4"/>
      <c r="CP1490" s="4"/>
      <c r="CQ1490" s="4"/>
      <c r="CR1490" s="4"/>
      <c r="CS1490" s="4"/>
      <c r="CT1490" s="4"/>
      <c r="CU1490" s="4"/>
      <c r="CV1490" s="4"/>
      <c r="CW1490" s="4"/>
      <c r="CX1490" s="4"/>
      <c r="CY1490" s="4"/>
      <c r="CZ1490" s="4"/>
      <c r="DA1490" s="4"/>
      <c r="DB1490" s="4"/>
      <c r="DC1490" s="4"/>
      <c r="DD1490" s="4"/>
      <c r="DE1490" s="4"/>
      <c r="DF1490" s="4"/>
      <c r="DG1490" s="4"/>
      <c r="DH1490" s="4"/>
      <c r="DI1490" s="4"/>
      <c r="DJ1490" s="4"/>
      <c r="DK1490" s="4"/>
      <c r="DL1490" s="4"/>
      <c r="DM1490" s="4"/>
      <c r="DN1490" s="4"/>
      <c r="DO1490" s="4"/>
      <c r="DP1490" s="4"/>
      <c r="DQ1490" s="4"/>
      <c r="DR1490" s="4"/>
      <c r="DS1490" s="4"/>
      <c r="DT1490" s="4"/>
      <c r="DU1490" s="4"/>
      <c r="DV1490" s="4"/>
      <c r="DW1490" s="4"/>
      <c r="DX1490" s="4"/>
      <c r="DY1490" s="4"/>
      <c r="DZ1490" s="4"/>
      <c r="EA1490" s="4"/>
      <c r="EB1490" s="4"/>
      <c r="EC1490" s="4"/>
      <c r="ED1490" s="4"/>
      <c r="EE1490" s="4"/>
      <c r="EF1490" s="4"/>
      <c r="EG1490" s="4"/>
      <c r="EH1490" s="4"/>
      <c r="EI1490" s="4"/>
      <c r="EJ1490" s="4"/>
      <c r="EK1490" s="4"/>
      <c r="EL1490" s="4"/>
      <c r="EM1490" s="4"/>
      <c r="EN1490" s="4"/>
      <c r="EO1490" s="4"/>
      <c r="EP1490" s="4"/>
      <c r="EQ1490" s="4"/>
      <c r="ER1490" s="4"/>
      <c r="ES1490" s="4"/>
      <c r="ET1490" s="4"/>
      <c r="EU1490" s="4"/>
      <c r="EV1490" s="4"/>
      <c r="EW1490" s="4"/>
      <c r="EX1490" s="4"/>
      <c r="EY1490" s="4"/>
      <c r="EZ1490" s="4"/>
      <c r="FA1490" s="4"/>
      <c r="FB1490" s="4"/>
      <c r="FC1490" s="4"/>
      <c r="FD1490" s="4"/>
      <c r="FE1490" s="4"/>
      <c r="FF1490" s="4"/>
      <c r="FG1490" s="4"/>
      <c r="FH1490" s="4"/>
      <c r="FI1490" s="4"/>
      <c r="FJ1490" s="4"/>
      <c r="FK1490" s="4"/>
      <c r="FL1490" s="4"/>
      <c r="FM1490" s="4"/>
      <c r="FN1490" s="4"/>
      <c r="FO1490" s="4"/>
      <c r="FP1490" s="4"/>
      <c r="FQ1490" s="4"/>
      <c r="FR1490" s="4"/>
      <c r="FS1490" s="4"/>
      <c r="FT1490" s="4"/>
      <c r="FU1490" s="4"/>
      <c r="FV1490" s="4"/>
      <c r="FW1490" s="4"/>
      <c r="FX1490" s="4"/>
      <c r="FY1490" s="4"/>
      <c r="FZ1490" s="4"/>
      <c r="GA1490" s="4"/>
      <c r="GB1490" s="4"/>
      <c r="GC1490" s="4"/>
      <c r="GD1490" s="4"/>
      <c r="GE1490" s="4"/>
      <c r="GF1490" s="4"/>
      <c r="GG1490" s="4"/>
      <c r="GH1490" s="4"/>
    </row>
    <row r="1491">
      <c r="A1491" s="2" t="s">
        <v>7995</v>
      </c>
      <c r="B1491" s="2" t="s">
        <v>903</v>
      </c>
      <c r="C1491" s="2" t="s">
        <v>745</v>
      </c>
      <c r="D1491" s="2" t="s">
        <v>1818</v>
      </c>
      <c r="E1491" s="2" t="s">
        <v>2020</v>
      </c>
      <c r="F1491" s="2" t="s">
        <v>7996</v>
      </c>
      <c r="G1491" s="2" t="s">
        <v>7996</v>
      </c>
      <c r="H1491" s="2" t="s">
        <v>7996</v>
      </c>
      <c r="I1491" s="2" t="s">
        <v>7997</v>
      </c>
      <c r="J1491" s="2" t="s">
        <v>612</v>
      </c>
      <c r="K1491" s="2" t="s">
        <v>1135</v>
      </c>
      <c r="L1491" s="3">
        <v>58.8</v>
      </c>
      <c r="M1491" s="3">
        <v>61.74</v>
      </c>
      <c r="N1491" s="3">
        <v>119.99</v>
      </c>
      <c r="O1491" s="2" t="s">
        <v>212</v>
      </c>
      <c r="P1491" s="2" t="s">
        <v>285</v>
      </c>
      <c r="Q1491" s="2" t="s">
        <v>206</v>
      </c>
      <c r="R1491" s="2" t="s">
        <v>200</v>
      </c>
      <c r="S1491" s="2" t="s">
        <v>7998</v>
      </c>
      <c r="T1491" s="2" t="s">
        <v>312</v>
      </c>
      <c r="U1491" s="2" t="s">
        <v>454</v>
      </c>
      <c r="V1491" s="2" t="s">
        <v>3675</v>
      </c>
      <c r="W1491" s="2" t="s">
        <v>379</v>
      </c>
      <c r="X1491" s="2" t="s">
        <v>200</v>
      </c>
      <c r="Y1491" s="2" t="s">
        <v>1778</v>
      </c>
      <c r="Z1491" s="4">
        <v>29</v>
      </c>
      <c r="AA1491" s="4">
        <f>=ROUNDDOWN(6.17021276595745,0)</f>
      </c>
      <c r="AB1491" s="5">
        <v>4.7</v>
      </c>
      <c r="AC1491" s="2" t="s">
        <v>200</v>
      </c>
      <c r="AD1491" s="4"/>
      <c r="AE1491" s="4"/>
      <c r="AF1491" s="6">
        <v>67</v>
      </c>
      <c r="AG1491" s="6"/>
      <c r="AH1491" s="7">
        <v>1</v>
      </c>
      <c r="AI1491" s="4"/>
      <c r="AJ1491" s="4">
        <f>=ROUNDDOWN({0},0)</f>
      </c>
      <c r="AK1491" s="5"/>
      <c r="AL1491" s="2" t="s">
        <v>200</v>
      </c>
      <c r="AM1491" s="4"/>
      <c r="AN1491" s="4"/>
      <c r="AO1491" s="7"/>
      <c r="AP1491" s="4"/>
      <c r="AQ1491" s="8"/>
      <c r="AR1491" s="4"/>
      <c r="AS1491" s="8"/>
      <c r="AT1491" s="7"/>
      <c r="AU1491" s="7"/>
      <c r="AV1491" s="4"/>
      <c r="AW1491" s="8"/>
      <c r="AX1491" s="4"/>
      <c r="AY1491" s="8"/>
      <c r="AZ1491" s="7"/>
      <c r="BA1491" s="7"/>
      <c r="BB1491" s="7"/>
      <c r="BC1491" s="4"/>
      <c r="BD1491" s="8"/>
      <c r="BE1491" s="4"/>
      <c r="BF1491" s="8"/>
      <c r="BG1491" s="7"/>
      <c r="BH1491" s="7"/>
      <c r="BI1491" s="7"/>
      <c r="BJ1491" s="4">
        <v>19</v>
      </c>
      <c r="BK1491" s="8">
        <v>1245.89</v>
      </c>
      <c r="BL1491" s="2" t="s">
        <v>363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7999</v>
      </c>
      <c r="BV1491" s="2" t="s">
        <v>200</v>
      </c>
      <c r="BW1491" s="2" t="s">
        <v>200</v>
      </c>
      <c r="BX1491" s="2" t="s">
        <v>289</v>
      </c>
      <c r="BY1491" s="2" t="s">
        <v>247</v>
      </c>
      <c r="BZ1491" s="2" t="s">
        <v>212</v>
      </c>
      <c r="CA1491" s="2" t="s">
        <v>423</v>
      </c>
      <c r="CB1491" s="2" t="s">
        <v>1607</v>
      </c>
      <c r="CC1491" s="2" t="s">
        <v>213</v>
      </c>
      <c r="CD1491" s="2" t="s">
        <v>200</v>
      </c>
      <c r="CE1491" s="4">
        <v>29</v>
      </c>
      <c r="CF1491" s="4"/>
      <c r="CG1491" s="4"/>
      <c r="CH1491" s="4"/>
      <c r="CI1491" s="4"/>
      <c r="CJ1491" s="4"/>
      <c r="CK1491" s="4"/>
      <c r="CL1491" s="4"/>
      <c r="CM1491" s="4"/>
      <c r="CN1491" s="4"/>
      <c r="CO1491" s="4"/>
      <c r="CP1491" s="4"/>
      <c r="CQ1491" s="4"/>
      <c r="CR1491" s="4"/>
      <c r="CS1491" s="4"/>
      <c r="CT1491" s="4"/>
      <c r="CU1491" s="4"/>
      <c r="CV1491" s="4"/>
      <c r="CW1491" s="4"/>
      <c r="CX1491" s="4"/>
      <c r="CY1491" s="4"/>
      <c r="CZ1491" s="4"/>
      <c r="DA1491" s="4"/>
      <c r="DB1491" s="4"/>
      <c r="DC1491" s="4"/>
      <c r="DD1491" s="4"/>
      <c r="DE1491" s="4"/>
      <c r="DF1491" s="4"/>
      <c r="DG1491" s="4"/>
      <c r="DH1491" s="4"/>
      <c r="DI1491" s="4"/>
      <c r="DJ1491" s="4"/>
      <c r="DK1491" s="4"/>
      <c r="DL1491" s="4"/>
      <c r="DM1491" s="4"/>
      <c r="DN1491" s="4"/>
      <c r="DO1491" s="4"/>
      <c r="DP1491" s="4"/>
      <c r="DQ1491" s="4"/>
      <c r="DR1491" s="4"/>
      <c r="DS1491" s="4"/>
      <c r="DT1491" s="4"/>
      <c r="DU1491" s="4"/>
      <c r="DV1491" s="4"/>
      <c r="DW1491" s="4"/>
      <c r="DX1491" s="4"/>
      <c r="DY1491" s="4"/>
      <c r="DZ1491" s="4"/>
      <c r="EA1491" s="4"/>
      <c r="EB1491" s="4"/>
      <c r="EC1491" s="4"/>
      <c r="ED1491" s="4"/>
      <c r="EE1491" s="4"/>
      <c r="EF1491" s="4"/>
      <c r="EG1491" s="4"/>
      <c r="EH1491" s="4"/>
      <c r="EI1491" s="4"/>
      <c r="EJ1491" s="4"/>
      <c r="EK1491" s="4"/>
      <c r="EL1491" s="4"/>
      <c r="EM1491" s="4"/>
      <c r="EN1491" s="4"/>
      <c r="EO1491" s="4"/>
      <c r="EP1491" s="4"/>
      <c r="EQ1491" s="4"/>
      <c r="ER1491" s="4"/>
      <c r="ES1491" s="4"/>
      <c r="ET1491" s="4"/>
      <c r="EU1491" s="4"/>
      <c r="EV1491" s="4"/>
      <c r="EW1491" s="4"/>
      <c r="EX1491" s="4"/>
      <c r="EY1491" s="4"/>
      <c r="EZ1491" s="4"/>
      <c r="FA1491" s="4"/>
      <c r="FB1491" s="4"/>
      <c r="FC1491" s="4"/>
      <c r="FD1491" s="4"/>
      <c r="FE1491" s="4"/>
      <c r="FF1491" s="4"/>
      <c r="FG1491" s="4"/>
      <c r="FH1491" s="4"/>
      <c r="FI1491" s="4"/>
      <c r="FJ1491" s="4"/>
      <c r="FK1491" s="4"/>
      <c r="FL1491" s="4"/>
      <c r="FM1491" s="4"/>
      <c r="FN1491" s="4"/>
      <c r="FO1491" s="4"/>
      <c r="FP1491" s="4"/>
      <c r="FQ1491" s="4"/>
      <c r="FR1491" s="4"/>
      <c r="FS1491" s="4"/>
      <c r="FT1491" s="4"/>
      <c r="FU1491" s="4"/>
      <c r="FV1491" s="4"/>
      <c r="FW1491" s="4"/>
      <c r="FX1491" s="4"/>
      <c r="FY1491" s="4"/>
      <c r="FZ1491" s="4"/>
      <c r="GA1491" s="4"/>
      <c r="GB1491" s="4"/>
      <c r="GC1491" s="4"/>
      <c r="GD1491" s="4"/>
      <c r="GE1491" s="4"/>
      <c r="GF1491" s="4"/>
      <c r="GG1491" s="4"/>
      <c r="GH1491" s="4"/>
    </row>
    <row r="1492">
      <c r="A1492" s="2" t="s">
        <v>8000</v>
      </c>
      <c r="B1492" s="2" t="s">
        <v>903</v>
      </c>
      <c r="C1492" s="2" t="s">
        <v>231</v>
      </c>
      <c r="D1492" s="2" t="s">
        <v>608</v>
      </c>
      <c r="E1492" s="2" t="s">
        <v>609</v>
      </c>
      <c r="F1492" s="2" t="s">
        <v>8001</v>
      </c>
      <c r="G1492" s="2" t="s">
        <v>5412</v>
      </c>
      <c r="H1492" s="2" t="s">
        <v>5355</v>
      </c>
      <c r="I1492" s="2" t="s">
        <v>8002</v>
      </c>
      <c r="J1492" s="2" t="s">
        <v>297</v>
      </c>
      <c r="K1492" s="2" t="s">
        <v>387</v>
      </c>
      <c r="L1492" s="3">
        <v>50.28</v>
      </c>
      <c r="M1492" s="3">
        <v>52.79</v>
      </c>
      <c r="N1492" s="3">
        <v>109.99</v>
      </c>
      <c r="O1492" s="2" t="s">
        <v>212</v>
      </c>
      <c r="P1492" s="2" t="s">
        <v>675</v>
      </c>
      <c r="Q1492" s="2" t="s">
        <v>206</v>
      </c>
      <c r="R1492" s="2" t="s">
        <v>200</v>
      </c>
      <c r="S1492" s="2" t="s">
        <v>200</v>
      </c>
      <c r="T1492" s="2" t="s">
        <v>239</v>
      </c>
      <c r="U1492" s="2" t="s">
        <v>1067</v>
      </c>
      <c r="V1492" s="2" t="s">
        <v>940</v>
      </c>
      <c r="W1492" s="2" t="s">
        <v>926</v>
      </c>
      <c r="X1492" s="2" t="s">
        <v>926</v>
      </c>
      <c r="Y1492" s="2" t="s">
        <v>200</v>
      </c>
      <c r="Z1492" s="4"/>
      <c r="AA1492" s="4">
        <f>=ROUNDDOWN({0},0)</f>
      </c>
      <c r="AB1492" s="5"/>
      <c r="AC1492" s="2" t="s">
        <v>8003</v>
      </c>
      <c r="AD1492" s="4">
        <v>263</v>
      </c>
      <c r="AE1492" s="4">
        <v>263</v>
      </c>
      <c r="AF1492" s="6">
        <v>65</v>
      </c>
      <c r="AG1492" s="6"/>
      <c r="AH1492" s="7"/>
      <c r="AI1492" s="4"/>
      <c r="AJ1492" s="4">
        <f>=ROUNDDOWN({0},0)</f>
      </c>
      <c r="AK1492" s="5"/>
      <c r="AL1492" s="2" t="s">
        <v>200</v>
      </c>
      <c r="AM1492" s="4"/>
      <c r="AN1492" s="4"/>
      <c r="AO1492" s="7"/>
      <c r="AP1492" s="4"/>
      <c r="AQ1492" s="8"/>
      <c r="AR1492" s="4"/>
      <c r="AS1492" s="8"/>
      <c r="AT1492" s="7"/>
      <c r="AU1492" s="7"/>
      <c r="AV1492" s="4" t="s">
        <v>200</v>
      </c>
      <c r="AW1492" s="8" t="s">
        <v>200</v>
      </c>
      <c r="AX1492" s="4" t="s">
        <v>200</v>
      </c>
      <c r="AY1492" s="8" t="s">
        <v>200</v>
      </c>
      <c r="AZ1492" s="7" t="s">
        <v>200</v>
      </c>
      <c r="BA1492" s="7" t="s">
        <v>200</v>
      </c>
      <c r="BB1492" s="7"/>
      <c r="BC1492" s="4" t="s">
        <v>200</v>
      </c>
      <c r="BD1492" s="8" t="s">
        <v>200</v>
      </c>
      <c r="BE1492" s="4" t="s">
        <v>200</v>
      </c>
      <c r="BF1492" s="8" t="s">
        <v>200</v>
      </c>
      <c r="BG1492" s="7" t="s">
        <v>200</v>
      </c>
      <c r="BH1492" s="7" t="s">
        <v>200</v>
      </c>
      <c r="BI1492" s="7"/>
      <c r="BJ1492" s="4"/>
      <c r="BK1492" s="8"/>
      <c r="BL1492" s="2" t="s">
        <v>200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210</v>
      </c>
      <c r="BV1492" s="2" t="s">
        <v>200</v>
      </c>
      <c r="BW1492" s="2" t="s">
        <v>200</v>
      </c>
      <c r="BX1492" s="2" t="s">
        <v>210</v>
      </c>
      <c r="BY1492" s="2" t="s">
        <v>211</v>
      </c>
      <c r="BZ1492" s="2" t="s">
        <v>212</v>
      </c>
      <c r="CA1492" s="2" t="s">
        <v>200</v>
      </c>
      <c r="CB1492" s="2" t="s">
        <v>200</v>
      </c>
      <c r="CC1492" s="2" t="s">
        <v>213</v>
      </c>
      <c r="CD1492" s="2" t="s">
        <v>200</v>
      </c>
      <c r="CE1492" s="4"/>
      <c r="CF1492" s="4"/>
      <c r="CG1492" s="4"/>
      <c r="CH1492" s="4"/>
      <c r="CI1492" s="4"/>
      <c r="CJ1492" s="4"/>
      <c r="CK1492" s="4"/>
      <c r="CL1492" s="4"/>
      <c r="CM1492" s="4"/>
      <c r="CN1492" s="4"/>
      <c r="CO1492" s="4"/>
      <c r="CP1492" s="4"/>
      <c r="CQ1492" s="4"/>
      <c r="CR1492" s="4"/>
      <c r="CS1492" s="4"/>
      <c r="CT1492" s="4"/>
      <c r="CU1492" s="4"/>
      <c r="CV1492" s="4"/>
      <c r="CW1492" s="4"/>
      <c r="CX1492" s="4"/>
      <c r="CY1492" s="4"/>
      <c r="CZ1492" s="4"/>
      <c r="DA1492" s="4"/>
      <c r="DB1492" s="4"/>
      <c r="DC1492" s="4"/>
      <c r="DD1492" s="4"/>
      <c r="DE1492" s="4"/>
      <c r="DF1492" s="4"/>
      <c r="DG1492" s="4"/>
      <c r="DH1492" s="4"/>
      <c r="DI1492" s="4"/>
      <c r="DJ1492" s="4"/>
      <c r="DK1492" s="4"/>
      <c r="DL1492" s="4"/>
      <c r="DM1492" s="4"/>
      <c r="DN1492" s="4"/>
      <c r="DO1492" s="4"/>
      <c r="DP1492" s="4"/>
      <c r="DQ1492" s="4"/>
      <c r="DR1492" s="4"/>
      <c r="DS1492" s="4"/>
      <c r="DT1492" s="4"/>
      <c r="DU1492" s="4"/>
      <c r="DV1492" s="4"/>
      <c r="DW1492" s="4"/>
      <c r="DX1492" s="4"/>
      <c r="DY1492" s="4"/>
      <c r="DZ1492" s="4"/>
      <c r="EA1492" s="4"/>
      <c r="EB1492" s="4"/>
      <c r="EC1492" s="4"/>
      <c r="ED1492" s="4"/>
      <c r="EE1492" s="4"/>
      <c r="EF1492" s="4"/>
      <c r="EG1492" s="4"/>
      <c r="EH1492" s="4"/>
      <c r="EI1492" s="4"/>
      <c r="EJ1492" s="4"/>
      <c r="EK1492" s="4"/>
      <c r="EL1492" s="4"/>
      <c r="EM1492" s="4"/>
      <c r="EN1492" s="4"/>
      <c r="EO1492" s="4"/>
      <c r="EP1492" s="4"/>
      <c r="EQ1492" s="4"/>
      <c r="ER1492" s="4"/>
      <c r="ES1492" s="4"/>
      <c r="ET1492" s="4"/>
      <c r="EU1492" s="4"/>
      <c r="EV1492" s="4"/>
      <c r="EW1492" s="4"/>
      <c r="EX1492" s="4"/>
      <c r="EY1492" s="4"/>
      <c r="EZ1492" s="4"/>
      <c r="FA1492" s="4"/>
      <c r="FB1492" s="4"/>
      <c r="FC1492" s="4"/>
      <c r="FD1492" s="4"/>
      <c r="FE1492" s="4"/>
      <c r="FF1492" s="4"/>
      <c r="FG1492" s="4"/>
      <c r="FH1492" s="4"/>
      <c r="FI1492" s="4"/>
      <c r="FJ1492" s="4"/>
      <c r="FK1492" s="4"/>
      <c r="FL1492" s="4"/>
      <c r="FM1492" s="4"/>
      <c r="FN1492" s="4"/>
      <c r="FO1492" s="4"/>
      <c r="FP1492" s="4"/>
      <c r="FQ1492" s="4"/>
      <c r="FR1492" s="4"/>
      <c r="FS1492" s="4"/>
      <c r="FT1492" s="4"/>
      <c r="FU1492" s="4"/>
      <c r="FV1492" s="4"/>
      <c r="FW1492" s="4"/>
      <c r="FX1492" s="4"/>
      <c r="FY1492" s="4">
        <v>263</v>
      </c>
      <c r="FZ1492" s="4"/>
      <c r="GA1492" s="4"/>
      <c r="GB1492" s="4"/>
      <c r="GC1492" s="4"/>
      <c r="GD1492" s="4"/>
      <c r="GE1492" s="4"/>
      <c r="GF1492" s="4"/>
      <c r="GG1492" s="4"/>
      <c r="GH1492" s="4"/>
    </row>
    <row r="1493">
      <c r="A1493" s="2" t="s">
        <v>8004</v>
      </c>
      <c r="B1493" s="2" t="s">
        <v>903</v>
      </c>
      <c r="C1493" s="2" t="s">
        <v>231</v>
      </c>
      <c r="D1493" s="2" t="s">
        <v>608</v>
      </c>
      <c r="E1493" s="2" t="s">
        <v>609</v>
      </c>
      <c r="F1493" s="2" t="s">
        <v>8001</v>
      </c>
      <c r="G1493" s="2" t="s">
        <v>5412</v>
      </c>
      <c r="H1493" s="2" t="s">
        <v>5355</v>
      </c>
      <c r="I1493" s="2" t="s">
        <v>8002</v>
      </c>
      <c r="J1493" s="2" t="s">
        <v>302</v>
      </c>
      <c r="K1493" s="2" t="s">
        <v>387</v>
      </c>
      <c r="L1493" s="3">
        <v>54.85</v>
      </c>
      <c r="M1493" s="3">
        <v>57.59</v>
      </c>
      <c r="N1493" s="3">
        <v>119.99</v>
      </c>
      <c r="O1493" s="2" t="s">
        <v>212</v>
      </c>
      <c r="P1493" s="2" t="s">
        <v>675</v>
      </c>
      <c r="Q1493" s="2" t="s">
        <v>206</v>
      </c>
      <c r="R1493" s="2" t="s">
        <v>200</v>
      </c>
      <c r="S1493" s="2" t="s">
        <v>200</v>
      </c>
      <c r="T1493" s="2" t="s">
        <v>239</v>
      </c>
      <c r="U1493" s="2" t="s">
        <v>1067</v>
      </c>
      <c r="V1493" s="2" t="s">
        <v>940</v>
      </c>
      <c r="W1493" s="2" t="s">
        <v>926</v>
      </c>
      <c r="X1493" s="2" t="s">
        <v>926</v>
      </c>
      <c r="Y1493" s="2" t="s">
        <v>200</v>
      </c>
      <c r="Z1493" s="4"/>
      <c r="AA1493" s="4">
        <f>=ROUNDDOWN({0},0)</f>
      </c>
      <c r="AB1493" s="5"/>
      <c r="AC1493" s="2" t="s">
        <v>8003</v>
      </c>
      <c r="AD1493" s="4">
        <v>224</v>
      </c>
      <c r="AE1493" s="4">
        <v>224</v>
      </c>
      <c r="AF1493" s="6">
        <v>65</v>
      </c>
      <c r="AG1493" s="6"/>
      <c r="AH1493" s="7"/>
      <c r="AI1493" s="4"/>
      <c r="AJ1493" s="4">
        <f>=ROUNDDOWN({0},0)</f>
      </c>
      <c r="AK1493" s="5"/>
      <c r="AL1493" s="2" t="s">
        <v>200</v>
      </c>
      <c r="AM1493" s="4"/>
      <c r="AN1493" s="4"/>
      <c r="AO1493" s="7"/>
      <c r="AP1493" s="4"/>
      <c r="AQ1493" s="8"/>
      <c r="AR1493" s="4"/>
      <c r="AS1493" s="8"/>
      <c r="AT1493" s="7"/>
      <c r="AU1493" s="7"/>
      <c r="AV1493" s="4" t="s">
        <v>200</v>
      </c>
      <c r="AW1493" s="8" t="s">
        <v>200</v>
      </c>
      <c r="AX1493" s="4" t="s">
        <v>200</v>
      </c>
      <c r="AY1493" s="8" t="s">
        <v>200</v>
      </c>
      <c r="AZ1493" s="7" t="s">
        <v>200</v>
      </c>
      <c r="BA1493" s="7" t="s">
        <v>200</v>
      </c>
      <c r="BB1493" s="7"/>
      <c r="BC1493" s="4" t="s">
        <v>200</v>
      </c>
      <c r="BD1493" s="8" t="s">
        <v>200</v>
      </c>
      <c r="BE1493" s="4" t="s">
        <v>200</v>
      </c>
      <c r="BF1493" s="8" t="s">
        <v>200</v>
      </c>
      <c r="BG1493" s="7" t="s">
        <v>200</v>
      </c>
      <c r="BH1493" s="7" t="s">
        <v>200</v>
      </c>
      <c r="BI1493" s="7"/>
      <c r="BJ1493" s="4"/>
      <c r="BK1493" s="8"/>
      <c r="BL1493" s="2" t="s">
        <v>200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210</v>
      </c>
      <c r="BV1493" s="2" t="s">
        <v>200</v>
      </c>
      <c r="BW1493" s="2" t="s">
        <v>200</v>
      </c>
      <c r="BX1493" s="2" t="s">
        <v>210</v>
      </c>
      <c r="BY1493" s="2" t="s">
        <v>211</v>
      </c>
      <c r="BZ1493" s="2" t="s">
        <v>212</v>
      </c>
      <c r="CA1493" s="2" t="s">
        <v>200</v>
      </c>
      <c r="CB1493" s="2" t="s">
        <v>200</v>
      </c>
      <c r="CC1493" s="2" t="s">
        <v>213</v>
      </c>
      <c r="CD1493" s="2" t="s">
        <v>200</v>
      </c>
      <c r="CE1493" s="4"/>
      <c r="CF1493" s="4"/>
      <c r="CG1493" s="4"/>
      <c r="CH1493" s="4"/>
      <c r="CI1493" s="4"/>
      <c r="CJ1493" s="4"/>
      <c r="CK1493" s="4"/>
      <c r="CL1493" s="4"/>
      <c r="CM1493" s="4"/>
      <c r="CN1493" s="4"/>
      <c r="CO1493" s="4"/>
      <c r="CP1493" s="4"/>
      <c r="CQ1493" s="4"/>
      <c r="CR1493" s="4"/>
      <c r="CS1493" s="4"/>
      <c r="CT1493" s="4"/>
      <c r="CU1493" s="4"/>
      <c r="CV1493" s="4"/>
      <c r="CW1493" s="4"/>
      <c r="CX1493" s="4"/>
      <c r="CY1493" s="4"/>
      <c r="CZ1493" s="4"/>
      <c r="DA1493" s="4"/>
      <c r="DB1493" s="4"/>
      <c r="DC1493" s="4"/>
      <c r="DD1493" s="4"/>
      <c r="DE1493" s="4"/>
      <c r="DF1493" s="4"/>
      <c r="DG1493" s="4"/>
      <c r="DH1493" s="4"/>
      <c r="DI1493" s="4"/>
      <c r="DJ1493" s="4"/>
      <c r="DK1493" s="4"/>
      <c r="DL1493" s="4"/>
      <c r="DM1493" s="4"/>
      <c r="DN1493" s="4"/>
      <c r="DO1493" s="4"/>
      <c r="DP1493" s="4"/>
      <c r="DQ1493" s="4"/>
      <c r="DR1493" s="4"/>
      <c r="DS1493" s="4"/>
      <c r="DT1493" s="4"/>
      <c r="DU1493" s="4"/>
      <c r="DV1493" s="4"/>
      <c r="DW1493" s="4"/>
      <c r="DX1493" s="4"/>
      <c r="DY1493" s="4"/>
      <c r="DZ1493" s="4"/>
      <c r="EA1493" s="4"/>
      <c r="EB1493" s="4"/>
      <c r="EC1493" s="4"/>
      <c r="ED1493" s="4"/>
      <c r="EE1493" s="4"/>
      <c r="EF1493" s="4"/>
      <c r="EG1493" s="4"/>
      <c r="EH1493" s="4"/>
      <c r="EI1493" s="4"/>
      <c r="EJ1493" s="4"/>
      <c r="EK1493" s="4"/>
      <c r="EL1493" s="4"/>
      <c r="EM1493" s="4"/>
      <c r="EN1493" s="4"/>
      <c r="EO1493" s="4"/>
      <c r="EP1493" s="4"/>
      <c r="EQ1493" s="4"/>
      <c r="ER1493" s="4"/>
      <c r="ES1493" s="4"/>
      <c r="ET1493" s="4"/>
      <c r="EU1493" s="4"/>
      <c r="EV1493" s="4"/>
      <c r="EW1493" s="4"/>
      <c r="EX1493" s="4"/>
      <c r="EY1493" s="4"/>
      <c r="EZ1493" s="4"/>
      <c r="FA1493" s="4"/>
      <c r="FB1493" s="4"/>
      <c r="FC1493" s="4"/>
      <c r="FD1493" s="4"/>
      <c r="FE1493" s="4"/>
      <c r="FF1493" s="4"/>
      <c r="FG1493" s="4"/>
      <c r="FH1493" s="4"/>
      <c r="FI1493" s="4"/>
      <c r="FJ1493" s="4"/>
      <c r="FK1493" s="4"/>
      <c r="FL1493" s="4"/>
      <c r="FM1493" s="4"/>
      <c r="FN1493" s="4"/>
      <c r="FO1493" s="4"/>
      <c r="FP1493" s="4"/>
      <c r="FQ1493" s="4"/>
      <c r="FR1493" s="4"/>
      <c r="FS1493" s="4"/>
      <c r="FT1493" s="4"/>
      <c r="FU1493" s="4"/>
      <c r="FV1493" s="4"/>
      <c r="FW1493" s="4"/>
      <c r="FX1493" s="4"/>
      <c r="FY1493" s="4">
        <v>224</v>
      </c>
      <c r="FZ1493" s="4"/>
      <c r="GA1493" s="4"/>
      <c r="GB1493" s="4"/>
      <c r="GC1493" s="4"/>
      <c r="GD1493" s="4"/>
      <c r="GE1493" s="4"/>
      <c r="GF1493" s="4"/>
      <c r="GG1493" s="4"/>
      <c r="GH1493" s="4"/>
    </row>
    <row r="1494">
      <c r="A1494" s="2" t="s">
        <v>8005</v>
      </c>
      <c r="B1494" s="2" t="s">
        <v>903</v>
      </c>
      <c r="C1494" s="2" t="s">
        <v>231</v>
      </c>
      <c r="D1494" s="2" t="s">
        <v>608</v>
      </c>
      <c r="E1494" s="2" t="s">
        <v>609</v>
      </c>
      <c r="F1494" s="2" t="s">
        <v>8001</v>
      </c>
      <c r="G1494" s="2" t="s">
        <v>5412</v>
      </c>
      <c r="H1494" s="2" t="s">
        <v>5355</v>
      </c>
      <c r="I1494" s="2" t="s">
        <v>8002</v>
      </c>
      <c r="J1494" s="2" t="s">
        <v>236</v>
      </c>
      <c r="K1494" s="2" t="s">
        <v>387</v>
      </c>
      <c r="L1494" s="3">
        <v>54.85</v>
      </c>
      <c r="M1494" s="3">
        <v>57.59</v>
      </c>
      <c r="N1494" s="3">
        <v>119.99</v>
      </c>
      <c r="O1494" s="2" t="s">
        <v>212</v>
      </c>
      <c r="P1494" s="2" t="s">
        <v>675</v>
      </c>
      <c r="Q1494" s="2" t="s">
        <v>206</v>
      </c>
      <c r="R1494" s="2" t="s">
        <v>200</v>
      </c>
      <c r="S1494" s="2" t="s">
        <v>200</v>
      </c>
      <c r="T1494" s="2" t="s">
        <v>239</v>
      </c>
      <c r="U1494" s="2" t="s">
        <v>1067</v>
      </c>
      <c r="V1494" s="2" t="s">
        <v>940</v>
      </c>
      <c r="W1494" s="2" t="s">
        <v>926</v>
      </c>
      <c r="X1494" s="2" t="s">
        <v>926</v>
      </c>
      <c r="Y1494" s="2" t="s">
        <v>200</v>
      </c>
      <c r="Z1494" s="4"/>
      <c r="AA1494" s="4">
        <f>=ROUNDDOWN({0},0)</f>
      </c>
      <c r="AB1494" s="5"/>
      <c r="AC1494" s="2" t="s">
        <v>8003</v>
      </c>
      <c r="AD1494" s="4">
        <v>73</v>
      </c>
      <c r="AE1494" s="4">
        <v>73</v>
      </c>
      <c r="AF1494" s="6">
        <v>65</v>
      </c>
      <c r="AG1494" s="6"/>
      <c r="AH1494" s="7"/>
      <c r="AI1494" s="4"/>
      <c r="AJ1494" s="4">
        <f>=ROUNDDOWN({0},0)</f>
      </c>
      <c r="AK1494" s="5"/>
      <c r="AL1494" s="2" t="s">
        <v>200</v>
      </c>
      <c r="AM1494" s="4"/>
      <c r="AN1494" s="4"/>
      <c r="AO1494" s="7"/>
      <c r="AP1494" s="4"/>
      <c r="AQ1494" s="8"/>
      <c r="AR1494" s="4"/>
      <c r="AS1494" s="8"/>
      <c r="AT1494" s="7"/>
      <c r="AU1494" s="7"/>
      <c r="AV1494" s="4" t="s">
        <v>200</v>
      </c>
      <c r="AW1494" s="8" t="s">
        <v>200</v>
      </c>
      <c r="AX1494" s="4" t="s">
        <v>200</v>
      </c>
      <c r="AY1494" s="8" t="s">
        <v>200</v>
      </c>
      <c r="AZ1494" s="7" t="s">
        <v>200</v>
      </c>
      <c r="BA1494" s="7" t="s">
        <v>200</v>
      </c>
      <c r="BB1494" s="7"/>
      <c r="BC1494" s="4" t="s">
        <v>200</v>
      </c>
      <c r="BD1494" s="8" t="s">
        <v>200</v>
      </c>
      <c r="BE1494" s="4" t="s">
        <v>200</v>
      </c>
      <c r="BF1494" s="8" t="s">
        <v>200</v>
      </c>
      <c r="BG1494" s="7" t="s">
        <v>200</v>
      </c>
      <c r="BH1494" s="7" t="s">
        <v>200</v>
      </c>
      <c r="BI1494" s="7"/>
      <c r="BJ1494" s="4"/>
      <c r="BK1494" s="8"/>
      <c r="BL1494" s="2" t="s">
        <v>200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210</v>
      </c>
      <c r="BV1494" s="2" t="s">
        <v>200</v>
      </c>
      <c r="BW1494" s="2" t="s">
        <v>200</v>
      </c>
      <c r="BX1494" s="2" t="s">
        <v>210</v>
      </c>
      <c r="BY1494" s="2" t="s">
        <v>211</v>
      </c>
      <c r="BZ1494" s="2" t="s">
        <v>212</v>
      </c>
      <c r="CA1494" s="2" t="s">
        <v>200</v>
      </c>
      <c r="CB1494" s="2" t="s">
        <v>200</v>
      </c>
      <c r="CC1494" s="2" t="s">
        <v>213</v>
      </c>
      <c r="CD1494" s="2" t="s">
        <v>200</v>
      </c>
      <c r="CE1494" s="4"/>
      <c r="CF1494" s="4"/>
      <c r="CG1494" s="4"/>
      <c r="CH1494" s="4"/>
      <c r="CI1494" s="4"/>
      <c r="CJ1494" s="4"/>
      <c r="CK1494" s="4"/>
      <c r="CL1494" s="4"/>
      <c r="CM1494" s="4"/>
      <c r="CN1494" s="4"/>
      <c r="CO1494" s="4"/>
      <c r="CP1494" s="4"/>
      <c r="CQ1494" s="4"/>
      <c r="CR1494" s="4"/>
      <c r="CS1494" s="4"/>
      <c r="CT1494" s="4"/>
      <c r="CU1494" s="4"/>
      <c r="CV1494" s="4"/>
      <c r="CW1494" s="4"/>
      <c r="CX1494" s="4"/>
      <c r="CY1494" s="4"/>
      <c r="CZ1494" s="4"/>
      <c r="DA1494" s="4"/>
      <c r="DB1494" s="4"/>
      <c r="DC1494" s="4"/>
      <c r="DD1494" s="4"/>
      <c r="DE1494" s="4"/>
      <c r="DF1494" s="4"/>
      <c r="DG1494" s="4"/>
      <c r="DH1494" s="4"/>
      <c r="DI1494" s="4"/>
      <c r="DJ1494" s="4"/>
      <c r="DK1494" s="4"/>
      <c r="DL1494" s="4"/>
      <c r="DM1494" s="4"/>
      <c r="DN1494" s="4"/>
      <c r="DO1494" s="4"/>
      <c r="DP1494" s="4"/>
      <c r="DQ1494" s="4"/>
      <c r="DR1494" s="4"/>
      <c r="DS1494" s="4"/>
      <c r="DT1494" s="4"/>
      <c r="DU1494" s="4"/>
      <c r="DV1494" s="4"/>
      <c r="DW1494" s="4"/>
      <c r="DX1494" s="4"/>
      <c r="DY1494" s="4"/>
      <c r="DZ1494" s="4"/>
      <c r="EA1494" s="4"/>
      <c r="EB1494" s="4"/>
      <c r="EC1494" s="4"/>
      <c r="ED1494" s="4"/>
      <c r="EE1494" s="4"/>
      <c r="EF1494" s="4"/>
      <c r="EG1494" s="4"/>
      <c r="EH1494" s="4"/>
      <c r="EI1494" s="4"/>
      <c r="EJ1494" s="4"/>
      <c r="EK1494" s="4"/>
      <c r="EL1494" s="4"/>
      <c r="EM1494" s="4"/>
      <c r="EN1494" s="4"/>
      <c r="EO1494" s="4"/>
      <c r="EP1494" s="4"/>
      <c r="EQ1494" s="4"/>
      <c r="ER1494" s="4"/>
      <c r="ES1494" s="4"/>
      <c r="ET1494" s="4"/>
      <c r="EU1494" s="4"/>
      <c r="EV1494" s="4"/>
      <c r="EW1494" s="4"/>
      <c r="EX1494" s="4"/>
      <c r="EY1494" s="4"/>
      <c r="EZ1494" s="4"/>
      <c r="FA1494" s="4"/>
      <c r="FB1494" s="4"/>
      <c r="FC1494" s="4"/>
      <c r="FD1494" s="4"/>
      <c r="FE1494" s="4"/>
      <c r="FF1494" s="4"/>
      <c r="FG1494" s="4"/>
      <c r="FH1494" s="4"/>
      <c r="FI1494" s="4"/>
      <c r="FJ1494" s="4"/>
      <c r="FK1494" s="4"/>
      <c r="FL1494" s="4"/>
      <c r="FM1494" s="4"/>
      <c r="FN1494" s="4"/>
      <c r="FO1494" s="4"/>
      <c r="FP1494" s="4"/>
      <c r="FQ1494" s="4"/>
      <c r="FR1494" s="4"/>
      <c r="FS1494" s="4"/>
      <c r="FT1494" s="4"/>
      <c r="FU1494" s="4"/>
      <c r="FV1494" s="4"/>
      <c r="FW1494" s="4"/>
      <c r="FX1494" s="4"/>
      <c r="FY1494" s="4">
        <v>73</v>
      </c>
      <c r="FZ1494" s="4"/>
      <c r="GA1494" s="4"/>
      <c r="GB1494" s="4"/>
      <c r="GC1494" s="4"/>
      <c r="GD1494" s="4"/>
      <c r="GE1494" s="4"/>
      <c r="GF1494" s="4"/>
      <c r="GG1494" s="4"/>
      <c r="GH1494" s="4"/>
    </row>
    <row r="1495">
      <c r="A1495" s="2" t="s">
        <v>8006</v>
      </c>
      <c r="B1495" s="2" t="s">
        <v>744</v>
      </c>
      <c r="C1495" s="2" t="s">
        <v>730</v>
      </c>
      <c r="D1495" s="2" t="s">
        <v>1632</v>
      </c>
      <c r="E1495" s="2" t="s">
        <v>1633</v>
      </c>
      <c r="F1495" s="2" t="s">
        <v>8007</v>
      </c>
      <c r="G1495" s="2" t="s">
        <v>8007</v>
      </c>
      <c r="H1495" s="2" t="s">
        <v>8007</v>
      </c>
      <c r="I1495" s="2" t="s">
        <v>8008</v>
      </c>
      <c r="J1495" s="2" t="s">
        <v>711</v>
      </c>
      <c r="K1495" s="2" t="s">
        <v>8009</v>
      </c>
      <c r="L1495" s="3">
        <v>270</v>
      </c>
      <c r="M1495" s="3">
        <v>283.5</v>
      </c>
      <c r="N1495" s="3">
        <v>559</v>
      </c>
      <c r="O1495" s="2" t="s">
        <v>212</v>
      </c>
      <c r="P1495" s="2" t="s">
        <v>205</v>
      </c>
      <c r="Q1495" s="2" t="s">
        <v>206</v>
      </c>
      <c r="R1495" s="2" t="s">
        <v>200</v>
      </c>
      <c r="S1495" s="2" t="s">
        <v>200</v>
      </c>
      <c r="T1495" s="2" t="s">
        <v>200</v>
      </c>
      <c r="U1495" s="2" t="s">
        <v>270</v>
      </c>
      <c r="V1495" s="2" t="s">
        <v>616</v>
      </c>
      <c r="W1495" s="2" t="s">
        <v>241</v>
      </c>
      <c r="X1495" s="2" t="s">
        <v>4808</v>
      </c>
      <c r="Y1495" s="2" t="s">
        <v>473</v>
      </c>
      <c r="Z1495" s="4">
        <v>84</v>
      </c>
      <c r="AA1495" s="4">
        <f>=ROUNDDOWN(210,0)</f>
      </c>
      <c r="AB1495" s="5">
        <v>0.4</v>
      </c>
      <c r="AC1495" s="2" t="s">
        <v>200</v>
      </c>
      <c r="AD1495" s="4"/>
      <c r="AE1495" s="4"/>
      <c r="AF1495" s="6">
        <v>74</v>
      </c>
      <c r="AG1495" s="6"/>
      <c r="AH1495" s="7">
        <v>1</v>
      </c>
      <c r="AI1495" s="4"/>
      <c r="AJ1495" s="4">
        <f>=ROUNDDOWN({0},0)</f>
      </c>
      <c r="AK1495" s="5"/>
      <c r="AL1495" s="2" t="s">
        <v>200</v>
      </c>
      <c r="AM1495" s="4"/>
      <c r="AN1495" s="4"/>
      <c r="AO1495" s="7"/>
      <c r="AP1495" s="4"/>
      <c r="AQ1495" s="8"/>
      <c r="AR1495" s="4"/>
      <c r="AS1495" s="8"/>
      <c r="AT1495" s="7"/>
      <c r="AU1495" s="7"/>
      <c r="AV1495" s="4" t="s">
        <v>200</v>
      </c>
      <c r="AW1495" s="8" t="s">
        <v>200</v>
      </c>
      <c r="AX1495" s="4" t="s">
        <v>200</v>
      </c>
      <c r="AY1495" s="8" t="s">
        <v>200</v>
      </c>
      <c r="AZ1495" s="7" t="s">
        <v>200</v>
      </c>
      <c r="BA1495" s="7" t="s">
        <v>200</v>
      </c>
      <c r="BB1495" s="7" t="s">
        <v>200</v>
      </c>
      <c r="BC1495" s="4" t="s">
        <v>200</v>
      </c>
      <c r="BD1495" s="8" t="s">
        <v>200</v>
      </c>
      <c r="BE1495" s="4" t="s">
        <v>200</v>
      </c>
      <c r="BF1495" s="8" t="s">
        <v>200</v>
      </c>
      <c r="BG1495" s="7" t="s">
        <v>200</v>
      </c>
      <c r="BH1495" s="7" t="s">
        <v>200</v>
      </c>
      <c r="BI1495" s="7"/>
      <c r="BJ1495" s="4">
        <v>3</v>
      </c>
      <c r="BK1495" s="8">
        <v>901.36</v>
      </c>
      <c r="BL1495" s="2" t="s">
        <v>813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8010</v>
      </c>
      <c r="BV1495" s="2" t="s">
        <v>200</v>
      </c>
      <c r="BW1495" s="2" t="s">
        <v>200</v>
      </c>
      <c r="BX1495" s="2" t="s">
        <v>264</v>
      </c>
      <c r="BY1495" s="2" t="s">
        <v>247</v>
      </c>
      <c r="BZ1495" s="2" t="s">
        <v>212</v>
      </c>
      <c r="CA1495" s="2" t="s">
        <v>1493</v>
      </c>
      <c r="CB1495" s="2" t="s">
        <v>5635</v>
      </c>
      <c r="CC1495" s="2" t="s">
        <v>213</v>
      </c>
      <c r="CD1495" s="2" t="s">
        <v>200</v>
      </c>
      <c r="CE1495" s="4"/>
      <c r="CF1495" s="4">
        <v>84</v>
      </c>
      <c r="CG1495" s="4"/>
      <c r="CH1495" s="4"/>
      <c r="CI1495" s="4"/>
      <c r="CJ1495" s="4"/>
      <c r="CK1495" s="4"/>
      <c r="CL1495" s="4"/>
      <c r="CM1495" s="4"/>
      <c r="CN1495" s="4"/>
      <c r="CO1495" s="4"/>
      <c r="CP1495" s="4"/>
      <c r="CQ1495" s="4"/>
      <c r="CR1495" s="4"/>
      <c r="CS1495" s="4"/>
      <c r="CT1495" s="4"/>
      <c r="CU1495" s="4"/>
      <c r="CV1495" s="4"/>
      <c r="CW1495" s="4"/>
      <c r="CX1495" s="4"/>
      <c r="CY1495" s="4"/>
      <c r="CZ1495" s="4"/>
      <c r="DA1495" s="4"/>
      <c r="DB1495" s="4"/>
      <c r="DC1495" s="4"/>
      <c r="DD1495" s="4"/>
      <c r="DE1495" s="4"/>
      <c r="DF1495" s="4"/>
      <c r="DG1495" s="4"/>
      <c r="DH1495" s="4"/>
      <c r="DI1495" s="4"/>
      <c r="DJ1495" s="4"/>
      <c r="DK1495" s="4"/>
      <c r="DL1495" s="4"/>
      <c r="DM1495" s="4"/>
      <c r="DN1495" s="4"/>
      <c r="DO1495" s="4"/>
      <c r="DP1495" s="4"/>
      <c r="DQ1495" s="4"/>
      <c r="DR1495" s="4"/>
      <c r="DS1495" s="4"/>
      <c r="DT1495" s="4"/>
      <c r="DU1495" s="4"/>
      <c r="DV1495" s="4"/>
      <c r="DW1495" s="4"/>
      <c r="DX1495" s="4"/>
      <c r="DY1495" s="4"/>
      <c r="DZ1495" s="4"/>
      <c r="EA1495" s="4"/>
      <c r="EB1495" s="4"/>
      <c r="EC1495" s="4"/>
      <c r="ED1495" s="4"/>
      <c r="EE1495" s="4"/>
      <c r="EF1495" s="4"/>
      <c r="EG1495" s="4"/>
      <c r="EH1495" s="4"/>
      <c r="EI1495" s="4"/>
      <c r="EJ1495" s="4"/>
      <c r="EK1495" s="4"/>
      <c r="EL1495" s="4"/>
      <c r="EM1495" s="4"/>
      <c r="EN1495" s="4"/>
      <c r="EO1495" s="4"/>
      <c r="EP1495" s="4"/>
      <c r="EQ1495" s="4"/>
      <c r="ER1495" s="4"/>
      <c r="ES1495" s="4"/>
      <c r="ET1495" s="4"/>
      <c r="EU1495" s="4"/>
      <c r="EV1495" s="4"/>
      <c r="EW1495" s="4"/>
      <c r="EX1495" s="4"/>
      <c r="EY1495" s="4"/>
      <c r="EZ1495" s="4"/>
      <c r="FA1495" s="4"/>
      <c r="FB1495" s="4"/>
      <c r="FC1495" s="4"/>
      <c r="FD1495" s="4"/>
      <c r="FE1495" s="4"/>
      <c r="FF1495" s="4"/>
      <c r="FG1495" s="4"/>
      <c r="FH1495" s="4"/>
      <c r="FI1495" s="4"/>
      <c r="FJ1495" s="4"/>
      <c r="FK1495" s="4"/>
      <c r="FL1495" s="4"/>
      <c r="FM1495" s="4"/>
      <c r="FN1495" s="4"/>
      <c r="FO1495" s="4"/>
      <c r="FP1495" s="4"/>
      <c r="FQ1495" s="4"/>
      <c r="FR1495" s="4"/>
      <c r="FS1495" s="4"/>
      <c r="FT1495" s="4"/>
      <c r="FU1495" s="4"/>
      <c r="FV1495" s="4"/>
      <c r="FW1495" s="4"/>
      <c r="FX1495" s="4"/>
      <c r="FY1495" s="4"/>
      <c r="FZ1495" s="4"/>
      <c r="GA1495" s="4"/>
      <c r="GB1495" s="4"/>
      <c r="GC1495" s="4"/>
      <c r="GD1495" s="4"/>
      <c r="GE1495" s="4"/>
      <c r="GF1495" s="4"/>
      <c r="GG1495" s="4"/>
      <c r="GH1495" s="4"/>
    </row>
    <row r="1496">
      <c r="A1496" s="2" t="s">
        <v>8011</v>
      </c>
      <c r="B1496" s="2" t="s">
        <v>744</v>
      </c>
      <c r="C1496" s="2" t="s">
        <v>730</v>
      </c>
      <c r="D1496" s="2" t="s">
        <v>988</v>
      </c>
      <c r="E1496" s="2" t="s">
        <v>2832</v>
      </c>
      <c r="F1496" s="2" t="s">
        <v>8007</v>
      </c>
      <c r="G1496" s="2" t="s">
        <v>8007</v>
      </c>
      <c r="H1496" s="2" t="s">
        <v>8007</v>
      </c>
      <c r="I1496" s="2" t="s">
        <v>8012</v>
      </c>
      <c r="J1496" s="2" t="s">
        <v>711</v>
      </c>
      <c r="K1496" s="2" t="s">
        <v>8009</v>
      </c>
      <c r="L1496" s="3">
        <v>530</v>
      </c>
      <c r="M1496" s="3">
        <v>556.5</v>
      </c>
      <c r="N1496" s="3">
        <v>1099</v>
      </c>
      <c r="O1496" s="2" t="s">
        <v>212</v>
      </c>
      <c r="P1496" s="2" t="s">
        <v>205</v>
      </c>
      <c r="Q1496" s="2" t="s">
        <v>206</v>
      </c>
      <c r="R1496" s="2" t="s">
        <v>200</v>
      </c>
      <c r="S1496" s="2" t="s">
        <v>200</v>
      </c>
      <c r="T1496" s="2" t="s">
        <v>200</v>
      </c>
      <c r="U1496" s="2" t="s">
        <v>270</v>
      </c>
      <c r="V1496" s="2" t="s">
        <v>616</v>
      </c>
      <c r="W1496" s="2" t="s">
        <v>241</v>
      </c>
      <c r="X1496" s="2" t="s">
        <v>4808</v>
      </c>
      <c r="Y1496" s="2" t="s">
        <v>1368</v>
      </c>
      <c r="Z1496" s="4">
        <v>52</v>
      </c>
      <c r="AA1496" s="4">
        <f>=ROUNDDOWN(26,0)</f>
      </c>
      <c r="AB1496" s="5">
        <v>2</v>
      </c>
      <c r="AC1496" s="2" t="s">
        <v>1040</v>
      </c>
      <c r="AD1496" s="4">
        <v>70</v>
      </c>
      <c r="AE1496" s="4">
        <v>70</v>
      </c>
      <c r="AF1496" s="6">
        <v>74</v>
      </c>
      <c r="AG1496" s="6"/>
      <c r="AH1496" s="7">
        <v>1</v>
      </c>
      <c r="AI1496" s="4"/>
      <c r="AJ1496" s="4">
        <f>=ROUNDDOWN({0},0)</f>
      </c>
      <c r="AK1496" s="5"/>
      <c r="AL1496" s="2" t="s">
        <v>200</v>
      </c>
      <c r="AM1496" s="4"/>
      <c r="AN1496" s="4"/>
      <c r="AO1496" s="7"/>
      <c r="AP1496" s="4"/>
      <c r="AQ1496" s="8"/>
      <c r="AR1496" s="4"/>
      <c r="AS1496" s="8"/>
      <c r="AT1496" s="7"/>
      <c r="AU1496" s="7"/>
      <c r="AV1496" s="4" t="s">
        <v>200</v>
      </c>
      <c r="AW1496" s="8" t="s">
        <v>200</v>
      </c>
      <c r="AX1496" s="4" t="s">
        <v>200</v>
      </c>
      <c r="AY1496" s="8" t="s">
        <v>200</v>
      </c>
      <c r="AZ1496" s="7" t="s">
        <v>200</v>
      </c>
      <c r="BA1496" s="7" t="s">
        <v>200</v>
      </c>
      <c r="BB1496" s="7" t="s">
        <v>200</v>
      </c>
      <c r="BC1496" s="4" t="s">
        <v>200</v>
      </c>
      <c r="BD1496" s="8" t="s">
        <v>200</v>
      </c>
      <c r="BE1496" s="4" t="s">
        <v>200</v>
      </c>
      <c r="BF1496" s="8" t="s">
        <v>200</v>
      </c>
      <c r="BG1496" s="7" t="s">
        <v>200</v>
      </c>
      <c r="BH1496" s="7" t="s">
        <v>200</v>
      </c>
      <c r="BI1496" s="7"/>
      <c r="BJ1496" s="4">
        <v>3</v>
      </c>
      <c r="BK1496" s="8">
        <v>1747.42</v>
      </c>
      <c r="BL1496" s="2" t="s">
        <v>8013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8014</v>
      </c>
      <c r="BV1496" s="2" t="s">
        <v>200</v>
      </c>
      <c r="BW1496" s="2" t="s">
        <v>200</v>
      </c>
      <c r="BX1496" s="2" t="s">
        <v>264</v>
      </c>
      <c r="BY1496" s="2" t="s">
        <v>247</v>
      </c>
      <c r="BZ1496" s="2" t="s">
        <v>212</v>
      </c>
      <c r="CA1496" s="2" t="s">
        <v>1493</v>
      </c>
      <c r="CB1496" s="2" t="s">
        <v>2606</v>
      </c>
      <c r="CC1496" s="2" t="s">
        <v>213</v>
      </c>
      <c r="CD1496" s="2" t="s">
        <v>200</v>
      </c>
      <c r="CE1496" s="4"/>
      <c r="CF1496" s="4">
        <v>52</v>
      </c>
      <c r="CG1496" s="4"/>
      <c r="CH1496" s="4"/>
      <c r="CI1496" s="4"/>
      <c r="CJ1496" s="4"/>
      <c r="CK1496" s="4"/>
      <c r="CL1496" s="4"/>
      <c r="CM1496" s="4"/>
      <c r="CN1496" s="4"/>
      <c r="CO1496" s="4"/>
      <c r="CP1496" s="4"/>
      <c r="CQ1496" s="4"/>
      <c r="CR1496" s="4"/>
      <c r="CS1496" s="4"/>
      <c r="CT1496" s="4"/>
      <c r="CU1496" s="4"/>
      <c r="CV1496" s="4"/>
      <c r="CW1496" s="4"/>
      <c r="CX1496" s="4"/>
      <c r="CY1496" s="4"/>
      <c r="CZ1496" s="4"/>
      <c r="DA1496" s="4"/>
      <c r="DB1496" s="4"/>
      <c r="DC1496" s="4"/>
      <c r="DD1496" s="4"/>
      <c r="DE1496" s="4"/>
      <c r="DF1496" s="4"/>
      <c r="DG1496" s="4"/>
      <c r="DH1496" s="4"/>
      <c r="DI1496" s="4"/>
      <c r="DJ1496" s="4"/>
      <c r="DK1496" s="4"/>
      <c r="DL1496" s="4"/>
      <c r="DM1496" s="4"/>
      <c r="DN1496" s="4"/>
      <c r="DO1496" s="4"/>
      <c r="DP1496" s="4"/>
      <c r="DQ1496" s="4"/>
      <c r="DR1496" s="4"/>
      <c r="DS1496" s="4"/>
      <c r="DT1496" s="4"/>
      <c r="DU1496" s="4"/>
      <c r="DV1496" s="4">
        <v>70</v>
      </c>
      <c r="DW1496" s="4"/>
      <c r="DX1496" s="4"/>
      <c r="DY1496" s="4"/>
      <c r="DZ1496" s="4"/>
      <c r="EA1496" s="4"/>
      <c r="EB1496" s="4"/>
      <c r="EC1496" s="4"/>
      <c r="ED1496" s="4"/>
      <c r="EE1496" s="4"/>
      <c r="EF1496" s="4"/>
      <c r="EG1496" s="4"/>
      <c r="EH1496" s="4"/>
      <c r="EI1496" s="4"/>
      <c r="EJ1496" s="4"/>
      <c r="EK1496" s="4"/>
      <c r="EL1496" s="4"/>
      <c r="EM1496" s="4"/>
      <c r="EN1496" s="4"/>
      <c r="EO1496" s="4"/>
      <c r="EP1496" s="4"/>
      <c r="EQ1496" s="4"/>
      <c r="ER1496" s="4"/>
      <c r="ES1496" s="4"/>
      <c r="ET1496" s="4"/>
      <c r="EU1496" s="4"/>
      <c r="EV1496" s="4"/>
      <c r="EW1496" s="4"/>
      <c r="EX1496" s="4"/>
      <c r="EY1496" s="4"/>
      <c r="EZ1496" s="4"/>
      <c r="FA1496" s="4"/>
      <c r="FB1496" s="4"/>
      <c r="FC1496" s="4"/>
      <c r="FD1496" s="4"/>
      <c r="FE1496" s="4"/>
      <c r="FF1496" s="4"/>
      <c r="FG1496" s="4"/>
      <c r="FH1496" s="4"/>
      <c r="FI1496" s="4"/>
      <c r="FJ1496" s="4"/>
      <c r="FK1496" s="4"/>
      <c r="FL1496" s="4"/>
      <c r="FM1496" s="4"/>
      <c r="FN1496" s="4"/>
      <c r="FO1496" s="4"/>
      <c r="FP1496" s="4"/>
      <c r="FQ1496" s="4"/>
      <c r="FR1496" s="4"/>
      <c r="FS1496" s="4"/>
      <c r="FT1496" s="4"/>
      <c r="FU1496" s="4"/>
      <c r="FV1496" s="4"/>
      <c r="FW1496" s="4"/>
      <c r="FX1496" s="4"/>
      <c r="FY1496" s="4"/>
      <c r="FZ1496" s="4"/>
      <c r="GA1496" s="4"/>
      <c r="GB1496" s="4"/>
      <c r="GC1496" s="4"/>
      <c r="GD1496" s="4"/>
      <c r="GE1496" s="4"/>
      <c r="GF1496" s="4"/>
      <c r="GG1496" s="4"/>
      <c r="GH1496" s="4"/>
    </row>
    <row r="1497">
      <c r="A1497" s="2" t="s">
        <v>8015</v>
      </c>
      <c r="B1497" s="2" t="s">
        <v>827</v>
      </c>
      <c r="C1497" s="2" t="s">
        <v>231</v>
      </c>
      <c r="D1497" s="2" t="s">
        <v>828</v>
      </c>
      <c r="E1497" s="2" t="s">
        <v>1011</v>
      </c>
      <c r="F1497" s="2" t="s">
        <v>8016</v>
      </c>
      <c r="G1497" s="2" t="s">
        <v>6881</v>
      </c>
      <c r="H1497" s="2" t="s">
        <v>8017</v>
      </c>
      <c r="I1497" s="2" t="s">
        <v>8018</v>
      </c>
      <c r="J1497" s="2" t="s">
        <v>1242</v>
      </c>
      <c r="K1497" s="2" t="s">
        <v>5722</v>
      </c>
      <c r="L1497" s="3">
        <v>17.47</v>
      </c>
      <c r="M1497" s="3">
        <v>18.34</v>
      </c>
      <c r="N1497" s="3">
        <v>39.99</v>
      </c>
      <c r="O1497" s="2" t="s">
        <v>212</v>
      </c>
      <c r="P1497" s="2" t="s">
        <v>205</v>
      </c>
      <c r="Q1497" s="2" t="s">
        <v>206</v>
      </c>
      <c r="R1497" s="2" t="s">
        <v>200</v>
      </c>
      <c r="S1497" s="2" t="s">
        <v>8019</v>
      </c>
      <c r="T1497" s="2" t="s">
        <v>200</v>
      </c>
      <c r="U1497" s="2" t="s">
        <v>270</v>
      </c>
      <c r="V1497" s="2" t="s">
        <v>3675</v>
      </c>
      <c r="W1497" s="2" t="s">
        <v>200</v>
      </c>
      <c r="X1497" s="2" t="s">
        <v>200</v>
      </c>
      <c r="Y1497" s="2" t="s">
        <v>3977</v>
      </c>
      <c r="Z1497" s="4">
        <v>144</v>
      </c>
      <c r="AA1497" s="4">
        <f>=ROUNDDOWN(5.53846153846154,0)</f>
      </c>
      <c r="AB1497" s="5">
        <v>26</v>
      </c>
      <c r="AC1497" s="2" t="s">
        <v>107</v>
      </c>
      <c r="AD1497" s="4">
        <v>224</v>
      </c>
      <c r="AE1497" s="4">
        <v>668</v>
      </c>
      <c r="AF1497" s="6">
        <v>65</v>
      </c>
      <c r="AG1497" s="6"/>
      <c r="AH1497" s="7">
        <v>1</v>
      </c>
      <c r="AI1497" s="4"/>
      <c r="AJ1497" s="4">
        <f>=ROUNDDOWN({0},0)</f>
      </c>
      <c r="AK1497" s="5"/>
      <c r="AL1497" s="2" t="s">
        <v>200</v>
      </c>
      <c r="AM1497" s="4"/>
      <c r="AN1497" s="4"/>
      <c r="AO1497" s="7"/>
      <c r="AP1497" s="4"/>
      <c r="AQ1497" s="8"/>
      <c r="AR1497" s="4"/>
      <c r="AS1497" s="8"/>
      <c r="AT1497" s="7"/>
      <c r="AU1497" s="7"/>
      <c r="AV1497" s="4"/>
      <c r="AW1497" s="8"/>
      <c r="AX1497" s="4"/>
      <c r="AY1497" s="8"/>
      <c r="AZ1497" s="7"/>
      <c r="BA1497" s="7"/>
      <c r="BB1497" s="7"/>
      <c r="BC1497" s="4"/>
      <c r="BD1497" s="8"/>
      <c r="BE1497" s="4"/>
      <c r="BF1497" s="8"/>
      <c r="BG1497" s="7"/>
      <c r="BH1497" s="7"/>
      <c r="BI1497" s="7"/>
      <c r="BJ1497" s="4">
        <v>2</v>
      </c>
      <c r="BK1497" s="8">
        <v>36.68</v>
      </c>
      <c r="BL1497" s="2" t="s">
        <v>303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8020</v>
      </c>
      <c r="BV1497" s="2" t="s">
        <v>200</v>
      </c>
      <c r="BW1497" s="2" t="s">
        <v>200</v>
      </c>
      <c r="BX1497" s="2" t="s">
        <v>264</v>
      </c>
      <c r="BY1497" s="2" t="s">
        <v>247</v>
      </c>
      <c r="BZ1497" s="2" t="s">
        <v>212</v>
      </c>
      <c r="CA1497" s="2" t="s">
        <v>963</v>
      </c>
      <c r="CB1497" s="2" t="s">
        <v>1105</v>
      </c>
      <c r="CC1497" s="2" t="s">
        <v>213</v>
      </c>
      <c r="CD1497" s="2" t="s">
        <v>200</v>
      </c>
      <c r="CE1497" s="4"/>
      <c r="CF1497" s="4"/>
      <c r="CG1497" s="4"/>
      <c r="CH1497" s="4">
        <v>144</v>
      </c>
      <c r="CI1497" s="4"/>
      <c r="CJ1497" s="4"/>
      <c r="CK1497" s="4"/>
      <c r="CL1497" s="4"/>
      <c r="CM1497" s="4"/>
      <c r="CN1497" s="4"/>
      <c r="CO1497" s="4"/>
      <c r="CP1497" s="4"/>
      <c r="CQ1497" s="4"/>
      <c r="CR1497" s="4"/>
      <c r="CS1497" s="4">
        <v>224</v>
      </c>
      <c r="CT1497" s="4"/>
      <c r="CU1497" s="4"/>
      <c r="CV1497" s="4"/>
      <c r="CW1497" s="4"/>
      <c r="CX1497" s="4"/>
      <c r="CY1497" s="4">
        <v>444</v>
      </c>
      <c r="CZ1497" s="4"/>
      <c r="DA1497" s="4"/>
      <c r="DB1497" s="4"/>
      <c r="DC1497" s="4"/>
      <c r="DD1497" s="4"/>
      <c r="DE1497" s="4"/>
      <c r="DF1497" s="4"/>
      <c r="DG1497" s="4"/>
      <c r="DH1497" s="4"/>
      <c r="DI1497" s="4"/>
      <c r="DJ1497" s="4"/>
      <c r="DK1497" s="4"/>
      <c r="DL1497" s="4"/>
      <c r="DM1497" s="4"/>
      <c r="DN1497" s="4"/>
      <c r="DO1497" s="4"/>
      <c r="DP1497" s="4"/>
      <c r="DQ1497" s="4"/>
      <c r="DR1497" s="4"/>
      <c r="DS1497" s="4"/>
      <c r="DT1497" s="4"/>
      <c r="DU1497" s="4"/>
      <c r="DV1497" s="4"/>
      <c r="DW1497" s="4"/>
      <c r="DX1497" s="4"/>
      <c r="DY1497" s="4"/>
      <c r="DZ1497" s="4"/>
      <c r="EA1497" s="4"/>
      <c r="EB1497" s="4"/>
      <c r="EC1497" s="4"/>
      <c r="ED1497" s="4"/>
      <c r="EE1497" s="4"/>
      <c r="EF1497" s="4"/>
      <c r="EG1497" s="4"/>
      <c r="EH1497" s="4"/>
      <c r="EI1497" s="4"/>
      <c r="EJ1497" s="4"/>
      <c r="EK1497" s="4"/>
      <c r="EL1497" s="4"/>
      <c r="EM1497" s="4"/>
      <c r="EN1497" s="4"/>
      <c r="EO1497" s="4"/>
      <c r="EP1497" s="4"/>
      <c r="EQ1497" s="4"/>
      <c r="ER1497" s="4"/>
      <c r="ES1497" s="4"/>
      <c r="ET1497" s="4"/>
      <c r="EU1497" s="4"/>
      <c r="EV1497" s="4"/>
      <c r="EW1497" s="4"/>
      <c r="EX1497" s="4"/>
      <c r="EY1497" s="4"/>
      <c r="EZ1497" s="4"/>
      <c r="FA1497" s="4"/>
      <c r="FB1497" s="4"/>
      <c r="FC1497" s="4"/>
      <c r="FD1497" s="4"/>
      <c r="FE1497" s="4"/>
      <c r="FF1497" s="4"/>
      <c r="FG1497" s="4"/>
      <c r="FH1497" s="4"/>
      <c r="FI1497" s="4"/>
      <c r="FJ1497" s="4"/>
      <c r="FK1497" s="4"/>
      <c r="FL1497" s="4"/>
      <c r="FM1497" s="4"/>
      <c r="FN1497" s="4"/>
      <c r="FO1497" s="4"/>
      <c r="FP1497" s="4"/>
      <c r="FQ1497" s="4"/>
      <c r="FR1497" s="4"/>
      <c r="FS1497" s="4"/>
      <c r="FT1497" s="4"/>
      <c r="FU1497" s="4"/>
      <c r="FV1497" s="4"/>
      <c r="FW1497" s="4"/>
      <c r="FX1497" s="4"/>
      <c r="FY1497" s="4"/>
      <c r="FZ1497" s="4"/>
      <c r="GA1497" s="4"/>
      <c r="GB1497" s="4"/>
      <c r="GC1497" s="4"/>
      <c r="GD1497" s="4"/>
      <c r="GE1497" s="4"/>
      <c r="GF1497" s="4"/>
      <c r="GG1497" s="4"/>
      <c r="GH1497" s="4"/>
    </row>
    <row r="1498">
      <c r="A1498" s="2" t="s">
        <v>8021</v>
      </c>
      <c r="B1498" s="2" t="s">
        <v>932</v>
      </c>
      <c r="C1498" s="2" t="s">
        <v>5403</v>
      </c>
      <c r="D1498" s="2" t="s">
        <v>1818</v>
      </c>
      <c r="E1498" s="2" t="s">
        <v>2000</v>
      </c>
      <c r="F1498" s="2" t="s">
        <v>8022</v>
      </c>
      <c r="G1498" s="2" t="s">
        <v>3649</v>
      </c>
      <c r="H1498" s="2" t="s">
        <v>4599</v>
      </c>
      <c r="I1498" s="2" t="s">
        <v>8023</v>
      </c>
      <c r="J1498" s="2" t="s">
        <v>256</v>
      </c>
      <c r="K1498" s="2" t="s">
        <v>2359</v>
      </c>
      <c r="L1498" s="3">
        <v>37</v>
      </c>
      <c r="M1498" s="3">
        <v>38.85</v>
      </c>
      <c r="N1498" s="3">
        <v>72.99</v>
      </c>
      <c r="O1498" s="2" t="s">
        <v>417</v>
      </c>
      <c r="P1498" s="2" t="s">
        <v>285</v>
      </c>
      <c r="Q1498" s="2" t="s">
        <v>206</v>
      </c>
      <c r="R1498" s="2" t="s">
        <v>200</v>
      </c>
      <c r="S1498" s="2" t="s">
        <v>8024</v>
      </c>
      <c r="T1498" s="2" t="s">
        <v>312</v>
      </c>
      <c r="U1498" s="2" t="s">
        <v>677</v>
      </c>
      <c r="V1498" s="2" t="s">
        <v>339</v>
      </c>
      <c r="W1498" s="2" t="s">
        <v>241</v>
      </c>
      <c r="X1498" s="2" t="s">
        <v>200</v>
      </c>
      <c r="Y1498" s="2" t="s">
        <v>5451</v>
      </c>
      <c r="Z1498" s="4">
        <v>34</v>
      </c>
      <c r="AA1498" s="4">
        <f>=ROUNDDOWN(56.6666666666667,0)</f>
      </c>
      <c r="AB1498" s="5">
        <v>0.6</v>
      </c>
      <c r="AC1498" s="2" t="s">
        <v>200</v>
      </c>
      <c r="AD1498" s="4"/>
      <c r="AE1498" s="4"/>
      <c r="AF1498" s="6">
        <v>65</v>
      </c>
      <c r="AG1498" s="6"/>
      <c r="AH1498" s="7">
        <v>0.8667</v>
      </c>
      <c r="AI1498" s="4"/>
      <c r="AJ1498" s="4">
        <f>=ROUNDDOWN({0},0)</f>
      </c>
      <c r="AK1498" s="5"/>
      <c r="AL1498" s="2" t="s">
        <v>200</v>
      </c>
      <c r="AM1498" s="4"/>
      <c r="AN1498" s="4"/>
      <c r="AO1498" s="7"/>
      <c r="AP1498" s="4"/>
      <c r="AQ1498" s="8"/>
      <c r="AR1498" s="4"/>
      <c r="AS1498" s="8"/>
      <c r="AT1498" s="7"/>
      <c r="AU1498" s="7"/>
      <c r="AV1498" s="4" t="s">
        <v>200</v>
      </c>
      <c r="AW1498" s="8" t="s">
        <v>200</v>
      </c>
      <c r="AX1498" s="4" t="s">
        <v>200</v>
      </c>
      <c r="AY1498" s="8" t="s">
        <v>200</v>
      </c>
      <c r="AZ1498" s="7" t="s">
        <v>200</v>
      </c>
      <c r="BA1498" s="7" t="s">
        <v>200</v>
      </c>
      <c r="BB1498" s="7"/>
      <c r="BC1498" s="4" t="s">
        <v>200</v>
      </c>
      <c r="BD1498" s="8" t="s">
        <v>200</v>
      </c>
      <c r="BE1498" s="4" t="s">
        <v>200</v>
      </c>
      <c r="BF1498" s="8" t="s">
        <v>200</v>
      </c>
      <c r="BG1498" s="7" t="s">
        <v>200</v>
      </c>
      <c r="BH1498" s="7" t="s">
        <v>200</v>
      </c>
      <c r="BI1498" s="7"/>
      <c r="BJ1498" s="4"/>
      <c r="BK1498" s="8"/>
      <c r="BL1498" s="2" t="s">
        <v>8025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8026</v>
      </c>
      <c r="BV1498" s="2" t="s">
        <v>200</v>
      </c>
      <c r="BW1498" s="2" t="s">
        <v>200</v>
      </c>
      <c r="BX1498" s="2" t="s">
        <v>289</v>
      </c>
      <c r="BY1498" s="2" t="s">
        <v>247</v>
      </c>
      <c r="BZ1498" s="2" t="s">
        <v>212</v>
      </c>
      <c r="CA1498" s="2" t="s">
        <v>2006</v>
      </c>
      <c r="CB1498" s="2" t="s">
        <v>351</v>
      </c>
      <c r="CC1498" s="2" t="s">
        <v>213</v>
      </c>
      <c r="CD1498" s="2" t="s">
        <v>200</v>
      </c>
      <c r="CE1498" s="4">
        <v>34</v>
      </c>
      <c r="CF1498" s="4"/>
      <c r="CG1498" s="4"/>
      <c r="CH1498" s="4"/>
      <c r="CI1498" s="4"/>
      <c r="CJ1498" s="4"/>
      <c r="CK1498" s="4"/>
      <c r="CL1498" s="4"/>
      <c r="CM1498" s="4"/>
      <c r="CN1498" s="4"/>
      <c r="CO1498" s="4"/>
      <c r="CP1498" s="4"/>
      <c r="CQ1498" s="4"/>
      <c r="CR1498" s="4"/>
      <c r="CS1498" s="4"/>
      <c r="CT1498" s="4"/>
      <c r="CU1498" s="4"/>
      <c r="CV1498" s="4"/>
      <c r="CW1498" s="4"/>
      <c r="CX1498" s="4"/>
      <c r="CY1498" s="4"/>
      <c r="CZ1498" s="4"/>
      <c r="DA1498" s="4"/>
      <c r="DB1498" s="4"/>
      <c r="DC1498" s="4"/>
      <c r="DD1498" s="4"/>
      <c r="DE1498" s="4"/>
      <c r="DF1498" s="4"/>
      <c r="DG1498" s="4"/>
      <c r="DH1498" s="4"/>
      <c r="DI1498" s="4"/>
      <c r="DJ1498" s="4"/>
      <c r="DK1498" s="4"/>
      <c r="DL1498" s="4"/>
      <c r="DM1498" s="4"/>
      <c r="DN1498" s="4"/>
      <c r="DO1498" s="4"/>
      <c r="DP1498" s="4"/>
      <c r="DQ1498" s="4"/>
      <c r="DR1498" s="4"/>
      <c r="DS1498" s="4"/>
      <c r="DT1498" s="4"/>
      <c r="DU1498" s="4"/>
      <c r="DV1498" s="4"/>
      <c r="DW1498" s="4"/>
      <c r="DX1498" s="4"/>
      <c r="DY1498" s="4"/>
      <c r="DZ1498" s="4"/>
      <c r="EA1498" s="4"/>
      <c r="EB1498" s="4"/>
      <c r="EC1498" s="4"/>
      <c r="ED1498" s="4"/>
      <c r="EE1498" s="4"/>
      <c r="EF1498" s="4"/>
      <c r="EG1498" s="4"/>
      <c r="EH1498" s="4"/>
      <c r="EI1498" s="4"/>
      <c r="EJ1498" s="4"/>
      <c r="EK1498" s="4"/>
      <c r="EL1498" s="4"/>
      <c r="EM1498" s="4"/>
      <c r="EN1498" s="4"/>
      <c r="EO1498" s="4"/>
      <c r="EP1498" s="4"/>
      <c r="EQ1498" s="4"/>
      <c r="ER1498" s="4"/>
      <c r="ES1498" s="4"/>
      <c r="ET1498" s="4"/>
      <c r="EU1498" s="4"/>
      <c r="EV1498" s="4"/>
      <c r="EW1498" s="4"/>
      <c r="EX1498" s="4"/>
      <c r="EY1498" s="4"/>
      <c r="EZ1498" s="4"/>
      <c r="FA1498" s="4"/>
      <c r="FB1498" s="4"/>
      <c r="FC1498" s="4"/>
      <c r="FD1498" s="4"/>
      <c r="FE1498" s="4"/>
      <c r="FF1498" s="4"/>
      <c r="FG1498" s="4"/>
      <c r="FH1498" s="4"/>
      <c r="FI1498" s="4"/>
      <c r="FJ1498" s="4"/>
      <c r="FK1498" s="4"/>
      <c r="FL1498" s="4"/>
      <c r="FM1498" s="4"/>
      <c r="FN1498" s="4"/>
      <c r="FO1498" s="4"/>
      <c r="FP1498" s="4"/>
      <c r="FQ1498" s="4"/>
      <c r="FR1498" s="4"/>
      <c r="FS1498" s="4"/>
      <c r="FT1498" s="4"/>
      <c r="FU1498" s="4"/>
      <c r="FV1498" s="4"/>
      <c r="FW1498" s="4"/>
      <c r="FX1498" s="4"/>
      <c r="FY1498" s="4"/>
      <c r="FZ1498" s="4"/>
      <c r="GA1498" s="4"/>
      <c r="GB1498" s="4"/>
      <c r="GC1498" s="4"/>
      <c r="GD1498" s="4"/>
      <c r="GE1498" s="4"/>
      <c r="GF1498" s="4"/>
      <c r="GG1498" s="4"/>
      <c r="GH1498" s="4"/>
    </row>
    <row r="1499">
      <c r="A1499" s="2" t="s">
        <v>8027</v>
      </c>
      <c r="B1499" s="2" t="s">
        <v>932</v>
      </c>
      <c r="C1499" s="2" t="s">
        <v>5403</v>
      </c>
      <c r="D1499" s="2" t="s">
        <v>1818</v>
      </c>
      <c r="E1499" s="2" t="s">
        <v>2000</v>
      </c>
      <c r="F1499" s="2" t="s">
        <v>8022</v>
      </c>
      <c r="G1499" s="2" t="s">
        <v>3649</v>
      </c>
      <c r="H1499" s="2" t="s">
        <v>4599</v>
      </c>
      <c r="I1499" s="2" t="s">
        <v>8023</v>
      </c>
      <c r="J1499" s="2" t="s">
        <v>612</v>
      </c>
      <c r="K1499" s="2" t="s">
        <v>2359</v>
      </c>
      <c r="L1499" s="3">
        <v>47</v>
      </c>
      <c r="M1499" s="3">
        <v>49.35</v>
      </c>
      <c r="N1499" s="3">
        <v>92.99</v>
      </c>
      <c r="O1499" s="2" t="s">
        <v>417</v>
      </c>
      <c r="P1499" s="2" t="s">
        <v>285</v>
      </c>
      <c r="Q1499" s="2" t="s">
        <v>206</v>
      </c>
      <c r="R1499" s="2" t="s">
        <v>200</v>
      </c>
      <c r="S1499" s="2" t="s">
        <v>8024</v>
      </c>
      <c r="T1499" s="2" t="s">
        <v>312</v>
      </c>
      <c r="U1499" s="2" t="s">
        <v>454</v>
      </c>
      <c r="V1499" s="2" t="s">
        <v>339</v>
      </c>
      <c r="W1499" s="2" t="s">
        <v>241</v>
      </c>
      <c r="X1499" s="2" t="s">
        <v>200</v>
      </c>
      <c r="Y1499" s="2" t="s">
        <v>5451</v>
      </c>
      <c r="Z1499" s="4">
        <v>41</v>
      </c>
      <c r="AA1499" s="4">
        <f>=ROUNDDOWN(68.3333333333333,0)</f>
      </c>
      <c r="AB1499" s="5">
        <v>0.6</v>
      </c>
      <c r="AC1499" s="2" t="s">
        <v>200</v>
      </c>
      <c r="AD1499" s="4"/>
      <c r="AE1499" s="4"/>
      <c r="AF1499" s="6">
        <v>65</v>
      </c>
      <c r="AG1499" s="6"/>
      <c r="AH1499" s="7">
        <v>0.8667</v>
      </c>
      <c r="AI1499" s="4"/>
      <c r="AJ1499" s="4">
        <f>=ROUNDDOWN({0},0)</f>
      </c>
      <c r="AK1499" s="5"/>
      <c r="AL1499" s="2" t="s">
        <v>200</v>
      </c>
      <c r="AM1499" s="4"/>
      <c r="AN1499" s="4"/>
      <c r="AO1499" s="7"/>
      <c r="AP1499" s="4"/>
      <c r="AQ1499" s="8"/>
      <c r="AR1499" s="4"/>
      <c r="AS1499" s="8"/>
      <c r="AT1499" s="7"/>
      <c r="AU1499" s="7"/>
      <c r="AV1499" s="4" t="s">
        <v>200</v>
      </c>
      <c r="AW1499" s="8" t="s">
        <v>200</v>
      </c>
      <c r="AX1499" s="4" t="s">
        <v>200</v>
      </c>
      <c r="AY1499" s="8" t="s">
        <v>200</v>
      </c>
      <c r="AZ1499" s="7" t="s">
        <v>200</v>
      </c>
      <c r="BA1499" s="7" t="s">
        <v>200</v>
      </c>
      <c r="BB1499" s="7"/>
      <c r="BC1499" s="4" t="s">
        <v>200</v>
      </c>
      <c r="BD1499" s="8" t="s">
        <v>200</v>
      </c>
      <c r="BE1499" s="4" t="s">
        <v>200</v>
      </c>
      <c r="BF1499" s="8" t="s">
        <v>200</v>
      </c>
      <c r="BG1499" s="7" t="s">
        <v>200</v>
      </c>
      <c r="BH1499" s="7" t="s">
        <v>200</v>
      </c>
      <c r="BI1499" s="7"/>
      <c r="BJ1499" s="4"/>
      <c r="BK1499" s="8"/>
      <c r="BL1499" s="2" t="s">
        <v>8028</v>
      </c>
      <c r="BM1499" s="7"/>
      <c r="BN1499" s="7"/>
      <c r="BO1499" s="4"/>
      <c r="BP1499" s="8"/>
      <c r="BQ1499" s="4"/>
      <c r="BR1499" s="8"/>
      <c r="BS1499" s="7"/>
      <c r="BT1499" s="7"/>
      <c r="BU1499" s="2" t="s">
        <v>8029</v>
      </c>
      <c r="BV1499" s="2" t="s">
        <v>200</v>
      </c>
      <c r="BW1499" s="2" t="s">
        <v>200</v>
      </c>
      <c r="BX1499" s="2" t="s">
        <v>289</v>
      </c>
      <c r="BY1499" s="2" t="s">
        <v>247</v>
      </c>
      <c r="BZ1499" s="2" t="s">
        <v>212</v>
      </c>
      <c r="CA1499" s="2" t="s">
        <v>2006</v>
      </c>
      <c r="CB1499" s="2" t="s">
        <v>7024</v>
      </c>
      <c r="CC1499" s="2" t="s">
        <v>213</v>
      </c>
      <c r="CD1499" s="2" t="s">
        <v>200</v>
      </c>
      <c r="CE1499" s="4">
        <v>41</v>
      </c>
      <c r="CF1499" s="4"/>
      <c r="CG1499" s="4"/>
      <c r="CH1499" s="4"/>
      <c r="CI1499" s="4"/>
      <c r="CJ1499" s="4"/>
      <c r="CK1499" s="4"/>
      <c r="CL1499" s="4"/>
      <c r="CM1499" s="4"/>
      <c r="CN1499" s="4"/>
      <c r="CO1499" s="4"/>
      <c r="CP1499" s="4"/>
      <c r="CQ1499" s="4"/>
      <c r="CR1499" s="4"/>
      <c r="CS1499" s="4"/>
      <c r="CT1499" s="4"/>
      <c r="CU1499" s="4"/>
      <c r="CV1499" s="4"/>
      <c r="CW1499" s="4"/>
      <c r="CX1499" s="4"/>
      <c r="CY1499" s="4"/>
      <c r="CZ1499" s="4"/>
      <c r="DA1499" s="4"/>
      <c r="DB1499" s="4"/>
      <c r="DC1499" s="4"/>
      <c r="DD1499" s="4"/>
      <c r="DE1499" s="4"/>
      <c r="DF1499" s="4"/>
      <c r="DG1499" s="4"/>
      <c r="DH1499" s="4"/>
      <c r="DI1499" s="4"/>
      <c r="DJ1499" s="4"/>
      <c r="DK1499" s="4"/>
      <c r="DL1499" s="4"/>
      <c r="DM1499" s="4"/>
      <c r="DN1499" s="4"/>
      <c r="DO1499" s="4"/>
      <c r="DP1499" s="4"/>
      <c r="DQ1499" s="4"/>
      <c r="DR1499" s="4"/>
      <c r="DS1499" s="4"/>
      <c r="DT1499" s="4"/>
      <c r="DU1499" s="4"/>
      <c r="DV1499" s="4"/>
      <c r="DW1499" s="4"/>
      <c r="DX1499" s="4"/>
      <c r="DY1499" s="4"/>
      <c r="DZ1499" s="4"/>
      <c r="EA1499" s="4"/>
      <c r="EB1499" s="4"/>
      <c r="EC1499" s="4"/>
      <c r="ED1499" s="4"/>
      <c r="EE1499" s="4"/>
      <c r="EF1499" s="4"/>
      <c r="EG1499" s="4"/>
      <c r="EH1499" s="4"/>
      <c r="EI1499" s="4"/>
      <c r="EJ1499" s="4"/>
      <c r="EK1499" s="4"/>
      <c r="EL1499" s="4"/>
      <c r="EM1499" s="4"/>
      <c r="EN1499" s="4"/>
      <c r="EO1499" s="4"/>
      <c r="EP1499" s="4"/>
      <c r="EQ1499" s="4"/>
      <c r="ER1499" s="4"/>
      <c r="ES1499" s="4"/>
      <c r="ET1499" s="4"/>
      <c r="EU1499" s="4"/>
      <c r="EV1499" s="4"/>
      <c r="EW1499" s="4"/>
      <c r="EX1499" s="4"/>
      <c r="EY1499" s="4"/>
      <c r="EZ1499" s="4"/>
      <c r="FA1499" s="4"/>
      <c r="FB1499" s="4"/>
      <c r="FC1499" s="4"/>
      <c r="FD1499" s="4"/>
      <c r="FE1499" s="4"/>
      <c r="FF1499" s="4"/>
      <c r="FG1499" s="4"/>
      <c r="FH1499" s="4"/>
      <c r="FI1499" s="4"/>
      <c r="FJ1499" s="4"/>
      <c r="FK1499" s="4"/>
      <c r="FL1499" s="4"/>
      <c r="FM1499" s="4"/>
      <c r="FN1499" s="4"/>
      <c r="FO1499" s="4"/>
      <c r="FP1499" s="4"/>
      <c r="FQ1499" s="4"/>
      <c r="FR1499" s="4"/>
      <c r="FS1499" s="4"/>
      <c r="FT1499" s="4"/>
      <c r="FU1499" s="4"/>
      <c r="FV1499" s="4"/>
      <c r="FW1499" s="4"/>
      <c r="FX1499" s="4"/>
      <c r="FY1499" s="4"/>
      <c r="FZ1499" s="4"/>
      <c r="GA1499" s="4"/>
      <c r="GB1499" s="4"/>
      <c r="GC1499" s="4"/>
      <c r="GD1499" s="4"/>
      <c r="GE1499" s="4"/>
      <c r="GF1499" s="4"/>
      <c r="GG1499" s="4"/>
      <c r="GH1499" s="4"/>
    </row>
    <row r="1500">
      <c r="A1500" s="2" t="s">
        <v>8030</v>
      </c>
      <c r="B1500" s="2" t="s">
        <v>827</v>
      </c>
      <c r="C1500" s="2" t="s">
        <v>231</v>
      </c>
      <c r="D1500" s="2" t="s">
        <v>828</v>
      </c>
      <c r="E1500" s="2" t="s">
        <v>1011</v>
      </c>
      <c r="F1500" s="2" t="s">
        <v>8031</v>
      </c>
      <c r="G1500" s="2" t="s">
        <v>8032</v>
      </c>
      <c r="H1500" s="2" t="s">
        <v>8033</v>
      </c>
      <c r="I1500" s="2" t="s">
        <v>8034</v>
      </c>
      <c r="J1500" s="2" t="s">
        <v>4001</v>
      </c>
      <c r="K1500" s="2" t="s">
        <v>8035</v>
      </c>
      <c r="L1500" s="3">
        <v>13.5</v>
      </c>
      <c r="M1500" s="3">
        <v>14.18</v>
      </c>
      <c r="N1500" s="3">
        <v>29.99</v>
      </c>
      <c r="O1500" s="2" t="s">
        <v>212</v>
      </c>
      <c r="P1500" s="2" t="s">
        <v>258</v>
      </c>
      <c r="Q1500" s="2" t="s">
        <v>206</v>
      </c>
      <c r="R1500" s="2" t="s">
        <v>200</v>
      </c>
      <c r="S1500" s="2" t="s">
        <v>8036</v>
      </c>
      <c r="T1500" s="2" t="s">
        <v>200</v>
      </c>
      <c r="U1500" s="2" t="s">
        <v>270</v>
      </c>
      <c r="V1500" s="2" t="s">
        <v>1695</v>
      </c>
      <c r="W1500" s="2" t="s">
        <v>379</v>
      </c>
      <c r="X1500" s="2" t="s">
        <v>1078</v>
      </c>
      <c r="Y1500" s="2" t="s">
        <v>261</v>
      </c>
      <c r="Z1500" s="4">
        <v>248</v>
      </c>
      <c r="AA1500" s="4">
        <f>=ROUNDDOWN(27.5555555555556,0)</f>
      </c>
      <c r="AB1500" s="5">
        <v>9</v>
      </c>
      <c r="AC1500" s="2" t="s">
        <v>119</v>
      </c>
      <c r="AD1500" s="4">
        <v>92</v>
      </c>
      <c r="AE1500" s="4">
        <v>124</v>
      </c>
      <c r="AF1500" s="6">
        <v>65</v>
      </c>
      <c r="AG1500" s="6"/>
      <c r="AH1500" s="7">
        <v>1</v>
      </c>
      <c r="AI1500" s="4"/>
      <c r="AJ1500" s="4">
        <f>=ROUNDDOWN({0},0)</f>
      </c>
      <c r="AK1500" s="5"/>
      <c r="AL1500" s="2" t="s">
        <v>200</v>
      </c>
      <c r="AM1500" s="4"/>
      <c r="AN1500" s="4"/>
      <c r="AO1500" s="7"/>
      <c r="AP1500" s="4"/>
      <c r="AQ1500" s="8"/>
      <c r="AR1500" s="4"/>
      <c r="AS1500" s="8"/>
      <c r="AT1500" s="7"/>
      <c r="AU1500" s="7"/>
      <c r="AV1500" s="4" t="s">
        <v>200</v>
      </c>
      <c r="AW1500" s="8" t="s">
        <v>200</v>
      </c>
      <c r="AX1500" s="4" t="s">
        <v>200</v>
      </c>
      <c r="AY1500" s="8" t="s">
        <v>200</v>
      </c>
      <c r="AZ1500" s="7" t="s">
        <v>200</v>
      </c>
      <c r="BA1500" s="7" t="s">
        <v>200</v>
      </c>
      <c r="BB1500" s="7"/>
      <c r="BC1500" s="4" t="s">
        <v>200</v>
      </c>
      <c r="BD1500" s="8" t="s">
        <v>200</v>
      </c>
      <c r="BE1500" s="4" t="s">
        <v>200</v>
      </c>
      <c r="BF1500" s="8" t="s">
        <v>200</v>
      </c>
      <c r="BG1500" s="7" t="s">
        <v>200</v>
      </c>
      <c r="BH1500" s="7" t="s">
        <v>200</v>
      </c>
      <c r="BI1500" s="7"/>
      <c r="BJ1500" s="4">
        <v>35</v>
      </c>
      <c r="BK1500" s="8">
        <v>598.87</v>
      </c>
      <c r="BL1500" s="2" t="s">
        <v>8037</v>
      </c>
      <c r="BM1500" s="7"/>
      <c r="BN1500" s="7"/>
      <c r="BO1500" s="4"/>
      <c r="BP1500" s="8"/>
      <c r="BQ1500" s="4"/>
      <c r="BR1500" s="8"/>
      <c r="BS1500" s="7"/>
      <c r="BT1500" s="7"/>
      <c r="BU1500" s="2" t="s">
        <v>8038</v>
      </c>
      <c r="BV1500" s="2" t="s">
        <v>200</v>
      </c>
      <c r="BW1500" s="2" t="s">
        <v>200</v>
      </c>
      <c r="BX1500" s="2" t="s">
        <v>620</v>
      </c>
      <c r="BY1500" s="2" t="s">
        <v>247</v>
      </c>
      <c r="BZ1500" s="2" t="s">
        <v>212</v>
      </c>
      <c r="CA1500" s="2" t="s">
        <v>1597</v>
      </c>
      <c r="CB1500" s="2" t="s">
        <v>7501</v>
      </c>
      <c r="CC1500" s="2" t="s">
        <v>213</v>
      </c>
      <c r="CD1500" s="2" t="s">
        <v>200</v>
      </c>
      <c r="CE1500" s="4">
        <v>248</v>
      </c>
      <c r="CF1500" s="4"/>
      <c r="CG1500" s="4"/>
      <c r="CH1500" s="4"/>
      <c r="CI1500" s="4"/>
      <c r="CJ1500" s="4"/>
      <c r="CK1500" s="4"/>
      <c r="CL1500" s="4"/>
      <c r="CM1500" s="4"/>
      <c r="CN1500" s="4"/>
      <c r="CO1500" s="4"/>
      <c r="CP1500" s="4"/>
      <c r="CQ1500" s="4"/>
      <c r="CR1500" s="4"/>
      <c r="CS1500" s="4"/>
      <c r="CT1500" s="4"/>
      <c r="CU1500" s="4"/>
      <c r="CV1500" s="4"/>
      <c r="CW1500" s="4"/>
      <c r="CX1500" s="4"/>
      <c r="CY1500" s="4"/>
      <c r="CZ1500" s="4"/>
      <c r="DA1500" s="4"/>
      <c r="DB1500" s="4"/>
      <c r="DC1500" s="4"/>
      <c r="DD1500" s="4"/>
      <c r="DE1500" s="4"/>
      <c r="DF1500" s="4">
        <v>92</v>
      </c>
      <c r="DG1500" s="4"/>
      <c r="DH1500" s="4"/>
      <c r="DI1500" s="4"/>
      <c r="DJ1500" s="4"/>
      <c r="DK1500" s="4"/>
      <c r="DL1500" s="4"/>
      <c r="DM1500" s="4"/>
      <c r="DN1500" s="4"/>
      <c r="DO1500" s="4"/>
      <c r="DP1500" s="4"/>
      <c r="DQ1500" s="4"/>
      <c r="DR1500" s="4"/>
      <c r="DS1500" s="4"/>
      <c r="DT1500" s="4"/>
      <c r="DU1500" s="4"/>
      <c r="DV1500" s="4"/>
      <c r="DW1500" s="4"/>
      <c r="DX1500" s="4"/>
      <c r="DY1500" s="4"/>
      <c r="DZ1500" s="4"/>
      <c r="EA1500" s="4"/>
      <c r="EB1500" s="4"/>
      <c r="EC1500" s="4"/>
      <c r="ED1500" s="4"/>
      <c r="EE1500" s="4"/>
      <c r="EF1500" s="4"/>
      <c r="EG1500" s="4"/>
      <c r="EH1500" s="4"/>
      <c r="EI1500" s="4"/>
      <c r="EJ1500" s="4"/>
      <c r="EK1500" s="4"/>
      <c r="EL1500" s="4"/>
      <c r="EM1500" s="4"/>
      <c r="EN1500" s="4"/>
      <c r="EO1500" s="4"/>
      <c r="EP1500" s="4"/>
      <c r="EQ1500" s="4"/>
      <c r="ER1500" s="4"/>
      <c r="ES1500" s="4">
        <v>32</v>
      </c>
      <c r="ET1500" s="4"/>
      <c r="EU1500" s="4"/>
      <c r="EV1500" s="4"/>
      <c r="EW1500" s="4"/>
      <c r="EX1500" s="4"/>
      <c r="EY1500" s="4"/>
      <c r="EZ1500" s="4"/>
      <c r="FA1500" s="4"/>
      <c r="FB1500" s="4"/>
      <c r="FC1500" s="4"/>
      <c r="FD1500" s="4"/>
      <c r="FE1500" s="4"/>
      <c r="FF1500" s="4"/>
      <c r="FG1500" s="4"/>
      <c r="FH1500" s="4"/>
      <c r="FI1500" s="4"/>
      <c r="FJ1500" s="4"/>
      <c r="FK1500" s="4"/>
      <c r="FL1500" s="4"/>
      <c r="FM1500" s="4"/>
      <c r="FN1500" s="4"/>
      <c r="FO1500" s="4"/>
      <c r="FP1500" s="4"/>
      <c r="FQ1500" s="4"/>
      <c r="FR1500" s="4"/>
      <c r="FS1500" s="4"/>
      <c r="FT1500" s="4"/>
      <c r="FU1500" s="4"/>
      <c r="FV1500" s="4"/>
      <c r="FW1500" s="4"/>
      <c r="FX1500" s="4"/>
      <c r="FY1500" s="4"/>
      <c r="FZ1500" s="4"/>
      <c r="GA1500" s="4"/>
      <c r="GB1500" s="4"/>
      <c r="GC1500" s="4"/>
      <c r="GD1500" s="4"/>
      <c r="GE1500" s="4"/>
      <c r="GF1500" s="4"/>
      <c r="GG1500" s="4"/>
      <c r="GH1500" s="4"/>
    </row>
    <row r="1501">
      <c r="A1501" s="2" t="s">
        <v>8039</v>
      </c>
      <c r="B1501" s="2" t="s">
        <v>827</v>
      </c>
      <c r="C1501" s="2" t="s">
        <v>231</v>
      </c>
      <c r="D1501" s="2" t="s">
        <v>828</v>
      </c>
      <c r="E1501" s="2" t="s">
        <v>1011</v>
      </c>
      <c r="F1501" s="2" t="s">
        <v>8031</v>
      </c>
      <c r="G1501" s="2" t="s">
        <v>8032</v>
      </c>
      <c r="H1501" s="2" t="s">
        <v>8033</v>
      </c>
      <c r="I1501" s="2" t="s">
        <v>8034</v>
      </c>
      <c r="J1501" s="2" t="s">
        <v>1057</v>
      </c>
      <c r="K1501" s="2" t="s">
        <v>8035</v>
      </c>
      <c r="L1501" s="3">
        <v>20.7</v>
      </c>
      <c r="M1501" s="3">
        <v>21.74</v>
      </c>
      <c r="N1501" s="3">
        <v>44.99</v>
      </c>
      <c r="O1501" s="2" t="s">
        <v>212</v>
      </c>
      <c r="P1501" s="2" t="s">
        <v>258</v>
      </c>
      <c r="Q1501" s="2" t="s">
        <v>206</v>
      </c>
      <c r="R1501" s="2" t="s">
        <v>200</v>
      </c>
      <c r="S1501" s="2" t="s">
        <v>8036</v>
      </c>
      <c r="T1501" s="2" t="s">
        <v>200</v>
      </c>
      <c r="U1501" s="2" t="s">
        <v>270</v>
      </c>
      <c r="V1501" s="2" t="s">
        <v>1695</v>
      </c>
      <c r="W1501" s="2" t="s">
        <v>379</v>
      </c>
      <c r="X1501" s="2" t="s">
        <v>1078</v>
      </c>
      <c r="Y1501" s="2" t="s">
        <v>261</v>
      </c>
      <c r="Z1501" s="4">
        <v>102</v>
      </c>
      <c r="AA1501" s="4">
        <f>=ROUNDDOWN(12.75,0)</f>
      </c>
      <c r="AB1501" s="5">
        <v>8</v>
      </c>
      <c r="AC1501" s="2" t="s">
        <v>119</v>
      </c>
      <c r="AD1501" s="4">
        <v>80</v>
      </c>
      <c r="AE1501" s="4">
        <v>252</v>
      </c>
      <c r="AF1501" s="6">
        <v>65</v>
      </c>
      <c r="AG1501" s="6"/>
      <c r="AH1501" s="7">
        <v>1</v>
      </c>
      <c r="AI1501" s="4"/>
      <c r="AJ1501" s="4">
        <f>=ROUNDDOWN({0},0)</f>
      </c>
      <c r="AK1501" s="5"/>
      <c r="AL1501" s="2" t="s">
        <v>200</v>
      </c>
      <c r="AM1501" s="4"/>
      <c r="AN1501" s="4"/>
      <c r="AO1501" s="7"/>
      <c r="AP1501" s="4"/>
      <c r="AQ1501" s="8"/>
      <c r="AR1501" s="4"/>
      <c r="AS1501" s="8"/>
      <c r="AT1501" s="7"/>
      <c r="AU1501" s="7"/>
      <c r="AV1501" s="4" t="s">
        <v>200</v>
      </c>
      <c r="AW1501" s="8" t="s">
        <v>200</v>
      </c>
      <c r="AX1501" s="4" t="s">
        <v>200</v>
      </c>
      <c r="AY1501" s="8" t="s">
        <v>200</v>
      </c>
      <c r="AZ1501" s="7" t="s">
        <v>200</v>
      </c>
      <c r="BA1501" s="7" t="s">
        <v>200</v>
      </c>
      <c r="BB1501" s="7"/>
      <c r="BC1501" s="4" t="s">
        <v>200</v>
      </c>
      <c r="BD1501" s="8" t="s">
        <v>200</v>
      </c>
      <c r="BE1501" s="4" t="s">
        <v>200</v>
      </c>
      <c r="BF1501" s="8" t="s">
        <v>200</v>
      </c>
      <c r="BG1501" s="7" t="s">
        <v>200</v>
      </c>
      <c r="BH1501" s="7" t="s">
        <v>200</v>
      </c>
      <c r="BI1501" s="7"/>
      <c r="BJ1501" s="4">
        <v>14</v>
      </c>
      <c r="BK1501" s="8">
        <v>376.66</v>
      </c>
      <c r="BL1501" s="2" t="s">
        <v>5568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8040</v>
      </c>
      <c r="BV1501" s="2" t="s">
        <v>200</v>
      </c>
      <c r="BW1501" s="2" t="s">
        <v>200</v>
      </c>
      <c r="BX1501" s="2" t="s">
        <v>620</v>
      </c>
      <c r="BY1501" s="2" t="s">
        <v>247</v>
      </c>
      <c r="BZ1501" s="2" t="s">
        <v>212</v>
      </c>
      <c r="CA1501" s="2" t="s">
        <v>1597</v>
      </c>
      <c r="CB1501" s="2" t="s">
        <v>4242</v>
      </c>
      <c r="CC1501" s="2" t="s">
        <v>213</v>
      </c>
      <c r="CD1501" s="2" t="s">
        <v>200</v>
      </c>
      <c r="CE1501" s="4">
        <v>102</v>
      </c>
      <c r="CF1501" s="4"/>
      <c r="CG1501" s="4"/>
      <c r="CH1501" s="4"/>
      <c r="CI1501" s="4"/>
      <c r="CJ1501" s="4"/>
      <c r="CK1501" s="4"/>
      <c r="CL1501" s="4"/>
      <c r="CM1501" s="4"/>
      <c r="CN1501" s="4"/>
      <c r="CO1501" s="4"/>
      <c r="CP1501" s="4"/>
      <c r="CQ1501" s="4"/>
      <c r="CR1501" s="4"/>
      <c r="CS1501" s="4"/>
      <c r="CT1501" s="4"/>
      <c r="CU1501" s="4"/>
      <c r="CV1501" s="4"/>
      <c r="CW1501" s="4"/>
      <c r="CX1501" s="4"/>
      <c r="CY1501" s="4"/>
      <c r="CZ1501" s="4"/>
      <c r="DA1501" s="4"/>
      <c r="DB1501" s="4"/>
      <c r="DC1501" s="4"/>
      <c r="DD1501" s="4"/>
      <c r="DE1501" s="4"/>
      <c r="DF1501" s="4">
        <v>80</v>
      </c>
      <c r="DG1501" s="4"/>
      <c r="DH1501" s="4"/>
      <c r="DI1501" s="4"/>
      <c r="DJ1501" s="4"/>
      <c r="DK1501" s="4"/>
      <c r="DL1501" s="4"/>
      <c r="DM1501" s="4"/>
      <c r="DN1501" s="4"/>
      <c r="DO1501" s="4"/>
      <c r="DP1501" s="4"/>
      <c r="DQ1501" s="4"/>
      <c r="DR1501" s="4"/>
      <c r="DS1501" s="4"/>
      <c r="DT1501" s="4"/>
      <c r="DU1501" s="4"/>
      <c r="DV1501" s="4"/>
      <c r="DW1501" s="4"/>
      <c r="DX1501" s="4"/>
      <c r="DY1501" s="4"/>
      <c r="DZ1501" s="4"/>
      <c r="EA1501" s="4"/>
      <c r="EB1501" s="4"/>
      <c r="EC1501" s="4"/>
      <c r="ED1501" s="4"/>
      <c r="EE1501" s="4"/>
      <c r="EF1501" s="4"/>
      <c r="EG1501" s="4"/>
      <c r="EH1501" s="4"/>
      <c r="EI1501" s="4"/>
      <c r="EJ1501" s="4"/>
      <c r="EK1501" s="4"/>
      <c r="EL1501" s="4"/>
      <c r="EM1501" s="4"/>
      <c r="EN1501" s="4"/>
      <c r="EO1501" s="4"/>
      <c r="EP1501" s="4"/>
      <c r="EQ1501" s="4"/>
      <c r="ER1501" s="4"/>
      <c r="ES1501" s="4">
        <v>172</v>
      </c>
      <c r="ET1501" s="4"/>
      <c r="EU1501" s="4"/>
      <c r="EV1501" s="4"/>
      <c r="EW1501" s="4"/>
      <c r="EX1501" s="4"/>
      <c r="EY1501" s="4"/>
      <c r="EZ1501" s="4"/>
      <c r="FA1501" s="4"/>
      <c r="FB1501" s="4"/>
      <c r="FC1501" s="4"/>
      <c r="FD1501" s="4"/>
      <c r="FE1501" s="4"/>
      <c r="FF1501" s="4"/>
      <c r="FG1501" s="4"/>
      <c r="FH1501" s="4"/>
      <c r="FI1501" s="4"/>
      <c r="FJ1501" s="4"/>
      <c r="FK1501" s="4"/>
      <c r="FL1501" s="4"/>
      <c r="FM1501" s="4"/>
      <c r="FN1501" s="4"/>
      <c r="FO1501" s="4"/>
      <c r="FP1501" s="4"/>
      <c r="FQ1501" s="4"/>
      <c r="FR1501" s="4"/>
      <c r="FS1501" s="4"/>
      <c r="FT1501" s="4"/>
      <c r="FU1501" s="4"/>
      <c r="FV1501" s="4"/>
      <c r="FW1501" s="4"/>
      <c r="FX1501" s="4"/>
      <c r="FY1501" s="4"/>
      <c r="FZ1501" s="4"/>
      <c r="GA1501" s="4"/>
      <c r="GB1501" s="4"/>
      <c r="GC1501" s="4"/>
      <c r="GD1501" s="4"/>
      <c r="GE1501" s="4"/>
      <c r="GF1501" s="4"/>
      <c r="GG1501" s="4"/>
      <c r="GH1501" s="4"/>
    </row>
    <row r="1502">
      <c r="A1502" s="2" t="s">
        <v>8041</v>
      </c>
      <c r="B1502" s="2" t="s">
        <v>827</v>
      </c>
      <c r="C1502" s="2" t="s">
        <v>231</v>
      </c>
      <c r="D1502" s="2" t="s">
        <v>1084</v>
      </c>
      <c r="E1502" s="2" t="s">
        <v>1085</v>
      </c>
      <c r="F1502" s="2" t="s">
        <v>8031</v>
      </c>
      <c r="G1502" s="2" t="s">
        <v>8032</v>
      </c>
      <c r="H1502" s="2" t="s">
        <v>8033</v>
      </c>
      <c r="I1502" s="2" t="s">
        <v>8042</v>
      </c>
      <c r="J1502" s="2" t="s">
        <v>1087</v>
      </c>
      <c r="K1502" s="2" t="s">
        <v>8035</v>
      </c>
      <c r="L1502" s="3">
        <v>11.25</v>
      </c>
      <c r="M1502" s="3">
        <v>11.81</v>
      </c>
      <c r="N1502" s="3">
        <v>24.99</v>
      </c>
      <c r="O1502" s="2" t="s">
        <v>212</v>
      </c>
      <c r="P1502" s="2" t="s">
        <v>258</v>
      </c>
      <c r="Q1502" s="2" t="s">
        <v>206</v>
      </c>
      <c r="R1502" s="2" t="s">
        <v>200</v>
      </c>
      <c r="S1502" s="2" t="s">
        <v>8036</v>
      </c>
      <c r="T1502" s="2" t="s">
        <v>200</v>
      </c>
      <c r="U1502" s="2" t="s">
        <v>270</v>
      </c>
      <c r="V1502" s="2" t="s">
        <v>1695</v>
      </c>
      <c r="W1502" s="2" t="s">
        <v>379</v>
      </c>
      <c r="X1502" s="2" t="s">
        <v>200</v>
      </c>
      <c r="Y1502" s="2" t="s">
        <v>261</v>
      </c>
      <c r="Z1502" s="4">
        <v>384</v>
      </c>
      <c r="AA1502" s="4">
        <f>=ROUNDDOWN(29.5384615384615,0)</f>
      </c>
      <c r="AB1502" s="5">
        <v>13</v>
      </c>
      <c r="AC1502" s="2" t="s">
        <v>119</v>
      </c>
      <c r="AD1502" s="4">
        <v>88</v>
      </c>
      <c r="AE1502" s="4">
        <v>88</v>
      </c>
      <c r="AF1502" s="6">
        <v>65</v>
      </c>
      <c r="AG1502" s="6"/>
      <c r="AH1502" s="7">
        <v>1</v>
      </c>
      <c r="AI1502" s="4"/>
      <c r="AJ1502" s="4">
        <f>=ROUNDDOWN({0},0)</f>
      </c>
      <c r="AK1502" s="5"/>
      <c r="AL1502" s="2" t="s">
        <v>200</v>
      </c>
      <c r="AM1502" s="4"/>
      <c r="AN1502" s="4"/>
      <c r="AO1502" s="7"/>
      <c r="AP1502" s="4"/>
      <c r="AQ1502" s="8"/>
      <c r="AR1502" s="4"/>
      <c r="AS1502" s="8"/>
      <c r="AT1502" s="7"/>
      <c r="AU1502" s="7"/>
      <c r="AV1502" s="4" t="s">
        <v>200</v>
      </c>
      <c r="AW1502" s="8" t="s">
        <v>200</v>
      </c>
      <c r="AX1502" s="4" t="s">
        <v>200</v>
      </c>
      <c r="AY1502" s="8" t="s">
        <v>200</v>
      </c>
      <c r="AZ1502" s="7" t="s">
        <v>200</v>
      </c>
      <c r="BA1502" s="7" t="s">
        <v>200</v>
      </c>
      <c r="BB1502" s="7"/>
      <c r="BC1502" s="4" t="s">
        <v>200</v>
      </c>
      <c r="BD1502" s="8" t="s">
        <v>200</v>
      </c>
      <c r="BE1502" s="4" t="s">
        <v>200</v>
      </c>
      <c r="BF1502" s="8" t="s">
        <v>200</v>
      </c>
      <c r="BG1502" s="7" t="s">
        <v>200</v>
      </c>
      <c r="BH1502" s="7" t="s">
        <v>200</v>
      </c>
      <c r="BI1502" s="7"/>
      <c r="BJ1502" s="4">
        <v>72</v>
      </c>
      <c r="BK1502" s="8">
        <v>852.01</v>
      </c>
      <c r="BL1502" s="2" t="s">
        <v>1860</v>
      </c>
      <c r="BM1502" s="7"/>
      <c r="BN1502" s="7"/>
      <c r="BO1502" s="4"/>
      <c r="BP1502" s="8"/>
      <c r="BQ1502" s="4"/>
      <c r="BR1502" s="8"/>
      <c r="BS1502" s="7"/>
      <c r="BT1502" s="7"/>
      <c r="BU1502" s="2" t="s">
        <v>8043</v>
      </c>
      <c r="BV1502" s="2" t="s">
        <v>200</v>
      </c>
      <c r="BW1502" s="2" t="s">
        <v>200</v>
      </c>
      <c r="BX1502" s="2" t="s">
        <v>264</v>
      </c>
      <c r="BY1502" s="2" t="s">
        <v>247</v>
      </c>
      <c r="BZ1502" s="2" t="s">
        <v>212</v>
      </c>
      <c r="CA1502" s="2" t="s">
        <v>2846</v>
      </c>
      <c r="CB1502" s="2" t="s">
        <v>8044</v>
      </c>
      <c r="CC1502" s="2" t="s">
        <v>213</v>
      </c>
      <c r="CD1502" s="2" t="s">
        <v>200</v>
      </c>
      <c r="CE1502" s="4">
        <v>384</v>
      </c>
      <c r="CF1502" s="4"/>
      <c r="CG1502" s="4"/>
      <c r="CH1502" s="4"/>
      <c r="CI1502" s="4"/>
      <c r="CJ1502" s="4"/>
      <c r="CK1502" s="4"/>
      <c r="CL1502" s="4"/>
      <c r="CM1502" s="4"/>
      <c r="CN1502" s="4"/>
      <c r="CO1502" s="4"/>
      <c r="CP1502" s="4"/>
      <c r="CQ1502" s="4"/>
      <c r="CR1502" s="4"/>
      <c r="CS1502" s="4"/>
      <c r="CT1502" s="4"/>
      <c r="CU1502" s="4"/>
      <c r="CV1502" s="4"/>
      <c r="CW1502" s="4"/>
      <c r="CX1502" s="4"/>
      <c r="CY1502" s="4"/>
      <c r="CZ1502" s="4"/>
      <c r="DA1502" s="4"/>
      <c r="DB1502" s="4"/>
      <c r="DC1502" s="4"/>
      <c r="DD1502" s="4"/>
      <c r="DE1502" s="4"/>
      <c r="DF1502" s="4">
        <v>88</v>
      </c>
      <c r="DG1502" s="4"/>
      <c r="DH1502" s="4"/>
      <c r="DI1502" s="4"/>
      <c r="DJ1502" s="4"/>
      <c r="DK1502" s="4"/>
      <c r="DL1502" s="4"/>
      <c r="DM1502" s="4"/>
      <c r="DN1502" s="4"/>
      <c r="DO1502" s="4"/>
      <c r="DP1502" s="4"/>
      <c r="DQ1502" s="4"/>
      <c r="DR1502" s="4"/>
      <c r="DS1502" s="4"/>
      <c r="DT1502" s="4"/>
      <c r="DU1502" s="4"/>
      <c r="DV1502" s="4"/>
      <c r="DW1502" s="4"/>
      <c r="DX1502" s="4"/>
      <c r="DY1502" s="4"/>
      <c r="DZ1502" s="4"/>
      <c r="EA1502" s="4"/>
      <c r="EB1502" s="4"/>
      <c r="EC1502" s="4"/>
      <c r="ED1502" s="4"/>
      <c r="EE1502" s="4"/>
      <c r="EF1502" s="4"/>
      <c r="EG1502" s="4"/>
      <c r="EH1502" s="4"/>
      <c r="EI1502" s="4"/>
      <c r="EJ1502" s="4"/>
      <c r="EK1502" s="4"/>
      <c r="EL1502" s="4"/>
      <c r="EM1502" s="4"/>
      <c r="EN1502" s="4"/>
      <c r="EO1502" s="4"/>
      <c r="EP1502" s="4"/>
      <c r="EQ1502" s="4"/>
      <c r="ER1502" s="4"/>
      <c r="ES1502" s="4"/>
      <c r="ET1502" s="4"/>
      <c r="EU1502" s="4"/>
      <c r="EV1502" s="4"/>
      <c r="EW1502" s="4"/>
      <c r="EX1502" s="4"/>
      <c r="EY1502" s="4"/>
      <c r="EZ1502" s="4"/>
      <c r="FA1502" s="4"/>
      <c r="FB1502" s="4"/>
      <c r="FC1502" s="4"/>
      <c r="FD1502" s="4"/>
      <c r="FE1502" s="4"/>
      <c r="FF1502" s="4"/>
      <c r="FG1502" s="4"/>
      <c r="FH1502" s="4"/>
      <c r="FI1502" s="4"/>
      <c r="FJ1502" s="4"/>
      <c r="FK1502" s="4"/>
      <c r="FL1502" s="4"/>
      <c r="FM1502" s="4"/>
      <c r="FN1502" s="4"/>
      <c r="FO1502" s="4"/>
      <c r="FP1502" s="4"/>
      <c r="FQ1502" s="4"/>
      <c r="FR1502" s="4"/>
      <c r="FS1502" s="4"/>
      <c r="FT1502" s="4"/>
      <c r="FU1502" s="4"/>
      <c r="FV1502" s="4"/>
      <c r="FW1502" s="4"/>
      <c r="FX1502" s="4"/>
      <c r="FY1502" s="4"/>
      <c r="FZ1502" s="4"/>
      <c r="GA1502" s="4"/>
      <c r="GB1502" s="4"/>
      <c r="GC1502" s="4"/>
      <c r="GD1502" s="4"/>
      <c r="GE1502" s="4"/>
      <c r="GF1502" s="4"/>
      <c r="GG1502" s="4"/>
      <c r="GH1502" s="4"/>
    </row>
    <row r="1503">
      <c r="A1503" s="2" t="s">
        <v>8045</v>
      </c>
      <c r="B1503" s="2" t="s">
        <v>827</v>
      </c>
      <c r="C1503" s="2" t="s">
        <v>231</v>
      </c>
      <c r="D1503" s="2" t="s">
        <v>828</v>
      </c>
      <c r="E1503" s="2" t="s">
        <v>1011</v>
      </c>
      <c r="F1503" s="2" t="s">
        <v>8031</v>
      </c>
      <c r="G1503" s="2" t="s">
        <v>8032</v>
      </c>
      <c r="H1503" s="2" t="s">
        <v>8033</v>
      </c>
      <c r="I1503" s="2" t="s">
        <v>8034</v>
      </c>
      <c r="J1503" s="2" t="s">
        <v>4001</v>
      </c>
      <c r="K1503" s="2" t="s">
        <v>8046</v>
      </c>
      <c r="L1503" s="3">
        <v>13.5</v>
      </c>
      <c r="M1503" s="3">
        <v>14.18</v>
      </c>
      <c r="N1503" s="3">
        <v>29.99</v>
      </c>
      <c r="O1503" s="2" t="s">
        <v>212</v>
      </c>
      <c r="P1503" s="2" t="s">
        <v>258</v>
      </c>
      <c r="Q1503" s="2" t="s">
        <v>206</v>
      </c>
      <c r="R1503" s="2" t="s">
        <v>200</v>
      </c>
      <c r="S1503" s="2" t="s">
        <v>8047</v>
      </c>
      <c r="T1503" s="2" t="s">
        <v>200</v>
      </c>
      <c r="U1503" s="2" t="s">
        <v>270</v>
      </c>
      <c r="V1503" s="2" t="s">
        <v>1695</v>
      </c>
      <c r="W1503" s="2" t="s">
        <v>379</v>
      </c>
      <c r="X1503" s="2" t="s">
        <v>1078</v>
      </c>
      <c r="Y1503" s="2" t="s">
        <v>261</v>
      </c>
      <c r="Z1503" s="4">
        <v>506</v>
      </c>
      <c r="AA1503" s="4">
        <f>=ROUNDDOWN(72.2857142857143,0)</f>
      </c>
      <c r="AB1503" s="5">
        <v>7</v>
      </c>
      <c r="AC1503" s="2" t="s">
        <v>200</v>
      </c>
      <c r="AD1503" s="4"/>
      <c r="AE1503" s="4"/>
      <c r="AF1503" s="6">
        <v>65</v>
      </c>
      <c r="AG1503" s="6"/>
      <c r="AH1503" s="7">
        <v>1</v>
      </c>
      <c r="AI1503" s="4"/>
      <c r="AJ1503" s="4">
        <f>=ROUNDDOWN({0},0)</f>
      </c>
      <c r="AK1503" s="5"/>
      <c r="AL1503" s="2" t="s">
        <v>200</v>
      </c>
      <c r="AM1503" s="4"/>
      <c r="AN1503" s="4"/>
      <c r="AO1503" s="7"/>
      <c r="AP1503" s="4"/>
      <c r="AQ1503" s="8"/>
      <c r="AR1503" s="4"/>
      <c r="AS1503" s="8"/>
      <c r="AT1503" s="7"/>
      <c r="AU1503" s="7"/>
      <c r="AV1503" s="4" t="s">
        <v>200</v>
      </c>
      <c r="AW1503" s="8" t="s">
        <v>200</v>
      </c>
      <c r="AX1503" s="4" t="s">
        <v>200</v>
      </c>
      <c r="AY1503" s="8" t="s">
        <v>200</v>
      </c>
      <c r="AZ1503" s="7" t="s">
        <v>200</v>
      </c>
      <c r="BA1503" s="7" t="s">
        <v>200</v>
      </c>
      <c r="BB1503" s="7"/>
      <c r="BC1503" s="4" t="s">
        <v>200</v>
      </c>
      <c r="BD1503" s="8" t="s">
        <v>200</v>
      </c>
      <c r="BE1503" s="4" t="s">
        <v>200</v>
      </c>
      <c r="BF1503" s="8" t="s">
        <v>200</v>
      </c>
      <c r="BG1503" s="7" t="s">
        <v>200</v>
      </c>
      <c r="BH1503" s="7" t="s">
        <v>200</v>
      </c>
      <c r="BI1503" s="7"/>
      <c r="BJ1503" s="4">
        <v>16</v>
      </c>
      <c r="BK1503" s="8">
        <v>275.02</v>
      </c>
      <c r="BL1503" s="2" t="s">
        <v>8048</v>
      </c>
      <c r="BM1503" s="7"/>
      <c r="BN1503" s="7"/>
      <c r="BO1503" s="4"/>
      <c r="BP1503" s="8"/>
      <c r="BQ1503" s="4"/>
      <c r="BR1503" s="8"/>
      <c r="BS1503" s="7"/>
      <c r="BT1503" s="7"/>
      <c r="BU1503" s="2" t="s">
        <v>8049</v>
      </c>
      <c r="BV1503" s="2" t="s">
        <v>200</v>
      </c>
      <c r="BW1503" s="2" t="s">
        <v>200</v>
      </c>
      <c r="BX1503" s="2" t="s">
        <v>620</v>
      </c>
      <c r="BY1503" s="2" t="s">
        <v>247</v>
      </c>
      <c r="BZ1503" s="2" t="s">
        <v>212</v>
      </c>
      <c r="CA1503" s="2" t="s">
        <v>265</v>
      </c>
      <c r="CB1503" s="2" t="s">
        <v>1235</v>
      </c>
      <c r="CC1503" s="2" t="s">
        <v>213</v>
      </c>
      <c r="CD1503" s="2" t="s">
        <v>200</v>
      </c>
      <c r="CE1503" s="4">
        <v>506</v>
      </c>
      <c r="CF1503" s="4"/>
      <c r="CG1503" s="4"/>
      <c r="CH1503" s="4"/>
      <c r="CI1503" s="4"/>
      <c r="CJ1503" s="4"/>
      <c r="CK1503" s="4"/>
      <c r="CL1503" s="4"/>
      <c r="CM1503" s="4"/>
      <c r="CN1503" s="4"/>
      <c r="CO1503" s="4"/>
      <c r="CP1503" s="4"/>
      <c r="CQ1503" s="4"/>
      <c r="CR1503" s="4"/>
      <c r="CS1503" s="4"/>
      <c r="CT1503" s="4"/>
      <c r="CU1503" s="4"/>
      <c r="CV1503" s="4"/>
      <c r="CW1503" s="4"/>
      <c r="CX1503" s="4"/>
      <c r="CY1503" s="4"/>
      <c r="CZ1503" s="4"/>
      <c r="DA1503" s="4"/>
      <c r="DB1503" s="4"/>
      <c r="DC1503" s="4"/>
      <c r="DD1503" s="4"/>
      <c r="DE1503" s="4"/>
      <c r="DF1503" s="4"/>
      <c r="DG1503" s="4"/>
      <c r="DH1503" s="4"/>
      <c r="DI1503" s="4"/>
      <c r="DJ1503" s="4"/>
      <c r="DK1503" s="4"/>
      <c r="DL1503" s="4"/>
      <c r="DM1503" s="4"/>
      <c r="DN1503" s="4"/>
      <c r="DO1503" s="4"/>
      <c r="DP1503" s="4"/>
      <c r="DQ1503" s="4"/>
      <c r="DR1503" s="4"/>
      <c r="DS1503" s="4"/>
      <c r="DT1503" s="4"/>
      <c r="DU1503" s="4"/>
      <c r="DV1503" s="4"/>
      <c r="DW1503" s="4"/>
      <c r="DX1503" s="4"/>
      <c r="DY1503" s="4"/>
      <c r="DZ1503" s="4"/>
      <c r="EA1503" s="4"/>
      <c r="EB1503" s="4"/>
      <c r="EC1503" s="4"/>
      <c r="ED1503" s="4"/>
      <c r="EE1503" s="4"/>
      <c r="EF1503" s="4"/>
      <c r="EG1503" s="4"/>
      <c r="EH1503" s="4"/>
      <c r="EI1503" s="4"/>
      <c r="EJ1503" s="4"/>
      <c r="EK1503" s="4"/>
      <c r="EL1503" s="4"/>
      <c r="EM1503" s="4"/>
      <c r="EN1503" s="4"/>
      <c r="EO1503" s="4"/>
      <c r="EP1503" s="4"/>
      <c r="EQ1503" s="4"/>
      <c r="ER1503" s="4"/>
      <c r="ES1503" s="4"/>
      <c r="ET1503" s="4"/>
      <c r="EU1503" s="4"/>
      <c r="EV1503" s="4"/>
      <c r="EW1503" s="4"/>
      <c r="EX1503" s="4"/>
      <c r="EY1503" s="4"/>
      <c r="EZ1503" s="4"/>
      <c r="FA1503" s="4"/>
      <c r="FB1503" s="4"/>
      <c r="FC1503" s="4"/>
      <c r="FD1503" s="4"/>
      <c r="FE1503" s="4"/>
      <c r="FF1503" s="4"/>
      <c r="FG1503" s="4"/>
      <c r="FH1503" s="4"/>
      <c r="FI1503" s="4"/>
      <c r="FJ1503" s="4"/>
      <c r="FK1503" s="4"/>
      <c r="FL1503" s="4"/>
      <c r="FM1503" s="4"/>
      <c r="FN1503" s="4"/>
      <c r="FO1503" s="4"/>
      <c r="FP1503" s="4"/>
      <c r="FQ1503" s="4"/>
      <c r="FR1503" s="4"/>
      <c r="FS1503" s="4"/>
      <c r="FT1503" s="4"/>
      <c r="FU1503" s="4"/>
      <c r="FV1503" s="4"/>
      <c r="FW1503" s="4"/>
      <c r="FX1503" s="4"/>
      <c r="FY1503" s="4"/>
      <c r="FZ1503" s="4"/>
      <c r="GA1503" s="4"/>
      <c r="GB1503" s="4"/>
      <c r="GC1503" s="4"/>
      <c r="GD1503" s="4"/>
      <c r="GE1503" s="4"/>
      <c r="GF1503" s="4"/>
      <c r="GG1503" s="4"/>
      <c r="GH1503" s="4"/>
    </row>
    <row r="1504">
      <c r="A1504" s="2" t="s">
        <v>8050</v>
      </c>
      <c r="B1504" s="2" t="s">
        <v>827</v>
      </c>
      <c r="C1504" s="2" t="s">
        <v>231</v>
      </c>
      <c r="D1504" s="2" t="s">
        <v>828</v>
      </c>
      <c r="E1504" s="2" t="s">
        <v>1011</v>
      </c>
      <c r="F1504" s="2" t="s">
        <v>8031</v>
      </c>
      <c r="G1504" s="2" t="s">
        <v>8032</v>
      </c>
      <c r="H1504" s="2" t="s">
        <v>8033</v>
      </c>
      <c r="I1504" s="2" t="s">
        <v>8034</v>
      </c>
      <c r="J1504" s="2" t="s">
        <v>1016</v>
      </c>
      <c r="K1504" s="2" t="s">
        <v>8046</v>
      </c>
      <c r="L1504" s="3">
        <v>15.75</v>
      </c>
      <c r="M1504" s="3">
        <v>16.54</v>
      </c>
      <c r="N1504" s="3">
        <v>34.99</v>
      </c>
      <c r="O1504" s="2" t="s">
        <v>212</v>
      </c>
      <c r="P1504" s="2" t="s">
        <v>258</v>
      </c>
      <c r="Q1504" s="2" t="s">
        <v>206</v>
      </c>
      <c r="R1504" s="2" t="s">
        <v>200</v>
      </c>
      <c r="S1504" s="2" t="s">
        <v>8047</v>
      </c>
      <c r="T1504" s="2" t="s">
        <v>200</v>
      </c>
      <c r="U1504" s="2" t="s">
        <v>270</v>
      </c>
      <c r="V1504" s="2" t="s">
        <v>1695</v>
      </c>
      <c r="W1504" s="2" t="s">
        <v>379</v>
      </c>
      <c r="X1504" s="2" t="s">
        <v>1078</v>
      </c>
      <c r="Y1504" s="2" t="s">
        <v>261</v>
      </c>
      <c r="Z1504" s="4">
        <v>407</v>
      </c>
      <c r="AA1504" s="4">
        <f>=ROUNDDOWN(22.6111111111111,0)</f>
      </c>
      <c r="AB1504" s="5">
        <v>18</v>
      </c>
      <c r="AC1504" s="2" t="s">
        <v>112</v>
      </c>
      <c r="AD1504" s="4">
        <v>300</v>
      </c>
      <c r="AE1504" s="4">
        <v>300</v>
      </c>
      <c r="AF1504" s="6">
        <v>65</v>
      </c>
      <c r="AG1504" s="6"/>
      <c r="AH1504" s="7">
        <v>1</v>
      </c>
      <c r="AI1504" s="4"/>
      <c r="AJ1504" s="4">
        <f>=ROUNDDOWN({0},0)</f>
      </c>
      <c r="AK1504" s="5"/>
      <c r="AL1504" s="2" t="s">
        <v>200</v>
      </c>
      <c r="AM1504" s="4"/>
      <c r="AN1504" s="4"/>
      <c r="AO1504" s="7"/>
      <c r="AP1504" s="4"/>
      <c r="AQ1504" s="8"/>
      <c r="AR1504" s="4"/>
      <c r="AS1504" s="8"/>
      <c r="AT1504" s="7"/>
      <c r="AU1504" s="7"/>
      <c r="AV1504" s="4" t="s">
        <v>200</v>
      </c>
      <c r="AW1504" s="8" t="s">
        <v>200</v>
      </c>
      <c r="AX1504" s="4" t="s">
        <v>200</v>
      </c>
      <c r="AY1504" s="8" t="s">
        <v>200</v>
      </c>
      <c r="AZ1504" s="7" t="s">
        <v>200</v>
      </c>
      <c r="BA1504" s="7" t="s">
        <v>200</v>
      </c>
      <c r="BB1504" s="7"/>
      <c r="BC1504" s="4" t="s">
        <v>200</v>
      </c>
      <c r="BD1504" s="8" t="s">
        <v>200</v>
      </c>
      <c r="BE1504" s="4" t="s">
        <v>200</v>
      </c>
      <c r="BF1504" s="8" t="s">
        <v>200</v>
      </c>
      <c r="BG1504" s="7" t="s">
        <v>200</v>
      </c>
      <c r="BH1504" s="7" t="s">
        <v>200</v>
      </c>
      <c r="BI1504" s="7"/>
      <c r="BJ1504" s="4">
        <v>50</v>
      </c>
      <c r="BK1504" s="8">
        <v>833.36</v>
      </c>
      <c r="BL1504" s="2" t="s">
        <v>2207</v>
      </c>
      <c r="BM1504" s="7"/>
      <c r="BN1504" s="7"/>
      <c r="BO1504" s="4"/>
      <c r="BP1504" s="8"/>
      <c r="BQ1504" s="4"/>
      <c r="BR1504" s="8"/>
      <c r="BS1504" s="7"/>
      <c r="BT1504" s="7"/>
      <c r="BU1504" s="2" t="s">
        <v>8051</v>
      </c>
      <c r="BV1504" s="2" t="s">
        <v>200</v>
      </c>
      <c r="BW1504" s="2" t="s">
        <v>200</v>
      </c>
      <c r="BX1504" s="2" t="s">
        <v>620</v>
      </c>
      <c r="BY1504" s="2" t="s">
        <v>247</v>
      </c>
      <c r="BZ1504" s="2" t="s">
        <v>212</v>
      </c>
      <c r="CA1504" s="2" t="s">
        <v>265</v>
      </c>
      <c r="CB1504" s="2" t="s">
        <v>8052</v>
      </c>
      <c r="CC1504" s="2" t="s">
        <v>213</v>
      </c>
      <c r="CD1504" s="2" t="s">
        <v>200</v>
      </c>
      <c r="CE1504" s="4">
        <v>407</v>
      </c>
      <c r="CF1504" s="4"/>
      <c r="CG1504" s="4"/>
      <c r="CH1504" s="4"/>
      <c r="CI1504" s="4"/>
      <c r="CJ1504" s="4"/>
      <c r="CK1504" s="4"/>
      <c r="CL1504" s="4"/>
      <c r="CM1504" s="4"/>
      <c r="CN1504" s="4"/>
      <c r="CO1504" s="4"/>
      <c r="CP1504" s="4"/>
      <c r="CQ1504" s="4"/>
      <c r="CR1504" s="4"/>
      <c r="CS1504" s="4"/>
      <c r="CT1504" s="4"/>
      <c r="CU1504" s="4"/>
      <c r="CV1504" s="4"/>
      <c r="CW1504" s="4"/>
      <c r="CX1504" s="4"/>
      <c r="CY1504" s="4">
        <v>300</v>
      </c>
      <c r="CZ1504" s="4"/>
      <c r="DA1504" s="4"/>
      <c r="DB1504" s="4"/>
      <c r="DC1504" s="4"/>
      <c r="DD1504" s="4"/>
      <c r="DE1504" s="4"/>
      <c r="DF1504" s="4"/>
      <c r="DG1504" s="4"/>
      <c r="DH1504" s="4"/>
      <c r="DI1504" s="4"/>
      <c r="DJ1504" s="4"/>
      <c r="DK1504" s="4"/>
      <c r="DL1504" s="4"/>
      <c r="DM1504" s="4"/>
      <c r="DN1504" s="4"/>
      <c r="DO1504" s="4"/>
      <c r="DP1504" s="4"/>
      <c r="DQ1504" s="4"/>
      <c r="DR1504" s="4"/>
      <c r="DS1504" s="4"/>
      <c r="DT1504" s="4"/>
      <c r="DU1504" s="4"/>
      <c r="DV1504" s="4"/>
      <c r="DW1504" s="4"/>
      <c r="DX1504" s="4"/>
      <c r="DY1504" s="4"/>
      <c r="DZ1504" s="4"/>
      <c r="EA1504" s="4"/>
      <c r="EB1504" s="4"/>
      <c r="EC1504" s="4"/>
      <c r="ED1504" s="4"/>
      <c r="EE1504" s="4"/>
      <c r="EF1504" s="4"/>
      <c r="EG1504" s="4"/>
      <c r="EH1504" s="4"/>
      <c r="EI1504" s="4"/>
      <c r="EJ1504" s="4"/>
      <c r="EK1504" s="4"/>
      <c r="EL1504" s="4"/>
      <c r="EM1504" s="4"/>
      <c r="EN1504" s="4"/>
      <c r="EO1504" s="4"/>
      <c r="EP1504" s="4"/>
      <c r="EQ1504" s="4"/>
      <c r="ER1504" s="4"/>
      <c r="ES1504" s="4"/>
      <c r="ET1504" s="4"/>
      <c r="EU1504" s="4"/>
      <c r="EV1504" s="4"/>
      <c r="EW1504" s="4"/>
      <c r="EX1504" s="4"/>
      <c r="EY1504" s="4"/>
      <c r="EZ1504" s="4"/>
      <c r="FA1504" s="4"/>
      <c r="FB1504" s="4"/>
      <c r="FC1504" s="4"/>
      <c r="FD1504" s="4"/>
      <c r="FE1504" s="4"/>
      <c r="FF1504" s="4"/>
      <c r="FG1504" s="4"/>
      <c r="FH1504" s="4"/>
      <c r="FI1504" s="4"/>
      <c r="FJ1504" s="4"/>
      <c r="FK1504" s="4"/>
      <c r="FL1504" s="4"/>
      <c r="FM1504" s="4"/>
      <c r="FN1504" s="4"/>
      <c r="FO1504" s="4"/>
      <c r="FP1504" s="4"/>
      <c r="FQ1504" s="4"/>
      <c r="FR1504" s="4"/>
      <c r="FS1504" s="4"/>
      <c r="FT1504" s="4"/>
      <c r="FU1504" s="4"/>
      <c r="FV1504" s="4"/>
      <c r="FW1504" s="4"/>
      <c r="FX1504" s="4"/>
      <c r="FY1504" s="4"/>
      <c r="FZ1504" s="4"/>
      <c r="GA1504" s="4"/>
      <c r="GB1504" s="4"/>
      <c r="GC1504" s="4"/>
      <c r="GD1504" s="4"/>
      <c r="GE1504" s="4"/>
      <c r="GF1504" s="4"/>
      <c r="GG1504" s="4"/>
      <c r="GH1504" s="4"/>
    </row>
    <row r="1505">
      <c r="A1505" s="2" t="s">
        <v>8053</v>
      </c>
      <c r="B1505" s="2" t="s">
        <v>827</v>
      </c>
      <c r="C1505" s="2" t="s">
        <v>231</v>
      </c>
      <c r="D1505" s="2" t="s">
        <v>828</v>
      </c>
      <c r="E1505" s="2" t="s">
        <v>1011</v>
      </c>
      <c r="F1505" s="2" t="s">
        <v>8031</v>
      </c>
      <c r="G1505" s="2" t="s">
        <v>8032</v>
      </c>
      <c r="H1505" s="2" t="s">
        <v>8033</v>
      </c>
      <c r="I1505" s="2" t="s">
        <v>8034</v>
      </c>
      <c r="J1505" s="2" t="s">
        <v>1057</v>
      </c>
      <c r="K1505" s="2" t="s">
        <v>8046</v>
      </c>
      <c r="L1505" s="3">
        <v>20.7</v>
      </c>
      <c r="M1505" s="3">
        <v>21.74</v>
      </c>
      <c r="N1505" s="3">
        <v>44.99</v>
      </c>
      <c r="O1505" s="2" t="s">
        <v>212</v>
      </c>
      <c r="P1505" s="2" t="s">
        <v>258</v>
      </c>
      <c r="Q1505" s="2" t="s">
        <v>206</v>
      </c>
      <c r="R1505" s="2" t="s">
        <v>200</v>
      </c>
      <c r="S1505" s="2" t="s">
        <v>8047</v>
      </c>
      <c r="T1505" s="2" t="s">
        <v>200</v>
      </c>
      <c r="U1505" s="2" t="s">
        <v>270</v>
      </c>
      <c r="V1505" s="2" t="s">
        <v>1695</v>
      </c>
      <c r="W1505" s="2" t="s">
        <v>379</v>
      </c>
      <c r="X1505" s="2" t="s">
        <v>1078</v>
      </c>
      <c r="Y1505" s="2" t="s">
        <v>261</v>
      </c>
      <c r="Z1505" s="4">
        <v>151</v>
      </c>
      <c r="AA1505" s="4">
        <f>=ROUNDDOWN(25.1666666666667,0)</f>
      </c>
      <c r="AB1505" s="5">
        <v>6</v>
      </c>
      <c r="AC1505" s="2" t="s">
        <v>112</v>
      </c>
      <c r="AD1505" s="4">
        <v>100</v>
      </c>
      <c r="AE1505" s="4">
        <v>100</v>
      </c>
      <c r="AF1505" s="6">
        <v>65</v>
      </c>
      <c r="AG1505" s="6"/>
      <c r="AH1505" s="7">
        <v>1</v>
      </c>
      <c r="AI1505" s="4"/>
      <c r="AJ1505" s="4">
        <f>=ROUNDDOWN({0},0)</f>
      </c>
      <c r="AK1505" s="5"/>
      <c r="AL1505" s="2" t="s">
        <v>200</v>
      </c>
      <c r="AM1505" s="4"/>
      <c r="AN1505" s="4"/>
      <c r="AO1505" s="7"/>
      <c r="AP1505" s="4"/>
      <c r="AQ1505" s="8"/>
      <c r="AR1505" s="4"/>
      <c r="AS1505" s="8"/>
      <c r="AT1505" s="7"/>
      <c r="AU1505" s="7"/>
      <c r="AV1505" s="4" t="s">
        <v>200</v>
      </c>
      <c r="AW1505" s="8" t="s">
        <v>200</v>
      </c>
      <c r="AX1505" s="4" t="s">
        <v>200</v>
      </c>
      <c r="AY1505" s="8" t="s">
        <v>200</v>
      </c>
      <c r="AZ1505" s="7" t="s">
        <v>200</v>
      </c>
      <c r="BA1505" s="7" t="s">
        <v>200</v>
      </c>
      <c r="BB1505" s="7"/>
      <c r="BC1505" s="4" t="s">
        <v>200</v>
      </c>
      <c r="BD1505" s="8" t="s">
        <v>200</v>
      </c>
      <c r="BE1505" s="4" t="s">
        <v>200</v>
      </c>
      <c r="BF1505" s="8" t="s">
        <v>200</v>
      </c>
      <c r="BG1505" s="7" t="s">
        <v>200</v>
      </c>
      <c r="BH1505" s="7" t="s">
        <v>200</v>
      </c>
      <c r="BI1505" s="7"/>
      <c r="BJ1505" s="4">
        <v>13</v>
      </c>
      <c r="BK1505" s="8">
        <v>296.66</v>
      </c>
      <c r="BL1505" s="2" t="s">
        <v>1614</v>
      </c>
      <c r="BM1505" s="7"/>
      <c r="BN1505" s="7"/>
      <c r="BO1505" s="4"/>
      <c r="BP1505" s="8"/>
      <c r="BQ1505" s="4"/>
      <c r="BR1505" s="8"/>
      <c r="BS1505" s="7"/>
      <c r="BT1505" s="7"/>
      <c r="BU1505" s="2" t="s">
        <v>8054</v>
      </c>
      <c r="BV1505" s="2" t="s">
        <v>200</v>
      </c>
      <c r="BW1505" s="2" t="s">
        <v>200</v>
      </c>
      <c r="BX1505" s="2" t="s">
        <v>620</v>
      </c>
      <c r="BY1505" s="2" t="s">
        <v>247</v>
      </c>
      <c r="BZ1505" s="2" t="s">
        <v>212</v>
      </c>
      <c r="CA1505" s="2" t="s">
        <v>265</v>
      </c>
      <c r="CB1505" s="2" t="s">
        <v>8055</v>
      </c>
      <c r="CC1505" s="2" t="s">
        <v>213</v>
      </c>
      <c r="CD1505" s="2" t="s">
        <v>200</v>
      </c>
      <c r="CE1505" s="4">
        <v>151</v>
      </c>
      <c r="CF1505" s="4"/>
      <c r="CG1505" s="4"/>
      <c r="CH1505" s="4"/>
      <c r="CI1505" s="4"/>
      <c r="CJ1505" s="4"/>
      <c r="CK1505" s="4"/>
      <c r="CL1505" s="4"/>
      <c r="CM1505" s="4"/>
      <c r="CN1505" s="4"/>
      <c r="CO1505" s="4"/>
      <c r="CP1505" s="4"/>
      <c r="CQ1505" s="4"/>
      <c r="CR1505" s="4"/>
      <c r="CS1505" s="4"/>
      <c r="CT1505" s="4"/>
      <c r="CU1505" s="4"/>
      <c r="CV1505" s="4"/>
      <c r="CW1505" s="4"/>
      <c r="CX1505" s="4"/>
      <c r="CY1505" s="4">
        <v>100</v>
      </c>
      <c r="CZ1505" s="4"/>
      <c r="DA1505" s="4"/>
      <c r="DB1505" s="4"/>
      <c r="DC1505" s="4"/>
      <c r="DD1505" s="4"/>
      <c r="DE1505" s="4"/>
      <c r="DF1505" s="4"/>
      <c r="DG1505" s="4"/>
      <c r="DH1505" s="4"/>
      <c r="DI1505" s="4"/>
      <c r="DJ1505" s="4"/>
      <c r="DK1505" s="4"/>
      <c r="DL1505" s="4"/>
      <c r="DM1505" s="4"/>
      <c r="DN1505" s="4"/>
      <c r="DO1505" s="4"/>
      <c r="DP1505" s="4"/>
      <c r="DQ1505" s="4"/>
      <c r="DR1505" s="4"/>
      <c r="DS1505" s="4"/>
      <c r="DT1505" s="4"/>
      <c r="DU1505" s="4"/>
      <c r="DV1505" s="4"/>
      <c r="DW1505" s="4"/>
      <c r="DX1505" s="4"/>
      <c r="DY1505" s="4"/>
      <c r="DZ1505" s="4"/>
      <c r="EA1505" s="4"/>
      <c r="EB1505" s="4"/>
      <c r="EC1505" s="4"/>
      <c r="ED1505" s="4"/>
      <c r="EE1505" s="4"/>
      <c r="EF1505" s="4"/>
      <c r="EG1505" s="4"/>
      <c r="EH1505" s="4"/>
      <c r="EI1505" s="4"/>
      <c r="EJ1505" s="4"/>
      <c r="EK1505" s="4"/>
      <c r="EL1505" s="4"/>
      <c r="EM1505" s="4"/>
      <c r="EN1505" s="4"/>
      <c r="EO1505" s="4"/>
      <c r="EP1505" s="4"/>
      <c r="EQ1505" s="4"/>
      <c r="ER1505" s="4"/>
      <c r="ES1505" s="4"/>
      <c r="ET1505" s="4"/>
      <c r="EU1505" s="4"/>
      <c r="EV1505" s="4"/>
      <c r="EW1505" s="4"/>
      <c r="EX1505" s="4"/>
      <c r="EY1505" s="4"/>
      <c r="EZ1505" s="4"/>
      <c r="FA1505" s="4"/>
      <c r="FB1505" s="4"/>
      <c r="FC1505" s="4"/>
      <c r="FD1505" s="4"/>
      <c r="FE1505" s="4"/>
      <c r="FF1505" s="4"/>
      <c r="FG1505" s="4"/>
      <c r="FH1505" s="4"/>
      <c r="FI1505" s="4"/>
      <c r="FJ1505" s="4"/>
      <c r="FK1505" s="4"/>
      <c r="FL1505" s="4"/>
      <c r="FM1505" s="4"/>
      <c r="FN1505" s="4"/>
      <c r="FO1505" s="4"/>
      <c r="FP1505" s="4"/>
      <c r="FQ1505" s="4"/>
      <c r="FR1505" s="4"/>
      <c r="FS1505" s="4"/>
      <c r="FT1505" s="4"/>
      <c r="FU1505" s="4"/>
      <c r="FV1505" s="4"/>
      <c r="FW1505" s="4"/>
      <c r="FX1505" s="4"/>
      <c r="FY1505" s="4"/>
      <c r="FZ1505" s="4"/>
      <c r="GA1505" s="4"/>
      <c r="GB1505" s="4"/>
      <c r="GC1505" s="4"/>
      <c r="GD1505" s="4"/>
      <c r="GE1505" s="4"/>
      <c r="GF1505" s="4"/>
      <c r="GG1505" s="4"/>
      <c r="GH1505" s="4"/>
    </row>
    <row r="1506">
      <c r="A1506" s="2" t="s">
        <v>8056</v>
      </c>
      <c r="B1506" s="2" t="s">
        <v>827</v>
      </c>
      <c r="C1506" s="2" t="s">
        <v>231</v>
      </c>
      <c r="D1506" s="2" t="s">
        <v>828</v>
      </c>
      <c r="E1506" s="2" t="s">
        <v>1011</v>
      </c>
      <c r="F1506" s="2" t="s">
        <v>8031</v>
      </c>
      <c r="G1506" s="2" t="s">
        <v>8032</v>
      </c>
      <c r="H1506" s="2" t="s">
        <v>8033</v>
      </c>
      <c r="I1506" s="2" t="s">
        <v>8034</v>
      </c>
      <c r="J1506" s="2" t="s">
        <v>1057</v>
      </c>
      <c r="K1506" s="2" t="s">
        <v>7471</v>
      </c>
      <c r="L1506" s="3">
        <v>20.7</v>
      </c>
      <c r="M1506" s="3">
        <v>21.74</v>
      </c>
      <c r="N1506" s="3">
        <v>44.99</v>
      </c>
      <c r="O1506" s="2" t="s">
        <v>460</v>
      </c>
      <c r="P1506" s="2" t="s">
        <v>285</v>
      </c>
      <c r="Q1506" s="2" t="s">
        <v>206</v>
      </c>
      <c r="R1506" s="2" t="s">
        <v>200</v>
      </c>
      <c r="S1506" s="2" t="s">
        <v>8057</v>
      </c>
      <c r="T1506" s="2" t="s">
        <v>200</v>
      </c>
      <c r="U1506" s="2" t="s">
        <v>270</v>
      </c>
      <c r="V1506" s="2" t="s">
        <v>1695</v>
      </c>
      <c r="W1506" s="2" t="s">
        <v>379</v>
      </c>
      <c r="X1506" s="2" t="s">
        <v>1078</v>
      </c>
      <c r="Y1506" s="2" t="s">
        <v>261</v>
      </c>
      <c r="Z1506" s="4">
        <v>229</v>
      </c>
      <c r="AA1506" s="4">
        <f>=ROUNDDOWN(76.3333333333333,0)</f>
      </c>
      <c r="AB1506" s="5">
        <v>3</v>
      </c>
      <c r="AC1506" s="2" t="s">
        <v>200</v>
      </c>
      <c r="AD1506" s="4"/>
      <c r="AE1506" s="4"/>
      <c r="AF1506" s="6">
        <v>65</v>
      </c>
      <c r="AG1506" s="6"/>
      <c r="AH1506" s="7">
        <v>1</v>
      </c>
      <c r="AI1506" s="4"/>
      <c r="AJ1506" s="4">
        <f>=ROUNDDOWN({0},0)</f>
      </c>
      <c r="AK1506" s="5"/>
      <c r="AL1506" s="2" t="s">
        <v>200</v>
      </c>
      <c r="AM1506" s="4"/>
      <c r="AN1506" s="4"/>
      <c r="AO1506" s="7"/>
      <c r="AP1506" s="4"/>
      <c r="AQ1506" s="8"/>
      <c r="AR1506" s="4"/>
      <c r="AS1506" s="8"/>
      <c r="AT1506" s="7"/>
      <c r="AU1506" s="7"/>
      <c r="AV1506" s="4"/>
      <c r="AW1506" s="8"/>
      <c r="AX1506" s="4"/>
      <c r="AY1506" s="8"/>
      <c r="AZ1506" s="7"/>
      <c r="BA1506" s="7"/>
      <c r="BB1506" s="7"/>
      <c r="BC1506" s="4" t="s">
        <v>200</v>
      </c>
      <c r="BD1506" s="8" t="s">
        <v>200</v>
      </c>
      <c r="BE1506" s="4" t="s">
        <v>200</v>
      </c>
      <c r="BF1506" s="8" t="s">
        <v>200</v>
      </c>
      <c r="BG1506" s="7" t="s">
        <v>200</v>
      </c>
      <c r="BH1506" s="7" t="s">
        <v>200</v>
      </c>
      <c r="BI1506" s="7"/>
      <c r="BJ1506" s="4">
        <v>8</v>
      </c>
      <c r="BK1506" s="8">
        <v>118.82</v>
      </c>
      <c r="BL1506" s="2" t="s">
        <v>4268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8058</v>
      </c>
      <c r="BV1506" s="2" t="s">
        <v>200</v>
      </c>
      <c r="BW1506" s="2" t="s">
        <v>200</v>
      </c>
      <c r="BX1506" s="2" t="s">
        <v>289</v>
      </c>
      <c r="BY1506" s="2" t="s">
        <v>247</v>
      </c>
      <c r="BZ1506" s="2" t="s">
        <v>212</v>
      </c>
      <c r="CA1506" s="2" t="s">
        <v>265</v>
      </c>
      <c r="CB1506" s="2" t="s">
        <v>530</v>
      </c>
      <c r="CC1506" s="2" t="s">
        <v>213</v>
      </c>
      <c r="CD1506" s="2" t="s">
        <v>200</v>
      </c>
      <c r="CE1506" s="4">
        <v>229</v>
      </c>
      <c r="CF1506" s="4"/>
      <c r="CG1506" s="4"/>
      <c r="CH1506" s="4"/>
      <c r="CI1506" s="4"/>
      <c r="CJ1506" s="4"/>
      <c r="CK1506" s="4"/>
      <c r="CL1506" s="4"/>
      <c r="CM1506" s="4"/>
      <c r="CN1506" s="4"/>
      <c r="CO1506" s="4"/>
      <c r="CP1506" s="4"/>
      <c r="CQ1506" s="4"/>
      <c r="CR1506" s="4"/>
      <c r="CS1506" s="4"/>
      <c r="CT1506" s="4"/>
      <c r="CU1506" s="4"/>
      <c r="CV1506" s="4"/>
      <c r="CW1506" s="4"/>
      <c r="CX1506" s="4"/>
      <c r="CY1506" s="4"/>
      <c r="CZ1506" s="4"/>
      <c r="DA1506" s="4"/>
      <c r="DB1506" s="4"/>
      <c r="DC1506" s="4"/>
      <c r="DD1506" s="4"/>
      <c r="DE1506" s="4"/>
      <c r="DF1506" s="4"/>
      <c r="DG1506" s="4"/>
      <c r="DH1506" s="4"/>
      <c r="DI1506" s="4"/>
      <c r="DJ1506" s="4"/>
      <c r="DK1506" s="4"/>
      <c r="DL1506" s="4"/>
      <c r="DM1506" s="4"/>
      <c r="DN1506" s="4"/>
      <c r="DO1506" s="4"/>
      <c r="DP1506" s="4"/>
      <c r="DQ1506" s="4"/>
      <c r="DR1506" s="4"/>
      <c r="DS1506" s="4"/>
      <c r="DT1506" s="4"/>
      <c r="DU1506" s="4"/>
      <c r="DV1506" s="4"/>
      <c r="DW1506" s="4"/>
      <c r="DX1506" s="4"/>
      <c r="DY1506" s="4"/>
      <c r="DZ1506" s="4"/>
      <c r="EA1506" s="4"/>
      <c r="EB1506" s="4"/>
      <c r="EC1506" s="4"/>
      <c r="ED1506" s="4"/>
      <c r="EE1506" s="4"/>
      <c r="EF1506" s="4"/>
      <c r="EG1506" s="4"/>
      <c r="EH1506" s="4"/>
      <c r="EI1506" s="4"/>
      <c r="EJ1506" s="4"/>
      <c r="EK1506" s="4"/>
      <c r="EL1506" s="4"/>
      <c r="EM1506" s="4"/>
      <c r="EN1506" s="4"/>
      <c r="EO1506" s="4"/>
      <c r="EP1506" s="4"/>
      <c r="EQ1506" s="4"/>
      <c r="ER1506" s="4"/>
      <c r="ES1506" s="4"/>
      <c r="ET1506" s="4"/>
      <c r="EU1506" s="4"/>
      <c r="EV1506" s="4"/>
      <c r="EW1506" s="4"/>
      <c r="EX1506" s="4"/>
      <c r="EY1506" s="4"/>
      <c r="EZ1506" s="4"/>
      <c r="FA1506" s="4"/>
      <c r="FB1506" s="4"/>
      <c r="FC1506" s="4"/>
      <c r="FD1506" s="4"/>
      <c r="FE1506" s="4"/>
      <c r="FF1506" s="4"/>
      <c r="FG1506" s="4"/>
      <c r="FH1506" s="4"/>
      <c r="FI1506" s="4"/>
      <c r="FJ1506" s="4"/>
      <c r="FK1506" s="4"/>
      <c r="FL1506" s="4"/>
      <c r="FM1506" s="4"/>
      <c r="FN1506" s="4"/>
      <c r="FO1506" s="4"/>
      <c r="FP1506" s="4"/>
      <c r="FQ1506" s="4"/>
      <c r="FR1506" s="4"/>
      <c r="FS1506" s="4"/>
      <c r="FT1506" s="4"/>
      <c r="FU1506" s="4"/>
      <c r="FV1506" s="4"/>
      <c r="FW1506" s="4"/>
      <c r="FX1506" s="4"/>
      <c r="FY1506" s="4"/>
      <c r="FZ1506" s="4"/>
      <c r="GA1506" s="4"/>
      <c r="GB1506" s="4"/>
      <c r="GC1506" s="4"/>
      <c r="GD1506" s="4"/>
      <c r="GE1506" s="4"/>
      <c r="GF1506" s="4"/>
      <c r="GG1506" s="4"/>
      <c r="GH1506" s="4"/>
    </row>
    <row r="1507">
      <c r="A1507" s="2" t="s">
        <v>8059</v>
      </c>
      <c r="B1507" s="2" t="s">
        <v>827</v>
      </c>
      <c r="C1507" s="2" t="s">
        <v>231</v>
      </c>
      <c r="D1507" s="2" t="s">
        <v>828</v>
      </c>
      <c r="E1507" s="2" t="s">
        <v>1011</v>
      </c>
      <c r="F1507" s="2" t="s">
        <v>8031</v>
      </c>
      <c r="G1507" s="2" t="s">
        <v>8032</v>
      </c>
      <c r="H1507" s="2" t="s">
        <v>8033</v>
      </c>
      <c r="I1507" s="2" t="s">
        <v>8034</v>
      </c>
      <c r="J1507" s="2" t="s">
        <v>1242</v>
      </c>
      <c r="K1507" s="2" t="s">
        <v>8060</v>
      </c>
      <c r="L1507" s="3">
        <v>18.4</v>
      </c>
      <c r="M1507" s="3">
        <v>19.32</v>
      </c>
      <c r="N1507" s="3">
        <v>39.99</v>
      </c>
      <c r="O1507" s="2" t="s">
        <v>212</v>
      </c>
      <c r="P1507" s="2" t="s">
        <v>258</v>
      </c>
      <c r="Q1507" s="2" t="s">
        <v>206</v>
      </c>
      <c r="R1507" s="2" t="s">
        <v>200</v>
      </c>
      <c r="S1507" s="2" t="s">
        <v>8061</v>
      </c>
      <c r="T1507" s="2" t="s">
        <v>200</v>
      </c>
      <c r="U1507" s="2" t="s">
        <v>270</v>
      </c>
      <c r="V1507" s="2" t="s">
        <v>1695</v>
      </c>
      <c r="W1507" s="2" t="s">
        <v>379</v>
      </c>
      <c r="X1507" s="2" t="s">
        <v>1078</v>
      </c>
      <c r="Y1507" s="2" t="s">
        <v>261</v>
      </c>
      <c r="Z1507" s="4">
        <v>258</v>
      </c>
      <c r="AA1507" s="4">
        <f>=ROUNDDOWN(19.8461538461538,0)</f>
      </c>
      <c r="AB1507" s="5">
        <v>13</v>
      </c>
      <c r="AC1507" s="2" t="s">
        <v>117</v>
      </c>
      <c r="AD1507" s="4">
        <v>308</v>
      </c>
      <c r="AE1507" s="4">
        <v>308</v>
      </c>
      <c r="AF1507" s="6">
        <v>65</v>
      </c>
      <c r="AG1507" s="6"/>
      <c r="AH1507" s="7">
        <v>1</v>
      </c>
      <c r="AI1507" s="4"/>
      <c r="AJ1507" s="4">
        <f>=ROUNDDOWN({0},0)</f>
      </c>
      <c r="AK1507" s="5"/>
      <c r="AL1507" s="2" t="s">
        <v>200</v>
      </c>
      <c r="AM1507" s="4"/>
      <c r="AN1507" s="4"/>
      <c r="AO1507" s="7"/>
      <c r="AP1507" s="4"/>
      <c r="AQ1507" s="8"/>
      <c r="AR1507" s="4"/>
      <c r="AS1507" s="8"/>
      <c r="AT1507" s="7"/>
      <c r="AU1507" s="7"/>
      <c r="AV1507" s="4"/>
      <c r="AW1507" s="8"/>
      <c r="AX1507" s="4"/>
      <c r="AY1507" s="8"/>
      <c r="AZ1507" s="7"/>
      <c r="BA1507" s="7"/>
      <c r="BB1507" s="7"/>
      <c r="BC1507" s="4" t="s">
        <v>200</v>
      </c>
      <c r="BD1507" s="8" t="s">
        <v>200</v>
      </c>
      <c r="BE1507" s="4" t="s">
        <v>200</v>
      </c>
      <c r="BF1507" s="8" t="s">
        <v>200</v>
      </c>
      <c r="BG1507" s="7" t="s">
        <v>200</v>
      </c>
      <c r="BH1507" s="7" t="s">
        <v>200</v>
      </c>
      <c r="BI1507" s="7"/>
      <c r="BJ1507" s="4">
        <v>28</v>
      </c>
      <c r="BK1507" s="8">
        <v>546.1</v>
      </c>
      <c r="BL1507" s="2" t="s">
        <v>4209</v>
      </c>
      <c r="BM1507" s="7"/>
      <c r="BN1507" s="7"/>
      <c r="BO1507" s="4"/>
      <c r="BP1507" s="8"/>
      <c r="BQ1507" s="4"/>
      <c r="BR1507" s="8"/>
      <c r="BS1507" s="7"/>
      <c r="BT1507" s="7"/>
      <c r="BU1507" s="2" t="s">
        <v>8062</v>
      </c>
      <c r="BV1507" s="2" t="s">
        <v>200</v>
      </c>
      <c r="BW1507" s="2" t="s">
        <v>200</v>
      </c>
      <c r="BX1507" s="2" t="s">
        <v>620</v>
      </c>
      <c r="BY1507" s="2" t="s">
        <v>247</v>
      </c>
      <c r="BZ1507" s="2" t="s">
        <v>212</v>
      </c>
      <c r="CA1507" s="2" t="s">
        <v>265</v>
      </c>
      <c r="CB1507" s="2" t="s">
        <v>8063</v>
      </c>
      <c r="CC1507" s="2" t="s">
        <v>213</v>
      </c>
      <c r="CD1507" s="2" t="s">
        <v>200</v>
      </c>
      <c r="CE1507" s="4">
        <v>258</v>
      </c>
      <c r="CF1507" s="4"/>
      <c r="CG1507" s="4"/>
      <c r="CH1507" s="4"/>
      <c r="CI1507" s="4"/>
      <c r="CJ1507" s="4"/>
      <c r="CK1507" s="4"/>
      <c r="CL1507" s="4"/>
      <c r="CM1507" s="4"/>
      <c r="CN1507" s="4"/>
      <c r="CO1507" s="4"/>
      <c r="CP1507" s="4"/>
      <c r="CQ1507" s="4"/>
      <c r="CR1507" s="4"/>
      <c r="CS1507" s="4"/>
      <c r="CT1507" s="4"/>
      <c r="CU1507" s="4"/>
      <c r="CV1507" s="4"/>
      <c r="CW1507" s="4"/>
      <c r="CX1507" s="4"/>
      <c r="CY1507" s="4"/>
      <c r="CZ1507" s="4"/>
      <c r="DA1507" s="4"/>
      <c r="DB1507" s="4"/>
      <c r="DC1507" s="4"/>
      <c r="DD1507" s="4">
        <v>308</v>
      </c>
      <c r="DE1507" s="4"/>
      <c r="DF1507" s="4"/>
      <c r="DG1507" s="4"/>
      <c r="DH1507" s="4"/>
      <c r="DI1507" s="4"/>
      <c r="DJ1507" s="4"/>
      <c r="DK1507" s="4"/>
      <c r="DL1507" s="4"/>
      <c r="DM1507" s="4"/>
      <c r="DN1507" s="4"/>
      <c r="DO1507" s="4"/>
      <c r="DP1507" s="4"/>
      <c r="DQ1507" s="4"/>
      <c r="DR1507" s="4"/>
      <c r="DS1507" s="4"/>
      <c r="DT1507" s="4"/>
      <c r="DU1507" s="4"/>
      <c r="DV1507" s="4"/>
      <c r="DW1507" s="4"/>
      <c r="DX1507" s="4"/>
      <c r="DY1507" s="4"/>
      <c r="DZ1507" s="4"/>
      <c r="EA1507" s="4"/>
      <c r="EB1507" s="4"/>
      <c r="EC1507" s="4"/>
      <c r="ED1507" s="4"/>
      <c r="EE1507" s="4"/>
      <c r="EF1507" s="4"/>
      <c r="EG1507" s="4"/>
      <c r="EH1507" s="4"/>
      <c r="EI1507" s="4"/>
      <c r="EJ1507" s="4"/>
      <c r="EK1507" s="4"/>
      <c r="EL1507" s="4"/>
      <c r="EM1507" s="4"/>
      <c r="EN1507" s="4"/>
      <c r="EO1507" s="4"/>
      <c r="EP1507" s="4"/>
      <c r="EQ1507" s="4"/>
      <c r="ER1507" s="4"/>
      <c r="ES1507" s="4"/>
      <c r="ET1507" s="4"/>
      <c r="EU1507" s="4"/>
      <c r="EV1507" s="4"/>
      <c r="EW1507" s="4"/>
      <c r="EX1507" s="4"/>
      <c r="EY1507" s="4"/>
      <c r="EZ1507" s="4"/>
      <c r="FA1507" s="4"/>
      <c r="FB1507" s="4"/>
      <c r="FC1507" s="4"/>
      <c r="FD1507" s="4"/>
      <c r="FE1507" s="4"/>
      <c r="FF1507" s="4"/>
      <c r="FG1507" s="4"/>
      <c r="FH1507" s="4"/>
      <c r="FI1507" s="4"/>
      <c r="FJ1507" s="4"/>
      <c r="FK1507" s="4"/>
      <c r="FL1507" s="4"/>
      <c r="FM1507" s="4"/>
      <c r="FN1507" s="4"/>
      <c r="FO1507" s="4"/>
      <c r="FP1507" s="4"/>
      <c r="FQ1507" s="4"/>
      <c r="FR1507" s="4"/>
      <c r="FS1507" s="4"/>
      <c r="FT1507" s="4"/>
      <c r="FU1507" s="4"/>
      <c r="FV1507" s="4"/>
      <c r="FW1507" s="4"/>
      <c r="FX1507" s="4"/>
      <c r="FY1507" s="4"/>
      <c r="FZ1507" s="4"/>
      <c r="GA1507" s="4"/>
      <c r="GB1507" s="4"/>
      <c r="GC1507" s="4"/>
      <c r="GD1507" s="4"/>
      <c r="GE1507" s="4"/>
      <c r="GF1507" s="4"/>
      <c r="GG1507" s="4"/>
      <c r="GH1507" s="4"/>
    </row>
    <row r="1508">
      <c r="A1508" s="2" t="s">
        <v>8064</v>
      </c>
      <c r="B1508" s="2" t="s">
        <v>827</v>
      </c>
      <c r="C1508" s="2" t="s">
        <v>231</v>
      </c>
      <c r="D1508" s="2" t="s">
        <v>828</v>
      </c>
      <c r="E1508" s="2" t="s">
        <v>1011</v>
      </c>
      <c r="F1508" s="2" t="s">
        <v>8031</v>
      </c>
      <c r="G1508" s="2" t="s">
        <v>8032</v>
      </c>
      <c r="H1508" s="2" t="s">
        <v>8033</v>
      </c>
      <c r="I1508" s="2" t="s">
        <v>8034</v>
      </c>
      <c r="J1508" s="2" t="s">
        <v>1242</v>
      </c>
      <c r="K1508" s="2" t="s">
        <v>8065</v>
      </c>
      <c r="L1508" s="3">
        <v>18.4</v>
      </c>
      <c r="M1508" s="3">
        <v>19.32</v>
      </c>
      <c r="N1508" s="3">
        <v>39.99</v>
      </c>
      <c r="O1508" s="2" t="s">
        <v>417</v>
      </c>
      <c r="P1508" s="2" t="s">
        <v>285</v>
      </c>
      <c r="Q1508" s="2" t="s">
        <v>206</v>
      </c>
      <c r="R1508" s="2" t="s">
        <v>200</v>
      </c>
      <c r="S1508" s="2" t="s">
        <v>8066</v>
      </c>
      <c r="T1508" s="2" t="s">
        <v>200</v>
      </c>
      <c r="U1508" s="2" t="s">
        <v>270</v>
      </c>
      <c r="V1508" s="2" t="s">
        <v>1695</v>
      </c>
      <c r="W1508" s="2" t="s">
        <v>379</v>
      </c>
      <c r="X1508" s="2" t="s">
        <v>200</v>
      </c>
      <c r="Y1508" s="2" t="s">
        <v>261</v>
      </c>
      <c r="Z1508" s="4">
        <v>12</v>
      </c>
      <c r="AA1508" s="4">
        <f>=ROUNDDOWN(3,0)</f>
      </c>
      <c r="AB1508" s="5">
        <v>4</v>
      </c>
      <c r="AC1508" s="2" t="s">
        <v>200</v>
      </c>
      <c r="AD1508" s="4"/>
      <c r="AE1508" s="4"/>
      <c r="AF1508" s="6">
        <v>65</v>
      </c>
      <c r="AG1508" s="6"/>
      <c r="AH1508" s="7">
        <v>0.9667</v>
      </c>
      <c r="AI1508" s="4"/>
      <c r="AJ1508" s="4">
        <f>=ROUNDDOWN({0},0)</f>
      </c>
      <c r="AK1508" s="5"/>
      <c r="AL1508" s="2" t="s">
        <v>200</v>
      </c>
      <c r="AM1508" s="4"/>
      <c r="AN1508" s="4"/>
      <c r="AO1508" s="7"/>
      <c r="AP1508" s="4"/>
      <c r="AQ1508" s="8"/>
      <c r="AR1508" s="4"/>
      <c r="AS1508" s="8"/>
      <c r="AT1508" s="7"/>
      <c r="AU1508" s="7"/>
      <c r="AV1508" s="4" t="s">
        <v>200</v>
      </c>
      <c r="AW1508" s="8" t="s">
        <v>200</v>
      </c>
      <c r="AX1508" s="4" t="s">
        <v>200</v>
      </c>
      <c r="AY1508" s="8" t="s">
        <v>200</v>
      </c>
      <c r="AZ1508" s="7" t="s">
        <v>200</v>
      </c>
      <c r="BA1508" s="7" t="s">
        <v>200</v>
      </c>
      <c r="BB1508" s="7"/>
      <c r="BC1508" s="4" t="s">
        <v>200</v>
      </c>
      <c r="BD1508" s="8" t="s">
        <v>200</v>
      </c>
      <c r="BE1508" s="4" t="s">
        <v>200</v>
      </c>
      <c r="BF1508" s="8" t="s">
        <v>200</v>
      </c>
      <c r="BG1508" s="7" t="s">
        <v>200</v>
      </c>
      <c r="BH1508" s="7" t="s">
        <v>200</v>
      </c>
      <c r="BI1508" s="7"/>
      <c r="BJ1508" s="4"/>
      <c r="BK1508" s="8"/>
      <c r="BL1508" s="2" t="s">
        <v>2723</v>
      </c>
      <c r="BM1508" s="7"/>
      <c r="BN1508" s="7"/>
      <c r="BO1508" s="4"/>
      <c r="BP1508" s="8"/>
      <c r="BQ1508" s="4"/>
      <c r="BR1508" s="8"/>
      <c r="BS1508" s="7"/>
      <c r="BT1508" s="7"/>
      <c r="BU1508" s="2" t="s">
        <v>8067</v>
      </c>
      <c r="BV1508" s="2" t="s">
        <v>200</v>
      </c>
      <c r="BW1508" s="2" t="s">
        <v>200</v>
      </c>
      <c r="BX1508" s="2" t="s">
        <v>289</v>
      </c>
      <c r="BY1508" s="2" t="s">
        <v>247</v>
      </c>
      <c r="BZ1508" s="2" t="s">
        <v>212</v>
      </c>
      <c r="CA1508" s="2" t="s">
        <v>265</v>
      </c>
      <c r="CB1508" s="2" t="s">
        <v>8068</v>
      </c>
      <c r="CC1508" s="2" t="s">
        <v>213</v>
      </c>
      <c r="CD1508" s="2" t="s">
        <v>200</v>
      </c>
      <c r="CE1508" s="4">
        <v>12</v>
      </c>
      <c r="CF1508" s="4"/>
      <c r="CG1508" s="4"/>
      <c r="CH1508" s="4"/>
      <c r="CI1508" s="4"/>
      <c r="CJ1508" s="4"/>
      <c r="CK1508" s="4"/>
      <c r="CL1508" s="4"/>
      <c r="CM1508" s="4"/>
      <c r="CN1508" s="4"/>
      <c r="CO1508" s="4"/>
      <c r="CP1508" s="4"/>
      <c r="CQ1508" s="4"/>
      <c r="CR1508" s="4"/>
      <c r="CS1508" s="4"/>
      <c r="CT1508" s="4"/>
      <c r="CU1508" s="4"/>
      <c r="CV1508" s="4"/>
      <c r="CW1508" s="4"/>
      <c r="CX1508" s="4"/>
      <c r="CY1508" s="4"/>
      <c r="CZ1508" s="4"/>
      <c r="DA1508" s="4"/>
      <c r="DB1508" s="4"/>
      <c r="DC1508" s="4"/>
      <c r="DD1508" s="4"/>
      <c r="DE1508" s="4"/>
      <c r="DF1508" s="4"/>
      <c r="DG1508" s="4"/>
      <c r="DH1508" s="4"/>
      <c r="DI1508" s="4"/>
      <c r="DJ1508" s="4"/>
      <c r="DK1508" s="4"/>
      <c r="DL1508" s="4"/>
      <c r="DM1508" s="4"/>
      <c r="DN1508" s="4"/>
      <c r="DO1508" s="4"/>
      <c r="DP1508" s="4"/>
      <c r="DQ1508" s="4"/>
      <c r="DR1508" s="4"/>
      <c r="DS1508" s="4"/>
      <c r="DT1508" s="4"/>
      <c r="DU1508" s="4"/>
      <c r="DV1508" s="4"/>
      <c r="DW1508" s="4"/>
      <c r="DX1508" s="4"/>
      <c r="DY1508" s="4"/>
      <c r="DZ1508" s="4"/>
      <c r="EA1508" s="4"/>
      <c r="EB1508" s="4"/>
      <c r="EC1508" s="4"/>
      <c r="ED1508" s="4"/>
      <c r="EE1508" s="4"/>
      <c r="EF1508" s="4"/>
      <c r="EG1508" s="4"/>
      <c r="EH1508" s="4"/>
      <c r="EI1508" s="4"/>
      <c r="EJ1508" s="4"/>
      <c r="EK1508" s="4"/>
      <c r="EL1508" s="4"/>
      <c r="EM1508" s="4"/>
      <c r="EN1508" s="4"/>
      <c r="EO1508" s="4"/>
      <c r="EP1508" s="4"/>
      <c r="EQ1508" s="4"/>
      <c r="ER1508" s="4"/>
      <c r="ES1508" s="4"/>
      <c r="ET1508" s="4"/>
      <c r="EU1508" s="4"/>
      <c r="EV1508" s="4"/>
      <c r="EW1508" s="4"/>
      <c r="EX1508" s="4"/>
      <c r="EY1508" s="4"/>
      <c r="EZ1508" s="4"/>
      <c r="FA1508" s="4"/>
      <c r="FB1508" s="4"/>
      <c r="FC1508" s="4"/>
      <c r="FD1508" s="4"/>
      <c r="FE1508" s="4"/>
      <c r="FF1508" s="4"/>
      <c r="FG1508" s="4"/>
      <c r="FH1508" s="4"/>
      <c r="FI1508" s="4"/>
      <c r="FJ1508" s="4"/>
      <c r="FK1508" s="4"/>
      <c r="FL1508" s="4"/>
      <c r="FM1508" s="4"/>
      <c r="FN1508" s="4"/>
      <c r="FO1508" s="4"/>
      <c r="FP1508" s="4"/>
      <c r="FQ1508" s="4"/>
      <c r="FR1508" s="4"/>
      <c r="FS1508" s="4"/>
      <c r="FT1508" s="4"/>
      <c r="FU1508" s="4"/>
      <c r="FV1508" s="4"/>
      <c r="FW1508" s="4"/>
      <c r="FX1508" s="4"/>
      <c r="FY1508" s="4"/>
      <c r="FZ1508" s="4"/>
      <c r="GA1508" s="4"/>
      <c r="GB1508" s="4"/>
      <c r="GC1508" s="4"/>
      <c r="GD1508" s="4"/>
      <c r="GE1508" s="4"/>
      <c r="GF1508" s="4"/>
      <c r="GG1508" s="4"/>
      <c r="GH1508" s="4"/>
    </row>
    <row r="1509">
      <c r="A1509" s="2" t="s">
        <v>8069</v>
      </c>
      <c r="B1509" s="2" t="s">
        <v>827</v>
      </c>
      <c r="C1509" s="2" t="s">
        <v>231</v>
      </c>
      <c r="D1509" s="2" t="s">
        <v>828</v>
      </c>
      <c r="E1509" s="2" t="s">
        <v>1011</v>
      </c>
      <c r="F1509" s="2" t="s">
        <v>8031</v>
      </c>
      <c r="G1509" s="2" t="s">
        <v>8032</v>
      </c>
      <c r="H1509" s="2" t="s">
        <v>8033</v>
      </c>
      <c r="I1509" s="2" t="s">
        <v>8034</v>
      </c>
      <c r="J1509" s="2" t="s">
        <v>1057</v>
      </c>
      <c r="K1509" s="2" t="s">
        <v>8065</v>
      </c>
      <c r="L1509" s="3">
        <v>20.7</v>
      </c>
      <c r="M1509" s="3">
        <v>21.74</v>
      </c>
      <c r="N1509" s="3">
        <v>44.99</v>
      </c>
      <c r="O1509" s="2" t="s">
        <v>460</v>
      </c>
      <c r="P1509" s="2" t="s">
        <v>285</v>
      </c>
      <c r="Q1509" s="2" t="s">
        <v>206</v>
      </c>
      <c r="R1509" s="2" t="s">
        <v>200</v>
      </c>
      <c r="S1509" s="2" t="s">
        <v>8066</v>
      </c>
      <c r="T1509" s="2" t="s">
        <v>200</v>
      </c>
      <c r="U1509" s="2" t="s">
        <v>270</v>
      </c>
      <c r="V1509" s="2" t="s">
        <v>1695</v>
      </c>
      <c r="W1509" s="2" t="s">
        <v>379</v>
      </c>
      <c r="X1509" s="2" t="s">
        <v>200</v>
      </c>
      <c r="Y1509" s="2" t="s">
        <v>261</v>
      </c>
      <c r="Z1509" s="4">
        <v>192</v>
      </c>
      <c r="AA1509" s="4">
        <f>=ROUNDDOWN(192,0)</f>
      </c>
      <c r="AB1509" s="5">
        <v>1</v>
      </c>
      <c r="AC1509" s="2" t="s">
        <v>200</v>
      </c>
      <c r="AD1509" s="4"/>
      <c r="AE1509" s="4"/>
      <c r="AF1509" s="6">
        <v>65</v>
      </c>
      <c r="AG1509" s="6"/>
      <c r="AH1509" s="7">
        <v>1</v>
      </c>
      <c r="AI1509" s="4"/>
      <c r="AJ1509" s="4">
        <f>=ROUNDDOWN({0},0)</f>
      </c>
      <c r="AK1509" s="5"/>
      <c r="AL1509" s="2" t="s">
        <v>200</v>
      </c>
      <c r="AM1509" s="4"/>
      <c r="AN1509" s="4"/>
      <c r="AO1509" s="7"/>
      <c r="AP1509" s="4"/>
      <c r="AQ1509" s="8"/>
      <c r="AR1509" s="4"/>
      <c r="AS1509" s="8"/>
      <c r="AT1509" s="7"/>
      <c r="AU1509" s="7"/>
      <c r="AV1509" s="4" t="s">
        <v>200</v>
      </c>
      <c r="AW1509" s="8" t="s">
        <v>200</v>
      </c>
      <c r="AX1509" s="4" t="s">
        <v>200</v>
      </c>
      <c r="AY1509" s="8" t="s">
        <v>200</v>
      </c>
      <c r="AZ1509" s="7" t="s">
        <v>200</v>
      </c>
      <c r="BA1509" s="7" t="s">
        <v>200</v>
      </c>
      <c r="BB1509" s="7"/>
      <c r="BC1509" s="4" t="s">
        <v>200</v>
      </c>
      <c r="BD1509" s="8" t="s">
        <v>200</v>
      </c>
      <c r="BE1509" s="4" t="s">
        <v>200</v>
      </c>
      <c r="BF1509" s="8" t="s">
        <v>200</v>
      </c>
      <c r="BG1509" s="7" t="s">
        <v>200</v>
      </c>
      <c r="BH1509" s="7" t="s">
        <v>200</v>
      </c>
      <c r="BI1509" s="7"/>
      <c r="BJ1509" s="4">
        <v>12</v>
      </c>
      <c r="BK1509" s="8">
        <v>273.84</v>
      </c>
      <c r="BL1509" s="2" t="s">
        <v>2991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8070</v>
      </c>
      <c r="BV1509" s="2" t="s">
        <v>200</v>
      </c>
      <c r="BW1509" s="2" t="s">
        <v>200</v>
      </c>
      <c r="BX1509" s="2" t="s">
        <v>289</v>
      </c>
      <c r="BY1509" s="2" t="s">
        <v>247</v>
      </c>
      <c r="BZ1509" s="2" t="s">
        <v>212</v>
      </c>
      <c r="CA1509" s="2" t="s">
        <v>265</v>
      </c>
      <c r="CB1509" s="2" t="s">
        <v>8071</v>
      </c>
      <c r="CC1509" s="2" t="s">
        <v>213</v>
      </c>
      <c r="CD1509" s="2" t="s">
        <v>200</v>
      </c>
      <c r="CE1509" s="4">
        <v>192</v>
      </c>
      <c r="CF1509" s="4"/>
      <c r="CG1509" s="4"/>
      <c r="CH1509" s="4"/>
      <c r="CI1509" s="4"/>
      <c r="CJ1509" s="4"/>
      <c r="CK1509" s="4"/>
      <c r="CL1509" s="4"/>
      <c r="CM1509" s="4"/>
      <c r="CN1509" s="4"/>
      <c r="CO1509" s="4"/>
      <c r="CP1509" s="4"/>
      <c r="CQ1509" s="4"/>
      <c r="CR1509" s="4"/>
      <c r="CS1509" s="4"/>
      <c r="CT1509" s="4"/>
      <c r="CU1509" s="4"/>
      <c r="CV1509" s="4"/>
      <c r="CW1509" s="4"/>
      <c r="CX1509" s="4"/>
      <c r="CY1509" s="4"/>
      <c r="CZ1509" s="4"/>
      <c r="DA1509" s="4"/>
      <c r="DB1509" s="4"/>
      <c r="DC1509" s="4"/>
      <c r="DD1509" s="4"/>
      <c r="DE1509" s="4"/>
      <c r="DF1509" s="4"/>
      <c r="DG1509" s="4"/>
      <c r="DH1509" s="4"/>
      <c r="DI1509" s="4"/>
      <c r="DJ1509" s="4"/>
      <c r="DK1509" s="4"/>
      <c r="DL1509" s="4"/>
      <c r="DM1509" s="4"/>
      <c r="DN1509" s="4"/>
      <c r="DO1509" s="4"/>
      <c r="DP1509" s="4"/>
      <c r="DQ1509" s="4"/>
      <c r="DR1509" s="4"/>
      <c r="DS1509" s="4"/>
      <c r="DT1509" s="4"/>
      <c r="DU1509" s="4"/>
      <c r="DV1509" s="4"/>
      <c r="DW1509" s="4"/>
      <c r="DX1509" s="4"/>
      <c r="DY1509" s="4"/>
      <c r="DZ1509" s="4"/>
      <c r="EA1509" s="4"/>
      <c r="EB1509" s="4"/>
      <c r="EC1509" s="4"/>
      <c r="ED1509" s="4"/>
      <c r="EE1509" s="4"/>
      <c r="EF1509" s="4"/>
      <c r="EG1509" s="4"/>
      <c r="EH1509" s="4"/>
      <c r="EI1509" s="4"/>
      <c r="EJ1509" s="4"/>
      <c r="EK1509" s="4"/>
      <c r="EL1509" s="4"/>
      <c r="EM1509" s="4"/>
      <c r="EN1509" s="4"/>
      <c r="EO1509" s="4"/>
      <c r="EP1509" s="4"/>
      <c r="EQ1509" s="4"/>
      <c r="ER1509" s="4"/>
      <c r="ES1509" s="4"/>
      <c r="ET1509" s="4"/>
      <c r="EU1509" s="4"/>
      <c r="EV1509" s="4"/>
      <c r="EW1509" s="4"/>
      <c r="EX1509" s="4"/>
      <c r="EY1509" s="4"/>
      <c r="EZ1509" s="4"/>
      <c r="FA1509" s="4"/>
      <c r="FB1509" s="4"/>
      <c r="FC1509" s="4"/>
      <c r="FD1509" s="4"/>
      <c r="FE1509" s="4"/>
      <c r="FF1509" s="4"/>
      <c r="FG1509" s="4"/>
      <c r="FH1509" s="4"/>
      <c r="FI1509" s="4"/>
      <c r="FJ1509" s="4"/>
      <c r="FK1509" s="4"/>
      <c r="FL1509" s="4"/>
      <c r="FM1509" s="4"/>
      <c r="FN1509" s="4"/>
      <c r="FO1509" s="4"/>
      <c r="FP1509" s="4"/>
      <c r="FQ1509" s="4"/>
      <c r="FR1509" s="4"/>
      <c r="FS1509" s="4"/>
      <c r="FT1509" s="4"/>
      <c r="FU1509" s="4"/>
      <c r="FV1509" s="4"/>
      <c r="FW1509" s="4"/>
      <c r="FX1509" s="4"/>
      <c r="FY1509" s="4"/>
      <c r="FZ1509" s="4"/>
      <c r="GA1509" s="4"/>
      <c r="GB1509" s="4"/>
      <c r="GC1509" s="4"/>
      <c r="GD1509" s="4"/>
      <c r="GE1509" s="4"/>
      <c r="GF1509" s="4"/>
      <c r="GG1509" s="4"/>
      <c r="GH1509" s="4"/>
    </row>
    <row r="1510">
      <c r="A1510" s="2" t="s">
        <v>8072</v>
      </c>
      <c r="B1510" s="2" t="s">
        <v>827</v>
      </c>
      <c r="C1510" s="2" t="s">
        <v>231</v>
      </c>
      <c r="D1510" s="2" t="s">
        <v>828</v>
      </c>
      <c r="E1510" s="2" t="s">
        <v>1011</v>
      </c>
      <c r="F1510" s="2" t="s">
        <v>8031</v>
      </c>
      <c r="G1510" s="2" t="s">
        <v>8032</v>
      </c>
      <c r="H1510" s="2" t="s">
        <v>8033</v>
      </c>
      <c r="I1510" s="2" t="s">
        <v>8034</v>
      </c>
      <c r="J1510" s="2" t="s">
        <v>1057</v>
      </c>
      <c r="K1510" s="2" t="s">
        <v>8073</v>
      </c>
      <c r="L1510" s="3">
        <v>20.7</v>
      </c>
      <c r="M1510" s="3">
        <v>21.74</v>
      </c>
      <c r="N1510" s="3">
        <v>44.99</v>
      </c>
      <c r="O1510" s="2" t="s">
        <v>212</v>
      </c>
      <c r="P1510" s="2" t="s">
        <v>258</v>
      </c>
      <c r="Q1510" s="2" t="s">
        <v>206</v>
      </c>
      <c r="R1510" s="2" t="s">
        <v>200</v>
      </c>
      <c r="S1510" s="2" t="s">
        <v>8074</v>
      </c>
      <c r="T1510" s="2" t="s">
        <v>200</v>
      </c>
      <c r="U1510" s="2" t="s">
        <v>270</v>
      </c>
      <c r="V1510" s="2" t="s">
        <v>1695</v>
      </c>
      <c r="W1510" s="2" t="s">
        <v>379</v>
      </c>
      <c r="X1510" s="2" t="s">
        <v>1078</v>
      </c>
      <c r="Y1510" s="2" t="s">
        <v>261</v>
      </c>
      <c r="Z1510" s="4">
        <v>139</v>
      </c>
      <c r="AA1510" s="4">
        <f>=ROUNDDOWN(46.3333333333333,0)</f>
      </c>
      <c r="AB1510" s="5">
        <v>3</v>
      </c>
      <c r="AC1510" s="2" t="s">
        <v>200</v>
      </c>
      <c r="AD1510" s="4"/>
      <c r="AE1510" s="4"/>
      <c r="AF1510" s="6">
        <v>65</v>
      </c>
      <c r="AG1510" s="6"/>
      <c r="AH1510" s="7">
        <v>1</v>
      </c>
      <c r="AI1510" s="4"/>
      <c r="AJ1510" s="4">
        <f>=ROUNDDOWN({0},0)</f>
      </c>
      <c r="AK1510" s="5"/>
      <c r="AL1510" s="2" t="s">
        <v>200</v>
      </c>
      <c r="AM1510" s="4"/>
      <c r="AN1510" s="4"/>
      <c r="AO1510" s="7"/>
      <c r="AP1510" s="4"/>
      <c r="AQ1510" s="8"/>
      <c r="AR1510" s="4"/>
      <c r="AS1510" s="8"/>
      <c r="AT1510" s="7"/>
      <c r="AU1510" s="7"/>
      <c r="AV1510" s="4"/>
      <c r="AW1510" s="8"/>
      <c r="AX1510" s="4"/>
      <c r="AY1510" s="8"/>
      <c r="AZ1510" s="7"/>
      <c r="BA1510" s="7"/>
      <c r="BB1510" s="7"/>
      <c r="BC1510" s="4" t="s">
        <v>200</v>
      </c>
      <c r="BD1510" s="8" t="s">
        <v>200</v>
      </c>
      <c r="BE1510" s="4" t="s">
        <v>200</v>
      </c>
      <c r="BF1510" s="8" t="s">
        <v>200</v>
      </c>
      <c r="BG1510" s="7" t="s">
        <v>200</v>
      </c>
      <c r="BH1510" s="7" t="s">
        <v>200</v>
      </c>
      <c r="BI1510" s="7"/>
      <c r="BJ1510" s="4">
        <v>8</v>
      </c>
      <c r="BK1510" s="8">
        <v>174.14</v>
      </c>
      <c r="BL1510" s="2" t="s">
        <v>2509</v>
      </c>
      <c r="BM1510" s="7"/>
      <c r="BN1510" s="7"/>
      <c r="BO1510" s="4"/>
      <c r="BP1510" s="8"/>
      <c r="BQ1510" s="4"/>
      <c r="BR1510" s="8"/>
      <c r="BS1510" s="7"/>
      <c r="BT1510" s="7"/>
      <c r="BU1510" s="2" t="s">
        <v>8075</v>
      </c>
      <c r="BV1510" s="2" t="s">
        <v>200</v>
      </c>
      <c r="BW1510" s="2" t="s">
        <v>200</v>
      </c>
      <c r="BX1510" s="2" t="s">
        <v>620</v>
      </c>
      <c r="BY1510" s="2" t="s">
        <v>247</v>
      </c>
      <c r="BZ1510" s="2" t="s">
        <v>212</v>
      </c>
      <c r="CA1510" s="2" t="s">
        <v>265</v>
      </c>
      <c r="CB1510" s="2" t="s">
        <v>8076</v>
      </c>
      <c r="CC1510" s="2" t="s">
        <v>213</v>
      </c>
      <c r="CD1510" s="2" t="s">
        <v>200</v>
      </c>
      <c r="CE1510" s="4">
        <v>139</v>
      </c>
      <c r="CF1510" s="4"/>
      <c r="CG1510" s="4"/>
      <c r="CH1510" s="4"/>
      <c r="CI1510" s="4"/>
      <c r="CJ1510" s="4"/>
      <c r="CK1510" s="4"/>
      <c r="CL1510" s="4"/>
      <c r="CM1510" s="4"/>
      <c r="CN1510" s="4"/>
      <c r="CO1510" s="4"/>
      <c r="CP1510" s="4"/>
      <c r="CQ1510" s="4"/>
      <c r="CR1510" s="4"/>
      <c r="CS1510" s="4"/>
      <c r="CT1510" s="4"/>
      <c r="CU1510" s="4"/>
      <c r="CV1510" s="4"/>
      <c r="CW1510" s="4"/>
      <c r="CX1510" s="4"/>
      <c r="CY1510" s="4"/>
      <c r="CZ1510" s="4"/>
      <c r="DA1510" s="4"/>
      <c r="DB1510" s="4"/>
      <c r="DC1510" s="4"/>
      <c r="DD1510" s="4"/>
      <c r="DE1510" s="4"/>
      <c r="DF1510" s="4"/>
      <c r="DG1510" s="4"/>
      <c r="DH1510" s="4"/>
      <c r="DI1510" s="4"/>
      <c r="DJ1510" s="4"/>
      <c r="DK1510" s="4"/>
      <c r="DL1510" s="4"/>
      <c r="DM1510" s="4"/>
      <c r="DN1510" s="4"/>
      <c r="DO1510" s="4"/>
      <c r="DP1510" s="4"/>
      <c r="DQ1510" s="4"/>
      <c r="DR1510" s="4"/>
      <c r="DS1510" s="4"/>
      <c r="DT1510" s="4"/>
      <c r="DU1510" s="4"/>
      <c r="DV1510" s="4"/>
      <c r="DW1510" s="4"/>
      <c r="DX1510" s="4"/>
      <c r="DY1510" s="4"/>
      <c r="DZ1510" s="4"/>
      <c r="EA1510" s="4"/>
      <c r="EB1510" s="4"/>
      <c r="EC1510" s="4"/>
      <c r="ED1510" s="4"/>
      <c r="EE1510" s="4"/>
      <c r="EF1510" s="4"/>
      <c r="EG1510" s="4"/>
      <c r="EH1510" s="4"/>
      <c r="EI1510" s="4"/>
      <c r="EJ1510" s="4"/>
      <c r="EK1510" s="4"/>
      <c r="EL1510" s="4"/>
      <c r="EM1510" s="4"/>
      <c r="EN1510" s="4"/>
      <c r="EO1510" s="4"/>
      <c r="EP1510" s="4"/>
      <c r="EQ1510" s="4"/>
      <c r="ER1510" s="4"/>
      <c r="ES1510" s="4"/>
      <c r="ET1510" s="4"/>
      <c r="EU1510" s="4"/>
      <c r="EV1510" s="4"/>
      <c r="EW1510" s="4"/>
      <c r="EX1510" s="4"/>
      <c r="EY1510" s="4"/>
      <c r="EZ1510" s="4"/>
      <c r="FA1510" s="4"/>
      <c r="FB1510" s="4"/>
      <c r="FC1510" s="4"/>
      <c r="FD1510" s="4"/>
      <c r="FE1510" s="4"/>
      <c r="FF1510" s="4"/>
      <c r="FG1510" s="4"/>
      <c r="FH1510" s="4"/>
      <c r="FI1510" s="4"/>
      <c r="FJ1510" s="4"/>
      <c r="FK1510" s="4"/>
      <c r="FL1510" s="4"/>
      <c r="FM1510" s="4"/>
      <c r="FN1510" s="4"/>
      <c r="FO1510" s="4"/>
      <c r="FP1510" s="4"/>
      <c r="FQ1510" s="4"/>
      <c r="FR1510" s="4"/>
      <c r="FS1510" s="4"/>
      <c r="FT1510" s="4"/>
      <c r="FU1510" s="4"/>
      <c r="FV1510" s="4"/>
      <c r="FW1510" s="4"/>
      <c r="FX1510" s="4"/>
      <c r="FY1510" s="4"/>
      <c r="FZ1510" s="4"/>
      <c r="GA1510" s="4"/>
      <c r="GB1510" s="4"/>
      <c r="GC1510" s="4"/>
      <c r="GD1510" s="4"/>
      <c r="GE1510" s="4"/>
      <c r="GF1510" s="4"/>
      <c r="GG1510" s="4"/>
      <c r="GH1510" s="4"/>
    </row>
    <row r="1511">
      <c r="A1511" s="2" t="s">
        <v>8077</v>
      </c>
      <c r="B1511" s="2" t="s">
        <v>230</v>
      </c>
      <c r="C1511" s="2" t="s">
        <v>307</v>
      </c>
      <c r="D1511" s="2" t="s">
        <v>232</v>
      </c>
      <c r="E1511" s="2" t="s">
        <v>233</v>
      </c>
      <c r="F1511" s="2" t="s">
        <v>8078</v>
      </c>
      <c r="G1511" s="2" t="s">
        <v>8078</v>
      </c>
      <c r="H1511" s="2" t="s">
        <v>8078</v>
      </c>
      <c r="I1511" s="2" t="s">
        <v>8079</v>
      </c>
      <c r="J1511" s="2" t="s">
        <v>8080</v>
      </c>
      <c r="K1511" s="2" t="s">
        <v>237</v>
      </c>
      <c r="L1511" s="3">
        <v>25</v>
      </c>
      <c r="M1511" s="3">
        <v>26.25</v>
      </c>
      <c r="N1511" s="3">
        <v>49.99</v>
      </c>
      <c r="O1511" s="2" t="s">
        <v>212</v>
      </c>
      <c r="P1511" s="2" t="s">
        <v>205</v>
      </c>
      <c r="Q1511" s="2" t="s">
        <v>206</v>
      </c>
      <c r="R1511" s="2" t="s">
        <v>200</v>
      </c>
      <c r="S1511" s="2" t="s">
        <v>8081</v>
      </c>
      <c r="T1511" s="2" t="s">
        <v>8078</v>
      </c>
      <c r="U1511" s="2" t="s">
        <v>1067</v>
      </c>
      <c r="V1511" s="2" t="s">
        <v>208</v>
      </c>
      <c r="W1511" s="2" t="s">
        <v>241</v>
      </c>
      <c r="X1511" s="2" t="s">
        <v>379</v>
      </c>
      <c r="Y1511" s="2" t="s">
        <v>1663</v>
      </c>
      <c r="Z1511" s="4">
        <v>931</v>
      </c>
      <c r="AA1511" s="4">
        <f>=ROUNDDOWN(84.6363636363636,0)</f>
      </c>
      <c r="AB1511" s="5">
        <v>11</v>
      </c>
      <c r="AC1511" s="2" t="s">
        <v>200</v>
      </c>
      <c r="AD1511" s="4"/>
      <c r="AE1511" s="4"/>
      <c r="AF1511" s="6">
        <v>65</v>
      </c>
      <c r="AG1511" s="6">
        <v>48</v>
      </c>
      <c r="AH1511" s="7">
        <v>1</v>
      </c>
      <c r="AI1511" s="4"/>
      <c r="AJ1511" s="4">
        <f>=ROUNDDOWN({0},0)</f>
      </c>
      <c r="AK1511" s="5"/>
      <c r="AL1511" s="2" t="s">
        <v>200</v>
      </c>
      <c r="AM1511" s="4"/>
      <c r="AN1511" s="4"/>
      <c r="AO1511" s="7"/>
      <c r="AP1511" s="4"/>
      <c r="AQ1511" s="8"/>
      <c r="AR1511" s="4"/>
      <c r="AS1511" s="8"/>
      <c r="AT1511" s="7"/>
      <c r="AU1511" s="7"/>
      <c r="AV1511" s="4"/>
      <c r="AW1511" s="8"/>
      <c r="AX1511" s="4"/>
      <c r="AY1511" s="8"/>
      <c r="AZ1511" s="7"/>
      <c r="BA1511" s="7"/>
      <c r="BB1511" s="7"/>
      <c r="BC1511" s="4" t="s">
        <v>200</v>
      </c>
      <c r="BD1511" s="8" t="s">
        <v>200</v>
      </c>
      <c r="BE1511" s="4" t="s">
        <v>200</v>
      </c>
      <c r="BF1511" s="8" t="s">
        <v>200</v>
      </c>
      <c r="BG1511" s="7" t="s">
        <v>200</v>
      </c>
      <c r="BH1511" s="7" t="s">
        <v>200</v>
      </c>
      <c r="BI1511" s="7"/>
      <c r="BJ1511" s="4">
        <v>28</v>
      </c>
      <c r="BK1511" s="8">
        <v>800.21</v>
      </c>
      <c r="BL1511" s="2" t="s">
        <v>6099</v>
      </c>
      <c r="BM1511" s="7"/>
      <c r="BN1511" s="7"/>
      <c r="BO1511" s="4"/>
      <c r="BP1511" s="8"/>
      <c r="BQ1511" s="4"/>
      <c r="BR1511" s="8"/>
      <c r="BS1511" s="7"/>
      <c r="BT1511" s="7"/>
      <c r="BU1511" s="2" t="s">
        <v>8082</v>
      </c>
      <c r="BV1511" s="2" t="s">
        <v>200</v>
      </c>
      <c r="BW1511" s="2" t="s">
        <v>200</v>
      </c>
      <c r="BX1511" s="2" t="s">
        <v>629</v>
      </c>
      <c r="BY1511" s="2" t="s">
        <v>247</v>
      </c>
      <c r="BZ1511" s="2" t="s">
        <v>212</v>
      </c>
      <c r="CA1511" s="2" t="s">
        <v>8083</v>
      </c>
      <c r="CB1511" s="2" t="s">
        <v>200</v>
      </c>
      <c r="CC1511" s="2" t="s">
        <v>213</v>
      </c>
      <c r="CD1511" s="2" t="s">
        <v>200</v>
      </c>
      <c r="CE1511" s="4">
        <v>596</v>
      </c>
      <c r="CF1511" s="4"/>
      <c r="CG1511" s="4"/>
      <c r="CH1511" s="4">
        <v>335</v>
      </c>
      <c r="CI1511" s="4"/>
      <c r="CJ1511" s="4"/>
      <c r="CK1511" s="4"/>
      <c r="CL1511" s="4"/>
      <c r="CM1511" s="4"/>
      <c r="CN1511" s="4"/>
      <c r="CO1511" s="4"/>
      <c r="CP1511" s="4"/>
      <c r="CQ1511" s="4"/>
      <c r="CR1511" s="4"/>
      <c r="CS1511" s="4"/>
      <c r="CT1511" s="4"/>
      <c r="CU1511" s="4"/>
      <c r="CV1511" s="4"/>
      <c r="CW1511" s="4"/>
      <c r="CX1511" s="4"/>
      <c r="CY1511" s="4"/>
      <c r="CZ1511" s="4"/>
      <c r="DA1511" s="4"/>
      <c r="DB1511" s="4"/>
      <c r="DC1511" s="4"/>
      <c r="DD1511" s="4"/>
      <c r="DE1511" s="4"/>
      <c r="DF1511" s="4"/>
      <c r="DG1511" s="4"/>
      <c r="DH1511" s="4"/>
      <c r="DI1511" s="4"/>
      <c r="DJ1511" s="4"/>
      <c r="DK1511" s="4"/>
      <c r="DL1511" s="4"/>
      <c r="DM1511" s="4"/>
      <c r="DN1511" s="4"/>
      <c r="DO1511" s="4"/>
      <c r="DP1511" s="4"/>
      <c r="DQ1511" s="4"/>
      <c r="DR1511" s="4"/>
      <c r="DS1511" s="4"/>
      <c r="DT1511" s="4"/>
      <c r="DU1511" s="4"/>
      <c r="DV1511" s="4"/>
      <c r="DW1511" s="4"/>
      <c r="DX1511" s="4"/>
      <c r="DY1511" s="4"/>
      <c r="DZ1511" s="4"/>
      <c r="EA1511" s="4"/>
      <c r="EB1511" s="4"/>
      <c r="EC1511" s="4"/>
      <c r="ED1511" s="4"/>
      <c r="EE1511" s="4"/>
      <c r="EF1511" s="4"/>
      <c r="EG1511" s="4"/>
      <c r="EH1511" s="4"/>
      <c r="EI1511" s="4"/>
      <c r="EJ1511" s="4"/>
      <c r="EK1511" s="4"/>
      <c r="EL1511" s="4"/>
      <c r="EM1511" s="4"/>
      <c r="EN1511" s="4"/>
      <c r="EO1511" s="4"/>
      <c r="EP1511" s="4"/>
      <c r="EQ1511" s="4"/>
      <c r="ER1511" s="4"/>
      <c r="ES1511" s="4"/>
      <c r="ET1511" s="4"/>
      <c r="EU1511" s="4"/>
      <c r="EV1511" s="4"/>
      <c r="EW1511" s="4"/>
      <c r="EX1511" s="4"/>
      <c r="EY1511" s="4"/>
      <c r="EZ1511" s="4"/>
      <c r="FA1511" s="4"/>
      <c r="FB1511" s="4"/>
      <c r="FC1511" s="4"/>
      <c r="FD1511" s="4"/>
      <c r="FE1511" s="4"/>
      <c r="FF1511" s="4"/>
      <c r="FG1511" s="4"/>
      <c r="FH1511" s="4"/>
      <c r="FI1511" s="4"/>
      <c r="FJ1511" s="4"/>
      <c r="FK1511" s="4"/>
      <c r="FL1511" s="4"/>
      <c r="FM1511" s="4"/>
      <c r="FN1511" s="4"/>
      <c r="FO1511" s="4"/>
      <c r="FP1511" s="4"/>
      <c r="FQ1511" s="4"/>
      <c r="FR1511" s="4"/>
      <c r="FS1511" s="4"/>
      <c r="FT1511" s="4"/>
      <c r="FU1511" s="4"/>
      <c r="FV1511" s="4"/>
      <c r="FW1511" s="4"/>
      <c r="FX1511" s="4"/>
      <c r="FY1511" s="4"/>
      <c r="FZ1511" s="4"/>
      <c r="GA1511" s="4"/>
      <c r="GB1511" s="4"/>
      <c r="GC1511" s="4"/>
      <c r="GD1511" s="4"/>
      <c r="GE1511" s="4"/>
      <c r="GF1511" s="4"/>
      <c r="GG1511" s="4"/>
      <c r="GH1511" s="4"/>
    </row>
    <row r="1512">
      <c r="A1512" s="2" t="s">
        <v>8084</v>
      </c>
      <c r="B1512" s="2" t="s">
        <v>230</v>
      </c>
      <c r="C1512" s="2" t="s">
        <v>307</v>
      </c>
      <c r="D1512" s="2" t="s">
        <v>232</v>
      </c>
      <c r="E1512" s="2" t="s">
        <v>233</v>
      </c>
      <c r="F1512" s="2" t="s">
        <v>8078</v>
      </c>
      <c r="G1512" s="2" t="s">
        <v>8078</v>
      </c>
      <c r="H1512" s="2" t="s">
        <v>8078</v>
      </c>
      <c r="I1512" s="2" t="s">
        <v>8079</v>
      </c>
      <c r="J1512" s="2" t="s">
        <v>236</v>
      </c>
      <c r="K1512" s="2" t="s">
        <v>387</v>
      </c>
      <c r="L1512" s="3">
        <v>19.17</v>
      </c>
      <c r="M1512" s="3">
        <v>20.13</v>
      </c>
      <c r="N1512" s="3">
        <v>42.99</v>
      </c>
      <c r="O1512" s="2" t="s">
        <v>212</v>
      </c>
      <c r="P1512" s="2" t="s">
        <v>205</v>
      </c>
      <c r="Q1512" s="2" t="s">
        <v>206</v>
      </c>
      <c r="R1512" s="2" t="s">
        <v>200</v>
      </c>
      <c r="S1512" s="2" t="s">
        <v>8085</v>
      </c>
      <c r="T1512" s="2" t="s">
        <v>8078</v>
      </c>
      <c r="U1512" s="2" t="s">
        <v>662</v>
      </c>
      <c r="V1512" s="2" t="s">
        <v>208</v>
      </c>
      <c r="W1512" s="2" t="s">
        <v>241</v>
      </c>
      <c r="X1512" s="2" t="s">
        <v>379</v>
      </c>
      <c r="Y1512" s="2" t="s">
        <v>1373</v>
      </c>
      <c r="Z1512" s="4">
        <v>179</v>
      </c>
      <c r="AA1512" s="4">
        <f>=ROUNDDOWN(17.9,0)</f>
      </c>
      <c r="AB1512" s="5">
        <v>10</v>
      </c>
      <c r="AC1512" s="2" t="s">
        <v>3787</v>
      </c>
      <c r="AD1512" s="4">
        <v>80</v>
      </c>
      <c r="AE1512" s="4">
        <v>80</v>
      </c>
      <c r="AF1512" s="6">
        <v>65</v>
      </c>
      <c r="AG1512" s="6">
        <v>48</v>
      </c>
      <c r="AH1512" s="7">
        <v>1</v>
      </c>
      <c r="AI1512" s="4"/>
      <c r="AJ1512" s="4">
        <f>=ROUNDDOWN({0},0)</f>
      </c>
      <c r="AK1512" s="5"/>
      <c r="AL1512" s="2" t="s">
        <v>200</v>
      </c>
      <c r="AM1512" s="4"/>
      <c r="AN1512" s="4"/>
      <c r="AO1512" s="7"/>
      <c r="AP1512" s="4"/>
      <c r="AQ1512" s="8"/>
      <c r="AR1512" s="4"/>
      <c r="AS1512" s="8"/>
      <c r="AT1512" s="7"/>
      <c r="AU1512" s="7"/>
      <c r="AV1512" s="4"/>
      <c r="AW1512" s="8"/>
      <c r="AX1512" s="4"/>
      <c r="AY1512" s="8"/>
      <c r="AZ1512" s="7"/>
      <c r="BA1512" s="7"/>
      <c r="BB1512" s="7"/>
      <c r="BC1512" s="4" t="s">
        <v>200</v>
      </c>
      <c r="BD1512" s="8" t="s">
        <v>200</v>
      </c>
      <c r="BE1512" s="4" t="s">
        <v>200</v>
      </c>
      <c r="BF1512" s="8" t="s">
        <v>200</v>
      </c>
      <c r="BG1512" s="7" t="s">
        <v>200</v>
      </c>
      <c r="BH1512" s="7" t="s">
        <v>200</v>
      </c>
      <c r="BI1512" s="7"/>
      <c r="BJ1512" s="4">
        <v>39</v>
      </c>
      <c r="BK1512" s="8">
        <v>863.21</v>
      </c>
      <c r="BL1512" s="2" t="s">
        <v>8086</v>
      </c>
      <c r="BM1512" s="7"/>
      <c r="BN1512" s="7"/>
      <c r="BO1512" s="4"/>
      <c r="BP1512" s="8"/>
      <c r="BQ1512" s="4"/>
      <c r="BR1512" s="8"/>
      <c r="BS1512" s="7"/>
      <c r="BT1512" s="7"/>
      <c r="BU1512" s="2" t="s">
        <v>8087</v>
      </c>
      <c r="BV1512" s="2" t="s">
        <v>200</v>
      </c>
      <c r="BW1512" s="2" t="s">
        <v>200</v>
      </c>
      <c r="BX1512" s="2" t="s">
        <v>629</v>
      </c>
      <c r="BY1512" s="2" t="s">
        <v>247</v>
      </c>
      <c r="BZ1512" s="2" t="s">
        <v>212</v>
      </c>
      <c r="CA1512" s="2" t="s">
        <v>8083</v>
      </c>
      <c r="CB1512" s="2" t="s">
        <v>2567</v>
      </c>
      <c r="CC1512" s="2" t="s">
        <v>213</v>
      </c>
      <c r="CD1512" s="2" t="s">
        <v>200</v>
      </c>
      <c r="CE1512" s="4">
        <v>94</v>
      </c>
      <c r="CF1512" s="4"/>
      <c r="CG1512" s="4"/>
      <c r="CH1512" s="4">
        <v>85</v>
      </c>
      <c r="CI1512" s="4"/>
      <c r="CJ1512" s="4"/>
      <c r="CK1512" s="4"/>
      <c r="CL1512" s="4"/>
      <c r="CM1512" s="4"/>
      <c r="CN1512" s="4"/>
      <c r="CO1512" s="4"/>
      <c r="CP1512" s="4"/>
      <c r="CQ1512" s="4"/>
      <c r="CR1512" s="4"/>
      <c r="CS1512" s="4"/>
      <c r="CT1512" s="4"/>
      <c r="CU1512" s="4"/>
      <c r="CV1512" s="4"/>
      <c r="CW1512" s="4"/>
      <c r="CX1512" s="4"/>
      <c r="CY1512" s="4"/>
      <c r="CZ1512" s="4"/>
      <c r="DA1512" s="4"/>
      <c r="DB1512" s="4"/>
      <c r="DC1512" s="4"/>
      <c r="DD1512" s="4"/>
      <c r="DE1512" s="4"/>
      <c r="DF1512" s="4"/>
      <c r="DG1512" s="4"/>
      <c r="DH1512" s="4"/>
      <c r="DI1512" s="4"/>
      <c r="DJ1512" s="4"/>
      <c r="DK1512" s="4"/>
      <c r="DL1512" s="4"/>
      <c r="DM1512" s="4"/>
      <c r="DN1512" s="4"/>
      <c r="DO1512" s="4"/>
      <c r="DP1512" s="4"/>
      <c r="DQ1512" s="4"/>
      <c r="DR1512" s="4"/>
      <c r="DS1512" s="4"/>
      <c r="DT1512" s="4"/>
      <c r="DU1512" s="4"/>
      <c r="DV1512" s="4"/>
      <c r="DW1512" s="4"/>
      <c r="DX1512" s="4"/>
      <c r="DY1512" s="4"/>
      <c r="DZ1512" s="4"/>
      <c r="EA1512" s="4"/>
      <c r="EB1512" s="4"/>
      <c r="EC1512" s="4"/>
      <c r="ED1512" s="4"/>
      <c r="EE1512" s="4"/>
      <c r="EF1512" s="4">
        <v>80</v>
      </c>
      <c r="EG1512" s="4"/>
      <c r="EH1512" s="4"/>
      <c r="EI1512" s="4"/>
      <c r="EJ1512" s="4"/>
      <c r="EK1512" s="4"/>
      <c r="EL1512" s="4"/>
      <c r="EM1512" s="4"/>
      <c r="EN1512" s="4"/>
      <c r="EO1512" s="4"/>
      <c r="EP1512" s="4"/>
      <c r="EQ1512" s="4"/>
      <c r="ER1512" s="4"/>
      <c r="ES1512" s="4"/>
      <c r="ET1512" s="4"/>
      <c r="EU1512" s="4"/>
      <c r="EV1512" s="4"/>
      <c r="EW1512" s="4"/>
      <c r="EX1512" s="4"/>
      <c r="EY1512" s="4"/>
      <c r="EZ1512" s="4"/>
      <c r="FA1512" s="4"/>
      <c r="FB1512" s="4"/>
      <c r="FC1512" s="4"/>
      <c r="FD1512" s="4"/>
      <c r="FE1512" s="4"/>
      <c r="FF1512" s="4"/>
      <c r="FG1512" s="4"/>
      <c r="FH1512" s="4"/>
      <c r="FI1512" s="4"/>
      <c r="FJ1512" s="4"/>
      <c r="FK1512" s="4"/>
      <c r="FL1512" s="4"/>
      <c r="FM1512" s="4"/>
      <c r="FN1512" s="4"/>
      <c r="FO1512" s="4"/>
      <c r="FP1512" s="4"/>
      <c r="FQ1512" s="4"/>
      <c r="FR1512" s="4"/>
      <c r="FS1512" s="4"/>
      <c r="FT1512" s="4"/>
      <c r="FU1512" s="4"/>
      <c r="FV1512" s="4"/>
      <c r="FW1512" s="4"/>
      <c r="FX1512" s="4"/>
      <c r="FY1512" s="4"/>
      <c r="FZ1512" s="4"/>
      <c r="GA1512" s="4"/>
      <c r="GB1512" s="4"/>
      <c r="GC1512" s="4"/>
      <c r="GD1512" s="4"/>
      <c r="GE1512" s="4"/>
      <c r="GF1512" s="4"/>
      <c r="GG1512" s="4"/>
      <c r="GH1512" s="4"/>
    </row>
    <row r="1513">
      <c r="A1513" s="2" t="s">
        <v>8088</v>
      </c>
      <c r="B1513" s="2" t="s">
        <v>230</v>
      </c>
      <c r="C1513" s="2" t="s">
        <v>307</v>
      </c>
      <c r="D1513" s="2" t="s">
        <v>2171</v>
      </c>
      <c r="E1513" s="2" t="s">
        <v>2172</v>
      </c>
      <c r="F1513" s="2" t="s">
        <v>8078</v>
      </c>
      <c r="G1513" s="2" t="s">
        <v>8078</v>
      </c>
      <c r="H1513" s="2" t="s">
        <v>8078</v>
      </c>
      <c r="I1513" s="2" t="s">
        <v>8089</v>
      </c>
      <c r="J1513" s="2" t="s">
        <v>6138</v>
      </c>
      <c r="K1513" s="2" t="s">
        <v>1017</v>
      </c>
      <c r="L1513" s="3">
        <v>5.35</v>
      </c>
      <c r="M1513" s="3">
        <v>5.62</v>
      </c>
      <c r="N1513" s="3">
        <v>11.99</v>
      </c>
      <c r="O1513" s="2" t="s">
        <v>212</v>
      </c>
      <c r="P1513" s="2" t="s">
        <v>205</v>
      </c>
      <c r="Q1513" s="2" t="s">
        <v>206</v>
      </c>
      <c r="R1513" s="2" t="s">
        <v>200</v>
      </c>
      <c r="S1513" s="2" t="s">
        <v>8090</v>
      </c>
      <c r="T1513" s="2" t="s">
        <v>8078</v>
      </c>
      <c r="U1513" s="2" t="s">
        <v>677</v>
      </c>
      <c r="V1513" s="2" t="s">
        <v>208</v>
      </c>
      <c r="W1513" s="2" t="s">
        <v>241</v>
      </c>
      <c r="X1513" s="2" t="s">
        <v>379</v>
      </c>
      <c r="Y1513" s="2" t="s">
        <v>1640</v>
      </c>
      <c r="Z1513" s="4">
        <v>2</v>
      </c>
      <c r="AA1513" s="4">
        <f>=ROUNDDOWN(0.025,0)</f>
      </c>
      <c r="AB1513" s="5">
        <v>80</v>
      </c>
      <c r="AC1513" s="2" t="s">
        <v>3787</v>
      </c>
      <c r="AD1513" s="4">
        <v>360</v>
      </c>
      <c r="AE1513" s="4">
        <v>800</v>
      </c>
      <c r="AF1513" s="6">
        <v>65</v>
      </c>
      <c r="AG1513" s="6">
        <v>48</v>
      </c>
      <c r="AH1513" s="7">
        <v>0.8</v>
      </c>
      <c r="AI1513" s="4"/>
      <c r="AJ1513" s="4">
        <f>=ROUNDDOWN({0},0)</f>
      </c>
      <c r="AK1513" s="5"/>
      <c r="AL1513" s="2" t="s">
        <v>200</v>
      </c>
      <c r="AM1513" s="4"/>
      <c r="AN1513" s="4"/>
      <c r="AO1513" s="7"/>
      <c r="AP1513" s="4"/>
      <c r="AQ1513" s="8"/>
      <c r="AR1513" s="4"/>
      <c r="AS1513" s="8"/>
      <c r="AT1513" s="7"/>
      <c r="AU1513" s="7"/>
      <c r="AV1513" s="4"/>
      <c r="AW1513" s="8"/>
      <c r="AX1513" s="4"/>
      <c r="AY1513" s="8"/>
      <c r="AZ1513" s="7"/>
      <c r="BA1513" s="7"/>
      <c r="BB1513" s="7"/>
      <c r="BC1513" s="4" t="s">
        <v>200</v>
      </c>
      <c r="BD1513" s="8" t="s">
        <v>200</v>
      </c>
      <c r="BE1513" s="4" t="s">
        <v>200</v>
      </c>
      <c r="BF1513" s="8" t="s">
        <v>200</v>
      </c>
      <c r="BG1513" s="7" t="s">
        <v>200</v>
      </c>
      <c r="BH1513" s="7" t="s">
        <v>200</v>
      </c>
      <c r="BI1513" s="7"/>
      <c r="BJ1513" s="4">
        <v>836</v>
      </c>
      <c r="BK1513" s="8">
        <v>4365.91</v>
      </c>
      <c r="BL1513" s="2" t="s">
        <v>359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8091</v>
      </c>
      <c r="BV1513" s="2" t="s">
        <v>200</v>
      </c>
      <c r="BW1513" s="2" t="s">
        <v>200</v>
      </c>
      <c r="BX1513" s="2" t="s">
        <v>264</v>
      </c>
      <c r="BY1513" s="2" t="s">
        <v>247</v>
      </c>
      <c r="BZ1513" s="2" t="s">
        <v>212</v>
      </c>
      <c r="CA1513" s="2" t="s">
        <v>8083</v>
      </c>
      <c r="CB1513" s="2" t="s">
        <v>3625</v>
      </c>
      <c r="CC1513" s="2" t="s">
        <v>213</v>
      </c>
      <c r="CD1513" s="2" t="s">
        <v>200</v>
      </c>
      <c r="CE1513" s="4"/>
      <c r="CF1513" s="4"/>
      <c r="CG1513" s="4"/>
      <c r="CH1513" s="4">
        <v>2</v>
      </c>
      <c r="CI1513" s="4"/>
      <c r="CJ1513" s="4"/>
      <c r="CK1513" s="4"/>
      <c r="CL1513" s="4"/>
      <c r="CM1513" s="4"/>
      <c r="CN1513" s="4"/>
      <c r="CO1513" s="4"/>
      <c r="CP1513" s="4"/>
      <c r="CQ1513" s="4"/>
      <c r="CR1513" s="4"/>
      <c r="CS1513" s="4"/>
      <c r="CT1513" s="4"/>
      <c r="CU1513" s="4"/>
      <c r="CV1513" s="4"/>
      <c r="CW1513" s="4"/>
      <c r="CX1513" s="4"/>
      <c r="CY1513" s="4"/>
      <c r="CZ1513" s="4"/>
      <c r="DA1513" s="4"/>
      <c r="DB1513" s="4"/>
      <c r="DC1513" s="4"/>
      <c r="DD1513" s="4"/>
      <c r="DE1513" s="4"/>
      <c r="DF1513" s="4"/>
      <c r="DG1513" s="4"/>
      <c r="DH1513" s="4"/>
      <c r="DI1513" s="4"/>
      <c r="DJ1513" s="4"/>
      <c r="DK1513" s="4"/>
      <c r="DL1513" s="4"/>
      <c r="DM1513" s="4"/>
      <c r="DN1513" s="4"/>
      <c r="DO1513" s="4"/>
      <c r="DP1513" s="4"/>
      <c r="DQ1513" s="4"/>
      <c r="DR1513" s="4"/>
      <c r="DS1513" s="4"/>
      <c r="DT1513" s="4"/>
      <c r="DU1513" s="4"/>
      <c r="DV1513" s="4"/>
      <c r="DW1513" s="4"/>
      <c r="DX1513" s="4"/>
      <c r="DY1513" s="4"/>
      <c r="DZ1513" s="4"/>
      <c r="EA1513" s="4"/>
      <c r="EB1513" s="4"/>
      <c r="EC1513" s="4"/>
      <c r="ED1513" s="4"/>
      <c r="EE1513" s="4"/>
      <c r="EF1513" s="4">
        <v>360</v>
      </c>
      <c r="EG1513" s="4"/>
      <c r="EH1513" s="4"/>
      <c r="EI1513" s="4"/>
      <c r="EJ1513" s="4"/>
      <c r="EK1513" s="4"/>
      <c r="EL1513" s="4"/>
      <c r="EM1513" s="4"/>
      <c r="EN1513" s="4"/>
      <c r="EO1513" s="4"/>
      <c r="EP1513" s="4"/>
      <c r="EQ1513" s="4"/>
      <c r="ER1513" s="4"/>
      <c r="ES1513" s="4"/>
      <c r="ET1513" s="4"/>
      <c r="EU1513" s="4"/>
      <c r="EV1513" s="4"/>
      <c r="EW1513" s="4"/>
      <c r="EX1513" s="4"/>
      <c r="EY1513" s="4"/>
      <c r="EZ1513" s="4"/>
      <c r="FA1513" s="4"/>
      <c r="FB1513" s="4"/>
      <c r="FC1513" s="4"/>
      <c r="FD1513" s="4"/>
      <c r="FE1513" s="4"/>
      <c r="FF1513" s="4">
        <v>440</v>
      </c>
      <c r="FG1513" s="4"/>
      <c r="FH1513" s="4"/>
      <c r="FI1513" s="4"/>
      <c r="FJ1513" s="4"/>
      <c r="FK1513" s="4"/>
      <c r="FL1513" s="4"/>
      <c r="FM1513" s="4"/>
      <c r="FN1513" s="4"/>
      <c r="FO1513" s="4"/>
      <c r="FP1513" s="4"/>
      <c r="FQ1513" s="4"/>
      <c r="FR1513" s="4"/>
      <c r="FS1513" s="4"/>
      <c r="FT1513" s="4"/>
      <c r="FU1513" s="4"/>
      <c r="FV1513" s="4"/>
      <c r="FW1513" s="4"/>
      <c r="FX1513" s="4"/>
      <c r="FY1513" s="4"/>
      <c r="FZ1513" s="4"/>
      <c r="GA1513" s="4"/>
      <c r="GB1513" s="4"/>
      <c r="GC1513" s="4"/>
      <c r="GD1513" s="4"/>
      <c r="GE1513" s="4"/>
      <c r="GF1513" s="4"/>
      <c r="GG1513" s="4"/>
      <c r="GH1513" s="4"/>
    </row>
    <row r="1514">
      <c r="A1514" s="2" t="s">
        <v>8092</v>
      </c>
      <c r="B1514" s="2" t="s">
        <v>230</v>
      </c>
      <c r="C1514" s="2" t="s">
        <v>307</v>
      </c>
      <c r="D1514" s="2" t="s">
        <v>232</v>
      </c>
      <c r="E1514" s="2" t="s">
        <v>233</v>
      </c>
      <c r="F1514" s="2" t="s">
        <v>8078</v>
      </c>
      <c r="G1514" s="2" t="s">
        <v>8078</v>
      </c>
      <c r="H1514" s="2" t="s">
        <v>8078</v>
      </c>
      <c r="I1514" s="2" t="s">
        <v>8079</v>
      </c>
      <c r="J1514" s="2" t="s">
        <v>256</v>
      </c>
      <c r="K1514" s="2" t="s">
        <v>8093</v>
      </c>
      <c r="L1514" s="3">
        <v>12.48</v>
      </c>
      <c r="M1514" s="3">
        <v>13.1</v>
      </c>
      <c r="N1514" s="3">
        <v>27.99</v>
      </c>
      <c r="O1514" s="2" t="s">
        <v>212</v>
      </c>
      <c r="P1514" s="2" t="s">
        <v>205</v>
      </c>
      <c r="Q1514" s="2" t="s">
        <v>206</v>
      </c>
      <c r="R1514" s="2" t="s">
        <v>200</v>
      </c>
      <c r="S1514" s="2" t="s">
        <v>8094</v>
      </c>
      <c r="T1514" s="2" t="s">
        <v>8078</v>
      </c>
      <c r="U1514" s="2" t="s">
        <v>240</v>
      </c>
      <c r="V1514" s="2" t="s">
        <v>208</v>
      </c>
      <c r="W1514" s="2" t="s">
        <v>241</v>
      </c>
      <c r="X1514" s="2" t="s">
        <v>379</v>
      </c>
      <c r="Y1514" s="2" t="s">
        <v>1373</v>
      </c>
      <c r="Z1514" s="4">
        <v>556</v>
      </c>
      <c r="AA1514" s="4">
        <f>=ROUNDDOWN(46.3333333333333,0)</f>
      </c>
      <c r="AB1514" s="5">
        <v>12</v>
      </c>
      <c r="AC1514" s="2" t="s">
        <v>200</v>
      </c>
      <c r="AD1514" s="4"/>
      <c r="AE1514" s="4"/>
      <c r="AF1514" s="6">
        <v>65</v>
      </c>
      <c r="AG1514" s="6">
        <v>48</v>
      </c>
      <c r="AH1514" s="7">
        <v>1</v>
      </c>
      <c r="AI1514" s="4"/>
      <c r="AJ1514" s="4">
        <f>=ROUNDDOWN({0},0)</f>
      </c>
      <c r="AK1514" s="5"/>
      <c r="AL1514" s="2" t="s">
        <v>200</v>
      </c>
      <c r="AM1514" s="4"/>
      <c r="AN1514" s="4"/>
      <c r="AO1514" s="7"/>
      <c r="AP1514" s="4"/>
      <c r="AQ1514" s="8"/>
      <c r="AR1514" s="4"/>
      <c r="AS1514" s="8"/>
      <c r="AT1514" s="7"/>
      <c r="AU1514" s="7"/>
      <c r="AV1514" s="4" t="s">
        <v>200</v>
      </c>
      <c r="AW1514" s="8" t="s">
        <v>200</v>
      </c>
      <c r="AX1514" s="4" t="s">
        <v>200</v>
      </c>
      <c r="AY1514" s="8" t="s">
        <v>200</v>
      </c>
      <c r="AZ1514" s="7" t="s">
        <v>200</v>
      </c>
      <c r="BA1514" s="7" t="s">
        <v>200</v>
      </c>
      <c r="BB1514" s="7"/>
      <c r="BC1514" s="4" t="s">
        <v>200</v>
      </c>
      <c r="BD1514" s="8" t="s">
        <v>200</v>
      </c>
      <c r="BE1514" s="4" t="s">
        <v>200</v>
      </c>
      <c r="BF1514" s="8" t="s">
        <v>200</v>
      </c>
      <c r="BG1514" s="7" t="s">
        <v>200</v>
      </c>
      <c r="BH1514" s="7" t="s">
        <v>200</v>
      </c>
      <c r="BI1514" s="7"/>
      <c r="BJ1514" s="4">
        <v>29</v>
      </c>
      <c r="BK1514" s="8">
        <v>426.64</v>
      </c>
      <c r="BL1514" s="2" t="s">
        <v>8095</v>
      </c>
      <c r="BM1514" s="7"/>
      <c r="BN1514" s="7"/>
      <c r="BO1514" s="4"/>
      <c r="BP1514" s="8"/>
      <c r="BQ1514" s="4"/>
      <c r="BR1514" s="8"/>
      <c r="BS1514" s="7"/>
      <c r="BT1514" s="7"/>
      <c r="BU1514" s="2" t="s">
        <v>8096</v>
      </c>
      <c r="BV1514" s="2" t="s">
        <v>200</v>
      </c>
      <c r="BW1514" s="2" t="s">
        <v>200</v>
      </c>
      <c r="BX1514" s="2" t="s">
        <v>629</v>
      </c>
      <c r="BY1514" s="2" t="s">
        <v>247</v>
      </c>
      <c r="BZ1514" s="2" t="s">
        <v>212</v>
      </c>
      <c r="CA1514" s="2" t="s">
        <v>8083</v>
      </c>
      <c r="CB1514" s="2" t="s">
        <v>200</v>
      </c>
      <c r="CC1514" s="2" t="s">
        <v>213</v>
      </c>
      <c r="CD1514" s="2" t="s">
        <v>200</v>
      </c>
      <c r="CE1514" s="4">
        <v>323</v>
      </c>
      <c r="CF1514" s="4"/>
      <c r="CG1514" s="4"/>
      <c r="CH1514" s="4">
        <v>233</v>
      </c>
      <c r="CI1514" s="4"/>
      <c r="CJ1514" s="4"/>
      <c r="CK1514" s="4"/>
      <c r="CL1514" s="4"/>
      <c r="CM1514" s="4"/>
      <c r="CN1514" s="4"/>
      <c r="CO1514" s="4"/>
      <c r="CP1514" s="4"/>
      <c r="CQ1514" s="4"/>
      <c r="CR1514" s="4"/>
      <c r="CS1514" s="4"/>
      <c r="CT1514" s="4"/>
      <c r="CU1514" s="4"/>
      <c r="CV1514" s="4"/>
      <c r="CW1514" s="4"/>
      <c r="CX1514" s="4"/>
      <c r="CY1514" s="4"/>
      <c r="CZ1514" s="4"/>
      <c r="DA1514" s="4"/>
      <c r="DB1514" s="4"/>
      <c r="DC1514" s="4"/>
      <c r="DD1514" s="4"/>
      <c r="DE1514" s="4"/>
      <c r="DF1514" s="4"/>
      <c r="DG1514" s="4"/>
      <c r="DH1514" s="4"/>
      <c r="DI1514" s="4"/>
      <c r="DJ1514" s="4"/>
      <c r="DK1514" s="4"/>
      <c r="DL1514" s="4"/>
      <c r="DM1514" s="4"/>
      <c r="DN1514" s="4"/>
      <c r="DO1514" s="4"/>
      <c r="DP1514" s="4"/>
      <c r="DQ1514" s="4"/>
      <c r="DR1514" s="4"/>
      <c r="DS1514" s="4"/>
      <c r="DT1514" s="4"/>
      <c r="DU1514" s="4"/>
      <c r="DV1514" s="4"/>
      <c r="DW1514" s="4"/>
      <c r="DX1514" s="4"/>
      <c r="DY1514" s="4"/>
      <c r="DZ1514" s="4"/>
      <c r="EA1514" s="4"/>
      <c r="EB1514" s="4"/>
      <c r="EC1514" s="4"/>
      <c r="ED1514" s="4"/>
      <c r="EE1514" s="4"/>
      <c r="EF1514" s="4"/>
      <c r="EG1514" s="4"/>
      <c r="EH1514" s="4"/>
      <c r="EI1514" s="4"/>
      <c r="EJ1514" s="4"/>
      <c r="EK1514" s="4"/>
      <c r="EL1514" s="4"/>
      <c r="EM1514" s="4"/>
      <c r="EN1514" s="4"/>
      <c r="EO1514" s="4"/>
      <c r="EP1514" s="4"/>
      <c r="EQ1514" s="4"/>
      <c r="ER1514" s="4"/>
      <c r="ES1514" s="4"/>
      <c r="ET1514" s="4"/>
      <c r="EU1514" s="4"/>
      <c r="EV1514" s="4"/>
      <c r="EW1514" s="4"/>
      <c r="EX1514" s="4"/>
      <c r="EY1514" s="4"/>
      <c r="EZ1514" s="4"/>
      <c r="FA1514" s="4"/>
      <c r="FB1514" s="4"/>
      <c r="FC1514" s="4"/>
      <c r="FD1514" s="4"/>
      <c r="FE1514" s="4"/>
      <c r="FF1514" s="4"/>
      <c r="FG1514" s="4"/>
      <c r="FH1514" s="4"/>
      <c r="FI1514" s="4"/>
      <c r="FJ1514" s="4"/>
      <c r="FK1514" s="4"/>
      <c r="FL1514" s="4"/>
      <c r="FM1514" s="4"/>
      <c r="FN1514" s="4"/>
      <c r="FO1514" s="4"/>
      <c r="FP1514" s="4"/>
      <c r="FQ1514" s="4"/>
      <c r="FR1514" s="4"/>
      <c r="FS1514" s="4"/>
      <c r="FT1514" s="4"/>
      <c r="FU1514" s="4"/>
      <c r="FV1514" s="4"/>
      <c r="FW1514" s="4"/>
      <c r="FX1514" s="4"/>
      <c r="FY1514" s="4"/>
      <c r="FZ1514" s="4"/>
      <c r="GA1514" s="4"/>
      <c r="GB1514" s="4"/>
      <c r="GC1514" s="4"/>
      <c r="GD1514" s="4"/>
      <c r="GE1514" s="4"/>
      <c r="GF1514" s="4"/>
      <c r="GG1514" s="4"/>
      <c r="GH1514" s="4"/>
    </row>
    <row r="1515">
      <c r="A1515" s="2" t="s">
        <v>8097</v>
      </c>
      <c r="B1515" s="2" t="s">
        <v>230</v>
      </c>
      <c r="C1515" s="2" t="s">
        <v>307</v>
      </c>
      <c r="D1515" s="2" t="s">
        <v>232</v>
      </c>
      <c r="E1515" s="2" t="s">
        <v>233</v>
      </c>
      <c r="F1515" s="2" t="s">
        <v>8078</v>
      </c>
      <c r="G1515" s="2" t="s">
        <v>8078</v>
      </c>
      <c r="H1515" s="2" t="s">
        <v>8078</v>
      </c>
      <c r="I1515" s="2" t="s">
        <v>8079</v>
      </c>
      <c r="J1515" s="2" t="s">
        <v>277</v>
      </c>
      <c r="K1515" s="2" t="s">
        <v>8093</v>
      </c>
      <c r="L1515" s="3">
        <v>14.71</v>
      </c>
      <c r="M1515" s="3">
        <v>15.45</v>
      </c>
      <c r="N1515" s="3">
        <v>32.99</v>
      </c>
      <c r="O1515" s="2" t="s">
        <v>212</v>
      </c>
      <c r="P1515" s="2" t="s">
        <v>205</v>
      </c>
      <c r="Q1515" s="2" t="s">
        <v>206</v>
      </c>
      <c r="R1515" s="2" t="s">
        <v>200</v>
      </c>
      <c r="S1515" s="2" t="s">
        <v>8094</v>
      </c>
      <c r="T1515" s="2" t="s">
        <v>8078</v>
      </c>
      <c r="U1515" s="2" t="s">
        <v>662</v>
      </c>
      <c r="V1515" s="2" t="s">
        <v>208</v>
      </c>
      <c r="W1515" s="2" t="s">
        <v>241</v>
      </c>
      <c r="X1515" s="2" t="s">
        <v>379</v>
      </c>
      <c r="Y1515" s="2" t="s">
        <v>1373</v>
      </c>
      <c r="Z1515" s="4">
        <v>537</v>
      </c>
      <c r="AA1515" s="4">
        <f>=ROUNDDOWN(31.5882352941176,0)</f>
      </c>
      <c r="AB1515" s="5">
        <v>17</v>
      </c>
      <c r="AC1515" s="2" t="s">
        <v>3787</v>
      </c>
      <c r="AD1515" s="4">
        <v>100</v>
      </c>
      <c r="AE1515" s="4">
        <v>230</v>
      </c>
      <c r="AF1515" s="6">
        <v>65</v>
      </c>
      <c r="AG1515" s="6">
        <v>48</v>
      </c>
      <c r="AH1515" s="7">
        <v>1</v>
      </c>
      <c r="AI1515" s="4"/>
      <c r="AJ1515" s="4">
        <f>=ROUNDDOWN({0},0)</f>
      </c>
      <c r="AK1515" s="5"/>
      <c r="AL1515" s="2" t="s">
        <v>200</v>
      </c>
      <c r="AM1515" s="4"/>
      <c r="AN1515" s="4"/>
      <c r="AO1515" s="7"/>
      <c r="AP1515" s="4"/>
      <c r="AQ1515" s="8"/>
      <c r="AR1515" s="4"/>
      <c r="AS1515" s="8"/>
      <c r="AT1515" s="7"/>
      <c r="AU1515" s="7"/>
      <c r="AV1515" s="4" t="s">
        <v>200</v>
      </c>
      <c r="AW1515" s="8" t="s">
        <v>200</v>
      </c>
      <c r="AX1515" s="4" t="s">
        <v>200</v>
      </c>
      <c r="AY1515" s="8" t="s">
        <v>200</v>
      </c>
      <c r="AZ1515" s="7" t="s">
        <v>200</v>
      </c>
      <c r="BA1515" s="7" t="s">
        <v>200</v>
      </c>
      <c r="BB1515" s="7"/>
      <c r="BC1515" s="4" t="s">
        <v>200</v>
      </c>
      <c r="BD1515" s="8" t="s">
        <v>200</v>
      </c>
      <c r="BE1515" s="4" t="s">
        <v>200</v>
      </c>
      <c r="BF1515" s="8" t="s">
        <v>200</v>
      </c>
      <c r="BG1515" s="7" t="s">
        <v>200</v>
      </c>
      <c r="BH1515" s="7" t="s">
        <v>200</v>
      </c>
      <c r="BI1515" s="7"/>
      <c r="BJ1515" s="4">
        <v>115</v>
      </c>
      <c r="BK1515" s="8">
        <v>2110.47</v>
      </c>
      <c r="BL1515" s="2" t="s">
        <v>8098</v>
      </c>
      <c r="BM1515" s="7"/>
      <c r="BN1515" s="7"/>
      <c r="BO1515" s="4"/>
      <c r="BP1515" s="8"/>
      <c r="BQ1515" s="4"/>
      <c r="BR1515" s="8"/>
      <c r="BS1515" s="7"/>
      <c r="BT1515" s="7"/>
      <c r="BU1515" s="2" t="s">
        <v>8099</v>
      </c>
      <c r="BV1515" s="2" t="s">
        <v>200</v>
      </c>
      <c r="BW1515" s="2" t="s">
        <v>200</v>
      </c>
      <c r="BX1515" s="2" t="s">
        <v>629</v>
      </c>
      <c r="BY1515" s="2" t="s">
        <v>247</v>
      </c>
      <c r="BZ1515" s="2" t="s">
        <v>212</v>
      </c>
      <c r="CA1515" s="2" t="s">
        <v>8083</v>
      </c>
      <c r="CB1515" s="2" t="s">
        <v>1179</v>
      </c>
      <c r="CC1515" s="2" t="s">
        <v>213</v>
      </c>
      <c r="CD1515" s="2" t="s">
        <v>200</v>
      </c>
      <c r="CE1515" s="4">
        <v>298</v>
      </c>
      <c r="CF1515" s="4"/>
      <c r="CG1515" s="4"/>
      <c r="CH1515" s="4">
        <v>239</v>
      </c>
      <c r="CI1515" s="4"/>
      <c r="CJ1515" s="4"/>
      <c r="CK1515" s="4"/>
      <c r="CL1515" s="4"/>
      <c r="CM1515" s="4"/>
      <c r="CN1515" s="4"/>
      <c r="CO1515" s="4"/>
      <c r="CP1515" s="4"/>
      <c r="CQ1515" s="4"/>
      <c r="CR1515" s="4"/>
      <c r="CS1515" s="4"/>
      <c r="CT1515" s="4"/>
      <c r="CU1515" s="4"/>
      <c r="CV1515" s="4"/>
      <c r="CW1515" s="4"/>
      <c r="CX1515" s="4"/>
      <c r="CY1515" s="4"/>
      <c r="CZ1515" s="4"/>
      <c r="DA1515" s="4"/>
      <c r="DB1515" s="4"/>
      <c r="DC1515" s="4"/>
      <c r="DD1515" s="4"/>
      <c r="DE1515" s="4"/>
      <c r="DF1515" s="4"/>
      <c r="DG1515" s="4"/>
      <c r="DH1515" s="4"/>
      <c r="DI1515" s="4"/>
      <c r="DJ1515" s="4"/>
      <c r="DK1515" s="4"/>
      <c r="DL1515" s="4"/>
      <c r="DM1515" s="4"/>
      <c r="DN1515" s="4"/>
      <c r="DO1515" s="4"/>
      <c r="DP1515" s="4"/>
      <c r="DQ1515" s="4"/>
      <c r="DR1515" s="4"/>
      <c r="DS1515" s="4"/>
      <c r="DT1515" s="4"/>
      <c r="DU1515" s="4"/>
      <c r="DV1515" s="4"/>
      <c r="DW1515" s="4"/>
      <c r="DX1515" s="4"/>
      <c r="DY1515" s="4"/>
      <c r="DZ1515" s="4"/>
      <c r="EA1515" s="4"/>
      <c r="EB1515" s="4"/>
      <c r="EC1515" s="4"/>
      <c r="ED1515" s="4"/>
      <c r="EE1515" s="4"/>
      <c r="EF1515" s="4">
        <v>100</v>
      </c>
      <c r="EG1515" s="4"/>
      <c r="EH1515" s="4"/>
      <c r="EI1515" s="4"/>
      <c r="EJ1515" s="4"/>
      <c r="EK1515" s="4"/>
      <c r="EL1515" s="4"/>
      <c r="EM1515" s="4"/>
      <c r="EN1515" s="4"/>
      <c r="EO1515" s="4"/>
      <c r="EP1515" s="4"/>
      <c r="EQ1515" s="4"/>
      <c r="ER1515" s="4"/>
      <c r="ES1515" s="4"/>
      <c r="ET1515" s="4"/>
      <c r="EU1515" s="4"/>
      <c r="EV1515" s="4"/>
      <c r="EW1515" s="4"/>
      <c r="EX1515" s="4"/>
      <c r="EY1515" s="4"/>
      <c r="EZ1515" s="4"/>
      <c r="FA1515" s="4"/>
      <c r="FB1515" s="4"/>
      <c r="FC1515" s="4"/>
      <c r="FD1515" s="4"/>
      <c r="FE1515" s="4"/>
      <c r="FF1515" s="4">
        <v>130</v>
      </c>
      <c r="FG1515" s="4"/>
      <c r="FH1515" s="4"/>
      <c r="FI1515" s="4"/>
      <c r="FJ1515" s="4"/>
      <c r="FK1515" s="4"/>
      <c r="FL1515" s="4"/>
      <c r="FM1515" s="4"/>
      <c r="FN1515" s="4"/>
      <c r="FO1515" s="4"/>
      <c r="FP1515" s="4"/>
      <c r="FQ1515" s="4"/>
      <c r="FR1515" s="4"/>
      <c r="FS1515" s="4"/>
      <c r="FT1515" s="4"/>
      <c r="FU1515" s="4"/>
      <c r="FV1515" s="4"/>
      <c r="FW1515" s="4"/>
      <c r="FX1515" s="4"/>
      <c r="FY1515" s="4"/>
      <c r="FZ1515" s="4"/>
      <c r="GA1515" s="4"/>
      <c r="GB1515" s="4"/>
      <c r="GC1515" s="4"/>
      <c r="GD1515" s="4"/>
      <c r="GE1515" s="4"/>
      <c r="GF1515" s="4"/>
      <c r="GG1515" s="4"/>
      <c r="GH1515" s="4"/>
    </row>
    <row r="1516">
      <c r="A1516" s="2" t="s">
        <v>8100</v>
      </c>
      <c r="B1516" s="2" t="s">
        <v>230</v>
      </c>
      <c r="C1516" s="2" t="s">
        <v>307</v>
      </c>
      <c r="D1516" s="2" t="s">
        <v>2171</v>
      </c>
      <c r="E1516" s="2" t="s">
        <v>2172</v>
      </c>
      <c r="F1516" s="2" t="s">
        <v>8078</v>
      </c>
      <c r="G1516" s="2" t="s">
        <v>8078</v>
      </c>
      <c r="H1516" s="2" t="s">
        <v>8078</v>
      </c>
      <c r="I1516" s="2" t="s">
        <v>8089</v>
      </c>
      <c r="J1516" s="2" t="s">
        <v>302</v>
      </c>
      <c r="K1516" s="2" t="s">
        <v>8093</v>
      </c>
      <c r="L1516" s="3">
        <v>5.79</v>
      </c>
      <c r="M1516" s="3">
        <v>6.08</v>
      </c>
      <c r="N1516" s="3">
        <v>12.99</v>
      </c>
      <c r="O1516" s="2" t="s">
        <v>212</v>
      </c>
      <c r="P1516" s="2" t="s">
        <v>205</v>
      </c>
      <c r="Q1516" s="2" t="s">
        <v>206</v>
      </c>
      <c r="R1516" s="2" t="s">
        <v>200</v>
      </c>
      <c r="S1516" s="2" t="s">
        <v>8094</v>
      </c>
      <c r="T1516" s="2" t="s">
        <v>8078</v>
      </c>
      <c r="U1516" s="2" t="s">
        <v>677</v>
      </c>
      <c r="V1516" s="2" t="s">
        <v>208</v>
      </c>
      <c r="W1516" s="2" t="s">
        <v>241</v>
      </c>
      <c r="X1516" s="2" t="s">
        <v>379</v>
      </c>
      <c r="Y1516" s="2" t="s">
        <v>1640</v>
      </c>
      <c r="Z1516" s="4">
        <v>472</v>
      </c>
      <c r="AA1516" s="4">
        <f>=ROUNDDOWN(16.8571428571429,0)</f>
      </c>
      <c r="AB1516" s="5">
        <v>28</v>
      </c>
      <c r="AC1516" s="2" t="s">
        <v>3787</v>
      </c>
      <c r="AD1516" s="4">
        <v>160</v>
      </c>
      <c r="AE1516" s="4">
        <v>280</v>
      </c>
      <c r="AF1516" s="6">
        <v>65</v>
      </c>
      <c r="AG1516" s="6">
        <v>48</v>
      </c>
      <c r="AH1516" s="7">
        <v>1</v>
      </c>
      <c r="AI1516" s="4"/>
      <c r="AJ1516" s="4">
        <f>=ROUNDDOWN({0},0)</f>
      </c>
      <c r="AK1516" s="5"/>
      <c r="AL1516" s="2" t="s">
        <v>200</v>
      </c>
      <c r="AM1516" s="4"/>
      <c r="AN1516" s="4"/>
      <c r="AO1516" s="7"/>
      <c r="AP1516" s="4"/>
      <c r="AQ1516" s="8"/>
      <c r="AR1516" s="4"/>
      <c r="AS1516" s="8"/>
      <c r="AT1516" s="7"/>
      <c r="AU1516" s="7"/>
      <c r="AV1516" s="4" t="s">
        <v>200</v>
      </c>
      <c r="AW1516" s="8" t="s">
        <v>200</v>
      </c>
      <c r="AX1516" s="4" t="s">
        <v>200</v>
      </c>
      <c r="AY1516" s="8" t="s">
        <v>200</v>
      </c>
      <c r="AZ1516" s="7" t="s">
        <v>200</v>
      </c>
      <c r="BA1516" s="7" t="s">
        <v>200</v>
      </c>
      <c r="BB1516" s="7"/>
      <c r="BC1516" s="4" t="s">
        <v>200</v>
      </c>
      <c r="BD1516" s="8" t="s">
        <v>200</v>
      </c>
      <c r="BE1516" s="4" t="s">
        <v>200</v>
      </c>
      <c r="BF1516" s="8" t="s">
        <v>200</v>
      </c>
      <c r="BG1516" s="7" t="s">
        <v>200</v>
      </c>
      <c r="BH1516" s="7" t="s">
        <v>200</v>
      </c>
      <c r="BI1516" s="7"/>
      <c r="BJ1516" s="4">
        <v>162</v>
      </c>
      <c r="BK1516" s="8">
        <v>944.12</v>
      </c>
      <c r="BL1516" s="2" t="s">
        <v>8101</v>
      </c>
      <c r="BM1516" s="7"/>
      <c r="BN1516" s="7"/>
      <c r="BO1516" s="4"/>
      <c r="BP1516" s="8"/>
      <c r="BQ1516" s="4"/>
      <c r="BR1516" s="8"/>
      <c r="BS1516" s="7"/>
      <c r="BT1516" s="7"/>
      <c r="BU1516" s="2" t="s">
        <v>8102</v>
      </c>
      <c r="BV1516" s="2" t="s">
        <v>200</v>
      </c>
      <c r="BW1516" s="2" t="s">
        <v>200</v>
      </c>
      <c r="BX1516" s="2" t="s">
        <v>264</v>
      </c>
      <c r="BY1516" s="2" t="s">
        <v>247</v>
      </c>
      <c r="BZ1516" s="2" t="s">
        <v>212</v>
      </c>
      <c r="CA1516" s="2" t="s">
        <v>8083</v>
      </c>
      <c r="CB1516" s="2" t="s">
        <v>8103</v>
      </c>
      <c r="CC1516" s="2" t="s">
        <v>213</v>
      </c>
      <c r="CD1516" s="2" t="s">
        <v>200</v>
      </c>
      <c r="CE1516" s="4">
        <v>244</v>
      </c>
      <c r="CF1516" s="4"/>
      <c r="CG1516" s="4"/>
      <c r="CH1516" s="4">
        <v>228</v>
      </c>
      <c r="CI1516" s="4"/>
      <c r="CJ1516" s="4"/>
      <c r="CK1516" s="4"/>
      <c r="CL1516" s="4"/>
      <c r="CM1516" s="4"/>
      <c r="CN1516" s="4"/>
      <c r="CO1516" s="4"/>
      <c r="CP1516" s="4"/>
      <c r="CQ1516" s="4"/>
      <c r="CR1516" s="4"/>
      <c r="CS1516" s="4"/>
      <c r="CT1516" s="4"/>
      <c r="CU1516" s="4"/>
      <c r="CV1516" s="4"/>
      <c r="CW1516" s="4"/>
      <c r="CX1516" s="4"/>
      <c r="CY1516" s="4"/>
      <c r="CZ1516" s="4"/>
      <c r="DA1516" s="4"/>
      <c r="DB1516" s="4"/>
      <c r="DC1516" s="4"/>
      <c r="DD1516" s="4"/>
      <c r="DE1516" s="4"/>
      <c r="DF1516" s="4"/>
      <c r="DG1516" s="4"/>
      <c r="DH1516" s="4"/>
      <c r="DI1516" s="4"/>
      <c r="DJ1516" s="4"/>
      <c r="DK1516" s="4"/>
      <c r="DL1516" s="4"/>
      <c r="DM1516" s="4"/>
      <c r="DN1516" s="4"/>
      <c r="DO1516" s="4"/>
      <c r="DP1516" s="4"/>
      <c r="DQ1516" s="4"/>
      <c r="DR1516" s="4"/>
      <c r="DS1516" s="4"/>
      <c r="DT1516" s="4"/>
      <c r="DU1516" s="4"/>
      <c r="DV1516" s="4"/>
      <c r="DW1516" s="4"/>
      <c r="DX1516" s="4"/>
      <c r="DY1516" s="4"/>
      <c r="DZ1516" s="4"/>
      <c r="EA1516" s="4"/>
      <c r="EB1516" s="4"/>
      <c r="EC1516" s="4"/>
      <c r="ED1516" s="4"/>
      <c r="EE1516" s="4"/>
      <c r="EF1516" s="4">
        <v>160</v>
      </c>
      <c r="EG1516" s="4"/>
      <c r="EH1516" s="4"/>
      <c r="EI1516" s="4"/>
      <c r="EJ1516" s="4"/>
      <c r="EK1516" s="4"/>
      <c r="EL1516" s="4"/>
      <c r="EM1516" s="4"/>
      <c r="EN1516" s="4"/>
      <c r="EO1516" s="4"/>
      <c r="EP1516" s="4"/>
      <c r="EQ1516" s="4"/>
      <c r="ER1516" s="4"/>
      <c r="ES1516" s="4"/>
      <c r="ET1516" s="4"/>
      <c r="EU1516" s="4"/>
      <c r="EV1516" s="4"/>
      <c r="EW1516" s="4"/>
      <c r="EX1516" s="4"/>
      <c r="EY1516" s="4"/>
      <c r="EZ1516" s="4"/>
      <c r="FA1516" s="4"/>
      <c r="FB1516" s="4"/>
      <c r="FC1516" s="4"/>
      <c r="FD1516" s="4"/>
      <c r="FE1516" s="4"/>
      <c r="FF1516" s="4">
        <v>120</v>
      </c>
      <c r="FG1516" s="4"/>
      <c r="FH1516" s="4"/>
      <c r="FI1516" s="4"/>
      <c r="FJ1516" s="4"/>
      <c r="FK1516" s="4"/>
      <c r="FL1516" s="4"/>
      <c r="FM1516" s="4"/>
      <c r="FN1516" s="4"/>
      <c r="FO1516" s="4"/>
      <c r="FP1516" s="4"/>
      <c r="FQ1516" s="4"/>
      <c r="FR1516" s="4"/>
      <c r="FS1516" s="4"/>
      <c r="FT1516" s="4"/>
      <c r="FU1516" s="4"/>
      <c r="FV1516" s="4"/>
      <c r="FW1516" s="4"/>
      <c r="FX1516" s="4"/>
      <c r="FY1516" s="4"/>
      <c r="FZ1516" s="4"/>
      <c r="GA1516" s="4"/>
      <c r="GB1516" s="4"/>
      <c r="GC1516" s="4"/>
      <c r="GD1516" s="4"/>
      <c r="GE1516" s="4"/>
      <c r="GF1516" s="4"/>
      <c r="GG1516" s="4"/>
      <c r="GH1516" s="4"/>
    </row>
    <row r="1517">
      <c r="A1517" s="2" t="s">
        <v>8104</v>
      </c>
      <c r="B1517" s="2" t="s">
        <v>230</v>
      </c>
      <c r="C1517" s="2" t="s">
        <v>307</v>
      </c>
      <c r="D1517" s="2" t="s">
        <v>2171</v>
      </c>
      <c r="E1517" s="2" t="s">
        <v>2172</v>
      </c>
      <c r="F1517" s="2" t="s">
        <v>8078</v>
      </c>
      <c r="G1517" s="2" t="s">
        <v>8078</v>
      </c>
      <c r="H1517" s="2" t="s">
        <v>8078</v>
      </c>
      <c r="I1517" s="2" t="s">
        <v>8089</v>
      </c>
      <c r="J1517" s="2" t="s">
        <v>6138</v>
      </c>
      <c r="K1517" s="2" t="s">
        <v>8093</v>
      </c>
      <c r="L1517" s="3">
        <v>5.35</v>
      </c>
      <c r="M1517" s="3">
        <v>5.62</v>
      </c>
      <c r="N1517" s="3">
        <v>11.99</v>
      </c>
      <c r="O1517" s="2" t="s">
        <v>212</v>
      </c>
      <c r="P1517" s="2" t="s">
        <v>205</v>
      </c>
      <c r="Q1517" s="2" t="s">
        <v>206</v>
      </c>
      <c r="R1517" s="2" t="s">
        <v>200</v>
      </c>
      <c r="S1517" s="2" t="s">
        <v>8094</v>
      </c>
      <c r="T1517" s="2" t="s">
        <v>8078</v>
      </c>
      <c r="U1517" s="2" t="s">
        <v>677</v>
      </c>
      <c r="V1517" s="2" t="s">
        <v>208</v>
      </c>
      <c r="W1517" s="2" t="s">
        <v>241</v>
      </c>
      <c r="X1517" s="2" t="s">
        <v>379</v>
      </c>
      <c r="Y1517" s="2" t="s">
        <v>1640</v>
      </c>
      <c r="Z1517" s="4">
        <v>1151</v>
      </c>
      <c r="AA1517" s="4">
        <f>=ROUNDDOWN(31.1081081081081,0)</f>
      </c>
      <c r="AB1517" s="5">
        <v>37</v>
      </c>
      <c r="AC1517" s="2" t="s">
        <v>200</v>
      </c>
      <c r="AD1517" s="4"/>
      <c r="AE1517" s="4"/>
      <c r="AF1517" s="6">
        <v>65</v>
      </c>
      <c r="AG1517" s="6">
        <v>48</v>
      </c>
      <c r="AH1517" s="7">
        <v>1</v>
      </c>
      <c r="AI1517" s="4"/>
      <c r="AJ1517" s="4">
        <f>=ROUNDDOWN({0},0)</f>
      </c>
      <c r="AK1517" s="5"/>
      <c r="AL1517" s="2" t="s">
        <v>200</v>
      </c>
      <c r="AM1517" s="4"/>
      <c r="AN1517" s="4"/>
      <c r="AO1517" s="7"/>
      <c r="AP1517" s="4"/>
      <c r="AQ1517" s="8"/>
      <c r="AR1517" s="4"/>
      <c r="AS1517" s="8"/>
      <c r="AT1517" s="7"/>
      <c r="AU1517" s="7"/>
      <c r="AV1517" s="4" t="s">
        <v>200</v>
      </c>
      <c r="AW1517" s="8" t="s">
        <v>200</v>
      </c>
      <c r="AX1517" s="4" t="s">
        <v>200</v>
      </c>
      <c r="AY1517" s="8" t="s">
        <v>200</v>
      </c>
      <c r="AZ1517" s="7" t="s">
        <v>200</v>
      </c>
      <c r="BA1517" s="7" t="s">
        <v>200</v>
      </c>
      <c r="BB1517" s="7"/>
      <c r="BC1517" s="4" t="s">
        <v>200</v>
      </c>
      <c r="BD1517" s="8" t="s">
        <v>200</v>
      </c>
      <c r="BE1517" s="4" t="s">
        <v>200</v>
      </c>
      <c r="BF1517" s="8" t="s">
        <v>200</v>
      </c>
      <c r="BG1517" s="7" t="s">
        <v>200</v>
      </c>
      <c r="BH1517" s="7" t="s">
        <v>200</v>
      </c>
      <c r="BI1517" s="7"/>
      <c r="BJ1517" s="4">
        <v>318</v>
      </c>
      <c r="BK1517" s="8">
        <v>1682.01</v>
      </c>
      <c r="BL1517" s="2" t="s">
        <v>359</v>
      </c>
      <c r="BM1517" s="7"/>
      <c r="BN1517" s="7"/>
      <c r="BO1517" s="4"/>
      <c r="BP1517" s="8"/>
      <c r="BQ1517" s="4"/>
      <c r="BR1517" s="8"/>
      <c r="BS1517" s="7"/>
      <c r="BT1517" s="7"/>
      <c r="BU1517" s="2" t="s">
        <v>8105</v>
      </c>
      <c r="BV1517" s="2" t="s">
        <v>200</v>
      </c>
      <c r="BW1517" s="2" t="s">
        <v>200</v>
      </c>
      <c r="BX1517" s="2" t="s">
        <v>264</v>
      </c>
      <c r="BY1517" s="2" t="s">
        <v>247</v>
      </c>
      <c r="BZ1517" s="2" t="s">
        <v>212</v>
      </c>
      <c r="CA1517" s="2" t="s">
        <v>8083</v>
      </c>
      <c r="CB1517" s="2" t="s">
        <v>3864</v>
      </c>
      <c r="CC1517" s="2" t="s">
        <v>213</v>
      </c>
      <c r="CD1517" s="2" t="s">
        <v>200</v>
      </c>
      <c r="CE1517" s="4">
        <v>655</v>
      </c>
      <c r="CF1517" s="4"/>
      <c r="CG1517" s="4"/>
      <c r="CH1517" s="4">
        <v>496</v>
      </c>
      <c r="CI1517" s="4"/>
      <c r="CJ1517" s="4"/>
      <c r="CK1517" s="4"/>
      <c r="CL1517" s="4"/>
      <c r="CM1517" s="4"/>
      <c r="CN1517" s="4"/>
      <c r="CO1517" s="4"/>
      <c r="CP1517" s="4"/>
      <c r="CQ1517" s="4"/>
      <c r="CR1517" s="4"/>
      <c r="CS1517" s="4"/>
      <c r="CT1517" s="4"/>
      <c r="CU1517" s="4"/>
      <c r="CV1517" s="4"/>
      <c r="CW1517" s="4"/>
      <c r="CX1517" s="4"/>
      <c r="CY1517" s="4"/>
      <c r="CZ1517" s="4"/>
      <c r="DA1517" s="4"/>
      <c r="DB1517" s="4"/>
      <c r="DC1517" s="4"/>
      <c r="DD1517" s="4"/>
      <c r="DE1517" s="4"/>
      <c r="DF1517" s="4"/>
      <c r="DG1517" s="4"/>
      <c r="DH1517" s="4"/>
      <c r="DI1517" s="4"/>
      <c r="DJ1517" s="4"/>
      <c r="DK1517" s="4"/>
      <c r="DL1517" s="4"/>
      <c r="DM1517" s="4"/>
      <c r="DN1517" s="4"/>
      <c r="DO1517" s="4"/>
      <c r="DP1517" s="4"/>
      <c r="DQ1517" s="4"/>
      <c r="DR1517" s="4"/>
      <c r="DS1517" s="4"/>
      <c r="DT1517" s="4"/>
      <c r="DU1517" s="4"/>
      <c r="DV1517" s="4"/>
      <c r="DW1517" s="4"/>
      <c r="DX1517" s="4"/>
      <c r="DY1517" s="4"/>
      <c r="DZ1517" s="4"/>
      <c r="EA1517" s="4"/>
      <c r="EB1517" s="4"/>
      <c r="EC1517" s="4"/>
      <c r="ED1517" s="4"/>
      <c r="EE1517" s="4"/>
      <c r="EF1517" s="4"/>
      <c r="EG1517" s="4"/>
      <c r="EH1517" s="4"/>
      <c r="EI1517" s="4"/>
      <c r="EJ1517" s="4"/>
      <c r="EK1517" s="4"/>
      <c r="EL1517" s="4"/>
      <c r="EM1517" s="4"/>
      <c r="EN1517" s="4"/>
      <c r="EO1517" s="4"/>
      <c r="EP1517" s="4"/>
      <c r="EQ1517" s="4"/>
      <c r="ER1517" s="4"/>
      <c r="ES1517" s="4"/>
      <c r="ET1517" s="4"/>
      <c r="EU1517" s="4"/>
      <c r="EV1517" s="4"/>
      <c r="EW1517" s="4"/>
      <c r="EX1517" s="4"/>
      <c r="EY1517" s="4"/>
      <c r="EZ1517" s="4"/>
      <c r="FA1517" s="4"/>
      <c r="FB1517" s="4"/>
      <c r="FC1517" s="4"/>
      <c r="FD1517" s="4"/>
      <c r="FE1517" s="4"/>
      <c r="FF1517" s="4"/>
      <c r="FG1517" s="4"/>
      <c r="FH1517" s="4"/>
      <c r="FI1517" s="4"/>
      <c r="FJ1517" s="4"/>
      <c r="FK1517" s="4"/>
      <c r="FL1517" s="4"/>
      <c r="FM1517" s="4"/>
      <c r="FN1517" s="4"/>
      <c r="FO1517" s="4"/>
      <c r="FP1517" s="4"/>
      <c r="FQ1517" s="4"/>
      <c r="FR1517" s="4"/>
      <c r="FS1517" s="4"/>
      <c r="FT1517" s="4"/>
      <c r="FU1517" s="4"/>
      <c r="FV1517" s="4"/>
      <c r="FW1517" s="4"/>
      <c r="FX1517" s="4"/>
      <c r="FY1517" s="4"/>
      <c r="FZ1517" s="4"/>
      <c r="GA1517" s="4"/>
      <c r="GB1517" s="4"/>
      <c r="GC1517" s="4"/>
      <c r="GD1517" s="4"/>
      <c r="GE1517" s="4"/>
      <c r="GF1517" s="4"/>
      <c r="GG1517" s="4"/>
      <c r="GH1517" s="4"/>
    </row>
    <row r="1518">
      <c r="A1518" s="2" t="s">
        <v>8106</v>
      </c>
      <c r="B1518" s="2" t="s">
        <v>230</v>
      </c>
      <c r="C1518" s="2" t="s">
        <v>307</v>
      </c>
      <c r="D1518" s="2" t="s">
        <v>232</v>
      </c>
      <c r="E1518" s="2" t="s">
        <v>233</v>
      </c>
      <c r="F1518" s="2" t="s">
        <v>8078</v>
      </c>
      <c r="G1518" s="2" t="s">
        <v>8078</v>
      </c>
      <c r="H1518" s="2" t="s">
        <v>8078</v>
      </c>
      <c r="I1518" s="2" t="s">
        <v>8079</v>
      </c>
      <c r="J1518" s="2" t="s">
        <v>256</v>
      </c>
      <c r="K1518" s="2" t="s">
        <v>221</v>
      </c>
      <c r="L1518" s="3">
        <v>12.48</v>
      </c>
      <c r="M1518" s="3">
        <v>13.1</v>
      </c>
      <c r="N1518" s="3">
        <v>27.99</v>
      </c>
      <c r="O1518" s="2" t="s">
        <v>212</v>
      </c>
      <c r="P1518" s="2" t="s">
        <v>205</v>
      </c>
      <c r="Q1518" s="2" t="s">
        <v>206</v>
      </c>
      <c r="R1518" s="2" t="s">
        <v>200</v>
      </c>
      <c r="S1518" s="2" t="s">
        <v>8107</v>
      </c>
      <c r="T1518" s="2" t="s">
        <v>8078</v>
      </c>
      <c r="U1518" s="2" t="s">
        <v>240</v>
      </c>
      <c r="V1518" s="2" t="s">
        <v>208</v>
      </c>
      <c r="W1518" s="2" t="s">
        <v>241</v>
      </c>
      <c r="X1518" s="2" t="s">
        <v>379</v>
      </c>
      <c r="Y1518" s="2" t="s">
        <v>1663</v>
      </c>
      <c r="Z1518" s="4">
        <v>2623</v>
      </c>
      <c r="AA1518" s="4">
        <f>=ROUNDDOWN(97.1481481481481,0)</f>
      </c>
      <c r="AB1518" s="5">
        <v>27</v>
      </c>
      <c r="AC1518" s="2" t="s">
        <v>200</v>
      </c>
      <c r="AD1518" s="4"/>
      <c r="AE1518" s="4"/>
      <c r="AF1518" s="6">
        <v>65</v>
      </c>
      <c r="AG1518" s="6">
        <v>48</v>
      </c>
      <c r="AH1518" s="7">
        <v>1</v>
      </c>
      <c r="AI1518" s="4"/>
      <c r="AJ1518" s="4">
        <f>=ROUNDDOWN({0},0)</f>
      </c>
      <c r="AK1518" s="5"/>
      <c r="AL1518" s="2" t="s">
        <v>200</v>
      </c>
      <c r="AM1518" s="4"/>
      <c r="AN1518" s="4"/>
      <c r="AO1518" s="7"/>
      <c r="AP1518" s="4"/>
      <c r="AQ1518" s="8"/>
      <c r="AR1518" s="4"/>
      <c r="AS1518" s="8"/>
      <c r="AT1518" s="7"/>
      <c r="AU1518" s="7"/>
      <c r="AV1518" s="4"/>
      <c r="AW1518" s="8"/>
      <c r="AX1518" s="4"/>
      <c r="AY1518" s="8"/>
      <c r="AZ1518" s="7"/>
      <c r="BA1518" s="7"/>
      <c r="BB1518" s="7"/>
      <c r="BC1518" s="4" t="s">
        <v>200</v>
      </c>
      <c r="BD1518" s="8" t="s">
        <v>200</v>
      </c>
      <c r="BE1518" s="4" t="s">
        <v>200</v>
      </c>
      <c r="BF1518" s="8" t="s">
        <v>200</v>
      </c>
      <c r="BG1518" s="7" t="s">
        <v>200</v>
      </c>
      <c r="BH1518" s="7" t="s">
        <v>200</v>
      </c>
      <c r="BI1518" s="7"/>
      <c r="BJ1518" s="4">
        <v>88</v>
      </c>
      <c r="BK1518" s="8">
        <v>1298.36</v>
      </c>
      <c r="BL1518" s="2" t="s">
        <v>8108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8109</v>
      </c>
      <c r="BV1518" s="2" t="s">
        <v>200</v>
      </c>
      <c r="BW1518" s="2" t="s">
        <v>200</v>
      </c>
      <c r="BX1518" s="2" t="s">
        <v>629</v>
      </c>
      <c r="BY1518" s="2" t="s">
        <v>247</v>
      </c>
      <c r="BZ1518" s="2" t="s">
        <v>212</v>
      </c>
      <c r="CA1518" s="2" t="s">
        <v>8083</v>
      </c>
      <c r="CB1518" s="2" t="s">
        <v>1177</v>
      </c>
      <c r="CC1518" s="2" t="s">
        <v>213</v>
      </c>
      <c r="CD1518" s="2" t="s">
        <v>200</v>
      </c>
      <c r="CE1518" s="4">
        <v>1534</v>
      </c>
      <c r="CF1518" s="4"/>
      <c r="CG1518" s="4"/>
      <c r="CH1518" s="4">
        <v>1089</v>
      </c>
      <c r="CI1518" s="4"/>
      <c r="CJ1518" s="4"/>
      <c r="CK1518" s="4"/>
      <c r="CL1518" s="4"/>
      <c r="CM1518" s="4"/>
      <c r="CN1518" s="4"/>
      <c r="CO1518" s="4"/>
      <c r="CP1518" s="4"/>
      <c r="CQ1518" s="4"/>
      <c r="CR1518" s="4"/>
      <c r="CS1518" s="4"/>
      <c r="CT1518" s="4"/>
      <c r="CU1518" s="4"/>
      <c r="CV1518" s="4"/>
      <c r="CW1518" s="4"/>
      <c r="CX1518" s="4"/>
      <c r="CY1518" s="4"/>
      <c r="CZ1518" s="4"/>
      <c r="DA1518" s="4"/>
      <c r="DB1518" s="4"/>
      <c r="DC1518" s="4"/>
      <c r="DD1518" s="4"/>
      <c r="DE1518" s="4"/>
      <c r="DF1518" s="4"/>
      <c r="DG1518" s="4"/>
      <c r="DH1518" s="4"/>
      <c r="DI1518" s="4"/>
      <c r="DJ1518" s="4"/>
      <c r="DK1518" s="4"/>
      <c r="DL1518" s="4"/>
      <c r="DM1518" s="4"/>
      <c r="DN1518" s="4"/>
      <c r="DO1518" s="4"/>
      <c r="DP1518" s="4"/>
      <c r="DQ1518" s="4"/>
      <c r="DR1518" s="4"/>
      <c r="DS1518" s="4"/>
      <c r="DT1518" s="4"/>
      <c r="DU1518" s="4"/>
      <c r="DV1518" s="4"/>
      <c r="DW1518" s="4"/>
      <c r="DX1518" s="4"/>
      <c r="DY1518" s="4"/>
      <c r="DZ1518" s="4"/>
      <c r="EA1518" s="4"/>
      <c r="EB1518" s="4"/>
      <c r="EC1518" s="4"/>
      <c r="ED1518" s="4"/>
      <c r="EE1518" s="4"/>
      <c r="EF1518" s="4"/>
      <c r="EG1518" s="4"/>
      <c r="EH1518" s="4"/>
      <c r="EI1518" s="4"/>
      <c r="EJ1518" s="4"/>
      <c r="EK1518" s="4"/>
      <c r="EL1518" s="4"/>
      <c r="EM1518" s="4"/>
      <c r="EN1518" s="4"/>
      <c r="EO1518" s="4"/>
      <c r="EP1518" s="4"/>
      <c r="EQ1518" s="4"/>
      <c r="ER1518" s="4"/>
      <c r="ES1518" s="4"/>
      <c r="ET1518" s="4"/>
      <c r="EU1518" s="4"/>
      <c r="EV1518" s="4"/>
      <c r="EW1518" s="4"/>
      <c r="EX1518" s="4"/>
      <c r="EY1518" s="4"/>
      <c r="EZ1518" s="4"/>
      <c r="FA1518" s="4"/>
      <c r="FB1518" s="4"/>
      <c r="FC1518" s="4"/>
      <c r="FD1518" s="4"/>
      <c r="FE1518" s="4"/>
      <c r="FF1518" s="4"/>
      <c r="FG1518" s="4"/>
      <c r="FH1518" s="4"/>
      <c r="FI1518" s="4"/>
      <c r="FJ1518" s="4"/>
      <c r="FK1518" s="4"/>
      <c r="FL1518" s="4"/>
      <c r="FM1518" s="4"/>
      <c r="FN1518" s="4"/>
      <c r="FO1518" s="4"/>
      <c r="FP1518" s="4"/>
      <c r="FQ1518" s="4"/>
      <c r="FR1518" s="4"/>
      <c r="FS1518" s="4"/>
      <c r="FT1518" s="4"/>
      <c r="FU1518" s="4"/>
      <c r="FV1518" s="4"/>
      <c r="FW1518" s="4"/>
      <c r="FX1518" s="4"/>
      <c r="FY1518" s="4"/>
      <c r="FZ1518" s="4"/>
      <c r="GA1518" s="4"/>
      <c r="GB1518" s="4"/>
      <c r="GC1518" s="4"/>
      <c r="GD1518" s="4"/>
      <c r="GE1518" s="4"/>
      <c r="GF1518" s="4"/>
      <c r="GG1518" s="4"/>
      <c r="GH1518" s="4"/>
    </row>
    <row r="1519">
      <c r="A1519" s="2" t="s">
        <v>8110</v>
      </c>
      <c r="B1519" s="2" t="s">
        <v>230</v>
      </c>
      <c r="C1519" s="2" t="s">
        <v>307</v>
      </c>
      <c r="D1519" s="2" t="s">
        <v>232</v>
      </c>
      <c r="E1519" s="2" t="s">
        <v>233</v>
      </c>
      <c r="F1519" s="2" t="s">
        <v>8078</v>
      </c>
      <c r="G1519" s="2" t="s">
        <v>8078</v>
      </c>
      <c r="H1519" s="2" t="s">
        <v>8078</v>
      </c>
      <c r="I1519" s="2" t="s">
        <v>8079</v>
      </c>
      <c r="J1519" s="2" t="s">
        <v>8080</v>
      </c>
      <c r="K1519" s="2" t="s">
        <v>436</v>
      </c>
      <c r="L1519" s="3">
        <v>25</v>
      </c>
      <c r="M1519" s="3">
        <v>26.25</v>
      </c>
      <c r="N1519" s="3">
        <v>49.99</v>
      </c>
      <c r="O1519" s="2" t="s">
        <v>212</v>
      </c>
      <c r="P1519" s="2" t="s">
        <v>205</v>
      </c>
      <c r="Q1519" s="2" t="s">
        <v>206</v>
      </c>
      <c r="R1519" s="2" t="s">
        <v>200</v>
      </c>
      <c r="S1519" s="2" t="s">
        <v>8111</v>
      </c>
      <c r="T1519" s="2" t="s">
        <v>8078</v>
      </c>
      <c r="U1519" s="2" t="s">
        <v>1067</v>
      </c>
      <c r="V1519" s="2" t="s">
        <v>208</v>
      </c>
      <c r="W1519" s="2" t="s">
        <v>241</v>
      </c>
      <c r="X1519" s="2" t="s">
        <v>379</v>
      </c>
      <c r="Y1519" s="2" t="s">
        <v>1640</v>
      </c>
      <c r="Z1519" s="4">
        <v>315</v>
      </c>
      <c r="AA1519" s="4">
        <f>=ROUNDDOWN(39.375,0)</f>
      </c>
      <c r="AB1519" s="5">
        <v>8</v>
      </c>
      <c r="AC1519" s="2" t="s">
        <v>553</v>
      </c>
      <c r="AD1519" s="4">
        <v>230</v>
      </c>
      <c r="AE1519" s="4">
        <v>230</v>
      </c>
      <c r="AF1519" s="6">
        <v>65</v>
      </c>
      <c r="AG1519" s="6">
        <v>48</v>
      </c>
      <c r="AH1519" s="7">
        <v>1</v>
      </c>
      <c r="AI1519" s="4"/>
      <c r="AJ1519" s="4">
        <f>=ROUNDDOWN({0},0)</f>
      </c>
      <c r="AK1519" s="5"/>
      <c r="AL1519" s="2" t="s">
        <v>200</v>
      </c>
      <c r="AM1519" s="4"/>
      <c r="AN1519" s="4"/>
      <c r="AO1519" s="7"/>
      <c r="AP1519" s="4"/>
      <c r="AQ1519" s="8"/>
      <c r="AR1519" s="4"/>
      <c r="AS1519" s="8"/>
      <c r="AT1519" s="7"/>
      <c r="AU1519" s="7"/>
      <c r="AV1519" s="4"/>
      <c r="AW1519" s="8"/>
      <c r="AX1519" s="4"/>
      <c r="AY1519" s="8"/>
      <c r="AZ1519" s="7"/>
      <c r="BA1519" s="7"/>
      <c r="BB1519" s="7"/>
      <c r="BC1519" s="4" t="s">
        <v>200</v>
      </c>
      <c r="BD1519" s="8" t="s">
        <v>200</v>
      </c>
      <c r="BE1519" s="4" t="s">
        <v>200</v>
      </c>
      <c r="BF1519" s="8" t="s">
        <v>200</v>
      </c>
      <c r="BG1519" s="7" t="s">
        <v>200</v>
      </c>
      <c r="BH1519" s="7" t="s">
        <v>200</v>
      </c>
      <c r="BI1519" s="7"/>
      <c r="BJ1519" s="4">
        <v>17</v>
      </c>
      <c r="BK1519" s="8">
        <v>500.84</v>
      </c>
      <c r="BL1519" s="2" t="s">
        <v>8095</v>
      </c>
      <c r="BM1519" s="7"/>
      <c r="BN1519" s="7"/>
      <c r="BO1519" s="4"/>
      <c r="BP1519" s="8"/>
      <c r="BQ1519" s="4"/>
      <c r="BR1519" s="8"/>
      <c r="BS1519" s="7"/>
      <c r="BT1519" s="7"/>
      <c r="BU1519" s="2" t="s">
        <v>8112</v>
      </c>
      <c r="BV1519" s="2" t="s">
        <v>200</v>
      </c>
      <c r="BW1519" s="2" t="s">
        <v>200</v>
      </c>
      <c r="BX1519" s="2" t="s">
        <v>629</v>
      </c>
      <c r="BY1519" s="2" t="s">
        <v>247</v>
      </c>
      <c r="BZ1519" s="2" t="s">
        <v>212</v>
      </c>
      <c r="CA1519" s="2" t="s">
        <v>8083</v>
      </c>
      <c r="CB1519" s="2" t="s">
        <v>3313</v>
      </c>
      <c r="CC1519" s="2" t="s">
        <v>213</v>
      </c>
      <c r="CD1519" s="2" t="s">
        <v>200</v>
      </c>
      <c r="CE1519" s="4">
        <v>187</v>
      </c>
      <c r="CF1519" s="4"/>
      <c r="CG1519" s="4"/>
      <c r="CH1519" s="4">
        <v>128</v>
      </c>
      <c r="CI1519" s="4"/>
      <c r="CJ1519" s="4"/>
      <c r="CK1519" s="4"/>
      <c r="CL1519" s="4"/>
      <c r="CM1519" s="4"/>
      <c r="CN1519" s="4"/>
      <c r="CO1519" s="4"/>
      <c r="CP1519" s="4"/>
      <c r="CQ1519" s="4"/>
      <c r="CR1519" s="4"/>
      <c r="CS1519" s="4"/>
      <c r="CT1519" s="4"/>
      <c r="CU1519" s="4"/>
      <c r="CV1519" s="4"/>
      <c r="CW1519" s="4"/>
      <c r="CX1519" s="4"/>
      <c r="CY1519" s="4"/>
      <c r="CZ1519" s="4"/>
      <c r="DA1519" s="4"/>
      <c r="DB1519" s="4"/>
      <c r="DC1519" s="4"/>
      <c r="DD1519" s="4"/>
      <c r="DE1519" s="4"/>
      <c r="DF1519" s="4"/>
      <c r="DG1519" s="4"/>
      <c r="DH1519" s="4"/>
      <c r="DI1519" s="4"/>
      <c r="DJ1519" s="4"/>
      <c r="DK1519" s="4"/>
      <c r="DL1519" s="4"/>
      <c r="DM1519" s="4"/>
      <c r="DN1519" s="4"/>
      <c r="DO1519" s="4"/>
      <c r="DP1519" s="4"/>
      <c r="DQ1519" s="4"/>
      <c r="DR1519" s="4"/>
      <c r="DS1519" s="4"/>
      <c r="DT1519" s="4"/>
      <c r="DU1519" s="4"/>
      <c r="DV1519" s="4"/>
      <c r="DW1519" s="4"/>
      <c r="DX1519" s="4"/>
      <c r="DY1519" s="4"/>
      <c r="DZ1519" s="4"/>
      <c r="EA1519" s="4"/>
      <c r="EB1519" s="4"/>
      <c r="EC1519" s="4"/>
      <c r="ED1519" s="4"/>
      <c r="EE1519" s="4"/>
      <c r="EF1519" s="4"/>
      <c r="EG1519" s="4"/>
      <c r="EH1519" s="4"/>
      <c r="EI1519" s="4"/>
      <c r="EJ1519" s="4"/>
      <c r="EK1519" s="4"/>
      <c r="EL1519" s="4"/>
      <c r="EM1519" s="4"/>
      <c r="EN1519" s="4"/>
      <c r="EO1519" s="4"/>
      <c r="EP1519" s="4"/>
      <c r="EQ1519" s="4"/>
      <c r="ER1519" s="4"/>
      <c r="ES1519" s="4"/>
      <c r="ET1519" s="4"/>
      <c r="EU1519" s="4"/>
      <c r="EV1519" s="4"/>
      <c r="EW1519" s="4"/>
      <c r="EX1519" s="4"/>
      <c r="EY1519" s="4"/>
      <c r="EZ1519" s="4"/>
      <c r="FA1519" s="4"/>
      <c r="FB1519" s="4"/>
      <c r="FC1519" s="4"/>
      <c r="FD1519" s="4"/>
      <c r="FE1519" s="4"/>
      <c r="FF1519" s="4"/>
      <c r="FG1519" s="4"/>
      <c r="FH1519" s="4"/>
      <c r="FI1519" s="4">
        <v>230</v>
      </c>
      <c r="FJ1519" s="4"/>
      <c r="FK1519" s="4"/>
      <c r="FL1519" s="4"/>
      <c r="FM1519" s="4"/>
      <c r="FN1519" s="4"/>
      <c r="FO1519" s="4"/>
      <c r="FP1519" s="4"/>
      <c r="FQ1519" s="4"/>
      <c r="FR1519" s="4"/>
      <c r="FS1519" s="4"/>
      <c r="FT1519" s="4"/>
      <c r="FU1519" s="4"/>
      <c r="FV1519" s="4"/>
      <c r="FW1519" s="4"/>
      <c r="FX1519" s="4"/>
      <c r="FY1519" s="4"/>
      <c r="FZ1519" s="4"/>
      <c r="GA1519" s="4"/>
      <c r="GB1519" s="4"/>
      <c r="GC1519" s="4"/>
      <c r="GD1519" s="4"/>
      <c r="GE1519" s="4"/>
      <c r="GF1519" s="4"/>
      <c r="GG1519" s="4"/>
      <c r="GH1519" s="4"/>
    </row>
    <row r="1520">
      <c r="A1520" s="2" t="s">
        <v>8113</v>
      </c>
      <c r="B1520" s="2" t="s">
        <v>230</v>
      </c>
      <c r="C1520" s="2" t="s">
        <v>307</v>
      </c>
      <c r="D1520" s="2" t="s">
        <v>232</v>
      </c>
      <c r="E1520" s="2" t="s">
        <v>233</v>
      </c>
      <c r="F1520" s="2" t="s">
        <v>8078</v>
      </c>
      <c r="G1520" s="2" t="s">
        <v>8078</v>
      </c>
      <c r="H1520" s="2" t="s">
        <v>8078</v>
      </c>
      <c r="I1520" s="2" t="s">
        <v>8079</v>
      </c>
      <c r="J1520" s="2" t="s">
        <v>256</v>
      </c>
      <c r="K1520" s="2" t="s">
        <v>2589</v>
      </c>
      <c r="L1520" s="3">
        <v>12.48</v>
      </c>
      <c r="M1520" s="3">
        <v>13.1</v>
      </c>
      <c r="N1520" s="3">
        <v>27.99</v>
      </c>
      <c r="O1520" s="2" t="s">
        <v>212</v>
      </c>
      <c r="P1520" s="2" t="s">
        <v>205</v>
      </c>
      <c r="Q1520" s="2" t="s">
        <v>206</v>
      </c>
      <c r="R1520" s="2" t="s">
        <v>200</v>
      </c>
      <c r="S1520" s="2" t="s">
        <v>8114</v>
      </c>
      <c r="T1520" s="2" t="s">
        <v>8078</v>
      </c>
      <c r="U1520" s="2" t="s">
        <v>240</v>
      </c>
      <c r="V1520" s="2" t="s">
        <v>208</v>
      </c>
      <c r="W1520" s="2" t="s">
        <v>241</v>
      </c>
      <c r="X1520" s="2" t="s">
        <v>379</v>
      </c>
      <c r="Y1520" s="2" t="s">
        <v>1663</v>
      </c>
      <c r="Z1520" s="4">
        <v>1332</v>
      </c>
      <c r="AA1520" s="4">
        <f>=ROUNDDOWN(83.25,0)</f>
      </c>
      <c r="AB1520" s="5">
        <v>16</v>
      </c>
      <c r="AC1520" s="2" t="s">
        <v>200</v>
      </c>
      <c r="AD1520" s="4"/>
      <c r="AE1520" s="4"/>
      <c r="AF1520" s="6">
        <v>65</v>
      </c>
      <c r="AG1520" s="6">
        <v>48</v>
      </c>
      <c r="AH1520" s="7">
        <v>1</v>
      </c>
      <c r="AI1520" s="4"/>
      <c r="AJ1520" s="4">
        <f>=ROUNDDOWN({0},0)</f>
      </c>
      <c r="AK1520" s="5"/>
      <c r="AL1520" s="2" t="s">
        <v>200</v>
      </c>
      <c r="AM1520" s="4"/>
      <c r="AN1520" s="4"/>
      <c r="AO1520" s="7"/>
      <c r="AP1520" s="4"/>
      <c r="AQ1520" s="8"/>
      <c r="AR1520" s="4"/>
      <c r="AS1520" s="8"/>
      <c r="AT1520" s="7"/>
      <c r="AU1520" s="7"/>
      <c r="AV1520" s="4"/>
      <c r="AW1520" s="8"/>
      <c r="AX1520" s="4"/>
      <c r="AY1520" s="8"/>
      <c r="AZ1520" s="7"/>
      <c r="BA1520" s="7"/>
      <c r="BB1520" s="7"/>
      <c r="BC1520" s="4" t="s">
        <v>200</v>
      </c>
      <c r="BD1520" s="8" t="s">
        <v>200</v>
      </c>
      <c r="BE1520" s="4" t="s">
        <v>200</v>
      </c>
      <c r="BF1520" s="8" t="s">
        <v>200</v>
      </c>
      <c r="BG1520" s="7" t="s">
        <v>200</v>
      </c>
      <c r="BH1520" s="7" t="s">
        <v>200</v>
      </c>
      <c r="BI1520" s="7"/>
      <c r="BJ1520" s="4">
        <v>63</v>
      </c>
      <c r="BK1520" s="8">
        <v>896.69</v>
      </c>
      <c r="BL1520" s="2" t="s">
        <v>8115</v>
      </c>
      <c r="BM1520" s="7"/>
      <c r="BN1520" s="7"/>
      <c r="BO1520" s="4"/>
      <c r="BP1520" s="8"/>
      <c r="BQ1520" s="4"/>
      <c r="BR1520" s="8"/>
      <c r="BS1520" s="7"/>
      <c r="BT1520" s="7"/>
      <c r="BU1520" s="2" t="s">
        <v>8116</v>
      </c>
      <c r="BV1520" s="2" t="s">
        <v>200</v>
      </c>
      <c r="BW1520" s="2" t="s">
        <v>200</v>
      </c>
      <c r="BX1520" s="2" t="s">
        <v>629</v>
      </c>
      <c r="BY1520" s="2" t="s">
        <v>247</v>
      </c>
      <c r="BZ1520" s="2" t="s">
        <v>212</v>
      </c>
      <c r="CA1520" s="2" t="s">
        <v>8083</v>
      </c>
      <c r="CB1520" s="2" t="s">
        <v>200</v>
      </c>
      <c r="CC1520" s="2" t="s">
        <v>213</v>
      </c>
      <c r="CD1520" s="2" t="s">
        <v>200</v>
      </c>
      <c r="CE1520" s="4">
        <v>757</v>
      </c>
      <c r="CF1520" s="4"/>
      <c r="CG1520" s="4"/>
      <c r="CH1520" s="4">
        <v>575</v>
      </c>
      <c r="CI1520" s="4"/>
      <c r="CJ1520" s="4"/>
      <c r="CK1520" s="4"/>
      <c r="CL1520" s="4"/>
      <c r="CM1520" s="4"/>
      <c r="CN1520" s="4"/>
      <c r="CO1520" s="4"/>
      <c r="CP1520" s="4"/>
      <c r="CQ1520" s="4"/>
      <c r="CR1520" s="4"/>
      <c r="CS1520" s="4"/>
      <c r="CT1520" s="4"/>
      <c r="CU1520" s="4"/>
      <c r="CV1520" s="4"/>
      <c r="CW1520" s="4"/>
      <c r="CX1520" s="4"/>
      <c r="CY1520" s="4"/>
      <c r="CZ1520" s="4"/>
      <c r="DA1520" s="4"/>
      <c r="DB1520" s="4"/>
      <c r="DC1520" s="4"/>
      <c r="DD1520" s="4"/>
      <c r="DE1520" s="4"/>
      <c r="DF1520" s="4"/>
      <c r="DG1520" s="4"/>
      <c r="DH1520" s="4"/>
      <c r="DI1520" s="4"/>
      <c r="DJ1520" s="4"/>
      <c r="DK1520" s="4"/>
      <c r="DL1520" s="4"/>
      <c r="DM1520" s="4"/>
      <c r="DN1520" s="4"/>
      <c r="DO1520" s="4"/>
      <c r="DP1520" s="4"/>
      <c r="DQ1520" s="4"/>
      <c r="DR1520" s="4"/>
      <c r="DS1520" s="4"/>
      <c r="DT1520" s="4"/>
      <c r="DU1520" s="4"/>
      <c r="DV1520" s="4"/>
      <c r="DW1520" s="4"/>
      <c r="DX1520" s="4"/>
      <c r="DY1520" s="4"/>
      <c r="DZ1520" s="4"/>
      <c r="EA1520" s="4"/>
      <c r="EB1520" s="4"/>
      <c r="EC1520" s="4"/>
      <c r="ED1520" s="4"/>
      <c r="EE1520" s="4"/>
      <c r="EF1520" s="4"/>
      <c r="EG1520" s="4"/>
      <c r="EH1520" s="4"/>
      <c r="EI1520" s="4"/>
      <c r="EJ1520" s="4"/>
      <c r="EK1520" s="4"/>
      <c r="EL1520" s="4"/>
      <c r="EM1520" s="4"/>
      <c r="EN1520" s="4"/>
      <c r="EO1520" s="4"/>
      <c r="EP1520" s="4"/>
      <c r="EQ1520" s="4"/>
      <c r="ER1520" s="4"/>
      <c r="ES1520" s="4"/>
      <c r="ET1520" s="4"/>
      <c r="EU1520" s="4"/>
      <c r="EV1520" s="4"/>
      <c r="EW1520" s="4"/>
      <c r="EX1520" s="4"/>
      <c r="EY1520" s="4"/>
      <c r="EZ1520" s="4"/>
      <c r="FA1520" s="4"/>
      <c r="FB1520" s="4"/>
      <c r="FC1520" s="4"/>
      <c r="FD1520" s="4"/>
      <c r="FE1520" s="4"/>
      <c r="FF1520" s="4"/>
      <c r="FG1520" s="4"/>
      <c r="FH1520" s="4"/>
      <c r="FI1520" s="4"/>
      <c r="FJ1520" s="4"/>
      <c r="FK1520" s="4"/>
      <c r="FL1520" s="4"/>
      <c r="FM1520" s="4"/>
      <c r="FN1520" s="4"/>
      <c r="FO1520" s="4"/>
      <c r="FP1520" s="4"/>
      <c r="FQ1520" s="4"/>
      <c r="FR1520" s="4"/>
      <c r="FS1520" s="4"/>
      <c r="FT1520" s="4"/>
      <c r="FU1520" s="4"/>
      <c r="FV1520" s="4"/>
      <c r="FW1520" s="4"/>
      <c r="FX1520" s="4"/>
      <c r="FY1520" s="4"/>
      <c r="FZ1520" s="4"/>
      <c r="GA1520" s="4"/>
      <c r="GB1520" s="4"/>
      <c r="GC1520" s="4"/>
      <c r="GD1520" s="4"/>
      <c r="GE1520" s="4"/>
      <c r="GF1520" s="4"/>
      <c r="GG1520" s="4"/>
      <c r="GH1520" s="4"/>
    </row>
    <row r="1521">
      <c r="A1521" s="2" t="s">
        <v>8117</v>
      </c>
      <c r="B1521" s="2" t="s">
        <v>230</v>
      </c>
      <c r="C1521" s="2" t="s">
        <v>307</v>
      </c>
      <c r="D1521" s="2" t="s">
        <v>232</v>
      </c>
      <c r="E1521" s="2" t="s">
        <v>233</v>
      </c>
      <c r="F1521" s="2" t="s">
        <v>8078</v>
      </c>
      <c r="G1521" s="2" t="s">
        <v>8078</v>
      </c>
      <c r="H1521" s="2" t="s">
        <v>8078</v>
      </c>
      <c r="I1521" s="2" t="s">
        <v>8079</v>
      </c>
      <c r="J1521" s="2" t="s">
        <v>256</v>
      </c>
      <c r="K1521" s="2" t="s">
        <v>2485</v>
      </c>
      <c r="L1521" s="3">
        <v>12.48</v>
      </c>
      <c r="M1521" s="3">
        <v>13.1</v>
      </c>
      <c r="N1521" s="3">
        <v>27.99</v>
      </c>
      <c r="O1521" s="2" t="s">
        <v>212</v>
      </c>
      <c r="P1521" s="2" t="s">
        <v>205</v>
      </c>
      <c r="Q1521" s="2" t="s">
        <v>206</v>
      </c>
      <c r="R1521" s="2" t="s">
        <v>200</v>
      </c>
      <c r="S1521" s="2" t="s">
        <v>8118</v>
      </c>
      <c r="T1521" s="2" t="s">
        <v>8078</v>
      </c>
      <c r="U1521" s="2" t="s">
        <v>240</v>
      </c>
      <c r="V1521" s="2" t="s">
        <v>208</v>
      </c>
      <c r="W1521" s="2" t="s">
        <v>241</v>
      </c>
      <c r="X1521" s="2" t="s">
        <v>379</v>
      </c>
      <c r="Y1521" s="2" t="s">
        <v>1373</v>
      </c>
      <c r="Z1521" s="4">
        <v>534</v>
      </c>
      <c r="AA1521" s="4">
        <f>=ROUNDDOWN(26.7,0)</f>
      </c>
      <c r="AB1521" s="5">
        <v>20</v>
      </c>
      <c r="AC1521" s="2" t="s">
        <v>200</v>
      </c>
      <c r="AD1521" s="4"/>
      <c r="AE1521" s="4"/>
      <c r="AF1521" s="6">
        <v>65</v>
      </c>
      <c r="AG1521" s="6">
        <v>48</v>
      </c>
      <c r="AH1521" s="7">
        <v>1</v>
      </c>
      <c r="AI1521" s="4"/>
      <c r="AJ1521" s="4">
        <f>=ROUNDDOWN({0},0)</f>
      </c>
      <c r="AK1521" s="5"/>
      <c r="AL1521" s="2" t="s">
        <v>200</v>
      </c>
      <c r="AM1521" s="4"/>
      <c r="AN1521" s="4"/>
      <c r="AO1521" s="7"/>
      <c r="AP1521" s="4"/>
      <c r="AQ1521" s="8"/>
      <c r="AR1521" s="4"/>
      <c r="AS1521" s="8"/>
      <c r="AT1521" s="7"/>
      <c r="AU1521" s="7"/>
      <c r="AV1521" s="4" t="s">
        <v>200</v>
      </c>
      <c r="AW1521" s="8" t="s">
        <v>200</v>
      </c>
      <c r="AX1521" s="4" t="s">
        <v>200</v>
      </c>
      <c r="AY1521" s="8" t="s">
        <v>200</v>
      </c>
      <c r="AZ1521" s="7" t="s">
        <v>200</v>
      </c>
      <c r="BA1521" s="7" t="s">
        <v>200</v>
      </c>
      <c r="BB1521" s="7"/>
      <c r="BC1521" s="4" t="s">
        <v>200</v>
      </c>
      <c r="BD1521" s="8" t="s">
        <v>200</v>
      </c>
      <c r="BE1521" s="4" t="s">
        <v>200</v>
      </c>
      <c r="BF1521" s="8" t="s">
        <v>200</v>
      </c>
      <c r="BG1521" s="7" t="s">
        <v>200</v>
      </c>
      <c r="BH1521" s="7" t="s">
        <v>200</v>
      </c>
      <c r="BI1521" s="7"/>
      <c r="BJ1521" s="4">
        <v>83</v>
      </c>
      <c r="BK1521" s="8">
        <v>1223.9</v>
      </c>
      <c r="BL1521" s="2" t="s">
        <v>6099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8119</v>
      </c>
      <c r="BV1521" s="2" t="s">
        <v>200</v>
      </c>
      <c r="BW1521" s="2" t="s">
        <v>200</v>
      </c>
      <c r="BX1521" s="2" t="s">
        <v>629</v>
      </c>
      <c r="BY1521" s="2" t="s">
        <v>247</v>
      </c>
      <c r="BZ1521" s="2" t="s">
        <v>212</v>
      </c>
      <c r="CA1521" s="2" t="s">
        <v>8083</v>
      </c>
      <c r="CB1521" s="2" t="s">
        <v>3625</v>
      </c>
      <c r="CC1521" s="2" t="s">
        <v>213</v>
      </c>
      <c r="CD1521" s="2" t="s">
        <v>200</v>
      </c>
      <c r="CE1521" s="4">
        <v>315</v>
      </c>
      <c r="CF1521" s="4"/>
      <c r="CG1521" s="4"/>
      <c r="CH1521" s="4">
        <v>219</v>
      </c>
      <c r="CI1521" s="4"/>
      <c r="CJ1521" s="4"/>
      <c r="CK1521" s="4"/>
      <c r="CL1521" s="4"/>
      <c r="CM1521" s="4"/>
      <c r="CN1521" s="4"/>
      <c r="CO1521" s="4"/>
      <c r="CP1521" s="4"/>
      <c r="CQ1521" s="4"/>
      <c r="CR1521" s="4"/>
      <c r="CS1521" s="4"/>
      <c r="CT1521" s="4"/>
      <c r="CU1521" s="4"/>
      <c r="CV1521" s="4"/>
      <c r="CW1521" s="4"/>
      <c r="CX1521" s="4"/>
      <c r="CY1521" s="4"/>
      <c r="CZ1521" s="4"/>
      <c r="DA1521" s="4"/>
      <c r="DB1521" s="4"/>
      <c r="DC1521" s="4"/>
      <c r="DD1521" s="4"/>
      <c r="DE1521" s="4"/>
      <c r="DF1521" s="4"/>
      <c r="DG1521" s="4"/>
      <c r="DH1521" s="4"/>
      <c r="DI1521" s="4"/>
      <c r="DJ1521" s="4"/>
      <c r="DK1521" s="4"/>
      <c r="DL1521" s="4"/>
      <c r="DM1521" s="4"/>
      <c r="DN1521" s="4"/>
      <c r="DO1521" s="4"/>
      <c r="DP1521" s="4"/>
      <c r="DQ1521" s="4"/>
      <c r="DR1521" s="4"/>
      <c r="DS1521" s="4"/>
      <c r="DT1521" s="4"/>
      <c r="DU1521" s="4"/>
      <c r="DV1521" s="4"/>
      <c r="DW1521" s="4"/>
      <c r="DX1521" s="4"/>
      <c r="DY1521" s="4"/>
      <c r="DZ1521" s="4"/>
      <c r="EA1521" s="4"/>
      <c r="EB1521" s="4"/>
      <c r="EC1521" s="4"/>
      <c r="ED1521" s="4"/>
      <c r="EE1521" s="4"/>
      <c r="EF1521" s="4"/>
      <c r="EG1521" s="4"/>
      <c r="EH1521" s="4"/>
      <c r="EI1521" s="4"/>
      <c r="EJ1521" s="4"/>
      <c r="EK1521" s="4"/>
      <c r="EL1521" s="4"/>
      <c r="EM1521" s="4"/>
      <c r="EN1521" s="4"/>
      <c r="EO1521" s="4"/>
      <c r="EP1521" s="4"/>
      <c r="EQ1521" s="4"/>
      <c r="ER1521" s="4"/>
      <c r="ES1521" s="4"/>
      <c r="ET1521" s="4"/>
      <c r="EU1521" s="4"/>
      <c r="EV1521" s="4"/>
      <c r="EW1521" s="4"/>
      <c r="EX1521" s="4"/>
      <c r="EY1521" s="4"/>
      <c r="EZ1521" s="4"/>
      <c r="FA1521" s="4"/>
      <c r="FB1521" s="4"/>
      <c r="FC1521" s="4"/>
      <c r="FD1521" s="4"/>
      <c r="FE1521" s="4"/>
      <c r="FF1521" s="4"/>
      <c r="FG1521" s="4"/>
      <c r="FH1521" s="4"/>
      <c r="FI1521" s="4"/>
      <c r="FJ1521" s="4"/>
      <c r="FK1521" s="4"/>
      <c r="FL1521" s="4"/>
      <c r="FM1521" s="4"/>
      <c r="FN1521" s="4"/>
      <c r="FO1521" s="4"/>
      <c r="FP1521" s="4"/>
      <c r="FQ1521" s="4"/>
      <c r="FR1521" s="4"/>
      <c r="FS1521" s="4"/>
      <c r="FT1521" s="4"/>
      <c r="FU1521" s="4"/>
      <c r="FV1521" s="4"/>
      <c r="FW1521" s="4"/>
      <c r="FX1521" s="4"/>
      <c r="FY1521" s="4"/>
      <c r="FZ1521" s="4"/>
      <c r="GA1521" s="4"/>
      <c r="GB1521" s="4"/>
      <c r="GC1521" s="4"/>
      <c r="GD1521" s="4"/>
      <c r="GE1521" s="4"/>
      <c r="GF1521" s="4"/>
      <c r="GG1521" s="4"/>
      <c r="GH1521" s="4"/>
    </row>
    <row r="1522">
      <c r="A1522" s="2" t="s">
        <v>8120</v>
      </c>
      <c r="B1522" s="2" t="s">
        <v>230</v>
      </c>
      <c r="C1522" s="2" t="s">
        <v>307</v>
      </c>
      <c r="D1522" s="2" t="s">
        <v>2171</v>
      </c>
      <c r="E1522" s="2" t="s">
        <v>2172</v>
      </c>
      <c r="F1522" s="2" t="s">
        <v>8078</v>
      </c>
      <c r="G1522" s="2" t="s">
        <v>8078</v>
      </c>
      <c r="H1522" s="2" t="s">
        <v>8078</v>
      </c>
      <c r="I1522" s="2" t="s">
        <v>8089</v>
      </c>
      <c r="J1522" s="2" t="s">
        <v>302</v>
      </c>
      <c r="K1522" s="2" t="s">
        <v>2485</v>
      </c>
      <c r="L1522" s="3">
        <v>5.79</v>
      </c>
      <c r="M1522" s="3">
        <v>6.08</v>
      </c>
      <c r="N1522" s="3">
        <v>12.99</v>
      </c>
      <c r="O1522" s="2" t="s">
        <v>212</v>
      </c>
      <c r="P1522" s="2" t="s">
        <v>205</v>
      </c>
      <c r="Q1522" s="2" t="s">
        <v>206</v>
      </c>
      <c r="R1522" s="2" t="s">
        <v>200</v>
      </c>
      <c r="S1522" s="2" t="s">
        <v>8118</v>
      </c>
      <c r="T1522" s="2" t="s">
        <v>8078</v>
      </c>
      <c r="U1522" s="2" t="s">
        <v>677</v>
      </c>
      <c r="V1522" s="2" t="s">
        <v>208</v>
      </c>
      <c r="W1522" s="2" t="s">
        <v>241</v>
      </c>
      <c r="X1522" s="2" t="s">
        <v>379</v>
      </c>
      <c r="Y1522" s="2" t="s">
        <v>1640</v>
      </c>
      <c r="Z1522" s="4">
        <v>379</v>
      </c>
      <c r="AA1522" s="4">
        <f>=ROUNDDOWN(16.4782608695652,0)</f>
      </c>
      <c r="AB1522" s="5">
        <v>23</v>
      </c>
      <c r="AC1522" s="2" t="s">
        <v>3787</v>
      </c>
      <c r="AD1522" s="4">
        <v>160</v>
      </c>
      <c r="AE1522" s="4">
        <v>360</v>
      </c>
      <c r="AF1522" s="6">
        <v>65</v>
      </c>
      <c r="AG1522" s="6">
        <v>48</v>
      </c>
      <c r="AH1522" s="7">
        <v>1</v>
      </c>
      <c r="AI1522" s="4"/>
      <c r="AJ1522" s="4">
        <f>=ROUNDDOWN({0},0)</f>
      </c>
      <c r="AK1522" s="5"/>
      <c r="AL1522" s="2" t="s">
        <v>200</v>
      </c>
      <c r="AM1522" s="4"/>
      <c r="AN1522" s="4"/>
      <c r="AO1522" s="7"/>
      <c r="AP1522" s="4"/>
      <c r="AQ1522" s="8"/>
      <c r="AR1522" s="4"/>
      <c r="AS1522" s="8"/>
      <c r="AT1522" s="7"/>
      <c r="AU1522" s="7"/>
      <c r="AV1522" s="4" t="s">
        <v>200</v>
      </c>
      <c r="AW1522" s="8" t="s">
        <v>200</v>
      </c>
      <c r="AX1522" s="4" t="s">
        <v>200</v>
      </c>
      <c r="AY1522" s="8" t="s">
        <v>200</v>
      </c>
      <c r="AZ1522" s="7" t="s">
        <v>200</v>
      </c>
      <c r="BA1522" s="7" t="s">
        <v>200</v>
      </c>
      <c r="BB1522" s="7"/>
      <c r="BC1522" s="4" t="s">
        <v>200</v>
      </c>
      <c r="BD1522" s="8" t="s">
        <v>200</v>
      </c>
      <c r="BE1522" s="4" t="s">
        <v>200</v>
      </c>
      <c r="BF1522" s="8" t="s">
        <v>200</v>
      </c>
      <c r="BG1522" s="7" t="s">
        <v>200</v>
      </c>
      <c r="BH1522" s="7" t="s">
        <v>200</v>
      </c>
      <c r="BI1522" s="7"/>
      <c r="BJ1522" s="4">
        <v>258</v>
      </c>
      <c r="BK1522" s="8">
        <v>1478.96</v>
      </c>
      <c r="BL1522" s="2" t="s">
        <v>359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8121</v>
      </c>
      <c r="BV1522" s="2" t="s">
        <v>200</v>
      </c>
      <c r="BW1522" s="2" t="s">
        <v>200</v>
      </c>
      <c r="BX1522" s="2" t="s">
        <v>264</v>
      </c>
      <c r="BY1522" s="2" t="s">
        <v>247</v>
      </c>
      <c r="BZ1522" s="2" t="s">
        <v>212</v>
      </c>
      <c r="CA1522" s="2" t="s">
        <v>8083</v>
      </c>
      <c r="CB1522" s="2" t="s">
        <v>3313</v>
      </c>
      <c r="CC1522" s="2" t="s">
        <v>213</v>
      </c>
      <c r="CD1522" s="2" t="s">
        <v>200</v>
      </c>
      <c r="CE1522" s="4">
        <v>172</v>
      </c>
      <c r="CF1522" s="4"/>
      <c r="CG1522" s="4"/>
      <c r="CH1522" s="4">
        <v>207</v>
      </c>
      <c r="CI1522" s="4"/>
      <c r="CJ1522" s="4"/>
      <c r="CK1522" s="4"/>
      <c r="CL1522" s="4"/>
      <c r="CM1522" s="4"/>
      <c r="CN1522" s="4"/>
      <c r="CO1522" s="4"/>
      <c r="CP1522" s="4"/>
      <c r="CQ1522" s="4"/>
      <c r="CR1522" s="4"/>
      <c r="CS1522" s="4"/>
      <c r="CT1522" s="4"/>
      <c r="CU1522" s="4"/>
      <c r="CV1522" s="4"/>
      <c r="CW1522" s="4"/>
      <c r="CX1522" s="4"/>
      <c r="CY1522" s="4"/>
      <c r="CZ1522" s="4"/>
      <c r="DA1522" s="4"/>
      <c r="DB1522" s="4"/>
      <c r="DC1522" s="4"/>
      <c r="DD1522" s="4"/>
      <c r="DE1522" s="4"/>
      <c r="DF1522" s="4"/>
      <c r="DG1522" s="4"/>
      <c r="DH1522" s="4"/>
      <c r="DI1522" s="4"/>
      <c r="DJ1522" s="4"/>
      <c r="DK1522" s="4"/>
      <c r="DL1522" s="4"/>
      <c r="DM1522" s="4"/>
      <c r="DN1522" s="4"/>
      <c r="DO1522" s="4"/>
      <c r="DP1522" s="4"/>
      <c r="DQ1522" s="4"/>
      <c r="DR1522" s="4"/>
      <c r="DS1522" s="4"/>
      <c r="DT1522" s="4"/>
      <c r="DU1522" s="4"/>
      <c r="DV1522" s="4"/>
      <c r="DW1522" s="4"/>
      <c r="DX1522" s="4"/>
      <c r="DY1522" s="4"/>
      <c r="DZ1522" s="4"/>
      <c r="EA1522" s="4"/>
      <c r="EB1522" s="4"/>
      <c r="EC1522" s="4"/>
      <c r="ED1522" s="4"/>
      <c r="EE1522" s="4"/>
      <c r="EF1522" s="4">
        <v>160</v>
      </c>
      <c r="EG1522" s="4"/>
      <c r="EH1522" s="4"/>
      <c r="EI1522" s="4"/>
      <c r="EJ1522" s="4"/>
      <c r="EK1522" s="4"/>
      <c r="EL1522" s="4"/>
      <c r="EM1522" s="4"/>
      <c r="EN1522" s="4"/>
      <c r="EO1522" s="4"/>
      <c r="EP1522" s="4"/>
      <c r="EQ1522" s="4"/>
      <c r="ER1522" s="4"/>
      <c r="ES1522" s="4"/>
      <c r="ET1522" s="4"/>
      <c r="EU1522" s="4"/>
      <c r="EV1522" s="4"/>
      <c r="EW1522" s="4"/>
      <c r="EX1522" s="4"/>
      <c r="EY1522" s="4"/>
      <c r="EZ1522" s="4"/>
      <c r="FA1522" s="4"/>
      <c r="FB1522" s="4"/>
      <c r="FC1522" s="4"/>
      <c r="FD1522" s="4"/>
      <c r="FE1522" s="4"/>
      <c r="FF1522" s="4">
        <v>200</v>
      </c>
      <c r="FG1522" s="4"/>
      <c r="FH1522" s="4"/>
      <c r="FI1522" s="4"/>
      <c r="FJ1522" s="4"/>
      <c r="FK1522" s="4"/>
      <c r="FL1522" s="4"/>
      <c r="FM1522" s="4"/>
      <c r="FN1522" s="4"/>
      <c r="FO1522" s="4"/>
      <c r="FP1522" s="4"/>
      <c r="FQ1522" s="4"/>
      <c r="FR1522" s="4"/>
      <c r="FS1522" s="4"/>
      <c r="FT1522" s="4"/>
      <c r="FU1522" s="4"/>
      <c r="FV1522" s="4"/>
      <c r="FW1522" s="4"/>
      <c r="FX1522" s="4"/>
      <c r="FY1522" s="4"/>
      <c r="FZ1522" s="4"/>
      <c r="GA1522" s="4"/>
      <c r="GB1522" s="4"/>
      <c r="GC1522" s="4"/>
      <c r="GD1522" s="4"/>
      <c r="GE1522" s="4"/>
      <c r="GF1522" s="4"/>
      <c r="GG1522" s="4"/>
      <c r="GH1522" s="4"/>
    </row>
    <row r="1523">
      <c r="A1523" s="2" t="s">
        <v>8122</v>
      </c>
      <c r="B1523" s="2" t="s">
        <v>230</v>
      </c>
      <c r="C1523" s="2" t="s">
        <v>307</v>
      </c>
      <c r="D1523" s="2" t="s">
        <v>232</v>
      </c>
      <c r="E1523" s="2" t="s">
        <v>233</v>
      </c>
      <c r="F1523" s="2" t="s">
        <v>8078</v>
      </c>
      <c r="G1523" s="2" t="s">
        <v>8078</v>
      </c>
      <c r="H1523" s="2" t="s">
        <v>8078</v>
      </c>
      <c r="I1523" s="2" t="s">
        <v>8079</v>
      </c>
      <c r="J1523" s="2" t="s">
        <v>236</v>
      </c>
      <c r="K1523" s="2" t="s">
        <v>2485</v>
      </c>
      <c r="L1523" s="3">
        <v>19.17</v>
      </c>
      <c r="M1523" s="3">
        <v>20.13</v>
      </c>
      <c r="N1523" s="3">
        <v>42.99</v>
      </c>
      <c r="O1523" s="2" t="s">
        <v>212</v>
      </c>
      <c r="P1523" s="2" t="s">
        <v>205</v>
      </c>
      <c r="Q1523" s="2" t="s">
        <v>206</v>
      </c>
      <c r="R1523" s="2" t="s">
        <v>200</v>
      </c>
      <c r="S1523" s="2" t="s">
        <v>8118</v>
      </c>
      <c r="T1523" s="2" t="s">
        <v>8078</v>
      </c>
      <c r="U1523" s="2" t="s">
        <v>662</v>
      </c>
      <c r="V1523" s="2" t="s">
        <v>208</v>
      </c>
      <c r="W1523" s="2" t="s">
        <v>241</v>
      </c>
      <c r="X1523" s="2" t="s">
        <v>379</v>
      </c>
      <c r="Y1523" s="2" t="s">
        <v>1373</v>
      </c>
      <c r="Z1523" s="4">
        <v>137</v>
      </c>
      <c r="AA1523" s="4">
        <f>=ROUNDDOWN(11.4166666666667,0)</f>
      </c>
      <c r="AB1523" s="5">
        <v>12</v>
      </c>
      <c r="AC1523" s="2" t="s">
        <v>3787</v>
      </c>
      <c r="AD1523" s="4">
        <v>120</v>
      </c>
      <c r="AE1523" s="4">
        <v>120</v>
      </c>
      <c r="AF1523" s="6">
        <v>65</v>
      </c>
      <c r="AG1523" s="6">
        <v>48</v>
      </c>
      <c r="AH1523" s="7">
        <v>1</v>
      </c>
      <c r="AI1523" s="4"/>
      <c r="AJ1523" s="4">
        <f>=ROUNDDOWN({0},0)</f>
      </c>
      <c r="AK1523" s="5"/>
      <c r="AL1523" s="2" t="s">
        <v>200</v>
      </c>
      <c r="AM1523" s="4"/>
      <c r="AN1523" s="4"/>
      <c r="AO1523" s="7"/>
      <c r="AP1523" s="4"/>
      <c r="AQ1523" s="8"/>
      <c r="AR1523" s="4"/>
      <c r="AS1523" s="8"/>
      <c r="AT1523" s="7"/>
      <c r="AU1523" s="7"/>
      <c r="AV1523" s="4" t="s">
        <v>200</v>
      </c>
      <c r="AW1523" s="8" t="s">
        <v>200</v>
      </c>
      <c r="AX1523" s="4" t="s">
        <v>200</v>
      </c>
      <c r="AY1523" s="8" t="s">
        <v>200</v>
      </c>
      <c r="AZ1523" s="7" t="s">
        <v>200</v>
      </c>
      <c r="BA1523" s="7" t="s">
        <v>200</v>
      </c>
      <c r="BB1523" s="7"/>
      <c r="BC1523" s="4" t="s">
        <v>200</v>
      </c>
      <c r="BD1523" s="8" t="s">
        <v>200</v>
      </c>
      <c r="BE1523" s="4" t="s">
        <v>200</v>
      </c>
      <c r="BF1523" s="8" t="s">
        <v>200</v>
      </c>
      <c r="BG1523" s="7" t="s">
        <v>200</v>
      </c>
      <c r="BH1523" s="7" t="s">
        <v>200</v>
      </c>
      <c r="BI1523" s="7"/>
      <c r="BJ1523" s="4">
        <v>29</v>
      </c>
      <c r="BK1523" s="8">
        <v>671.21</v>
      </c>
      <c r="BL1523" s="2" t="s">
        <v>8123</v>
      </c>
      <c r="BM1523" s="7"/>
      <c r="BN1523" s="7"/>
      <c r="BO1523" s="4"/>
      <c r="BP1523" s="8"/>
      <c r="BQ1523" s="4"/>
      <c r="BR1523" s="8"/>
      <c r="BS1523" s="7"/>
      <c r="BT1523" s="7"/>
      <c r="BU1523" s="2" t="s">
        <v>8124</v>
      </c>
      <c r="BV1523" s="2" t="s">
        <v>200</v>
      </c>
      <c r="BW1523" s="2" t="s">
        <v>200</v>
      </c>
      <c r="BX1523" s="2" t="s">
        <v>629</v>
      </c>
      <c r="BY1523" s="2" t="s">
        <v>247</v>
      </c>
      <c r="BZ1523" s="2" t="s">
        <v>212</v>
      </c>
      <c r="CA1523" s="2" t="s">
        <v>8083</v>
      </c>
      <c r="CB1523" s="2" t="s">
        <v>2567</v>
      </c>
      <c r="CC1523" s="2" t="s">
        <v>213</v>
      </c>
      <c r="CD1523" s="2" t="s">
        <v>200</v>
      </c>
      <c r="CE1523" s="4">
        <v>71</v>
      </c>
      <c r="CF1523" s="4"/>
      <c r="CG1523" s="4"/>
      <c r="CH1523" s="4">
        <v>66</v>
      </c>
      <c r="CI1523" s="4"/>
      <c r="CJ1523" s="4"/>
      <c r="CK1523" s="4"/>
      <c r="CL1523" s="4"/>
      <c r="CM1523" s="4"/>
      <c r="CN1523" s="4"/>
      <c r="CO1523" s="4"/>
      <c r="CP1523" s="4"/>
      <c r="CQ1523" s="4"/>
      <c r="CR1523" s="4"/>
      <c r="CS1523" s="4"/>
      <c r="CT1523" s="4"/>
      <c r="CU1523" s="4"/>
      <c r="CV1523" s="4"/>
      <c r="CW1523" s="4"/>
      <c r="CX1523" s="4"/>
      <c r="CY1523" s="4"/>
      <c r="CZ1523" s="4"/>
      <c r="DA1523" s="4"/>
      <c r="DB1523" s="4"/>
      <c r="DC1523" s="4"/>
      <c r="DD1523" s="4"/>
      <c r="DE1523" s="4"/>
      <c r="DF1523" s="4"/>
      <c r="DG1523" s="4"/>
      <c r="DH1523" s="4"/>
      <c r="DI1523" s="4"/>
      <c r="DJ1523" s="4"/>
      <c r="DK1523" s="4"/>
      <c r="DL1523" s="4"/>
      <c r="DM1523" s="4"/>
      <c r="DN1523" s="4"/>
      <c r="DO1523" s="4"/>
      <c r="DP1523" s="4"/>
      <c r="DQ1523" s="4"/>
      <c r="DR1523" s="4"/>
      <c r="DS1523" s="4"/>
      <c r="DT1523" s="4"/>
      <c r="DU1523" s="4"/>
      <c r="DV1523" s="4"/>
      <c r="DW1523" s="4"/>
      <c r="DX1523" s="4"/>
      <c r="DY1523" s="4"/>
      <c r="DZ1523" s="4"/>
      <c r="EA1523" s="4"/>
      <c r="EB1523" s="4"/>
      <c r="EC1523" s="4"/>
      <c r="ED1523" s="4"/>
      <c r="EE1523" s="4"/>
      <c r="EF1523" s="4">
        <v>120</v>
      </c>
      <c r="EG1523" s="4"/>
      <c r="EH1523" s="4"/>
      <c r="EI1523" s="4"/>
      <c r="EJ1523" s="4"/>
      <c r="EK1523" s="4"/>
      <c r="EL1523" s="4"/>
      <c r="EM1523" s="4"/>
      <c r="EN1523" s="4"/>
      <c r="EO1523" s="4"/>
      <c r="EP1523" s="4"/>
      <c r="EQ1523" s="4"/>
      <c r="ER1523" s="4"/>
      <c r="ES1523" s="4"/>
      <c r="ET1523" s="4"/>
      <c r="EU1523" s="4"/>
      <c r="EV1523" s="4"/>
      <c r="EW1523" s="4"/>
      <c r="EX1523" s="4"/>
      <c r="EY1523" s="4"/>
      <c r="EZ1523" s="4"/>
      <c r="FA1523" s="4"/>
      <c r="FB1523" s="4"/>
      <c r="FC1523" s="4"/>
      <c r="FD1523" s="4"/>
      <c r="FE1523" s="4"/>
      <c r="FF1523" s="4"/>
      <c r="FG1523" s="4"/>
      <c r="FH1523" s="4"/>
      <c r="FI1523" s="4"/>
      <c r="FJ1523" s="4"/>
      <c r="FK1523" s="4"/>
      <c r="FL1523" s="4"/>
      <c r="FM1523" s="4"/>
      <c r="FN1523" s="4"/>
      <c r="FO1523" s="4"/>
      <c r="FP1523" s="4"/>
      <c r="FQ1523" s="4"/>
      <c r="FR1523" s="4"/>
      <c r="FS1523" s="4"/>
      <c r="FT1523" s="4"/>
      <c r="FU1523" s="4"/>
      <c r="FV1523" s="4"/>
      <c r="FW1523" s="4"/>
      <c r="FX1523" s="4"/>
      <c r="FY1523" s="4"/>
      <c r="FZ1523" s="4"/>
      <c r="GA1523" s="4"/>
      <c r="GB1523" s="4"/>
      <c r="GC1523" s="4"/>
      <c r="GD1523" s="4"/>
      <c r="GE1523" s="4"/>
      <c r="GF1523" s="4"/>
      <c r="GG1523" s="4"/>
      <c r="GH1523" s="4"/>
    </row>
    <row r="1524">
      <c r="A1524" s="2" t="s">
        <v>8125</v>
      </c>
      <c r="B1524" s="2" t="s">
        <v>230</v>
      </c>
      <c r="C1524" s="2" t="s">
        <v>307</v>
      </c>
      <c r="D1524" s="2" t="s">
        <v>2171</v>
      </c>
      <c r="E1524" s="2" t="s">
        <v>2172</v>
      </c>
      <c r="F1524" s="2" t="s">
        <v>8078</v>
      </c>
      <c r="G1524" s="2" t="s">
        <v>8078</v>
      </c>
      <c r="H1524" s="2" t="s">
        <v>8078</v>
      </c>
      <c r="I1524" s="2" t="s">
        <v>8089</v>
      </c>
      <c r="J1524" s="2" t="s">
        <v>302</v>
      </c>
      <c r="K1524" s="2" t="s">
        <v>8126</v>
      </c>
      <c r="L1524" s="3">
        <v>5.79</v>
      </c>
      <c r="M1524" s="3">
        <v>6.08</v>
      </c>
      <c r="N1524" s="3">
        <v>12.99</v>
      </c>
      <c r="O1524" s="2" t="s">
        <v>212</v>
      </c>
      <c r="P1524" s="2" t="s">
        <v>205</v>
      </c>
      <c r="Q1524" s="2" t="s">
        <v>206</v>
      </c>
      <c r="R1524" s="2" t="s">
        <v>200</v>
      </c>
      <c r="S1524" s="2" t="s">
        <v>8127</v>
      </c>
      <c r="T1524" s="2" t="s">
        <v>8078</v>
      </c>
      <c r="U1524" s="2" t="s">
        <v>677</v>
      </c>
      <c r="V1524" s="2" t="s">
        <v>208</v>
      </c>
      <c r="W1524" s="2" t="s">
        <v>241</v>
      </c>
      <c r="X1524" s="2" t="s">
        <v>379</v>
      </c>
      <c r="Y1524" s="2" t="s">
        <v>1640</v>
      </c>
      <c r="Z1524" s="4">
        <v>293</v>
      </c>
      <c r="AA1524" s="4">
        <f>=ROUNDDOWN(9.45161290322581,0)</f>
      </c>
      <c r="AB1524" s="5">
        <v>31</v>
      </c>
      <c r="AC1524" s="2" t="s">
        <v>3787</v>
      </c>
      <c r="AD1524" s="4">
        <v>160</v>
      </c>
      <c r="AE1524" s="4">
        <v>440</v>
      </c>
      <c r="AF1524" s="6">
        <v>65</v>
      </c>
      <c r="AG1524" s="6">
        <v>48</v>
      </c>
      <c r="AH1524" s="7">
        <v>1</v>
      </c>
      <c r="AI1524" s="4"/>
      <c r="AJ1524" s="4">
        <f>=ROUNDDOWN({0},0)</f>
      </c>
      <c r="AK1524" s="5"/>
      <c r="AL1524" s="2" t="s">
        <v>200</v>
      </c>
      <c r="AM1524" s="4"/>
      <c r="AN1524" s="4"/>
      <c r="AO1524" s="7"/>
      <c r="AP1524" s="4"/>
      <c r="AQ1524" s="8"/>
      <c r="AR1524" s="4"/>
      <c r="AS1524" s="8"/>
      <c r="AT1524" s="7"/>
      <c r="AU1524" s="7"/>
      <c r="AV1524" s="4"/>
      <c r="AW1524" s="8"/>
      <c r="AX1524" s="4"/>
      <c r="AY1524" s="8"/>
      <c r="AZ1524" s="7"/>
      <c r="BA1524" s="7"/>
      <c r="BB1524" s="7"/>
      <c r="BC1524" s="4" t="s">
        <v>200</v>
      </c>
      <c r="BD1524" s="8" t="s">
        <v>200</v>
      </c>
      <c r="BE1524" s="4" t="s">
        <v>200</v>
      </c>
      <c r="BF1524" s="8" t="s">
        <v>200</v>
      </c>
      <c r="BG1524" s="7" t="s">
        <v>200</v>
      </c>
      <c r="BH1524" s="7" t="s">
        <v>200</v>
      </c>
      <c r="BI1524" s="7"/>
      <c r="BJ1524" s="4">
        <v>252</v>
      </c>
      <c r="BK1524" s="8">
        <v>1470.54</v>
      </c>
      <c r="BL1524" s="2" t="s">
        <v>327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8128</v>
      </c>
      <c r="BV1524" s="2" t="s">
        <v>200</v>
      </c>
      <c r="BW1524" s="2" t="s">
        <v>200</v>
      </c>
      <c r="BX1524" s="2" t="s">
        <v>264</v>
      </c>
      <c r="BY1524" s="2" t="s">
        <v>247</v>
      </c>
      <c r="BZ1524" s="2" t="s">
        <v>212</v>
      </c>
      <c r="CA1524" s="2" t="s">
        <v>8083</v>
      </c>
      <c r="CB1524" s="2" t="s">
        <v>200</v>
      </c>
      <c r="CC1524" s="2" t="s">
        <v>213</v>
      </c>
      <c r="CD1524" s="2" t="s">
        <v>200</v>
      </c>
      <c r="CE1524" s="4">
        <v>88</v>
      </c>
      <c r="CF1524" s="4"/>
      <c r="CG1524" s="4"/>
      <c r="CH1524" s="4">
        <v>205</v>
      </c>
      <c r="CI1524" s="4"/>
      <c r="CJ1524" s="4"/>
      <c r="CK1524" s="4"/>
      <c r="CL1524" s="4"/>
      <c r="CM1524" s="4"/>
      <c r="CN1524" s="4"/>
      <c r="CO1524" s="4"/>
      <c r="CP1524" s="4"/>
      <c r="CQ1524" s="4"/>
      <c r="CR1524" s="4"/>
      <c r="CS1524" s="4"/>
      <c r="CT1524" s="4"/>
      <c r="CU1524" s="4"/>
      <c r="CV1524" s="4"/>
      <c r="CW1524" s="4"/>
      <c r="CX1524" s="4"/>
      <c r="CY1524" s="4"/>
      <c r="CZ1524" s="4"/>
      <c r="DA1524" s="4"/>
      <c r="DB1524" s="4"/>
      <c r="DC1524" s="4"/>
      <c r="DD1524" s="4"/>
      <c r="DE1524" s="4"/>
      <c r="DF1524" s="4"/>
      <c r="DG1524" s="4"/>
      <c r="DH1524" s="4"/>
      <c r="DI1524" s="4"/>
      <c r="DJ1524" s="4"/>
      <c r="DK1524" s="4"/>
      <c r="DL1524" s="4"/>
      <c r="DM1524" s="4"/>
      <c r="DN1524" s="4"/>
      <c r="DO1524" s="4"/>
      <c r="DP1524" s="4"/>
      <c r="DQ1524" s="4"/>
      <c r="DR1524" s="4"/>
      <c r="DS1524" s="4"/>
      <c r="DT1524" s="4"/>
      <c r="DU1524" s="4"/>
      <c r="DV1524" s="4"/>
      <c r="DW1524" s="4"/>
      <c r="DX1524" s="4"/>
      <c r="DY1524" s="4"/>
      <c r="DZ1524" s="4"/>
      <c r="EA1524" s="4"/>
      <c r="EB1524" s="4"/>
      <c r="EC1524" s="4"/>
      <c r="ED1524" s="4"/>
      <c r="EE1524" s="4"/>
      <c r="EF1524" s="4">
        <v>160</v>
      </c>
      <c r="EG1524" s="4"/>
      <c r="EH1524" s="4"/>
      <c r="EI1524" s="4"/>
      <c r="EJ1524" s="4"/>
      <c r="EK1524" s="4"/>
      <c r="EL1524" s="4"/>
      <c r="EM1524" s="4"/>
      <c r="EN1524" s="4"/>
      <c r="EO1524" s="4"/>
      <c r="EP1524" s="4"/>
      <c r="EQ1524" s="4"/>
      <c r="ER1524" s="4"/>
      <c r="ES1524" s="4"/>
      <c r="ET1524" s="4"/>
      <c r="EU1524" s="4"/>
      <c r="EV1524" s="4"/>
      <c r="EW1524" s="4"/>
      <c r="EX1524" s="4"/>
      <c r="EY1524" s="4"/>
      <c r="EZ1524" s="4"/>
      <c r="FA1524" s="4"/>
      <c r="FB1524" s="4"/>
      <c r="FC1524" s="4"/>
      <c r="FD1524" s="4"/>
      <c r="FE1524" s="4"/>
      <c r="FF1524" s="4">
        <v>280</v>
      </c>
      <c r="FG1524" s="4"/>
      <c r="FH1524" s="4"/>
      <c r="FI1524" s="4"/>
      <c r="FJ1524" s="4"/>
      <c r="FK1524" s="4"/>
      <c r="FL1524" s="4"/>
      <c r="FM1524" s="4"/>
      <c r="FN1524" s="4"/>
      <c r="FO1524" s="4"/>
      <c r="FP1524" s="4"/>
      <c r="FQ1524" s="4"/>
      <c r="FR1524" s="4"/>
      <c r="FS1524" s="4"/>
      <c r="FT1524" s="4"/>
      <c r="FU1524" s="4"/>
      <c r="FV1524" s="4"/>
      <c r="FW1524" s="4"/>
      <c r="FX1524" s="4"/>
      <c r="FY1524" s="4"/>
      <c r="FZ1524" s="4"/>
      <c r="GA1524" s="4"/>
      <c r="GB1524" s="4"/>
      <c r="GC1524" s="4"/>
      <c r="GD1524" s="4"/>
      <c r="GE1524" s="4"/>
      <c r="GF1524" s="4"/>
      <c r="GG1524" s="4"/>
      <c r="GH1524" s="4"/>
    </row>
    <row r="1525">
      <c r="A1525" s="2" t="s">
        <v>8129</v>
      </c>
      <c r="B1525" s="2" t="s">
        <v>230</v>
      </c>
      <c r="C1525" s="2" t="s">
        <v>307</v>
      </c>
      <c r="D1525" s="2" t="s">
        <v>232</v>
      </c>
      <c r="E1525" s="2" t="s">
        <v>233</v>
      </c>
      <c r="F1525" s="2" t="s">
        <v>8078</v>
      </c>
      <c r="G1525" s="2" t="s">
        <v>8078</v>
      </c>
      <c r="H1525" s="2" t="s">
        <v>8078</v>
      </c>
      <c r="I1525" s="2" t="s">
        <v>8079</v>
      </c>
      <c r="J1525" s="2" t="s">
        <v>256</v>
      </c>
      <c r="K1525" s="2" t="s">
        <v>2233</v>
      </c>
      <c r="L1525" s="3">
        <v>12.48</v>
      </c>
      <c r="M1525" s="3">
        <v>13.1</v>
      </c>
      <c r="N1525" s="3">
        <v>27.99</v>
      </c>
      <c r="O1525" s="2" t="s">
        <v>212</v>
      </c>
      <c r="P1525" s="2" t="s">
        <v>205</v>
      </c>
      <c r="Q1525" s="2" t="s">
        <v>206</v>
      </c>
      <c r="R1525" s="2" t="s">
        <v>200</v>
      </c>
      <c r="S1525" s="2" t="s">
        <v>8130</v>
      </c>
      <c r="T1525" s="2" t="s">
        <v>8078</v>
      </c>
      <c r="U1525" s="2" t="s">
        <v>240</v>
      </c>
      <c r="V1525" s="2" t="s">
        <v>208</v>
      </c>
      <c r="W1525" s="2" t="s">
        <v>241</v>
      </c>
      <c r="X1525" s="2" t="s">
        <v>379</v>
      </c>
      <c r="Y1525" s="2" t="s">
        <v>1373</v>
      </c>
      <c r="Z1525" s="4">
        <v>527</v>
      </c>
      <c r="AA1525" s="4">
        <f>=ROUNDDOWN(52.7,0)</f>
      </c>
      <c r="AB1525" s="5">
        <v>10</v>
      </c>
      <c r="AC1525" s="2" t="s">
        <v>200</v>
      </c>
      <c r="AD1525" s="4"/>
      <c r="AE1525" s="4"/>
      <c r="AF1525" s="6">
        <v>65</v>
      </c>
      <c r="AG1525" s="6">
        <v>48</v>
      </c>
      <c r="AH1525" s="7">
        <v>1</v>
      </c>
      <c r="AI1525" s="4"/>
      <c r="AJ1525" s="4">
        <f>=ROUNDDOWN({0},0)</f>
      </c>
      <c r="AK1525" s="5"/>
      <c r="AL1525" s="2" t="s">
        <v>200</v>
      </c>
      <c r="AM1525" s="4"/>
      <c r="AN1525" s="4"/>
      <c r="AO1525" s="7"/>
      <c r="AP1525" s="4"/>
      <c r="AQ1525" s="8"/>
      <c r="AR1525" s="4"/>
      <c r="AS1525" s="8"/>
      <c r="AT1525" s="7"/>
      <c r="AU1525" s="7"/>
      <c r="AV1525" s="4" t="s">
        <v>200</v>
      </c>
      <c r="AW1525" s="8" t="s">
        <v>200</v>
      </c>
      <c r="AX1525" s="4" t="s">
        <v>200</v>
      </c>
      <c r="AY1525" s="8" t="s">
        <v>200</v>
      </c>
      <c r="AZ1525" s="7" t="s">
        <v>200</v>
      </c>
      <c r="BA1525" s="7" t="s">
        <v>200</v>
      </c>
      <c r="BB1525" s="7"/>
      <c r="BC1525" s="4" t="s">
        <v>200</v>
      </c>
      <c r="BD1525" s="8" t="s">
        <v>200</v>
      </c>
      <c r="BE1525" s="4" t="s">
        <v>200</v>
      </c>
      <c r="BF1525" s="8" t="s">
        <v>200</v>
      </c>
      <c r="BG1525" s="7" t="s">
        <v>200</v>
      </c>
      <c r="BH1525" s="7" t="s">
        <v>200</v>
      </c>
      <c r="BI1525" s="7"/>
      <c r="BJ1525" s="4">
        <v>39</v>
      </c>
      <c r="BK1525" s="8">
        <v>549.36</v>
      </c>
      <c r="BL1525" s="2" t="s">
        <v>6099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8131</v>
      </c>
      <c r="BV1525" s="2" t="s">
        <v>200</v>
      </c>
      <c r="BW1525" s="2" t="s">
        <v>200</v>
      </c>
      <c r="BX1525" s="2" t="s">
        <v>629</v>
      </c>
      <c r="BY1525" s="2" t="s">
        <v>247</v>
      </c>
      <c r="BZ1525" s="2" t="s">
        <v>212</v>
      </c>
      <c r="CA1525" s="2" t="s">
        <v>8083</v>
      </c>
      <c r="CB1525" s="2" t="s">
        <v>3625</v>
      </c>
      <c r="CC1525" s="2" t="s">
        <v>213</v>
      </c>
      <c r="CD1525" s="2" t="s">
        <v>200</v>
      </c>
      <c r="CE1525" s="4">
        <v>304</v>
      </c>
      <c r="CF1525" s="4"/>
      <c r="CG1525" s="4"/>
      <c r="CH1525" s="4">
        <v>223</v>
      </c>
      <c r="CI1525" s="4"/>
      <c r="CJ1525" s="4"/>
      <c r="CK1525" s="4"/>
      <c r="CL1525" s="4"/>
      <c r="CM1525" s="4"/>
      <c r="CN1525" s="4"/>
      <c r="CO1525" s="4"/>
      <c r="CP1525" s="4"/>
      <c r="CQ1525" s="4"/>
      <c r="CR1525" s="4"/>
      <c r="CS1525" s="4"/>
      <c r="CT1525" s="4"/>
      <c r="CU1525" s="4"/>
      <c r="CV1525" s="4"/>
      <c r="CW1525" s="4"/>
      <c r="CX1525" s="4"/>
      <c r="CY1525" s="4"/>
      <c r="CZ1525" s="4"/>
      <c r="DA1525" s="4"/>
      <c r="DB1525" s="4"/>
      <c r="DC1525" s="4"/>
      <c r="DD1525" s="4"/>
      <c r="DE1525" s="4"/>
      <c r="DF1525" s="4"/>
      <c r="DG1525" s="4"/>
      <c r="DH1525" s="4"/>
      <c r="DI1525" s="4"/>
      <c r="DJ1525" s="4"/>
      <c r="DK1525" s="4"/>
      <c r="DL1525" s="4"/>
      <c r="DM1525" s="4"/>
      <c r="DN1525" s="4"/>
      <c r="DO1525" s="4"/>
      <c r="DP1525" s="4"/>
      <c r="DQ1525" s="4"/>
      <c r="DR1525" s="4"/>
      <c r="DS1525" s="4"/>
      <c r="DT1525" s="4"/>
      <c r="DU1525" s="4"/>
      <c r="DV1525" s="4"/>
      <c r="DW1525" s="4"/>
      <c r="DX1525" s="4"/>
      <c r="DY1525" s="4"/>
      <c r="DZ1525" s="4"/>
      <c r="EA1525" s="4"/>
      <c r="EB1525" s="4"/>
      <c r="EC1525" s="4"/>
      <c r="ED1525" s="4"/>
      <c r="EE1525" s="4"/>
      <c r="EF1525" s="4"/>
      <c r="EG1525" s="4"/>
      <c r="EH1525" s="4"/>
      <c r="EI1525" s="4"/>
      <c r="EJ1525" s="4"/>
      <c r="EK1525" s="4"/>
      <c r="EL1525" s="4"/>
      <c r="EM1525" s="4"/>
      <c r="EN1525" s="4"/>
      <c r="EO1525" s="4"/>
      <c r="EP1525" s="4"/>
      <c r="EQ1525" s="4"/>
      <c r="ER1525" s="4"/>
      <c r="ES1525" s="4"/>
      <c r="ET1525" s="4"/>
      <c r="EU1525" s="4"/>
      <c r="EV1525" s="4"/>
      <c r="EW1525" s="4"/>
      <c r="EX1525" s="4"/>
      <c r="EY1525" s="4"/>
      <c r="EZ1525" s="4"/>
      <c r="FA1525" s="4"/>
      <c r="FB1525" s="4"/>
      <c r="FC1525" s="4"/>
      <c r="FD1525" s="4"/>
      <c r="FE1525" s="4"/>
      <c r="FF1525" s="4"/>
      <c r="FG1525" s="4"/>
      <c r="FH1525" s="4"/>
      <c r="FI1525" s="4"/>
      <c r="FJ1525" s="4"/>
      <c r="FK1525" s="4"/>
      <c r="FL1525" s="4"/>
      <c r="FM1525" s="4"/>
      <c r="FN1525" s="4"/>
      <c r="FO1525" s="4"/>
      <c r="FP1525" s="4"/>
      <c r="FQ1525" s="4"/>
      <c r="FR1525" s="4"/>
      <c r="FS1525" s="4"/>
      <c r="FT1525" s="4"/>
      <c r="FU1525" s="4"/>
      <c r="FV1525" s="4"/>
      <c r="FW1525" s="4"/>
      <c r="FX1525" s="4"/>
      <c r="FY1525" s="4"/>
      <c r="FZ1525" s="4"/>
      <c r="GA1525" s="4"/>
      <c r="GB1525" s="4"/>
      <c r="GC1525" s="4"/>
      <c r="GD1525" s="4"/>
      <c r="GE1525" s="4"/>
      <c r="GF1525" s="4"/>
      <c r="GG1525" s="4"/>
      <c r="GH1525" s="4"/>
    </row>
    <row r="1526">
      <c r="A1526" s="2" t="s">
        <v>8132</v>
      </c>
      <c r="B1526" s="2" t="s">
        <v>230</v>
      </c>
      <c r="C1526" s="2" t="s">
        <v>307</v>
      </c>
      <c r="D1526" s="2" t="s">
        <v>2171</v>
      </c>
      <c r="E1526" s="2" t="s">
        <v>2172</v>
      </c>
      <c r="F1526" s="2" t="s">
        <v>8078</v>
      </c>
      <c r="G1526" s="2" t="s">
        <v>8078</v>
      </c>
      <c r="H1526" s="2" t="s">
        <v>8078</v>
      </c>
      <c r="I1526" s="2" t="s">
        <v>8089</v>
      </c>
      <c r="J1526" s="2" t="s">
        <v>302</v>
      </c>
      <c r="K1526" s="2" t="s">
        <v>2233</v>
      </c>
      <c r="L1526" s="3">
        <v>5.79</v>
      </c>
      <c r="M1526" s="3">
        <v>6.08</v>
      </c>
      <c r="N1526" s="3">
        <v>12.99</v>
      </c>
      <c r="O1526" s="2" t="s">
        <v>212</v>
      </c>
      <c r="P1526" s="2" t="s">
        <v>205</v>
      </c>
      <c r="Q1526" s="2" t="s">
        <v>206</v>
      </c>
      <c r="R1526" s="2" t="s">
        <v>200</v>
      </c>
      <c r="S1526" s="2" t="s">
        <v>8130</v>
      </c>
      <c r="T1526" s="2" t="s">
        <v>8078</v>
      </c>
      <c r="U1526" s="2" t="s">
        <v>677</v>
      </c>
      <c r="V1526" s="2" t="s">
        <v>208</v>
      </c>
      <c r="W1526" s="2" t="s">
        <v>241</v>
      </c>
      <c r="X1526" s="2" t="s">
        <v>379</v>
      </c>
      <c r="Y1526" s="2" t="s">
        <v>1640</v>
      </c>
      <c r="Z1526" s="4">
        <v>160</v>
      </c>
      <c r="AA1526" s="4">
        <f>=ROUNDDOWN(14.2857142857143,0)</f>
      </c>
      <c r="AB1526" s="5">
        <v>11.2</v>
      </c>
      <c r="AC1526" s="2" t="s">
        <v>3787</v>
      </c>
      <c r="AD1526" s="4">
        <v>160</v>
      </c>
      <c r="AE1526" s="4">
        <v>320</v>
      </c>
      <c r="AF1526" s="6">
        <v>65</v>
      </c>
      <c r="AG1526" s="6">
        <v>48</v>
      </c>
      <c r="AH1526" s="7">
        <v>1</v>
      </c>
      <c r="AI1526" s="4"/>
      <c r="AJ1526" s="4">
        <f>=ROUNDDOWN({0},0)</f>
      </c>
      <c r="AK1526" s="5"/>
      <c r="AL1526" s="2" t="s">
        <v>200</v>
      </c>
      <c r="AM1526" s="4"/>
      <c r="AN1526" s="4"/>
      <c r="AO1526" s="7"/>
      <c r="AP1526" s="4"/>
      <c r="AQ1526" s="8"/>
      <c r="AR1526" s="4"/>
      <c r="AS1526" s="8"/>
      <c r="AT1526" s="7"/>
      <c r="AU1526" s="7"/>
      <c r="AV1526" s="4" t="s">
        <v>200</v>
      </c>
      <c r="AW1526" s="8" t="s">
        <v>200</v>
      </c>
      <c r="AX1526" s="4" t="s">
        <v>200</v>
      </c>
      <c r="AY1526" s="8" t="s">
        <v>200</v>
      </c>
      <c r="AZ1526" s="7" t="s">
        <v>200</v>
      </c>
      <c r="BA1526" s="7" t="s">
        <v>200</v>
      </c>
      <c r="BB1526" s="7"/>
      <c r="BC1526" s="4" t="s">
        <v>200</v>
      </c>
      <c r="BD1526" s="8" t="s">
        <v>200</v>
      </c>
      <c r="BE1526" s="4" t="s">
        <v>200</v>
      </c>
      <c r="BF1526" s="8" t="s">
        <v>200</v>
      </c>
      <c r="BG1526" s="7" t="s">
        <v>200</v>
      </c>
      <c r="BH1526" s="7" t="s">
        <v>200</v>
      </c>
      <c r="BI1526" s="7"/>
      <c r="BJ1526" s="4">
        <v>219</v>
      </c>
      <c r="BK1526" s="8">
        <v>1255.34</v>
      </c>
      <c r="BL1526" s="2" t="s">
        <v>359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8133</v>
      </c>
      <c r="BV1526" s="2" t="s">
        <v>200</v>
      </c>
      <c r="BW1526" s="2" t="s">
        <v>200</v>
      </c>
      <c r="BX1526" s="2" t="s">
        <v>264</v>
      </c>
      <c r="BY1526" s="2" t="s">
        <v>247</v>
      </c>
      <c r="BZ1526" s="2" t="s">
        <v>212</v>
      </c>
      <c r="CA1526" s="2" t="s">
        <v>8083</v>
      </c>
      <c r="CB1526" s="2" t="s">
        <v>8134</v>
      </c>
      <c r="CC1526" s="2" t="s">
        <v>213</v>
      </c>
      <c r="CD1526" s="2" t="s">
        <v>200</v>
      </c>
      <c r="CE1526" s="4">
        <v>34</v>
      </c>
      <c r="CF1526" s="4"/>
      <c r="CG1526" s="4"/>
      <c r="CH1526" s="4">
        <v>126</v>
      </c>
      <c r="CI1526" s="4"/>
      <c r="CJ1526" s="4"/>
      <c r="CK1526" s="4"/>
      <c r="CL1526" s="4"/>
      <c r="CM1526" s="4"/>
      <c r="CN1526" s="4"/>
      <c r="CO1526" s="4"/>
      <c r="CP1526" s="4"/>
      <c r="CQ1526" s="4"/>
      <c r="CR1526" s="4"/>
      <c r="CS1526" s="4"/>
      <c r="CT1526" s="4"/>
      <c r="CU1526" s="4"/>
      <c r="CV1526" s="4"/>
      <c r="CW1526" s="4"/>
      <c r="CX1526" s="4"/>
      <c r="CY1526" s="4"/>
      <c r="CZ1526" s="4"/>
      <c r="DA1526" s="4"/>
      <c r="DB1526" s="4"/>
      <c r="DC1526" s="4"/>
      <c r="DD1526" s="4"/>
      <c r="DE1526" s="4"/>
      <c r="DF1526" s="4"/>
      <c r="DG1526" s="4"/>
      <c r="DH1526" s="4"/>
      <c r="DI1526" s="4"/>
      <c r="DJ1526" s="4"/>
      <c r="DK1526" s="4"/>
      <c r="DL1526" s="4"/>
      <c r="DM1526" s="4"/>
      <c r="DN1526" s="4"/>
      <c r="DO1526" s="4"/>
      <c r="DP1526" s="4"/>
      <c r="DQ1526" s="4"/>
      <c r="DR1526" s="4"/>
      <c r="DS1526" s="4"/>
      <c r="DT1526" s="4"/>
      <c r="DU1526" s="4"/>
      <c r="DV1526" s="4"/>
      <c r="DW1526" s="4"/>
      <c r="DX1526" s="4"/>
      <c r="DY1526" s="4"/>
      <c r="DZ1526" s="4"/>
      <c r="EA1526" s="4"/>
      <c r="EB1526" s="4"/>
      <c r="EC1526" s="4"/>
      <c r="ED1526" s="4"/>
      <c r="EE1526" s="4"/>
      <c r="EF1526" s="4">
        <v>160</v>
      </c>
      <c r="EG1526" s="4"/>
      <c r="EH1526" s="4"/>
      <c r="EI1526" s="4"/>
      <c r="EJ1526" s="4"/>
      <c r="EK1526" s="4"/>
      <c r="EL1526" s="4"/>
      <c r="EM1526" s="4"/>
      <c r="EN1526" s="4"/>
      <c r="EO1526" s="4"/>
      <c r="EP1526" s="4"/>
      <c r="EQ1526" s="4"/>
      <c r="ER1526" s="4"/>
      <c r="ES1526" s="4"/>
      <c r="ET1526" s="4"/>
      <c r="EU1526" s="4"/>
      <c r="EV1526" s="4"/>
      <c r="EW1526" s="4"/>
      <c r="EX1526" s="4"/>
      <c r="EY1526" s="4"/>
      <c r="EZ1526" s="4"/>
      <c r="FA1526" s="4"/>
      <c r="FB1526" s="4"/>
      <c r="FC1526" s="4"/>
      <c r="FD1526" s="4"/>
      <c r="FE1526" s="4"/>
      <c r="FF1526" s="4">
        <v>160</v>
      </c>
      <c r="FG1526" s="4"/>
      <c r="FH1526" s="4"/>
      <c r="FI1526" s="4"/>
      <c r="FJ1526" s="4"/>
      <c r="FK1526" s="4"/>
      <c r="FL1526" s="4"/>
      <c r="FM1526" s="4"/>
      <c r="FN1526" s="4"/>
      <c r="FO1526" s="4"/>
      <c r="FP1526" s="4"/>
      <c r="FQ1526" s="4"/>
      <c r="FR1526" s="4"/>
      <c r="FS1526" s="4"/>
      <c r="FT1526" s="4"/>
      <c r="FU1526" s="4"/>
      <c r="FV1526" s="4"/>
      <c r="FW1526" s="4"/>
      <c r="FX1526" s="4"/>
      <c r="FY1526" s="4"/>
      <c r="FZ1526" s="4"/>
      <c r="GA1526" s="4"/>
      <c r="GB1526" s="4"/>
      <c r="GC1526" s="4"/>
      <c r="GD1526" s="4"/>
      <c r="GE1526" s="4"/>
      <c r="GF1526" s="4"/>
      <c r="GG1526" s="4"/>
      <c r="GH1526" s="4"/>
    </row>
    <row r="1527">
      <c r="A1527" s="2" t="s">
        <v>8135</v>
      </c>
      <c r="B1527" s="2" t="s">
        <v>230</v>
      </c>
      <c r="C1527" s="2" t="s">
        <v>307</v>
      </c>
      <c r="D1527" s="2" t="s">
        <v>2171</v>
      </c>
      <c r="E1527" s="2" t="s">
        <v>2172</v>
      </c>
      <c r="F1527" s="2" t="s">
        <v>8078</v>
      </c>
      <c r="G1527" s="2" t="s">
        <v>8078</v>
      </c>
      <c r="H1527" s="2" t="s">
        <v>8078</v>
      </c>
      <c r="I1527" s="2" t="s">
        <v>8089</v>
      </c>
      <c r="J1527" s="2" t="s">
        <v>6138</v>
      </c>
      <c r="K1527" s="2" t="s">
        <v>2233</v>
      </c>
      <c r="L1527" s="3">
        <v>5.35</v>
      </c>
      <c r="M1527" s="3">
        <v>5.62</v>
      </c>
      <c r="N1527" s="3">
        <v>11.99</v>
      </c>
      <c r="O1527" s="2" t="s">
        <v>212</v>
      </c>
      <c r="P1527" s="2" t="s">
        <v>205</v>
      </c>
      <c r="Q1527" s="2" t="s">
        <v>206</v>
      </c>
      <c r="R1527" s="2" t="s">
        <v>200</v>
      </c>
      <c r="S1527" s="2" t="s">
        <v>8130</v>
      </c>
      <c r="T1527" s="2" t="s">
        <v>8078</v>
      </c>
      <c r="U1527" s="2" t="s">
        <v>677</v>
      </c>
      <c r="V1527" s="2" t="s">
        <v>208</v>
      </c>
      <c r="W1527" s="2" t="s">
        <v>241</v>
      </c>
      <c r="X1527" s="2" t="s">
        <v>379</v>
      </c>
      <c r="Y1527" s="2" t="s">
        <v>1640</v>
      </c>
      <c r="Z1527" s="4">
        <v>319</v>
      </c>
      <c r="AA1527" s="4">
        <f>=ROUNDDOWN(7.5952380952381,0)</f>
      </c>
      <c r="AB1527" s="5">
        <v>42</v>
      </c>
      <c r="AC1527" s="2" t="s">
        <v>3787</v>
      </c>
      <c r="AD1527" s="4">
        <v>200</v>
      </c>
      <c r="AE1527" s="4">
        <v>640</v>
      </c>
      <c r="AF1527" s="6">
        <v>65</v>
      </c>
      <c r="AG1527" s="6">
        <v>48</v>
      </c>
      <c r="AH1527" s="7">
        <v>1</v>
      </c>
      <c r="AI1527" s="4"/>
      <c r="AJ1527" s="4">
        <f>=ROUNDDOWN({0},0)</f>
      </c>
      <c r="AK1527" s="5"/>
      <c r="AL1527" s="2" t="s">
        <v>200</v>
      </c>
      <c r="AM1527" s="4"/>
      <c r="AN1527" s="4"/>
      <c r="AO1527" s="7"/>
      <c r="AP1527" s="4"/>
      <c r="AQ1527" s="8"/>
      <c r="AR1527" s="4"/>
      <c r="AS1527" s="8"/>
      <c r="AT1527" s="7"/>
      <c r="AU1527" s="7"/>
      <c r="AV1527" s="4" t="s">
        <v>200</v>
      </c>
      <c r="AW1527" s="8" t="s">
        <v>200</v>
      </c>
      <c r="AX1527" s="4" t="s">
        <v>200</v>
      </c>
      <c r="AY1527" s="8" t="s">
        <v>200</v>
      </c>
      <c r="AZ1527" s="7" t="s">
        <v>200</v>
      </c>
      <c r="BA1527" s="7" t="s">
        <v>200</v>
      </c>
      <c r="BB1527" s="7"/>
      <c r="BC1527" s="4" t="s">
        <v>200</v>
      </c>
      <c r="BD1527" s="8" t="s">
        <v>200</v>
      </c>
      <c r="BE1527" s="4" t="s">
        <v>200</v>
      </c>
      <c r="BF1527" s="8" t="s">
        <v>200</v>
      </c>
      <c r="BG1527" s="7" t="s">
        <v>200</v>
      </c>
      <c r="BH1527" s="7" t="s">
        <v>200</v>
      </c>
      <c r="BI1527" s="7"/>
      <c r="BJ1527" s="4">
        <v>519</v>
      </c>
      <c r="BK1527" s="8">
        <v>2760.74</v>
      </c>
      <c r="BL1527" s="2" t="s">
        <v>3035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8136</v>
      </c>
      <c r="BV1527" s="2" t="s">
        <v>200</v>
      </c>
      <c r="BW1527" s="2" t="s">
        <v>200</v>
      </c>
      <c r="BX1527" s="2" t="s">
        <v>264</v>
      </c>
      <c r="BY1527" s="2" t="s">
        <v>247</v>
      </c>
      <c r="BZ1527" s="2" t="s">
        <v>212</v>
      </c>
      <c r="CA1527" s="2" t="s">
        <v>8083</v>
      </c>
      <c r="CB1527" s="2" t="s">
        <v>8103</v>
      </c>
      <c r="CC1527" s="2" t="s">
        <v>213</v>
      </c>
      <c r="CD1527" s="2" t="s">
        <v>200</v>
      </c>
      <c r="CE1527" s="4">
        <v>72</v>
      </c>
      <c r="CF1527" s="4"/>
      <c r="CG1527" s="4"/>
      <c r="CH1527" s="4">
        <v>247</v>
      </c>
      <c r="CI1527" s="4"/>
      <c r="CJ1527" s="4"/>
      <c r="CK1527" s="4"/>
      <c r="CL1527" s="4"/>
      <c r="CM1527" s="4"/>
      <c r="CN1527" s="4"/>
      <c r="CO1527" s="4"/>
      <c r="CP1527" s="4"/>
      <c r="CQ1527" s="4"/>
      <c r="CR1527" s="4"/>
      <c r="CS1527" s="4"/>
      <c r="CT1527" s="4"/>
      <c r="CU1527" s="4"/>
      <c r="CV1527" s="4"/>
      <c r="CW1527" s="4"/>
      <c r="CX1527" s="4"/>
      <c r="CY1527" s="4"/>
      <c r="CZ1527" s="4"/>
      <c r="DA1527" s="4"/>
      <c r="DB1527" s="4"/>
      <c r="DC1527" s="4"/>
      <c r="DD1527" s="4"/>
      <c r="DE1527" s="4"/>
      <c r="DF1527" s="4"/>
      <c r="DG1527" s="4"/>
      <c r="DH1527" s="4"/>
      <c r="DI1527" s="4"/>
      <c r="DJ1527" s="4"/>
      <c r="DK1527" s="4"/>
      <c r="DL1527" s="4"/>
      <c r="DM1527" s="4"/>
      <c r="DN1527" s="4"/>
      <c r="DO1527" s="4"/>
      <c r="DP1527" s="4"/>
      <c r="DQ1527" s="4"/>
      <c r="DR1527" s="4"/>
      <c r="DS1527" s="4"/>
      <c r="DT1527" s="4"/>
      <c r="DU1527" s="4"/>
      <c r="DV1527" s="4"/>
      <c r="DW1527" s="4"/>
      <c r="DX1527" s="4"/>
      <c r="DY1527" s="4"/>
      <c r="DZ1527" s="4"/>
      <c r="EA1527" s="4"/>
      <c r="EB1527" s="4"/>
      <c r="EC1527" s="4"/>
      <c r="ED1527" s="4"/>
      <c r="EE1527" s="4"/>
      <c r="EF1527" s="4">
        <v>200</v>
      </c>
      <c r="EG1527" s="4"/>
      <c r="EH1527" s="4"/>
      <c r="EI1527" s="4"/>
      <c r="EJ1527" s="4"/>
      <c r="EK1527" s="4"/>
      <c r="EL1527" s="4"/>
      <c r="EM1527" s="4"/>
      <c r="EN1527" s="4"/>
      <c r="EO1527" s="4"/>
      <c r="EP1527" s="4"/>
      <c r="EQ1527" s="4"/>
      <c r="ER1527" s="4"/>
      <c r="ES1527" s="4"/>
      <c r="ET1527" s="4"/>
      <c r="EU1527" s="4"/>
      <c r="EV1527" s="4"/>
      <c r="EW1527" s="4"/>
      <c r="EX1527" s="4"/>
      <c r="EY1527" s="4"/>
      <c r="EZ1527" s="4"/>
      <c r="FA1527" s="4"/>
      <c r="FB1527" s="4"/>
      <c r="FC1527" s="4"/>
      <c r="FD1527" s="4"/>
      <c r="FE1527" s="4"/>
      <c r="FF1527" s="4">
        <v>440</v>
      </c>
      <c r="FG1527" s="4"/>
      <c r="FH1527" s="4"/>
      <c r="FI1527" s="4"/>
      <c r="FJ1527" s="4"/>
      <c r="FK1527" s="4"/>
      <c r="FL1527" s="4"/>
      <c r="FM1527" s="4"/>
      <c r="FN1527" s="4"/>
      <c r="FO1527" s="4"/>
      <c r="FP1527" s="4"/>
      <c r="FQ1527" s="4"/>
      <c r="FR1527" s="4"/>
      <c r="FS1527" s="4"/>
      <c r="FT1527" s="4"/>
      <c r="FU1527" s="4"/>
      <c r="FV1527" s="4"/>
      <c r="FW1527" s="4"/>
      <c r="FX1527" s="4"/>
      <c r="FY1527" s="4"/>
      <c r="FZ1527" s="4"/>
      <c r="GA1527" s="4"/>
      <c r="GB1527" s="4"/>
      <c r="GC1527" s="4"/>
      <c r="GD1527" s="4"/>
      <c r="GE1527" s="4"/>
      <c r="GF1527" s="4"/>
      <c r="GG1527" s="4"/>
      <c r="GH1527" s="4"/>
    </row>
    <row r="1528">
      <c r="A1528" s="2" t="s">
        <v>8137</v>
      </c>
      <c r="B1528" s="2" t="s">
        <v>705</v>
      </c>
      <c r="C1528" s="2" t="s">
        <v>706</v>
      </c>
      <c r="D1528" s="2" t="s">
        <v>707</v>
      </c>
      <c r="E1528" s="2" t="s">
        <v>708</v>
      </c>
      <c r="F1528" s="2" t="s">
        <v>8138</v>
      </c>
      <c r="G1528" s="2" t="s">
        <v>8138</v>
      </c>
      <c r="H1528" s="2" t="s">
        <v>8138</v>
      </c>
      <c r="I1528" s="2" t="s">
        <v>8139</v>
      </c>
      <c r="J1528" s="2" t="s">
        <v>711</v>
      </c>
      <c r="K1528" s="2" t="s">
        <v>637</v>
      </c>
      <c r="L1528" s="3">
        <v>52.65</v>
      </c>
      <c r="M1528" s="3">
        <v>55.28</v>
      </c>
      <c r="N1528" s="3">
        <v>104.99</v>
      </c>
      <c r="O1528" s="2" t="s">
        <v>460</v>
      </c>
      <c r="P1528" s="2" t="s">
        <v>285</v>
      </c>
      <c r="Q1528" s="2" t="s">
        <v>206</v>
      </c>
      <c r="R1528" s="2" t="s">
        <v>200</v>
      </c>
      <c r="S1528" s="2" t="s">
        <v>200</v>
      </c>
      <c r="T1528" s="2" t="s">
        <v>200</v>
      </c>
      <c r="U1528" s="2" t="s">
        <v>270</v>
      </c>
      <c r="V1528" s="2" t="s">
        <v>616</v>
      </c>
      <c r="W1528" s="2" t="s">
        <v>736</v>
      </c>
      <c r="X1528" s="2" t="s">
        <v>200</v>
      </c>
      <c r="Y1528" s="2" t="s">
        <v>1774</v>
      </c>
      <c r="Z1528" s="4">
        <v>30</v>
      </c>
      <c r="AA1528" s="4">
        <f>=ROUNDDOWN(15,0)</f>
      </c>
      <c r="AB1528" s="5">
        <v>2</v>
      </c>
      <c r="AC1528" s="2" t="s">
        <v>200</v>
      </c>
      <c r="AD1528" s="4"/>
      <c r="AE1528" s="4"/>
      <c r="AF1528" s="6">
        <v>65</v>
      </c>
      <c r="AG1528" s="6"/>
      <c r="AH1528" s="7">
        <v>1</v>
      </c>
      <c r="AI1528" s="4"/>
      <c r="AJ1528" s="4">
        <f>=ROUNDDOWN({0},0)</f>
      </c>
      <c r="AK1528" s="5"/>
      <c r="AL1528" s="2" t="s">
        <v>200</v>
      </c>
      <c r="AM1528" s="4"/>
      <c r="AN1528" s="4"/>
      <c r="AO1528" s="7"/>
      <c r="AP1528" s="4"/>
      <c r="AQ1528" s="8"/>
      <c r="AR1528" s="4"/>
      <c r="AS1528" s="8"/>
      <c r="AT1528" s="7"/>
      <c r="AU1528" s="7"/>
      <c r="AV1528" s="4"/>
      <c r="AW1528" s="8"/>
      <c r="AX1528" s="4"/>
      <c r="AY1528" s="8"/>
      <c r="AZ1528" s="7"/>
      <c r="BA1528" s="7"/>
      <c r="BB1528" s="7"/>
      <c r="BC1528" s="4"/>
      <c r="BD1528" s="8"/>
      <c r="BE1528" s="4"/>
      <c r="BF1528" s="8"/>
      <c r="BG1528" s="7"/>
      <c r="BH1528" s="7"/>
      <c r="BI1528" s="7"/>
      <c r="BJ1528" s="4">
        <v>2</v>
      </c>
      <c r="BK1528" s="8">
        <v>305.02</v>
      </c>
      <c r="BL1528" s="2" t="s">
        <v>813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8140</v>
      </c>
      <c r="BV1528" s="2" t="s">
        <v>200</v>
      </c>
      <c r="BW1528" s="2" t="s">
        <v>200</v>
      </c>
      <c r="BX1528" s="2" t="s">
        <v>289</v>
      </c>
      <c r="BY1528" s="2" t="s">
        <v>247</v>
      </c>
      <c r="BZ1528" s="2" t="s">
        <v>212</v>
      </c>
      <c r="CA1528" s="2" t="s">
        <v>2282</v>
      </c>
      <c r="CB1528" s="2" t="s">
        <v>3700</v>
      </c>
      <c r="CC1528" s="2" t="s">
        <v>213</v>
      </c>
      <c r="CD1528" s="2" t="s">
        <v>200</v>
      </c>
      <c r="CE1528" s="4"/>
      <c r="CF1528" s="4">
        <v>30</v>
      </c>
      <c r="CG1528" s="4"/>
      <c r="CH1528" s="4"/>
      <c r="CI1528" s="4"/>
      <c r="CJ1528" s="4"/>
      <c r="CK1528" s="4"/>
      <c r="CL1528" s="4"/>
      <c r="CM1528" s="4"/>
      <c r="CN1528" s="4"/>
      <c r="CO1528" s="4"/>
      <c r="CP1528" s="4"/>
      <c r="CQ1528" s="4"/>
      <c r="CR1528" s="4"/>
      <c r="CS1528" s="4"/>
      <c r="CT1528" s="4"/>
      <c r="CU1528" s="4"/>
      <c r="CV1528" s="4"/>
      <c r="CW1528" s="4"/>
      <c r="CX1528" s="4"/>
      <c r="CY1528" s="4"/>
      <c r="CZ1528" s="4"/>
      <c r="DA1528" s="4"/>
      <c r="DB1528" s="4"/>
      <c r="DC1528" s="4"/>
      <c r="DD1528" s="4"/>
      <c r="DE1528" s="4"/>
      <c r="DF1528" s="4"/>
      <c r="DG1528" s="4"/>
      <c r="DH1528" s="4"/>
      <c r="DI1528" s="4"/>
      <c r="DJ1528" s="4"/>
      <c r="DK1528" s="4"/>
      <c r="DL1528" s="4"/>
      <c r="DM1528" s="4"/>
      <c r="DN1528" s="4"/>
      <c r="DO1528" s="4"/>
      <c r="DP1528" s="4"/>
      <c r="DQ1528" s="4"/>
      <c r="DR1528" s="4"/>
      <c r="DS1528" s="4"/>
      <c r="DT1528" s="4"/>
      <c r="DU1528" s="4"/>
      <c r="DV1528" s="4"/>
      <c r="DW1528" s="4"/>
      <c r="DX1528" s="4"/>
      <c r="DY1528" s="4"/>
      <c r="DZ1528" s="4"/>
      <c r="EA1528" s="4"/>
      <c r="EB1528" s="4"/>
      <c r="EC1528" s="4"/>
      <c r="ED1528" s="4"/>
      <c r="EE1528" s="4"/>
      <c r="EF1528" s="4"/>
      <c r="EG1528" s="4"/>
      <c r="EH1528" s="4"/>
      <c r="EI1528" s="4"/>
      <c r="EJ1528" s="4"/>
      <c r="EK1528" s="4"/>
      <c r="EL1528" s="4"/>
      <c r="EM1528" s="4"/>
      <c r="EN1528" s="4"/>
      <c r="EO1528" s="4"/>
      <c r="EP1528" s="4"/>
      <c r="EQ1528" s="4"/>
      <c r="ER1528" s="4"/>
      <c r="ES1528" s="4"/>
      <c r="ET1528" s="4"/>
      <c r="EU1528" s="4"/>
      <c r="EV1528" s="4"/>
      <c r="EW1528" s="4"/>
      <c r="EX1528" s="4"/>
      <c r="EY1528" s="4"/>
      <c r="EZ1528" s="4"/>
      <c r="FA1528" s="4"/>
      <c r="FB1528" s="4"/>
      <c r="FC1528" s="4"/>
      <c r="FD1528" s="4"/>
      <c r="FE1528" s="4"/>
      <c r="FF1528" s="4"/>
      <c r="FG1528" s="4"/>
      <c r="FH1528" s="4"/>
      <c r="FI1528" s="4"/>
      <c r="FJ1528" s="4"/>
      <c r="FK1528" s="4"/>
      <c r="FL1528" s="4"/>
      <c r="FM1528" s="4"/>
      <c r="FN1528" s="4"/>
      <c r="FO1528" s="4"/>
      <c r="FP1528" s="4"/>
      <c r="FQ1528" s="4"/>
      <c r="FR1528" s="4"/>
      <c r="FS1528" s="4"/>
      <c r="FT1528" s="4"/>
      <c r="FU1528" s="4"/>
      <c r="FV1528" s="4"/>
      <c r="FW1528" s="4"/>
      <c r="FX1528" s="4"/>
      <c r="FY1528" s="4"/>
      <c r="FZ1528" s="4"/>
      <c r="GA1528" s="4"/>
      <c r="GB1528" s="4"/>
      <c r="GC1528" s="4"/>
      <c r="GD1528" s="4"/>
      <c r="GE1528" s="4"/>
      <c r="GF1528" s="4"/>
      <c r="GG1528" s="4"/>
      <c r="GH1528" s="4"/>
    </row>
    <row r="1529">
      <c r="A1529" s="2" t="s">
        <v>8141</v>
      </c>
      <c r="B1529" s="2" t="s">
        <v>719</v>
      </c>
      <c r="C1529" s="2" t="s">
        <v>745</v>
      </c>
      <c r="D1529" s="2" t="s">
        <v>1542</v>
      </c>
      <c r="E1529" s="2" t="s">
        <v>2060</v>
      </c>
      <c r="F1529" s="2" t="s">
        <v>8142</v>
      </c>
      <c r="G1529" s="2" t="s">
        <v>8142</v>
      </c>
      <c r="H1529" s="2" t="s">
        <v>8142</v>
      </c>
      <c r="I1529" s="2" t="s">
        <v>8143</v>
      </c>
      <c r="J1529" s="2" t="s">
        <v>711</v>
      </c>
      <c r="K1529" s="2" t="s">
        <v>237</v>
      </c>
      <c r="L1529" s="3">
        <v>22.24</v>
      </c>
      <c r="M1529" s="3">
        <v>23.35</v>
      </c>
      <c r="N1529" s="3">
        <v>50.99</v>
      </c>
      <c r="O1529" s="2" t="s">
        <v>212</v>
      </c>
      <c r="P1529" s="2" t="s">
        <v>1075</v>
      </c>
      <c r="Q1529" s="2" t="s">
        <v>206</v>
      </c>
      <c r="R1529" s="2" t="s">
        <v>200</v>
      </c>
      <c r="S1529" s="2" t="s">
        <v>8144</v>
      </c>
      <c r="T1529" s="2" t="s">
        <v>200</v>
      </c>
      <c r="U1529" s="2" t="s">
        <v>270</v>
      </c>
      <c r="V1529" s="2" t="s">
        <v>208</v>
      </c>
      <c r="W1529" s="2" t="s">
        <v>2095</v>
      </c>
      <c r="X1529" s="2" t="s">
        <v>200</v>
      </c>
      <c r="Y1529" s="2" t="s">
        <v>978</v>
      </c>
      <c r="Z1529" s="4">
        <v>217</v>
      </c>
      <c r="AA1529" s="4">
        <f>=ROUNDDOWN(11.6042780748663,0)</f>
      </c>
      <c r="AB1529" s="5">
        <v>18.7</v>
      </c>
      <c r="AC1529" s="2" t="s">
        <v>126</v>
      </c>
      <c r="AD1529" s="4">
        <v>100</v>
      </c>
      <c r="AE1529" s="4">
        <v>300</v>
      </c>
      <c r="AF1529" s="6">
        <v>63</v>
      </c>
      <c r="AG1529" s="6"/>
      <c r="AH1529" s="7">
        <v>1</v>
      </c>
      <c r="AI1529" s="4"/>
      <c r="AJ1529" s="4">
        <f>=ROUNDDOWN({0},0)</f>
      </c>
      <c r="AK1529" s="5"/>
      <c r="AL1529" s="2" t="s">
        <v>200</v>
      </c>
      <c r="AM1529" s="4"/>
      <c r="AN1529" s="4"/>
      <c r="AO1529" s="7"/>
      <c r="AP1529" s="4"/>
      <c r="AQ1529" s="8"/>
      <c r="AR1529" s="4"/>
      <c r="AS1529" s="8"/>
      <c r="AT1529" s="7"/>
      <c r="AU1529" s="7"/>
      <c r="AV1529" s="4"/>
      <c r="AW1529" s="8"/>
      <c r="AX1529" s="4"/>
      <c r="AY1529" s="8"/>
      <c r="AZ1529" s="7"/>
      <c r="BA1529" s="7"/>
      <c r="BB1529" s="7"/>
      <c r="BC1529" s="4"/>
      <c r="BD1529" s="8"/>
      <c r="BE1529" s="4"/>
      <c r="BF1529" s="8"/>
      <c r="BG1529" s="7"/>
      <c r="BH1529" s="7"/>
      <c r="BI1529" s="7"/>
      <c r="BJ1529" s="4">
        <v>59</v>
      </c>
      <c r="BK1529" s="8">
        <v>1525.3</v>
      </c>
      <c r="BL1529" s="2" t="s">
        <v>8145</v>
      </c>
      <c r="BM1529" s="7"/>
      <c r="BN1529" s="7"/>
      <c r="BO1529" s="4"/>
      <c r="BP1529" s="8"/>
      <c r="BQ1529" s="4"/>
      <c r="BR1529" s="8"/>
      <c r="BS1529" s="7"/>
      <c r="BT1529" s="7"/>
      <c r="BU1529" s="2" t="s">
        <v>8146</v>
      </c>
      <c r="BV1529" s="2" t="s">
        <v>200</v>
      </c>
      <c r="BW1529" s="2" t="s">
        <v>200</v>
      </c>
      <c r="BX1529" s="2" t="s">
        <v>264</v>
      </c>
      <c r="BY1529" s="2" t="s">
        <v>247</v>
      </c>
      <c r="BZ1529" s="2" t="s">
        <v>212</v>
      </c>
      <c r="CA1529" s="2" t="s">
        <v>5559</v>
      </c>
      <c r="CB1529" s="2" t="s">
        <v>8147</v>
      </c>
      <c r="CC1529" s="2" t="s">
        <v>213</v>
      </c>
      <c r="CD1529" s="2" t="s">
        <v>200</v>
      </c>
      <c r="CE1529" s="4"/>
      <c r="CF1529" s="4">
        <v>217</v>
      </c>
      <c r="CG1529" s="4"/>
      <c r="CH1529" s="4"/>
      <c r="CI1529" s="4"/>
      <c r="CJ1529" s="4"/>
      <c r="CK1529" s="4"/>
      <c r="CL1529" s="4"/>
      <c r="CM1529" s="4"/>
      <c r="CN1529" s="4"/>
      <c r="CO1529" s="4"/>
      <c r="CP1529" s="4"/>
      <c r="CQ1529" s="4"/>
      <c r="CR1529" s="4"/>
      <c r="CS1529" s="4"/>
      <c r="CT1529" s="4"/>
      <c r="CU1529" s="4"/>
      <c r="CV1529" s="4"/>
      <c r="CW1529" s="4"/>
      <c r="CX1529" s="4"/>
      <c r="CY1529" s="4"/>
      <c r="CZ1529" s="4"/>
      <c r="DA1529" s="4"/>
      <c r="DB1529" s="4"/>
      <c r="DC1529" s="4"/>
      <c r="DD1529" s="4"/>
      <c r="DE1529" s="4"/>
      <c r="DF1529" s="4"/>
      <c r="DG1529" s="4"/>
      <c r="DH1529" s="4"/>
      <c r="DI1529" s="4"/>
      <c r="DJ1529" s="4"/>
      <c r="DK1529" s="4"/>
      <c r="DL1529" s="4"/>
      <c r="DM1529" s="4">
        <v>100</v>
      </c>
      <c r="DN1529" s="4"/>
      <c r="DO1529" s="4"/>
      <c r="DP1529" s="4"/>
      <c r="DQ1529" s="4"/>
      <c r="DR1529" s="4">
        <v>100</v>
      </c>
      <c r="DS1529" s="4"/>
      <c r="DT1529" s="4"/>
      <c r="DU1529" s="4"/>
      <c r="DV1529" s="4"/>
      <c r="DW1529" s="4"/>
      <c r="DX1529" s="4"/>
      <c r="DY1529" s="4"/>
      <c r="DZ1529" s="4"/>
      <c r="EA1529" s="4"/>
      <c r="EB1529" s="4"/>
      <c r="EC1529" s="4"/>
      <c r="ED1529" s="4"/>
      <c r="EE1529" s="4"/>
      <c r="EF1529" s="4"/>
      <c r="EG1529" s="4"/>
      <c r="EH1529" s="4"/>
      <c r="EI1529" s="4"/>
      <c r="EJ1529" s="4"/>
      <c r="EK1529" s="4"/>
      <c r="EL1529" s="4"/>
      <c r="EM1529" s="4"/>
      <c r="EN1529" s="4"/>
      <c r="EO1529" s="4"/>
      <c r="EP1529" s="4"/>
      <c r="EQ1529" s="4"/>
      <c r="ER1529" s="4"/>
      <c r="ES1529" s="4"/>
      <c r="ET1529" s="4"/>
      <c r="EU1529" s="4"/>
      <c r="EV1529" s="4"/>
      <c r="EW1529" s="4"/>
      <c r="EX1529" s="4"/>
      <c r="EY1529" s="4"/>
      <c r="EZ1529" s="4"/>
      <c r="FA1529" s="4"/>
      <c r="FB1529" s="4"/>
      <c r="FC1529" s="4"/>
      <c r="FD1529" s="4"/>
      <c r="FE1529" s="4"/>
      <c r="FF1529" s="4">
        <v>100</v>
      </c>
      <c r="FG1529" s="4"/>
      <c r="FH1529" s="4"/>
      <c r="FI1529" s="4"/>
      <c r="FJ1529" s="4"/>
      <c r="FK1529" s="4"/>
      <c r="FL1529" s="4"/>
      <c r="FM1529" s="4"/>
      <c r="FN1529" s="4"/>
      <c r="FO1529" s="4"/>
      <c r="FP1529" s="4"/>
      <c r="FQ1529" s="4"/>
      <c r="FR1529" s="4"/>
      <c r="FS1529" s="4"/>
      <c r="FT1529" s="4"/>
      <c r="FU1529" s="4"/>
      <c r="FV1529" s="4"/>
      <c r="FW1529" s="4"/>
      <c r="FX1529" s="4"/>
      <c r="FY1529" s="4"/>
      <c r="FZ1529" s="4"/>
      <c r="GA1529" s="4"/>
      <c r="GB1529" s="4"/>
      <c r="GC1529" s="4"/>
      <c r="GD1529" s="4"/>
      <c r="GE1529" s="4"/>
      <c r="GF1529" s="4"/>
      <c r="GG1529" s="4"/>
      <c r="GH1529" s="4"/>
    </row>
    <row r="1530">
      <c r="A1530" s="2" t="s">
        <v>8148</v>
      </c>
      <c r="B1530" s="2" t="s">
        <v>705</v>
      </c>
      <c r="C1530" s="2" t="s">
        <v>1375</v>
      </c>
      <c r="D1530" s="2" t="s">
        <v>817</v>
      </c>
      <c r="E1530" s="2" t="s">
        <v>818</v>
      </c>
      <c r="F1530" s="2" t="s">
        <v>8149</v>
      </c>
      <c r="G1530" s="2" t="s">
        <v>8149</v>
      </c>
      <c r="H1530" s="2" t="s">
        <v>8149</v>
      </c>
      <c r="I1530" s="2" t="s">
        <v>8150</v>
      </c>
      <c r="J1530" s="2" t="s">
        <v>711</v>
      </c>
      <c r="K1530" s="2" t="s">
        <v>1380</v>
      </c>
      <c r="L1530" s="3">
        <v>28.42</v>
      </c>
      <c r="M1530" s="3">
        <v>29.84</v>
      </c>
      <c r="N1530" s="3">
        <v>64.99</v>
      </c>
      <c r="O1530" s="2" t="s">
        <v>212</v>
      </c>
      <c r="P1530" s="2" t="s">
        <v>258</v>
      </c>
      <c r="Q1530" s="2" t="s">
        <v>206</v>
      </c>
      <c r="R1530" s="2" t="s">
        <v>200</v>
      </c>
      <c r="S1530" s="2" t="s">
        <v>200</v>
      </c>
      <c r="T1530" s="2" t="s">
        <v>200</v>
      </c>
      <c r="U1530" s="2" t="s">
        <v>270</v>
      </c>
      <c r="V1530" s="2" t="s">
        <v>208</v>
      </c>
      <c r="W1530" s="2" t="s">
        <v>241</v>
      </c>
      <c r="X1530" s="2" t="s">
        <v>200</v>
      </c>
      <c r="Y1530" s="2" t="s">
        <v>3498</v>
      </c>
      <c r="Z1530" s="4">
        <v>94</v>
      </c>
      <c r="AA1530" s="4">
        <f>=ROUNDDOWN(24.7368421052632,0)</f>
      </c>
      <c r="AB1530" s="5">
        <v>3.8</v>
      </c>
      <c r="AC1530" s="2" t="s">
        <v>553</v>
      </c>
      <c r="AD1530" s="4">
        <v>100</v>
      </c>
      <c r="AE1530" s="4">
        <v>100</v>
      </c>
      <c r="AF1530" s="6">
        <v>65</v>
      </c>
      <c r="AG1530" s="6"/>
      <c r="AH1530" s="7">
        <v>1</v>
      </c>
      <c r="AI1530" s="4"/>
      <c r="AJ1530" s="4">
        <f>=ROUNDDOWN({0},0)</f>
      </c>
      <c r="AK1530" s="5"/>
      <c r="AL1530" s="2" t="s">
        <v>200</v>
      </c>
      <c r="AM1530" s="4"/>
      <c r="AN1530" s="4"/>
      <c r="AO1530" s="7"/>
      <c r="AP1530" s="4"/>
      <c r="AQ1530" s="8"/>
      <c r="AR1530" s="4"/>
      <c r="AS1530" s="8"/>
      <c r="AT1530" s="7"/>
      <c r="AU1530" s="7"/>
      <c r="AV1530" s="4"/>
      <c r="AW1530" s="8"/>
      <c r="AX1530" s="4"/>
      <c r="AY1530" s="8"/>
      <c r="AZ1530" s="7"/>
      <c r="BA1530" s="7"/>
      <c r="BB1530" s="7"/>
      <c r="BC1530" s="4"/>
      <c r="BD1530" s="8"/>
      <c r="BE1530" s="4"/>
      <c r="BF1530" s="8"/>
      <c r="BG1530" s="7"/>
      <c r="BH1530" s="7"/>
      <c r="BI1530" s="7"/>
      <c r="BJ1530" s="4">
        <v>15</v>
      </c>
      <c r="BK1530" s="8">
        <v>494.31</v>
      </c>
      <c r="BL1530" s="2" t="s">
        <v>8151</v>
      </c>
      <c r="BM1530" s="7"/>
      <c r="BN1530" s="7"/>
      <c r="BO1530" s="4"/>
      <c r="BP1530" s="8"/>
      <c r="BQ1530" s="4"/>
      <c r="BR1530" s="8"/>
      <c r="BS1530" s="7"/>
      <c r="BT1530" s="7"/>
      <c r="BU1530" s="2" t="s">
        <v>8152</v>
      </c>
      <c r="BV1530" s="2" t="s">
        <v>200</v>
      </c>
      <c r="BW1530" s="2" t="s">
        <v>200</v>
      </c>
      <c r="BX1530" s="2" t="s">
        <v>264</v>
      </c>
      <c r="BY1530" s="2" t="s">
        <v>247</v>
      </c>
      <c r="BZ1530" s="2" t="s">
        <v>212</v>
      </c>
      <c r="CA1530" s="2" t="s">
        <v>8153</v>
      </c>
      <c r="CB1530" s="2" t="s">
        <v>8154</v>
      </c>
      <c r="CC1530" s="2" t="s">
        <v>213</v>
      </c>
      <c r="CD1530" s="2" t="s">
        <v>200</v>
      </c>
      <c r="CE1530" s="4"/>
      <c r="CF1530" s="4">
        <v>94</v>
      </c>
      <c r="CG1530" s="4"/>
      <c r="CH1530" s="4"/>
      <c r="CI1530" s="4"/>
      <c r="CJ1530" s="4"/>
      <c r="CK1530" s="4"/>
      <c r="CL1530" s="4"/>
      <c r="CM1530" s="4"/>
      <c r="CN1530" s="4"/>
      <c r="CO1530" s="4"/>
      <c r="CP1530" s="4"/>
      <c r="CQ1530" s="4"/>
      <c r="CR1530" s="4"/>
      <c r="CS1530" s="4"/>
      <c r="CT1530" s="4"/>
      <c r="CU1530" s="4"/>
      <c r="CV1530" s="4"/>
      <c r="CW1530" s="4"/>
      <c r="CX1530" s="4"/>
      <c r="CY1530" s="4"/>
      <c r="CZ1530" s="4"/>
      <c r="DA1530" s="4"/>
      <c r="DB1530" s="4"/>
      <c r="DC1530" s="4"/>
      <c r="DD1530" s="4"/>
      <c r="DE1530" s="4"/>
      <c r="DF1530" s="4"/>
      <c r="DG1530" s="4"/>
      <c r="DH1530" s="4"/>
      <c r="DI1530" s="4"/>
      <c r="DJ1530" s="4"/>
      <c r="DK1530" s="4"/>
      <c r="DL1530" s="4"/>
      <c r="DM1530" s="4"/>
      <c r="DN1530" s="4"/>
      <c r="DO1530" s="4"/>
      <c r="DP1530" s="4"/>
      <c r="DQ1530" s="4"/>
      <c r="DR1530" s="4"/>
      <c r="DS1530" s="4"/>
      <c r="DT1530" s="4"/>
      <c r="DU1530" s="4"/>
      <c r="DV1530" s="4"/>
      <c r="DW1530" s="4"/>
      <c r="DX1530" s="4"/>
      <c r="DY1530" s="4"/>
      <c r="DZ1530" s="4"/>
      <c r="EA1530" s="4"/>
      <c r="EB1530" s="4"/>
      <c r="EC1530" s="4"/>
      <c r="ED1530" s="4"/>
      <c r="EE1530" s="4"/>
      <c r="EF1530" s="4"/>
      <c r="EG1530" s="4"/>
      <c r="EH1530" s="4"/>
      <c r="EI1530" s="4"/>
      <c r="EJ1530" s="4"/>
      <c r="EK1530" s="4"/>
      <c r="EL1530" s="4"/>
      <c r="EM1530" s="4"/>
      <c r="EN1530" s="4"/>
      <c r="EO1530" s="4"/>
      <c r="EP1530" s="4"/>
      <c r="EQ1530" s="4"/>
      <c r="ER1530" s="4"/>
      <c r="ES1530" s="4"/>
      <c r="ET1530" s="4"/>
      <c r="EU1530" s="4"/>
      <c r="EV1530" s="4"/>
      <c r="EW1530" s="4"/>
      <c r="EX1530" s="4"/>
      <c r="EY1530" s="4"/>
      <c r="EZ1530" s="4"/>
      <c r="FA1530" s="4"/>
      <c r="FB1530" s="4"/>
      <c r="FC1530" s="4"/>
      <c r="FD1530" s="4"/>
      <c r="FE1530" s="4"/>
      <c r="FF1530" s="4"/>
      <c r="FG1530" s="4"/>
      <c r="FH1530" s="4"/>
      <c r="FI1530" s="4">
        <v>100</v>
      </c>
      <c r="FJ1530" s="4"/>
      <c r="FK1530" s="4"/>
      <c r="FL1530" s="4"/>
      <c r="FM1530" s="4"/>
      <c r="FN1530" s="4"/>
      <c r="FO1530" s="4"/>
      <c r="FP1530" s="4"/>
      <c r="FQ1530" s="4"/>
      <c r="FR1530" s="4"/>
      <c r="FS1530" s="4"/>
      <c r="FT1530" s="4"/>
      <c r="FU1530" s="4"/>
      <c r="FV1530" s="4"/>
      <c r="FW1530" s="4"/>
      <c r="FX1530" s="4"/>
      <c r="FY1530" s="4"/>
      <c r="FZ1530" s="4"/>
      <c r="GA1530" s="4"/>
      <c r="GB1530" s="4"/>
      <c r="GC1530" s="4"/>
      <c r="GD1530" s="4"/>
      <c r="GE1530" s="4"/>
      <c r="GF1530" s="4"/>
      <c r="GG1530" s="4"/>
      <c r="GH1530" s="4"/>
    </row>
    <row r="1531">
      <c r="A1531" s="2" t="s">
        <v>8155</v>
      </c>
      <c r="B1531" s="2" t="s">
        <v>744</v>
      </c>
      <c r="C1531" s="2" t="s">
        <v>745</v>
      </c>
      <c r="D1531" s="2" t="s">
        <v>1275</v>
      </c>
      <c r="E1531" s="2" t="s">
        <v>1276</v>
      </c>
      <c r="F1531" s="2" t="s">
        <v>8156</v>
      </c>
      <c r="G1531" s="2" t="s">
        <v>8156</v>
      </c>
      <c r="H1531" s="2" t="s">
        <v>200</v>
      </c>
      <c r="I1531" s="2" t="s">
        <v>2093</v>
      </c>
      <c r="J1531" s="2" t="s">
        <v>711</v>
      </c>
      <c r="K1531" s="2" t="s">
        <v>8157</v>
      </c>
      <c r="L1531" s="3">
        <v>194.75</v>
      </c>
      <c r="M1531" s="3">
        <v>204.49</v>
      </c>
      <c r="N1531" s="3">
        <v>409</v>
      </c>
      <c r="O1531" s="2" t="s">
        <v>212</v>
      </c>
      <c r="P1531" s="2" t="s">
        <v>750</v>
      </c>
      <c r="Q1531" s="2" t="s">
        <v>206</v>
      </c>
      <c r="R1531" s="2" t="s">
        <v>200</v>
      </c>
      <c r="S1531" s="2" t="s">
        <v>8158</v>
      </c>
      <c r="T1531" s="2" t="s">
        <v>200</v>
      </c>
      <c r="U1531" s="2" t="s">
        <v>200</v>
      </c>
      <c r="V1531" s="2" t="s">
        <v>208</v>
      </c>
      <c r="W1531" s="2" t="s">
        <v>736</v>
      </c>
      <c r="X1531" s="2" t="s">
        <v>200</v>
      </c>
      <c r="Y1531" s="2" t="s">
        <v>261</v>
      </c>
      <c r="Z1531" s="4">
        <v>86</v>
      </c>
      <c r="AA1531" s="4">
        <f>=ROUNDDOWN(43,0)</f>
      </c>
      <c r="AB1531" s="5">
        <v>2</v>
      </c>
      <c r="AC1531" s="2" t="s">
        <v>200</v>
      </c>
      <c r="AD1531" s="4"/>
      <c r="AE1531" s="4"/>
      <c r="AF1531" s="6">
        <v>66</v>
      </c>
      <c r="AG1531" s="6">
        <v>49</v>
      </c>
      <c r="AH1531" s="7">
        <v>1</v>
      </c>
      <c r="AI1531" s="4"/>
      <c r="AJ1531" s="4">
        <f>=ROUNDDOWN({0},0)</f>
      </c>
      <c r="AK1531" s="5"/>
      <c r="AL1531" s="2" t="s">
        <v>200</v>
      </c>
      <c r="AM1531" s="4"/>
      <c r="AN1531" s="4"/>
      <c r="AO1531" s="7"/>
      <c r="AP1531" s="4"/>
      <c r="AQ1531" s="8"/>
      <c r="AR1531" s="4"/>
      <c r="AS1531" s="8"/>
      <c r="AT1531" s="7"/>
      <c r="AU1531" s="7"/>
      <c r="AV1531" s="4"/>
      <c r="AW1531" s="8"/>
      <c r="AX1531" s="4"/>
      <c r="AY1531" s="8"/>
      <c r="AZ1531" s="7"/>
      <c r="BA1531" s="7"/>
      <c r="BB1531" s="7"/>
      <c r="BC1531" s="4"/>
      <c r="BD1531" s="8"/>
      <c r="BE1531" s="4"/>
      <c r="BF1531" s="8"/>
      <c r="BG1531" s="7"/>
      <c r="BH1531" s="7"/>
      <c r="BI1531" s="7"/>
      <c r="BJ1531" s="4">
        <v>5</v>
      </c>
      <c r="BK1531" s="8">
        <v>933.86</v>
      </c>
      <c r="BL1531" s="2" t="s">
        <v>8159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8160</v>
      </c>
      <c r="BV1531" s="2" t="s">
        <v>200</v>
      </c>
      <c r="BW1531" s="2" t="s">
        <v>200</v>
      </c>
      <c r="BX1531" s="2" t="s">
        <v>264</v>
      </c>
      <c r="BY1531" s="2" t="s">
        <v>247</v>
      </c>
      <c r="BZ1531" s="2" t="s">
        <v>212</v>
      </c>
      <c r="CA1531" s="2" t="s">
        <v>8161</v>
      </c>
      <c r="CB1531" s="2" t="s">
        <v>6189</v>
      </c>
      <c r="CC1531" s="2" t="s">
        <v>213</v>
      </c>
      <c r="CD1531" s="2" t="s">
        <v>200</v>
      </c>
      <c r="CE1531" s="4"/>
      <c r="CF1531" s="4">
        <v>86</v>
      </c>
      <c r="CG1531" s="4"/>
      <c r="CH1531" s="4"/>
      <c r="CI1531" s="4"/>
      <c r="CJ1531" s="4"/>
      <c r="CK1531" s="4"/>
      <c r="CL1531" s="4"/>
      <c r="CM1531" s="4"/>
      <c r="CN1531" s="4"/>
      <c r="CO1531" s="4"/>
      <c r="CP1531" s="4"/>
      <c r="CQ1531" s="4"/>
      <c r="CR1531" s="4"/>
      <c r="CS1531" s="4"/>
      <c r="CT1531" s="4"/>
      <c r="CU1531" s="4"/>
      <c r="CV1531" s="4"/>
      <c r="CW1531" s="4"/>
      <c r="CX1531" s="4"/>
      <c r="CY1531" s="4"/>
      <c r="CZ1531" s="4"/>
      <c r="DA1531" s="4"/>
      <c r="DB1531" s="4"/>
      <c r="DC1531" s="4"/>
      <c r="DD1531" s="4"/>
      <c r="DE1531" s="4"/>
      <c r="DF1531" s="4"/>
      <c r="DG1531" s="4"/>
      <c r="DH1531" s="4"/>
      <c r="DI1531" s="4"/>
      <c r="DJ1531" s="4"/>
      <c r="DK1531" s="4"/>
      <c r="DL1531" s="4"/>
      <c r="DM1531" s="4"/>
      <c r="DN1531" s="4"/>
      <c r="DO1531" s="4"/>
      <c r="DP1531" s="4"/>
      <c r="DQ1531" s="4"/>
      <c r="DR1531" s="4"/>
      <c r="DS1531" s="4"/>
      <c r="DT1531" s="4"/>
      <c r="DU1531" s="4"/>
      <c r="DV1531" s="4"/>
      <c r="DW1531" s="4"/>
      <c r="DX1531" s="4"/>
      <c r="DY1531" s="4"/>
      <c r="DZ1531" s="4"/>
      <c r="EA1531" s="4"/>
      <c r="EB1531" s="4"/>
      <c r="EC1531" s="4"/>
      <c r="ED1531" s="4"/>
      <c r="EE1531" s="4"/>
      <c r="EF1531" s="4"/>
      <c r="EG1531" s="4"/>
      <c r="EH1531" s="4"/>
      <c r="EI1531" s="4"/>
      <c r="EJ1531" s="4"/>
      <c r="EK1531" s="4"/>
      <c r="EL1531" s="4"/>
      <c r="EM1531" s="4"/>
      <c r="EN1531" s="4"/>
      <c r="EO1531" s="4"/>
      <c r="EP1531" s="4"/>
      <c r="EQ1531" s="4"/>
      <c r="ER1531" s="4"/>
      <c r="ES1531" s="4"/>
      <c r="ET1531" s="4"/>
      <c r="EU1531" s="4"/>
      <c r="EV1531" s="4"/>
      <c r="EW1531" s="4"/>
      <c r="EX1531" s="4"/>
      <c r="EY1531" s="4"/>
      <c r="EZ1531" s="4"/>
      <c r="FA1531" s="4"/>
      <c r="FB1531" s="4"/>
      <c r="FC1531" s="4"/>
      <c r="FD1531" s="4"/>
      <c r="FE1531" s="4"/>
      <c r="FF1531" s="4"/>
      <c r="FG1531" s="4"/>
      <c r="FH1531" s="4"/>
      <c r="FI1531" s="4"/>
      <c r="FJ1531" s="4"/>
      <c r="FK1531" s="4"/>
      <c r="FL1531" s="4"/>
      <c r="FM1531" s="4"/>
      <c r="FN1531" s="4"/>
      <c r="FO1531" s="4"/>
      <c r="FP1531" s="4"/>
      <c r="FQ1531" s="4"/>
      <c r="FR1531" s="4"/>
      <c r="FS1531" s="4"/>
      <c r="FT1531" s="4"/>
      <c r="FU1531" s="4"/>
      <c r="FV1531" s="4"/>
      <c r="FW1531" s="4"/>
      <c r="FX1531" s="4"/>
      <c r="FY1531" s="4"/>
      <c r="FZ1531" s="4"/>
      <c r="GA1531" s="4"/>
      <c r="GB1531" s="4"/>
      <c r="GC1531" s="4"/>
      <c r="GD1531" s="4"/>
      <c r="GE1531" s="4"/>
      <c r="GF1531" s="4"/>
      <c r="GG1531" s="4"/>
      <c r="GH1531" s="4"/>
    </row>
    <row r="1532">
      <c r="A1532" s="2" t="s">
        <v>8162</v>
      </c>
      <c r="B1532" s="2" t="s">
        <v>719</v>
      </c>
      <c r="C1532" s="2" t="s">
        <v>231</v>
      </c>
      <c r="D1532" s="2" t="s">
        <v>1554</v>
      </c>
      <c r="E1532" s="2" t="s">
        <v>721</v>
      </c>
      <c r="F1532" s="2" t="s">
        <v>8163</v>
      </c>
      <c r="G1532" s="2" t="s">
        <v>8163</v>
      </c>
      <c r="H1532" s="2" t="s">
        <v>8163</v>
      </c>
      <c r="I1532" s="2" t="s">
        <v>7085</v>
      </c>
      <c r="J1532" s="2" t="s">
        <v>711</v>
      </c>
      <c r="K1532" s="2" t="s">
        <v>387</v>
      </c>
      <c r="L1532" s="3">
        <v>55.77</v>
      </c>
      <c r="M1532" s="3">
        <v>58.56</v>
      </c>
      <c r="N1532" s="3">
        <v>118.99</v>
      </c>
      <c r="O1532" s="2" t="s">
        <v>212</v>
      </c>
      <c r="P1532" s="2" t="s">
        <v>750</v>
      </c>
      <c r="Q1532" s="2" t="s">
        <v>206</v>
      </c>
      <c r="R1532" s="2" t="s">
        <v>200</v>
      </c>
      <c r="S1532" s="2" t="s">
        <v>8164</v>
      </c>
      <c r="T1532" s="2" t="s">
        <v>200</v>
      </c>
      <c r="U1532" s="2" t="s">
        <v>240</v>
      </c>
      <c r="V1532" s="2" t="s">
        <v>313</v>
      </c>
      <c r="W1532" s="2" t="s">
        <v>313</v>
      </c>
      <c r="X1532" s="2" t="s">
        <v>200</v>
      </c>
      <c r="Y1532" s="2" t="s">
        <v>978</v>
      </c>
      <c r="Z1532" s="4">
        <v>39</v>
      </c>
      <c r="AA1532" s="4">
        <f>=ROUNDDOWN(13,0)</f>
      </c>
      <c r="AB1532" s="5">
        <v>3</v>
      </c>
      <c r="AC1532" s="2" t="s">
        <v>200</v>
      </c>
      <c r="AD1532" s="4"/>
      <c r="AE1532" s="4"/>
      <c r="AF1532" s="6">
        <v>61</v>
      </c>
      <c r="AG1532" s="6"/>
      <c r="AH1532" s="7">
        <v>1</v>
      </c>
      <c r="AI1532" s="4"/>
      <c r="AJ1532" s="4">
        <f>=ROUNDDOWN({0},0)</f>
      </c>
      <c r="AK1532" s="5"/>
      <c r="AL1532" s="2" t="s">
        <v>200</v>
      </c>
      <c r="AM1532" s="4"/>
      <c r="AN1532" s="4"/>
      <c r="AO1532" s="7"/>
      <c r="AP1532" s="4"/>
      <c r="AQ1532" s="8"/>
      <c r="AR1532" s="4"/>
      <c r="AS1532" s="8"/>
      <c r="AT1532" s="7"/>
      <c r="AU1532" s="7"/>
      <c r="AV1532" s="4"/>
      <c r="AW1532" s="8"/>
      <c r="AX1532" s="4"/>
      <c r="AY1532" s="8"/>
      <c r="AZ1532" s="7"/>
      <c r="BA1532" s="7"/>
      <c r="BB1532" s="7"/>
      <c r="BC1532" s="4"/>
      <c r="BD1532" s="8"/>
      <c r="BE1532" s="4"/>
      <c r="BF1532" s="8"/>
      <c r="BG1532" s="7"/>
      <c r="BH1532" s="7"/>
      <c r="BI1532" s="7"/>
      <c r="BJ1532" s="4">
        <v>11</v>
      </c>
      <c r="BK1532" s="8">
        <v>701.48</v>
      </c>
      <c r="BL1532" s="2" t="s">
        <v>8165</v>
      </c>
      <c r="BM1532" s="7"/>
      <c r="BN1532" s="7"/>
      <c r="BO1532" s="4"/>
      <c r="BP1532" s="8"/>
      <c r="BQ1532" s="4"/>
      <c r="BR1532" s="8"/>
      <c r="BS1532" s="7"/>
      <c r="BT1532" s="7"/>
      <c r="BU1532" s="2" t="s">
        <v>8166</v>
      </c>
      <c r="BV1532" s="2" t="s">
        <v>200</v>
      </c>
      <c r="BW1532" s="2" t="s">
        <v>200</v>
      </c>
      <c r="BX1532" s="2" t="s">
        <v>264</v>
      </c>
      <c r="BY1532" s="2" t="s">
        <v>247</v>
      </c>
      <c r="BZ1532" s="2" t="s">
        <v>212</v>
      </c>
      <c r="CA1532" s="2" t="s">
        <v>8167</v>
      </c>
      <c r="CB1532" s="2" t="s">
        <v>2309</v>
      </c>
      <c r="CC1532" s="2" t="s">
        <v>213</v>
      </c>
      <c r="CD1532" s="2" t="s">
        <v>200</v>
      </c>
      <c r="CE1532" s="4"/>
      <c r="CF1532" s="4">
        <v>39</v>
      </c>
      <c r="CG1532" s="4"/>
      <c r="CH1532" s="4"/>
      <c r="CI1532" s="4"/>
      <c r="CJ1532" s="4"/>
      <c r="CK1532" s="4"/>
      <c r="CL1532" s="4"/>
      <c r="CM1532" s="4"/>
      <c r="CN1532" s="4"/>
      <c r="CO1532" s="4"/>
      <c r="CP1532" s="4"/>
      <c r="CQ1532" s="4"/>
      <c r="CR1532" s="4"/>
      <c r="CS1532" s="4"/>
      <c r="CT1532" s="4"/>
      <c r="CU1532" s="4"/>
      <c r="CV1532" s="4"/>
      <c r="CW1532" s="4"/>
      <c r="CX1532" s="4"/>
      <c r="CY1532" s="4"/>
      <c r="CZ1532" s="4"/>
      <c r="DA1532" s="4"/>
      <c r="DB1532" s="4"/>
      <c r="DC1532" s="4"/>
      <c r="DD1532" s="4"/>
      <c r="DE1532" s="4"/>
      <c r="DF1532" s="4"/>
      <c r="DG1532" s="4"/>
      <c r="DH1532" s="4"/>
      <c r="DI1532" s="4"/>
      <c r="DJ1532" s="4"/>
      <c r="DK1532" s="4"/>
      <c r="DL1532" s="4"/>
      <c r="DM1532" s="4"/>
      <c r="DN1532" s="4"/>
      <c r="DO1532" s="4"/>
      <c r="DP1532" s="4"/>
      <c r="DQ1532" s="4"/>
      <c r="DR1532" s="4"/>
      <c r="DS1532" s="4"/>
      <c r="DT1532" s="4"/>
      <c r="DU1532" s="4"/>
      <c r="DV1532" s="4"/>
      <c r="DW1532" s="4"/>
      <c r="DX1532" s="4"/>
      <c r="DY1532" s="4"/>
      <c r="DZ1532" s="4"/>
      <c r="EA1532" s="4"/>
      <c r="EB1532" s="4"/>
      <c r="EC1532" s="4"/>
      <c r="ED1532" s="4"/>
      <c r="EE1532" s="4"/>
      <c r="EF1532" s="4"/>
      <c r="EG1532" s="4"/>
      <c r="EH1532" s="4"/>
      <c r="EI1532" s="4"/>
      <c r="EJ1532" s="4"/>
      <c r="EK1532" s="4"/>
      <c r="EL1532" s="4"/>
      <c r="EM1532" s="4"/>
      <c r="EN1532" s="4"/>
      <c r="EO1532" s="4"/>
      <c r="EP1532" s="4"/>
      <c r="EQ1532" s="4"/>
      <c r="ER1532" s="4"/>
      <c r="ES1532" s="4"/>
      <c r="ET1532" s="4"/>
      <c r="EU1532" s="4"/>
      <c r="EV1532" s="4"/>
      <c r="EW1532" s="4"/>
      <c r="EX1532" s="4"/>
      <c r="EY1532" s="4"/>
      <c r="EZ1532" s="4"/>
      <c r="FA1532" s="4"/>
      <c r="FB1532" s="4"/>
      <c r="FC1532" s="4"/>
      <c r="FD1532" s="4"/>
      <c r="FE1532" s="4"/>
      <c r="FF1532" s="4"/>
      <c r="FG1532" s="4"/>
      <c r="FH1532" s="4"/>
      <c r="FI1532" s="4"/>
      <c r="FJ1532" s="4"/>
      <c r="FK1532" s="4"/>
      <c r="FL1532" s="4"/>
      <c r="FM1532" s="4"/>
      <c r="FN1532" s="4"/>
      <c r="FO1532" s="4"/>
      <c r="FP1532" s="4"/>
      <c r="FQ1532" s="4"/>
      <c r="FR1532" s="4"/>
      <c r="FS1532" s="4"/>
      <c r="FT1532" s="4"/>
      <c r="FU1532" s="4"/>
      <c r="FV1532" s="4"/>
      <c r="FW1532" s="4"/>
      <c r="FX1532" s="4"/>
      <c r="FY1532" s="4"/>
      <c r="FZ1532" s="4"/>
      <c r="GA1532" s="4"/>
      <c r="GB1532" s="4"/>
      <c r="GC1532" s="4"/>
      <c r="GD1532" s="4"/>
      <c r="GE1532" s="4"/>
      <c r="GF1532" s="4"/>
      <c r="GG1532" s="4"/>
      <c r="GH1532" s="4"/>
    </row>
    <row r="1533">
      <c r="A1533" s="2" t="s">
        <v>8168</v>
      </c>
      <c r="B1533" s="2" t="s">
        <v>903</v>
      </c>
      <c r="C1533" s="2" t="s">
        <v>1759</v>
      </c>
      <c r="D1533" s="2" t="s">
        <v>1818</v>
      </c>
      <c r="E1533" s="2" t="s">
        <v>2020</v>
      </c>
      <c r="F1533" s="2" t="s">
        <v>8169</v>
      </c>
      <c r="G1533" s="2" t="s">
        <v>8169</v>
      </c>
      <c r="H1533" s="2" t="s">
        <v>8169</v>
      </c>
      <c r="I1533" s="2" t="s">
        <v>8170</v>
      </c>
      <c r="J1533" s="2" t="s">
        <v>612</v>
      </c>
      <c r="K1533" s="2" t="s">
        <v>223</v>
      </c>
      <c r="L1533" s="3">
        <v>75</v>
      </c>
      <c r="M1533" s="3">
        <v>78.74</v>
      </c>
      <c r="N1533" s="3">
        <v>164.99</v>
      </c>
      <c r="O1533" s="2" t="s">
        <v>212</v>
      </c>
      <c r="P1533" s="2" t="s">
        <v>258</v>
      </c>
      <c r="Q1533" s="2" t="s">
        <v>206</v>
      </c>
      <c r="R1533" s="2" t="s">
        <v>200</v>
      </c>
      <c r="S1533" s="2" t="s">
        <v>8171</v>
      </c>
      <c r="T1533" s="2" t="s">
        <v>3721</v>
      </c>
      <c r="U1533" s="2" t="s">
        <v>240</v>
      </c>
      <c r="V1533" s="2" t="s">
        <v>313</v>
      </c>
      <c r="W1533" s="2" t="s">
        <v>2224</v>
      </c>
      <c r="X1533" s="2" t="s">
        <v>1271</v>
      </c>
      <c r="Y1533" s="2" t="s">
        <v>5451</v>
      </c>
      <c r="Z1533" s="4">
        <v>144</v>
      </c>
      <c r="AA1533" s="4">
        <f>=ROUNDDOWN(34.2857142857143,0)</f>
      </c>
      <c r="AB1533" s="5">
        <v>4.2</v>
      </c>
      <c r="AC1533" s="2" t="s">
        <v>200</v>
      </c>
      <c r="AD1533" s="4"/>
      <c r="AE1533" s="4"/>
      <c r="AF1533" s="6">
        <v>68</v>
      </c>
      <c r="AG1533" s="6"/>
      <c r="AH1533" s="7">
        <v>1</v>
      </c>
      <c r="AI1533" s="4"/>
      <c r="AJ1533" s="4">
        <f>=ROUNDDOWN({0},0)</f>
      </c>
      <c r="AK1533" s="5"/>
      <c r="AL1533" s="2" t="s">
        <v>200</v>
      </c>
      <c r="AM1533" s="4"/>
      <c r="AN1533" s="4"/>
      <c r="AO1533" s="7"/>
      <c r="AP1533" s="4"/>
      <c r="AQ1533" s="8"/>
      <c r="AR1533" s="4"/>
      <c r="AS1533" s="8"/>
      <c r="AT1533" s="7"/>
      <c r="AU1533" s="7"/>
      <c r="AV1533" s="4"/>
      <c r="AW1533" s="8"/>
      <c r="AX1533" s="4"/>
      <c r="AY1533" s="8"/>
      <c r="AZ1533" s="7"/>
      <c r="BA1533" s="7"/>
      <c r="BB1533" s="7"/>
      <c r="BC1533" s="4"/>
      <c r="BD1533" s="8"/>
      <c r="BE1533" s="4"/>
      <c r="BF1533" s="8"/>
      <c r="BG1533" s="7"/>
      <c r="BH1533" s="7"/>
      <c r="BI1533" s="7"/>
      <c r="BJ1533" s="4">
        <v>9</v>
      </c>
      <c r="BK1533" s="8">
        <v>747.55</v>
      </c>
      <c r="BL1533" s="2" t="s">
        <v>8172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8173</v>
      </c>
      <c r="BV1533" s="2" t="s">
        <v>200</v>
      </c>
      <c r="BW1533" s="2" t="s">
        <v>200</v>
      </c>
      <c r="BX1533" s="2" t="s">
        <v>620</v>
      </c>
      <c r="BY1533" s="2" t="s">
        <v>247</v>
      </c>
      <c r="BZ1533" s="2" t="s">
        <v>212</v>
      </c>
      <c r="CA1533" s="2" t="s">
        <v>2006</v>
      </c>
      <c r="CB1533" s="2" t="s">
        <v>2752</v>
      </c>
      <c r="CC1533" s="2" t="s">
        <v>213</v>
      </c>
      <c r="CD1533" s="2" t="s">
        <v>200</v>
      </c>
      <c r="CE1533" s="4">
        <v>144</v>
      </c>
      <c r="CF1533" s="4"/>
      <c r="CG1533" s="4"/>
      <c r="CH1533" s="4"/>
      <c r="CI1533" s="4"/>
      <c r="CJ1533" s="4"/>
      <c r="CK1533" s="4"/>
      <c r="CL1533" s="4"/>
      <c r="CM1533" s="4"/>
      <c r="CN1533" s="4"/>
      <c r="CO1533" s="4"/>
      <c r="CP1533" s="4"/>
      <c r="CQ1533" s="4"/>
      <c r="CR1533" s="4"/>
      <c r="CS1533" s="4"/>
      <c r="CT1533" s="4"/>
      <c r="CU1533" s="4"/>
      <c r="CV1533" s="4"/>
      <c r="CW1533" s="4"/>
      <c r="CX1533" s="4"/>
      <c r="CY1533" s="4"/>
      <c r="CZ1533" s="4"/>
      <c r="DA1533" s="4"/>
      <c r="DB1533" s="4"/>
      <c r="DC1533" s="4"/>
      <c r="DD1533" s="4"/>
      <c r="DE1533" s="4"/>
      <c r="DF1533" s="4"/>
      <c r="DG1533" s="4"/>
      <c r="DH1533" s="4"/>
      <c r="DI1533" s="4"/>
      <c r="DJ1533" s="4"/>
      <c r="DK1533" s="4"/>
      <c r="DL1533" s="4"/>
      <c r="DM1533" s="4"/>
      <c r="DN1533" s="4"/>
      <c r="DO1533" s="4"/>
      <c r="DP1533" s="4"/>
      <c r="DQ1533" s="4"/>
      <c r="DR1533" s="4"/>
      <c r="DS1533" s="4"/>
      <c r="DT1533" s="4"/>
      <c r="DU1533" s="4"/>
      <c r="DV1533" s="4"/>
      <c r="DW1533" s="4"/>
      <c r="DX1533" s="4"/>
      <c r="DY1533" s="4"/>
      <c r="DZ1533" s="4"/>
      <c r="EA1533" s="4"/>
      <c r="EB1533" s="4"/>
      <c r="EC1533" s="4"/>
      <c r="ED1533" s="4"/>
      <c r="EE1533" s="4"/>
      <c r="EF1533" s="4"/>
      <c r="EG1533" s="4"/>
      <c r="EH1533" s="4"/>
      <c r="EI1533" s="4"/>
      <c r="EJ1533" s="4"/>
      <c r="EK1533" s="4"/>
      <c r="EL1533" s="4"/>
      <c r="EM1533" s="4"/>
      <c r="EN1533" s="4"/>
      <c r="EO1533" s="4"/>
      <c r="EP1533" s="4"/>
      <c r="EQ1533" s="4"/>
      <c r="ER1533" s="4"/>
      <c r="ES1533" s="4"/>
      <c r="ET1533" s="4"/>
      <c r="EU1533" s="4"/>
      <c r="EV1533" s="4"/>
      <c r="EW1533" s="4"/>
      <c r="EX1533" s="4"/>
      <c r="EY1533" s="4"/>
      <c r="EZ1533" s="4"/>
      <c r="FA1533" s="4"/>
      <c r="FB1533" s="4"/>
      <c r="FC1533" s="4"/>
      <c r="FD1533" s="4"/>
      <c r="FE1533" s="4"/>
      <c r="FF1533" s="4"/>
      <c r="FG1533" s="4"/>
      <c r="FH1533" s="4"/>
      <c r="FI1533" s="4"/>
      <c r="FJ1533" s="4"/>
      <c r="FK1533" s="4"/>
      <c r="FL1533" s="4"/>
      <c r="FM1533" s="4"/>
      <c r="FN1533" s="4"/>
      <c r="FO1533" s="4"/>
      <c r="FP1533" s="4"/>
      <c r="FQ1533" s="4"/>
      <c r="FR1533" s="4"/>
      <c r="FS1533" s="4"/>
      <c r="FT1533" s="4"/>
      <c r="FU1533" s="4"/>
      <c r="FV1533" s="4"/>
      <c r="FW1533" s="4"/>
      <c r="FX1533" s="4"/>
      <c r="FY1533" s="4"/>
      <c r="FZ1533" s="4"/>
      <c r="GA1533" s="4"/>
      <c r="GB1533" s="4"/>
      <c r="GC1533" s="4"/>
      <c r="GD1533" s="4"/>
      <c r="GE1533" s="4"/>
      <c r="GF1533" s="4"/>
      <c r="GG1533" s="4"/>
      <c r="GH1533" s="4"/>
    </row>
    <row r="1534">
      <c r="A1534" s="2" t="s">
        <v>8174</v>
      </c>
      <c r="B1534" s="2" t="s">
        <v>932</v>
      </c>
      <c r="C1534" s="2" t="s">
        <v>877</v>
      </c>
      <c r="D1534" s="2" t="s">
        <v>608</v>
      </c>
      <c r="E1534" s="2" t="s">
        <v>609</v>
      </c>
      <c r="F1534" s="2" t="s">
        <v>8175</v>
      </c>
      <c r="G1534" s="2" t="s">
        <v>8176</v>
      </c>
      <c r="H1534" s="2" t="s">
        <v>2756</v>
      </c>
      <c r="I1534" s="2" t="s">
        <v>1761</v>
      </c>
      <c r="J1534" s="2" t="s">
        <v>1390</v>
      </c>
      <c r="K1534" s="2" t="s">
        <v>660</v>
      </c>
      <c r="L1534" s="3">
        <v>32.2</v>
      </c>
      <c r="M1534" s="3">
        <v>33.81</v>
      </c>
      <c r="N1534" s="3">
        <v>79.99</v>
      </c>
      <c r="O1534" s="2" t="s">
        <v>460</v>
      </c>
      <c r="P1534" s="2" t="s">
        <v>285</v>
      </c>
      <c r="Q1534" s="2" t="s">
        <v>206</v>
      </c>
      <c r="R1534" s="2" t="s">
        <v>200</v>
      </c>
      <c r="S1534" s="2" t="s">
        <v>8177</v>
      </c>
      <c r="T1534" s="2" t="s">
        <v>378</v>
      </c>
      <c r="U1534" s="2" t="s">
        <v>240</v>
      </c>
      <c r="V1534" s="2" t="s">
        <v>1019</v>
      </c>
      <c r="W1534" s="2" t="s">
        <v>419</v>
      </c>
      <c r="X1534" s="2" t="s">
        <v>241</v>
      </c>
      <c r="Y1534" s="2" t="s">
        <v>261</v>
      </c>
      <c r="Z1534" s="4">
        <v>50</v>
      </c>
      <c r="AA1534" s="4">
        <f>=ROUNDDOWN(11.6279069767442,0)</f>
      </c>
      <c r="AB1534" s="5">
        <v>4.3</v>
      </c>
      <c r="AC1534" s="2" t="s">
        <v>200</v>
      </c>
      <c r="AD1534" s="4"/>
      <c r="AE1534" s="4"/>
      <c r="AF1534" s="6">
        <v>65</v>
      </c>
      <c r="AG1534" s="6"/>
      <c r="AH1534" s="7">
        <v>1</v>
      </c>
      <c r="AI1534" s="4"/>
      <c r="AJ1534" s="4">
        <f>=ROUNDDOWN({0},0)</f>
      </c>
      <c r="AK1534" s="5"/>
      <c r="AL1534" s="2" t="s">
        <v>200</v>
      </c>
      <c r="AM1534" s="4"/>
      <c r="AN1534" s="4"/>
      <c r="AO1534" s="7"/>
      <c r="AP1534" s="4"/>
      <c r="AQ1534" s="8"/>
      <c r="AR1534" s="4"/>
      <c r="AS1534" s="8"/>
      <c r="AT1534" s="7"/>
      <c r="AU1534" s="7"/>
      <c r="AV1534" s="4"/>
      <c r="AW1534" s="8"/>
      <c r="AX1534" s="4"/>
      <c r="AY1534" s="8"/>
      <c r="AZ1534" s="7"/>
      <c r="BA1534" s="7"/>
      <c r="BB1534" s="7"/>
      <c r="BC1534" s="4" t="s">
        <v>200</v>
      </c>
      <c r="BD1534" s="8" t="s">
        <v>200</v>
      </c>
      <c r="BE1534" s="4" t="s">
        <v>200</v>
      </c>
      <c r="BF1534" s="8" t="s">
        <v>200</v>
      </c>
      <c r="BG1534" s="7" t="s">
        <v>200</v>
      </c>
      <c r="BH1534" s="7" t="s">
        <v>200</v>
      </c>
      <c r="BI1534" s="7"/>
      <c r="BJ1534" s="4">
        <v>25</v>
      </c>
      <c r="BK1534" s="8">
        <v>617.22</v>
      </c>
      <c r="BL1534" s="2" t="s">
        <v>8178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8179</v>
      </c>
      <c r="BV1534" s="2" t="s">
        <v>200</v>
      </c>
      <c r="BW1534" s="2" t="s">
        <v>200</v>
      </c>
      <c r="BX1534" s="2" t="s">
        <v>289</v>
      </c>
      <c r="BY1534" s="2" t="s">
        <v>247</v>
      </c>
      <c r="BZ1534" s="2" t="s">
        <v>212</v>
      </c>
      <c r="CA1534" s="2" t="s">
        <v>265</v>
      </c>
      <c r="CB1534" s="2" t="s">
        <v>8180</v>
      </c>
      <c r="CC1534" s="2" t="s">
        <v>213</v>
      </c>
      <c r="CD1534" s="2" t="s">
        <v>200</v>
      </c>
      <c r="CE1534" s="4"/>
      <c r="CF1534" s="4"/>
      <c r="CG1534" s="4"/>
      <c r="CH1534" s="4">
        <v>50</v>
      </c>
      <c r="CI1534" s="4"/>
      <c r="CJ1534" s="4"/>
      <c r="CK1534" s="4"/>
      <c r="CL1534" s="4"/>
      <c r="CM1534" s="4"/>
      <c r="CN1534" s="4"/>
      <c r="CO1534" s="4"/>
      <c r="CP1534" s="4"/>
      <c r="CQ1534" s="4"/>
      <c r="CR1534" s="4"/>
      <c r="CS1534" s="4"/>
      <c r="CT1534" s="4"/>
      <c r="CU1534" s="4"/>
      <c r="CV1534" s="4"/>
      <c r="CW1534" s="4"/>
      <c r="CX1534" s="4"/>
      <c r="CY1534" s="4"/>
      <c r="CZ1534" s="4"/>
      <c r="DA1534" s="4"/>
      <c r="DB1534" s="4"/>
      <c r="DC1534" s="4"/>
      <c r="DD1534" s="4"/>
      <c r="DE1534" s="4"/>
      <c r="DF1534" s="4"/>
      <c r="DG1534" s="4"/>
      <c r="DH1534" s="4"/>
      <c r="DI1534" s="4"/>
      <c r="DJ1534" s="4"/>
      <c r="DK1534" s="4"/>
      <c r="DL1534" s="4"/>
      <c r="DM1534" s="4"/>
      <c r="DN1534" s="4"/>
      <c r="DO1534" s="4"/>
      <c r="DP1534" s="4"/>
      <c r="DQ1534" s="4"/>
      <c r="DR1534" s="4"/>
      <c r="DS1534" s="4"/>
      <c r="DT1534" s="4"/>
      <c r="DU1534" s="4"/>
      <c r="DV1534" s="4"/>
      <c r="DW1534" s="4"/>
      <c r="DX1534" s="4"/>
      <c r="DY1534" s="4"/>
      <c r="DZ1534" s="4"/>
      <c r="EA1534" s="4"/>
      <c r="EB1534" s="4"/>
      <c r="EC1534" s="4"/>
      <c r="ED1534" s="4"/>
      <c r="EE1534" s="4"/>
      <c r="EF1534" s="4"/>
      <c r="EG1534" s="4"/>
      <c r="EH1534" s="4"/>
      <c r="EI1534" s="4"/>
      <c r="EJ1534" s="4"/>
      <c r="EK1534" s="4"/>
      <c r="EL1534" s="4"/>
      <c r="EM1534" s="4"/>
      <c r="EN1534" s="4"/>
      <c r="EO1534" s="4"/>
      <c r="EP1534" s="4"/>
      <c r="EQ1534" s="4"/>
      <c r="ER1534" s="4"/>
      <c r="ES1534" s="4"/>
      <c r="ET1534" s="4"/>
      <c r="EU1534" s="4"/>
      <c r="EV1534" s="4"/>
      <c r="EW1534" s="4"/>
      <c r="EX1534" s="4"/>
      <c r="EY1534" s="4"/>
      <c r="EZ1534" s="4"/>
      <c r="FA1534" s="4"/>
      <c r="FB1534" s="4"/>
      <c r="FC1534" s="4"/>
      <c r="FD1534" s="4"/>
      <c r="FE1534" s="4"/>
      <c r="FF1534" s="4"/>
      <c r="FG1534" s="4"/>
      <c r="FH1534" s="4"/>
      <c r="FI1534" s="4"/>
      <c r="FJ1534" s="4"/>
      <c r="FK1534" s="4"/>
      <c r="FL1534" s="4"/>
      <c r="FM1534" s="4"/>
      <c r="FN1534" s="4"/>
      <c r="FO1534" s="4"/>
      <c r="FP1534" s="4"/>
      <c r="FQ1534" s="4"/>
      <c r="FR1534" s="4"/>
      <c r="FS1534" s="4"/>
      <c r="FT1534" s="4"/>
      <c r="FU1534" s="4"/>
      <c r="FV1534" s="4"/>
      <c r="FW1534" s="4"/>
      <c r="FX1534" s="4"/>
      <c r="FY1534" s="4"/>
      <c r="FZ1534" s="4"/>
      <c r="GA1534" s="4"/>
      <c r="GB1534" s="4"/>
      <c r="GC1534" s="4"/>
      <c r="GD1534" s="4"/>
      <c r="GE1534" s="4"/>
      <c r="GF1534" s="4"/>
      <c r="GG1534" s="4"/>
      <c r="GH1534" s="4"/>
    </row>
    <row r="1535">
      <c r="A1535" s="2" t="s">
        <v>8181</v>
      </c>
      <c r="B1535" s="2" t="s">
        <v>932</v>
      </c>
      <c r="C1535" s="2" t="s">
        <v>877</v>
      </c>
      <c r="D1535" s="2" t="s">
        <v>608</v>
      </c>
      <c r="E1535" s="2" t="s">
        <v>609</v>
      </c>
      <c r="F1535" s="2" t="s">
        <v>8175</v>
      </c>
      <c r="G1535" s="2" t="s">
        <v>8176</v>
      </c>
      <c r="H1535" s="2" t="s">
        <v>2756</v>
      </c>
      <c r="I1535" s="2" t="s">
        <v>1761</v>
      </c>
      <c r="J1535" s="2" t="s">
        <v>1390</v>
      </c>
      <c r="K1535" s="2" t="s">
        <v>2404</v>
      </c>
      <c r="L1535" s="3">
        <v>32.2</v>
      </c>
      <c r="M1535" s="3">
        <v>33.81</v>
      </c>
      <c r="N1535" s="3">
        <v>79.99</v>
      </c>
      <c r="O1535" s="2" t="s">
        <v>212</v>
      </c>
      <c r="P1535" s="2" t="s">
        <v>285</v>
      </c>
      <c r="Q1535" s="2" t="s">
        <v>206</v>
      </c>
      <c r="R1535" s="2" t="s">
        <v>200</v>
      </c>
      <c r="S1535" s="2" t="s">
        <v>8182</v>
      </c>
      <c r="T1535" s="2" t="s">
        <v>378</v>
      </c>
      <c r="U1535" s="2" t="s">
        <v>240</v>
      </c>
      <c r="V1535" s="2" t="s">
        <v>1019</v>
      </c>
      <c r="W1535" s="2" t="s">
        <v>419</v>
      </c>
      <c r="X1535" s="2" t="s">
        <v>241</v>
      </c>
      <c r="Y1535" s="2" t="s">
        <v>261</v>
      </c>
      <c r="Z1535" s="4">
        <v>118</v>
      </c>
      <c r="AA1535" s="4">
        <f>=ROUNDDOWN(98.3333333333333,0)</f>
      </c>
      <c r="AB1535" s="5">
        <v>1.2</v>
      </c>
      <c r="AC1535" s="2" t="s">
        <v>200</v>
      </c>
      <c r="AD1535" s="4"/>
      <c r="AE1535" s="4"/>
      <c r="AF1535" s="6">
        <v>64</v>
      </c>
      <c r="AG1535" s="6"/>
      <c r="AH1535" s="7">
        <v>1</v>
      </c>
      <c r="AI1535" s="4"/>
      <c r="AJ1535" s="4">
        <f>=ROUNDDOWN({0},0)</f>
      </c>
      <c r="AK1535" s="5"/>
      <c r="AL1535" s="2" t="s">
        <v>200</v>
      </c>
      <c r="AM1535" s="4"/>
      <c r="AN1535" s="4"/>
      <c r="AO1535" s="7"/>
      <c r="AP1535" s="4"/>
      <c r="AQ1535" s="8"/>
      <c r="AR1535" s="4"/>
      <c r="AS1535" s="8"/>
      <c r="AT1535" s="7"/>
      <c r="AU1535" s="7"/>
      <c r="AV1535" s="4"/>
      <c r="AW1535" s="8"/>
      <c r="AX1535" s="4"/>
      <c r="AY1535" s="8"/>
      <c r="AZ1535" s="7"/>
      <c r="BA1535" s="7"/>
      <c r="BB1535" s="7"/>
      <c r="BC1535" s="4" t="s">
        <v>200</v>
      </c>
      <c r="BD1535" s="8" t="s">
        <v>200</v>
      </c>
      <c r="BE1535" s="4" t="s">
        <v>200</v>
      </c>
      <c r="BF1535" s="8" t="s">
        <v>200</v>
      </c>
      <c r="BG1535" s="7" t="s">
        <v>200</v>
      </c>
      <c r="BH1535" s="7" t="s">
        <v>200</v>
      </c>
      <c r="BI1535" s="7"/>
      <c r="BJ1535" s="4">
        <v>6</v>
      </c>
      <c r="BK1535" s="8">
        <v>188.77</v>
      </c>
      <c r="BL1535" s="2" t="s">
        <v>8183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8184</v>
      </c>
      <c r="BV1535" s="2" t="s">
        <v>200</v>
      </c>
      <c r="BW1535" s="2" t="s">
        <v>200</v>
      </c>
      <c r="BX1535" s="2" t="s">
        <v>289</v>
      </c>
      <c r="BY1535" s="2" t="s">
        <v>247</v>
      </c>
      <c r="BZ1535" s="2" t="s">
        <v>212</v>
      </c>
      <c r="CA1535" s="2" t="s">
        <v>265</v>
      </c>
      <c r="CB1535" s="2" t="s">
        <v>6497</v>
      </c>
      <c r="CC1535" s="2" t="s">
        <v>213</v>
      </c>
      <c r="CD1535" s="2" t="s">
        <v>200</v>
      </c>
      <c r="CE1535" s="4">
        <v>118</v>
      </c>
      <c r="CF1535" s="4"/>
      <c r="CG1535" s="4"/>
      <c r="CH1535" s="4"/>
      <c r="CI1535" s="4"/>
      <c r="CJ1535" s="4"/>
      <c r="CK1535" s="4"/>
      <c r="CL1535" s="4"/>
      <c r="CM1535" s="4"/>
      <c r="CN1535" s="4"/>
      <c r="CO1535" s="4"/>
      <c r="CP1535" s="4"/>
      <c r="CQ1535" s="4"/>
      <c r="CR1535" s="4"/>
      <c r="CS1535" s="4"/>
      <c r="CT1535" s="4"/>
      <c r="CU1535" s="4"/>
      <c r="CV1535" s="4"/>
      <c r="CW1535" s="4"/>
      <c r="CX1535" s="4"/>
      <c r="CY1535" s="4"/>
      <c r="CZ1535" s="4"/>
      <c r="DA1535" s="4"/>
      <c r="DB1535" s="4"/>
      <c r="DC1535" s="4"/>
      <c r="DD1535" s="4"/>
      <c r="DE1535" s="4"/>
      <c r="DF1535" s="4"/>
      <c r="DG1535" s="4"/>
      <c r="DH1535" s="4"/>
      <c r="DI1535" s="4"/>
      <c r="DJ1535" s="4"/>
      <c r="DK1535" s="4"/>
      <c r="DL1535" s="4"/>
      <c r="DM1535" s="4"/>
      <c r="DN1535" s="4"/>
      <c r="DO1535" s="4"/>
      <c r="DP1535" s="4"/>
      <c r="DQ1535" s="4"/>
      <c r="DR1535" s="4"/>
      <c r="DS1535" s="4"/>
      <c r="DT1535" s="4"/>
      <c r="DU1535" s="4"/>
      <c r="DV1535" s="4"/>
      <c r="DW1535" s="4"/>
      <c r="DX1535" s="4"/>
      <c r="DY1535" s="4"/>
      <c r="DZ1535" s="4"/>
      <c r="EA1535" s="4"/>
      <c r="EB1535" s="4"/>
      <c r="EC1535" s="4"/>
      <c r="ED1535" s="4"/>
      <c r="EE1535" s="4"/>
      <c r="EF1535" s="4"/>
      <c r="EG1535" s="4"/>
      <c r="EH1535" s="4"/>
      <c r="EI1535" s="4"/>
      <c r="EJ1535" s="4"/>
      <c r="EK1535" s="4"/>
      <c r="EL1535" s="4"/>
      <c r="EM1535" s="4"/>
      <c r="EN1535" s="4"/>
      <c r="EO1535" s="4"/>
      <c r="EP1535" s="4"/>
      <c r="EQ1535" s="4"/>
      <c r="ER1535" s="4"/>
      <c r="ES1535" s="4"/>
      <c r="ET1535" s="4"/>
      <c r="EU1535" s="4"/>
      <c r="EV1535" s="4"/>
      <c r="EW1535" s="4"/>
      <c r="EX1535" s="4"/>
      <c r="EY1535" s="4"/>
      <c r="EZ1535" s="4"/>
      <c r="FA1535" s="4"/>
      <c r="FB1535" s="4"/>
      <c r="FC1535" s="4"/>
      <c r="FD1535" s="4"/>
      <c r="FE1535" s="4"/>
      <c r="FF1535" s="4"/>
      <c r="FG1535" s="4"/>
      <c r="FH1535" s="4"/>
      <c r="FI1535" s="4"/>
      <c r="FJ1535" s="4"/>
      <c r="FK1535" s="4"/>
      <c r="FL1535" s="4"/>
      <c r="FM1535" s="4"/>
      <c r="FN1535" s="4"/>
      <c r="FO1535" s="4"/>
      <c r="FP1535" s="4"/>
      <c r="FQ1535" s="4"/>
      <c r="FR1535" s="4"/>
      <c r="FS1535" s="4"/>
      <c r="FT1535" s="4"/>
      <c r="FU1535" s="4"/>
      <c r="FV1535" s="4"/>
      <c r="FW1535" s="4"/>
      <c r="FX1535" s="4"/>
      <c r="FY1535" s="4"/>
      <c r="FZ1535" s="4"/>
      <c r="GA1535" s="4"/>
      <c r="GB1535" s="4"/>
      <c r="GC1535" s="4"/>
      <c r="GD1535" s="4"/>
      <c r="GE1535" s="4"/>
      <c r="GF1535" s="4"/>
      <c r="GG1535" s="4"/>
      <c r="GH1535" s="4"/>
    </row>
    <row r="1536">
      <c r="A1536" s="2" t="s">
        <v>8185</v>
      </c>
      <c r="B1536" s="2" t="s">
        <v>903</v>
      </c>
      <c r="C1536" s="2" t="s">
        <v>745</v>
      </c>
      <c r="D1536" s="2" t="s">
        <v>918</v>
      </c>
      <c r="E1536" s="2" t="s">
        <v>919</v>
      </c>
      <c r="F1536" s="2" t="s">
        <v>5936</v>
      </c>
      <c r="G1536" s="2" t="s">
        <v>5936</v>
      </c>
      <c r="H1536" s="2" t="s">
        <v>5936</v>
      </c>
      <c r="I1536" s="2" t="s">
        <v>8186</v>
      </c>
      <c r="J1536" s="2" t="s">
        <v>612</v>
      </c>
      <c r="K1536" s="2" t="s">
        <v>223</v>
      </c>
      <c r="L1536" s="3">
        <v>52.8</v>
      </c>
      <c r="M1536" s="3">
        <v>55.44</v>
      </c>
      <c r="N1536" s="3">
        <v>109.99</v>
      </c>
      <c r="O1536" s="2" t="s">
        <v>417</v>
      </c>
      <c r="P1536" s="2" t="s">
        <v>285</v>
      </c>
      <c r="Q1536" s="2" t="s">
        <v>206</v>
      </c>
      <c r="R1536" s="2" t="s">
        <v>200</v>
      </c>
      <c r="S1536" s="2" t="s">
        <v>8187</v>
      </c>
      <c r="T1536" s="2" t="s">
        <v>200</v>
      </c>
      <c r="U1536" s="2" t="s">
        <v>454</v>
      </c>
      <c r="V1536" s="2" t="s">
        <v>2826</v>
      </c>
      <c r="W1536" s="2" t="s">
        <v>712</v>
      </c>
      <c r="X1536" s="2" t="s">
        <v>241</v>
      </c>
      <c r="Y1536" s="2" t="s">
        <v>8188</v>
      </c>
      <c r="Z1536" s="4">
        <v>128</v>
      </c>
      <c r="AA1536" s="4">
        <f>=ROUNDDOWN(91.4285714285714,0)</f>
      </c>
      <c r="AB1536" s="5">
        <v>1.4</v>
      </c>
      <c r="AC1536" s="2" t="s">
        <v>200</v>
      </c>
      <c r="AD1536" s="4"/>
      <c r="AE1536" s="4"/>
      <c r="AF1536" s="6">
        <v>67</v>
      </c>
      <c r="AG1536" s="6"/>
      <c r="AH1536" s="7">
        <v>1</v>
      </c>
      <c r="AI1536" s="4"/>
      <c r="AJ1536" s="4">
        <f>=ROUNDDOWN({0},0)</f>
      </c>
      <c r="AK1536" s="5"/>
      <c r="AL1536" s="2" t="s">
        <v>200</v>
      </c>
      <c r="AM1536" s="4"/>
      <c r="AN1536" s="4"/>
      <c r="AO1536" s="7"/>
      <c r="AP1536" s="4"/>
      <c r="AQ1536" s="8"/>
      <c r="AR1536" s="4"/>
      <c r="AS1536" s="8"/>
      <c r="AT1536" s="7"/>
      <c r="AU1536" s="7"/>
      <c r="AV1536" s="4" t="s">
        <v>200</v>
      </c>
      <c r="AW1536" s="8" t="s">
        <v>200</v>
      </c>
      <c r="AX1536" s="4" t="s">
        <v>200</v>
      </c>
      <c r="AY1536" s="8" t="s">
        <v>200</v>
      </c>
      <c r="AZ1536" s="7" t="s">
        <v>200</v>
      </c>
      <c r="BA1536" s="7" t="s">
        <v>200</v>
      </c>
      <c r="BB1536" s="7"/>
      <c r="BC1536" s="4" t="s">
        <v>200</v>
      </c>
      <c r="BD1536" s="8" t="s">
        <v>200</v>
      </c>
      <c r="BE1536" s="4" t="s">
        <v>200</v>
      </c>
      <c r="BF1536" s="8" t="s">
        <v>200</v>
      </c>
      <c r="BG1536" s="7" t="s">
        <v>200</v>
      </c>
      <c r="BH1536" s="7" t="s">
        <v>200</v>
      </c>
      <c r="BI1536" s="7"/>
      <c r="BJ1536" s="4">
        <v>3</v>
      </c>
      <c r="BK1536" s="8">
        <v>116.71</v>
      </c>
      <c r="BL1536" s="2" t="s">
        <v>714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8189</v>
      </c>
      <c r="BV1536" s="2" t="s">
        <v>200</v>
      </c>
      <c r="BW1536" s="2" t="s">
        <v>200</v>
      </c>
      <c r="BX1536" s="2" t="s">
        <v>289</v>
      </c>
      <c r="BY1536" s="2" t="s">
        <v>247</v>
      </c>
      <c r="BZ1536" s="2" t="s">
        <v>212</v>
      </c>
      <c r="CA1536" s="2" t="s">
        <v>4670</v>
      </c>
      <c r="CB1536" s="2" t="s">
        <v>8190</v>
      </c>
      <c r="CC1536" s="2" t="s">
        <v>213</v>
      </c>
      <c r="CD1536" s="2" t="s">
        <v>200</v>
      </c>
      <c r="CE1536" s="4">
        <v>128</v>
      </c>
      <c r="CF1536" s="4"/>
      <c r="CG1536" s="4"/>
      <c r="CH1536" s="4"/>
      <c r="CI1536" s="4"/>
      <c r="CJ1536" s="4"/>
      <c r="CK1536" s="4"/>
      <c r="CL1536" s="4"/>
      <c r="CM1536" s="4"/>
      <c r="CN1536" s="4"/>
      <c r="CO1536" s="4"/>
      <c r="CP1536" s="4"/>
      <c r="CQ1536" s="4"/>
      <c r="CR1536" s="4"/>
      <c r="CS1536" s="4"/>
      <c r="CT1536" s="4"/>
      <c r="CU1536" s="4"/>
      <c r="CV1536" s="4"/>
      <c r="CW1536" s="4"/>
      <c r="CX1536" s="4"/>
      <c r="CY1536" s="4"/>
      <c r="CZ1536" s="4"/>
      <c r="DA1536" s="4"/>
      <c r="DB1536" s="4"/>
      <c r="DC1536" s="4"/>
      <c r="DD1536" s="4"/>
      <c r="DE1536" s="4"/>
      <c r="DF1536" s="4"/>
      <c r="DG1536" s="4"/>
      <c r="DH1536" s="4"/>
      <c r="DI1536" s="4"/>
      <c r="DJ1536" s="4"/>
      <c r="DK1536" s="4"/>
      <c r="DL1536" s="4"/>
      <c r="DM1536" s="4"/>
      <c r="DN1536" s="4"/>
      <c r="DO1536" s="4"/>
      <c r="DP1536" s="4"/>
      <c r="DQ1536" s="4"/>
      <c r="DR1536" s="4"/>
      <c r="DS1536" s="4"/>
      <c r="DT1536" s="4"/>
      <c r="DU1536" s="4"/>
      <c r="DV1536" s="4"/>
      <c r="DW1536" s="4"/>
      <c r="DX1536" s="4"/>
      <c r="DY1536" s="4"/>
      <c r="DZ1536" s="4"/>
      <c r="EA1536" s="4"/>
      <c r="EB1536" s="4"/>
      <c r="EC1536" s="4"/>
      <c r="ED1536" s="4"/>
      <c r="EE1536" s="4"/>
      <c r="EF1536" s="4"/>
      <c r="EG1536" s="4"/>
      <c r="EH1536" s="4"/>
      <c r="EI1536" s="4"/>
      <c r="EJ1536" s="4"/>
      <c r="EK1536" s="4"/>
      <c r="EL1536" s="4"/>
      <c r="EM1536" s="4"/>
      <c r="EN1536" s="4"/>
      <c r="EO1536" s="4"/>
      <c r="EP1536" s="4"/>
      <c r="EQ1536" s="4"/>
      <c r="ER1536" s="4"/>
      <c r="ES1536" s="4"/>
      <c r="ET1536" s="4"/>
      <c r="EU1536" s="4"/>
      <c r="EV1536" s="4"/>
      <c r="EW1536" s="4"/>
      <c r="EX1536" s="4"/>
      <c r="EY1536" s="4"/>
      <c r="EZ1536" s="4"/>
      <c r="FA1536" s="4"/>
      <c r="FB1536" s="4"/>
      <c r="FC1536" s="4"/>
      <c r="FD1536" s="4"/>
      <c r="FE1536" s="4"/>
      <c r="FF1536" s="4"/>
      <c r="FG1536" s="4"/>
      <c r="FH1536" s="4"/>
      <c r="FI1536" s="4"/>
      <c r="FJ1536" s="4"/>
      <c r="FK1536" s="4"/>
      <c r="FL1536" s="4"/>
      <c r="FM1536" s="4"/>
      <c r="FN1536" s="4"/>
      <c r="FO1536" s="4"/>
      <c r="FP1536" s="4"/>
      <c r="FQ1536" s="4"/>
      <c r="FR1536" s="4"/>
      <c r="FS1536" s="4"/>
      <c r="FT1536" s="4"/>
      <c r="FU1536" s="4"/>
      <c r="FV1536" s="4"/>
      <c r="FW1536" s="4"/>
      <c r="FX1536" s="4"/>
      <c r="FY1536" s="4"/>
      <c r="FZ1536" s="4"/>
      <c r="GA1536" s="4"/>
      <c r="GB1536" s="4"/>
      <c r="GC1536" s="4"/>
      <c r="GD1536" s="4"/>
      <c r="GE1536" s="4"/>
      <c r="GF1536" s="4"/>
      <c r="GG1536" s="4"/>
      <c r="GH1536" s="4"/>
    </row>
    <row r="1537">
      <c r="A1537" s="2" t="s">
        <v>8191</v>
      </c>
      <c r="B1537" s="2" t="s">
        <v>903</v>
      </c>
      <c r="C1537" s="2" t="s">
        <v>745</v>
      </c>
      <c r="D1537" s="2" t="s">
        <v>608</v>
      </c>
      <c r="E1537" s="2" t="s">
        <v>1324</v>
      </c>
      <c r="F1537" s="2" t="s">
        <v>5936</v>
      </c>
      <c r="G1537" s="2" t="s">
        <v>5936</v>
      </c>
      <c r="H1537" s="2" t="s">
        <v>5936</v>
      </c>
      <c r="I1537" s="2" t="s">
        <v>8192</v>
      </c>
      <c r="J1537" s="2" t="s">
        <v>924</v>
      </c>
      <c r="K1537" s="2" t="s">
        <v>223</v>
      </c>
      <c r="L1537" s="3">
        <v>76.8</v>
      </c>
      <c r="M1537" s="3">
        <v>80.64</v>
      </c>
      <c r="N1537" s="3">
        <v>159.99</v>
      </c>
      <c r="O1537" s="2" t="s">
        <v>417</v>
      </c>
      <c r="P1537" s="2" t="s">
        <v>285</v>
      </c>
      <c r="Q1537" s="2" t="s">
        <v>206</v>
      </c>
      <c r="R1537" s="2" t="s">
        <v>200</v>
      </c>
      <c r="S1537" s="2" t="s">
        <v>8187</v>
      </c>
      <c r="T1537" s="2" t="s">
        <v>200</v>
      </c>
      <c r="U1537" s="2" t="s">
        <v>454</v>
      </c>
      <c r="V1537" s="2" t="s">
        <v>2826</v>
      </c>
      <c r="W1537" s="2" t="s">
        <v>712</v>
      </c>
      <c r="X1537" s="2" t="s">
        <v>241</v>
      </c>
      <c r="Y1537" s="2" t="s">
        <v>8188</v>
      </c>
      <c r="Z1537" s="4">
        <v>478</v>
      </c>
      <c r="AA1537" s="4">
        <f>=ROUNDDOWN(159.333333333333,0)</f>
      </c>
      <c r="AB1537" s="5">
        <v>3</v>
      </c>
      <c r="AC1537" s="2" t="s">
        <v>200</v>
      </c>
      <c r="AD1537" s="4"/>
      <c r="AE1537" s="4"/>
      <c r="AF1537" s="6">
        <v>67</v>
      </c>
      <c r="AG1537" s="6"/>
      <c r="AH1537" s="7">
        <v>1</v>
      </c>
      <c r="AI1537" s="4"/>
      <c r="AJ1537" s="4">
        <f>=ROUNDDOWN({0},0)</f>
      </c>
      <c r="AK1537" s="5"/>
      <c r="AL1537" s="2" t="s">
        <v>200</v>
      </c>
      <c r="AM1537" s="4"/>
      <c r="AN1537" s="4"/>
      <c r="AO1537" s="7"/>
      <c r="AP1537" s="4"/>
      <c r="AQ1537" s="8"/>
      <c r="AR1537" s="4"/>
      <c r="AS1537" s="8"/>
      <c r="AT1537" s="7"/>
      <c r="AU1537" s="7"/>
      <c r="AV1537" s="4" t="s">
        <v>200</v>
      </c>
      <c r="AW1537" s="8" t="s">
        <v>200</v>
      </c>
      <c r="AX1537" s="4" t="s">
        <v>200</v>
      </c>
      <c r="AY1537" s="8" t="s">
        <v>200</v>
      </c>
      <c r="AZ1537" s="7" t="s">
        <v>200</v>
      </c>
      <c r="BA1537" s="7" t="s">
        <v>200</v>
      </c>
      <c r="BB1537" s="7" t="s">
        <v>200</v>
      </c>
      <c r="BC1537" s="4" t="s">
        <v>200</v>
      </c>
      <c r="BD1537" s="8" t="s">
        <v>200</v>
      </c>
      <c r="BE1537" s="4" t="s">
        <v>200</v>
      </c>
      <c r="BF1537" s="8" t="s">
        <v>200</v>
      </c>
      <c r="BG1537" s="7" t="s">
        <v>200</v>
      </c>
      <c r="BH1537" s="7" t="s">
        <v>200</v>
      </c>
      <c r="BI1537" s="7"/>
      <c r="BJ1537" s="4">
        <v>4</v>
      </c>
      <c r="BK1537" s="8">
        <v>247.45</v>
      </c>
      <c r="BL1537" s="2" t="s">
        <v>2858</v>
      </c>
      <c r="BM1537" s="7"/>
      <c r="BN1537" s="7"/>
      <c r="BO1537" s="4"/>
      <c r="BP1537" s="8"/>
      <c r="BQ1537" s="4"/>
      <c r="BR1537" s="8"/>
      <c r="BS1537" s="7"/>
      <c r="BT1537" s="7"/>
      <c r="BU1537" s="2" t="s">
        <v>8193</v>
      </c>
      <c r="BV1537" s="2" t="s">
        <v>200</v>
      </c>
      <c r="BW1537" s="2" t="s">
        <v>200</v>
      </c>
      <c r="BX1537" s="2" t="s">
        <v>289</v>
      </c>
      <c r="BY1537" s="2" t="s">
        <v>247</v>
      </c>
      <c r="BZ1537" s="2" t="s">
        <v>212</v>
      </c>
      <c r="CA1537" s="2" t="s">
        <v>4670</v>
      </c>
      <c r="CB1537" s="2" t="s">
        <v>1976</v>
      </c>
      <c r="CC1537" s="2" t="s">
        <v>213</v>
      </c>
      <c r="CD1537" s="2" t="s">
        <v>200</v>
      </c>
      <c r="CE1537" s="4">
        <v>478</v>
      </c>
      <c r="CF1537" s="4"/>
      <c r="CG1537" s="4"/>
      <c r="CH1537" s="4"/>
      <c r="CI1537" s="4"/>
      <c r="CJ1537" s="4"/>
      <c r="CK1537" s="4"/>
      <c r="CL1537" s="4"/>
      <c r="CM1537" s="4"/>
      <c r="CN1537" s="4"/>
      <c r="CO1537" s="4"/>
      <c r="CP1537" s="4"/>
      <c r="CQ1537" s="4"/>
      <c r="CR1537" s="4"/>
      <c r="CS1537" s="4"/>
      <c r="CT1537" s="4"/>
      <c r="CU1537" s="4"/>
      <c r="CV1537" s="4"/>
      <c r="CW1537" s="4"/>
      <c r="CX1537" s="4"/>
      <c r="CY1537" s="4"/>
      <c r="CZ1537" s="4"/>
      <c r="DA1537" s="4"/>
      <c r="DB1537" s="4"/>
      <c r="DC1537" s="4"/>
      <c r="DD1537" s="4"/>
      <c r="DE1537" s="4"/>
      <c r="DF1537" s="4"/>
      <c r="DG1537" s="4"/>
      <c r="DH1537" s="4"/>
      <c r="DI1537" s="4"/>
      <c r="DJ1537" s="4"/>
      <c r="DK1537" s="4"/>
      <c r="DL1537" s="4"/>
      <c r="DM1537" s="4"/>
      <c r="DN1537" s="4"/>
      <c r="DO1537" s="4"/>
      <c r="DP1537" s="4"/>
      <c r="DQ1537" s="4"/>
      <c r="DR1537" s="4"/>
      <c r="DS1537" s="4"/>
      <c r="DT1537" s="4"/>
      <c r="DU1537" s="4"/>
      <c r="DV1537" s="4"/>
      <c r="DW1537" s="4"/>
      <c r="DX1537" s="4"/>
      <c r="DY1537" s="4"/>
      <c r="DZ1537" s="4"/>
      <c r="EA1537" s="4"/>
      <c r="EB1537" s="4"/>
      <c r="EC1537" s="4"/>
      <c r="ED1537" s="4"/>
      <c r="EE1537" s="4"/>
      <c r="EF1537" s="4"/>
      <c r="EG1537" s="4"/>
      <c r="EH1537" s="4"/>
      <c r="EI1537" s="4"/>
      <c r="EJ1537" s="4"/>
      <c r="EK1537" s="4"/>
      <c r="EL1537" s="4"/>
      <c r="EM1537" s="4"/>
      <c r="EN1537" s="4"/>
      <c r="EO1537" s="4"/>
      <c r="EP1537" s="4"/>
      <c r="EQ1537" s="4"/>
      <c r="ER1537" s="4"/>
      <c r="ES1537" s="4"/>
      <c r="ET1537" s="4"/>
      <c r="EU1537" s="4"/>
      <c r="EV1537" s="4"/>
      <c r="EW1537" s="4"/>
      <c r="EX1537" s="4"/>
      <c r="EY1537" s="4"/>
      <c r="EZ1537" s="4"/>
      <c r="FA1537" s="4"/>
      <c r="FB1537" s="4"/>
      <c r="FC1537" s="4"/>
      <c r="FD1537" s="4"/>
      <c r="FE1537" s="4"/>
      <c r="FF1537" s="4"/>
      <c r="FG1537" s="4"/>
      <c r="FH1537" s="4"/>
      <c r="FI1537" s="4"/>
      <c r="FJ1537" s="4"/>
      <c r="FK1537" s="4"/>
      <c r="FL1537" s="4"/>
      <c r="FM1537" s="4"/>
      <c r="FN1537" s="4"/>
      <c r="FO1537" s="4"/>
      <c r="FP1537" s="4"/>
      <c r="FQ1537" s="4"/>
      <c r="FR1537" s="4"/>
      <c r="FS1537" s="4"/>
      <c r="FT1537" s="4"/>
      <c r="FU1537" s="4"/>
      <c r="FV1537" s="4"/>
      <c r="FW1537" s="4"/>
      <c r="FX1537" s="4"/>
      <c r="FY1537" s="4"/>
      <c r="FZ1537" s="4"/>
      <c r="GA1537" s="4"/>
      <c r="GB1537" s="4"/>
      <c r="GC1537" s="4"/>
      <c r="GD1537" s="4"/>
      <c r="GE1537" s="4"/>
      <c r="GF1537" s="4"/>
      <c r="GG1537" s="4"/>
      <c r="GH1537" s="4"/>
    </row>
    <row r="1538">
      <c r="A1538" s="2" t="s">
        <v>8194</v>
      </c>
      <c r="B1538" s="2" t="s">
        <v>903</v>
      </c>
      <c r="C1538" s="2" t="s">
        <v>745</v>
      </c>
      <c r="D1538" s="2" t="s">
        <v>918</v>
      </c>
      <c r="E1538" s="2" t="s">
        <v>919</v>
      </c>
      <c r="F1538" s="2" t="s">
        <v>5936</v>
      </c>
      <c r="G1538" s="2" t="s">
        <v>5936</v>
      </c>
      <c r="H1538" s="2" t="s">
        <v>5936</v>
      </c>
      <c r="I1538" s="2" t="s">
        <v>8186</v>
      </c>
      <c r="J1538" s="2" t="s">
        <v>924</v>
      </c>
      <c r="K1538" s="2" t="s">
        <v>223</v>
      </c>
      <c r="L1538" s="3">
        <v>67.2</v>
      </c>
      <c r="M1538" s="3">
        <v>70.56</v>
      </c>
      <c r="N1538" s="3">
        <v>139.99</v>
      </c>
      <c r="O1538" s="2" t="s">
        <v>417</v>
      </c>
      <c r="P1538" s="2" t="s">
        <v>285</v>
      </c>
      <c r="Q1538" s="2" t="s">
        <v>206</v>
      </c>
      <c r="R1538" s="2" t="s">
        <v>200</v>
      </c>
      <c r="S1538" s="2" t="s">
        <v>8187</v>
      </c>
      <c r="T1538" s="2" t="s">
        <v>200</v>
      </c>
      <c r="U1538" s="2" t="s">
        <v>454</v>
      </c>
      <c r="V1538" s="2" t="s">
        <v>2826</v>
      </c>
      <c r="W1538" s="2" t="s">
        <v>712</v>
      </c>
      <c r="X1538" s="2" t="s">
        <v>241</v>
      </c>
      <c r="Y1538" s="2" t="s">
        <v>8188</v>
      </c>
      <c r="Z1538" s="4">
        <v>364</v>
      </c>
      <c r="AA1538" s="4">
        <f>=ROUNDDOWN(364,0)</f>
      </c>
      <c r="AB1538" s="5">
        <v>1</v>
      </c>
      <c r="AC1538" s="2" t="s">
        <v>200</v>
      </c>
      <c r="AD1538" s="4"/>
      <c r="AE1538" s="4"/>
      <c r="AF1538" s="6">
        <v>67</v>
      </c>
      <c r="AG1538" s="6"/>
      <c r="AH1538" s="7">
        <v>1</v>
      </c>
      <c r="AI1538" s="4"/>
      <c r="AJ1538" s="4">
        <f>=ROUNDDOWN({0},0)</f>
      </c>
      <c r="AK1538" s="5"/>
      <c r="AL1538" s="2" t="s">
        <v>200</v>
      </c>
      <c r="AM1538" s="4"/>
      <c r="AN1538" s="4"/>
      <c r="AO1538" s="7"/>
      <c r="AP1538" s="4"/>
      <c r="AQ1538" s="8"/>
      <c r="AR1538" s="4"/>
      <c r="AS1538" s="8"/>
      <c r="AT1538" s="7"/>
      <c r="AU1538" s="7"/>
      <c r="AV1538" s="4" t="s">
        <v>200</v>
      </c>
      <c r="AW1538" s="8" t="s">
        <v>200</v>
      </c>
      <c r="AX1538" s="4" t="s">
        <v>200</v>
      </c>
      <c r="AY1538" s="8" t="s">
        <v>200</v>
      </c>
      <c r="AZ1538" s="7" t="s">
        <v>200</v>
      </c>
      <c r="BA1538" s="7" t="s">
        <v>200</v>
      </c>
      <c r="BB1538" s="7" t="s">
        <v>200</v>
      </c>
      <c r="BC1538" s="4" t="s">
        <v>200</v>
      </c>
      <c r="BD1538" s="8" t="s">
        <v>200</v>
      </c>
      <c r="BE1538" s="4" t="s">
        <v>200</v>
      </c>
      <c r="BF1538" s="8" t="s">
        <v>200</v>
      </c>
      <c r="BG1538" s="7" t="s">
        <v>200</v>
      </c>
      <c r="BH1538" s="7" t="s">
        <v>200</v>
      </c>
      <c r="BI1538" s="7"/>
      <c r="BJ1538" s="4">
        <v>1</v>
      </c>
      <c r="BK1538" s="8">
        <v>76.2</v>
      </c>
      <c r="BL1538" s="2" t="s">
        <v>5541</v>
      </c>
      <c r="BM1538" s="7"/>
      <c r="BN1538" s="7"/>
      <c r="BO1538" s="4"/>
      <c r="BP1538" s="8"/>
      <c r="BQ1538" s="4"/>
      <c r="BR1538" s="8"/>
      <c r="BS1538" s="7"/>
      <c r="BT1538" s="7"/>
      <c r="BU1538" s="2" t="s">
        <v>8195</v>
      </c>
      <c r="BV1538" s="2" t="s">
        <v>200</v>
      </c>
      <c r="BW1538" s="2" t="s">
        <v>200</v>
      </c>
      <c r="BX1538" s="2" t="s">
        <v>289</v>
      </c>
      <c r="BY1538" s="2" t="s">
        <v>247</v>
      </c>
      <c r="BZ1538" s="2" t="s">
        <v>212</v>
      </c>
      <c r="CA1538" s="2" t="s">
        <v>4670</v>
      </c>
      <c r="CB1538" s="2" t="s">
        <v>8196</v>
      </c>
      <c r="CC1538" s="2" t="s">
        <v>213</v>
      </c>
      <c r="CD1538" s="2" t="s">
        <v>200</v>
      </c>
      <c r="CE1538" s="4">
        <v>364</v>
      </c>
      <c r="CF1538" s="4"/>
      <c r="CG1538" s="4"/>
      <c r="CH1538" s="4"/>
      <c r="CI1538" s="4"/>
      <c r="CJ1538" s="4"/>
      <c r="CK1538" s="4"/>
      <c r="CL1538" s="4"/>
      <c r="CM1538" s="4"/>
      <c r="CN1538" s="4"/>
      <c r="CO1538" s="4"/>
      <c r="CP1538" s="4"/>
      <c r="CQ1538" s="4"/>
      <c r="CR1538" s="4"/>
      <c r="CS1538" s="4"/>
      <c r="CT1538" s="4"/>
      <c r="CU1538" s="4"/>
      <c r="CV1538" s="4"/>
      <c r="CW1538" s="4"/>
      <c r="CX1538" s="4"/>
      <c r="CY1538" s="4"/>
      <c r="CZ1538" s="4"/>
      <c r="DA1538" s="4"/>
      <c r="DB1538" s="4"/>
      <c r="DC1538" s="4"/>
      <c r="DD1538" s="4"/>
      <c r="DE1538" s="4"/>
      <c r="DF1538" s="4"/>
      <c r="DG1538" s="4"/>
      <c r="DH1538" s="4"/>
      <c r="DI1538" s="4"/>
      <c r="DJ1538" s="4"/>
      <c r="DK1538" s="4"/>
      <c r="DL1538" s="4"/>
      <c r="DM1538" s="4"/>
      <c r="DN1538" s="4"/>
      <c r="DO1538" s="4"/>
      <c r="DP1538" s="4"/>
      <c r="DQ1538" s="4"/>
      <c r="DR1538" s="4"/>
      <c r="DS1538" s="4"/>
      <c r="DT1538" s="4"/>
      <c r="DU1538" s="4"/>
      <c r="DV1538" s="4"/>
      <c r="DW1538" s="4"/>
      <c r="DX1538" s="4"/>
      <c r="DY1538" s="4"/>
      <c r="DZ1538" s="4"/>
      <c r="EA1538" s="4"/>
      <c r="EB1538" s="4"/>
      <c r="EC1538" s="4"/>
      <c r="ED1538" s="4"/>
      <c r="EE1538" s="4"/>
      <c r="EF1538" s="4"/>
      <c r="EG1538" s="4"/>
      <c r="EH1538" s="4"/>
      <c r="EI1538" s="4"/>
      <c r="EJ1538" s="4"/>
      <c r="EK1538" s="4"/>
      <c r="EL1538" s="4"/>
      <c r="EM1538" s="4"/>
      <c r="EN1538" s="4"/>
      <c r="EO1538" s="4"/>
      <c r="EP1538" s="4"/>
      <c r="EQ1538" s="4"/>
      <c r="ER1538" s="4"/>
      <c r="ES1538" s="4"/>
      <c r="ET1538" s="4"/>
      <c r="EU1538" s="4"/>
      <c r="EV1538" s="4"/>
      <c r="EW1538" s="4"/>
      <c r="EX1538" s="4"/>
      <c r="EY1538" s="4"/>
      <c r="EZ1538" s="4"/>
      <c r="FA1538" s="4"/>
      <c r="FB1538" s="4"/>
      <c r="FC1538" s="4"/>
      <c r="FD1538" s="4"/>
      <c r="FE1538" s="4"/>
      <c r="FF1538" s="4"/>
      <c r="FG1538" s="4"/>
      <c r="FH1538" s="4"/>
      <c r="FI1538" s="4"/>
      <c r="FJ1538" s="4"/>
      <c r="FK1538" s="4"/>
      <c r="FL1538" s="4"/>
      <c r="FM1538" s="4"/>
      <c r="FN1538" s="4"/>
      <c r="FO1538" s="4"/>
      <c r="FP1538" s="4"/>
      <c r="FQ1538" s="4"/>
      <c r="FR1538" s="4"/>
      <c r="FS1538" s="4"/>
      <c r="FT1538" s="4"/>
      <c r="FU1538" s="4"/>
      <c r="FV1538" s="4"/>
      <c r="FW1538" s="4"/>
      <c r="FX1538" s="4"/>
      <c r="FY1538" s="4"/>
      <c r="FZ1538" s="4"/>
      <c r="GA1538" s="4"/>
      <c r="GB1538" s="4"/>
      <c r="GC1538" s="4"/>
      <c r="GD1538" s="4"/>
      <c r="GE1538" s="4"/>
      <c r="GF1538" s="4"/>
      <c r="GG1538" s="4"/>
      <c r="GH1538" s="4"/>
    </row>
    <row r="1539">
      <c r="A1539" s="2" t="s">
        <v>8197</v>
      </c>
      <c r="B1539" s="2" t="s">
        <v>903</v>
      </c>
      <c r="C1539" s="2" t="s">
        <v>231</v>
      </c>
      <c r="D1539" s="2" t="s">
        <v>608</v>
      </c>
      <c r="E1539" s="2" t="s">
        <v>609</v>
      </c>
      <c r="F1539" s="2" t="s">
        <v>8198</v>
      </c>
      <c r="G1539" s="2" t="s">
        <v>8199</v>
      </c>
      <c r="H1539" s="2" t="s">
        <v>8200</v>
      </c>
      <c r="I1539" s="2" t="s">
        <v>8201</v>
      </c>
      <c r="J1539" s="2" t="s">
        <v>236</v>
      </c>
      <c r="K1539" s="2" t="s">
        <v>8202</v>
      </c>
      <c r="L1539" s="3">
        <v>93.1</v>
      </c>
      <c r="M1539" s="3">
        <v>97.75</v>
      </c>
      <c r="N1539" s="3">
        <v>189.99</v>
      </c>
      <c r="O1539" s="2" t="s">
        <v>212</v>
      </c>
      <c r="P1539" s="2" t="s">
        <v>285</v>
      </c>
      <c r="Q1539" s="2" t="s">
        <v>206</v>
      </c>
      <c r="R1539" s="2" t="s">
        <v>200</v>
      </c>
      <c r="S1539" s="2" t="s">
        <v>8203</v>
      </c>
      <c r="T1539" s="2" t="s">
        <v>200</v>
      </c>
      <c r="U1539" s="2" t="s">
        <v>909</v>
      </c>
      <c r="V1539" s="2" t="s">
        <v>940</v>
      </c>
      <c r="W1539" s="2" t="s">
        <v>1271</v>
      </c>
      <c r="X1539" s="2" t="s">
        <v>3722</v>
      </c>
      <c r="Y1539" s="2" t="s">
        <v>261</v>
      </c>
      <c r="Z1539" s="4">
        <v>33</v>
      </c>
      <c r="AA1539" s="4">
        <f>=ROUNDDOWN(11,0)</f>
      </c>
      <c r="AB1539" s="5">
        <v>3</v>
      </c>
      <c r="AC1539" s="2" t="s">
        <v>200</v>
      </c>
      <c r="AD1539" s="4"/>
      <c r="AE1539" s="4"/>
      <c r="AF1539" s="6">
        <v>65</v>
      </c>
      <c r="AG1539" s="6"/>
      <c r="AH1539" s="7">
        <v>1</v>
      </c>
      <c r="AI1539" s="4"/>
      <c r="AJ1539" s="4">
        <f>=ROUNDDOWN({0},0)</f>
      </c>
      <c r="AK1539" s="5"/>
      <c r="AL1539" s="2" t="s">
        <v>200</v>
      </c>
      <c r="AM1539" s="4"/>
      <c r="AN1539" s="4"/>
      <c r="AO1539" s="7"/>
      <c r="AP1539" s="4"/>
      <c r="AQ1539" s="8"/>
      <c r="AR1539" s="4"/>
      <c r="AS1539" s="8"/>
      <c r="AT1539" s="7"/>
      <c r="AU1539" s="7"/>
      <c r="AV1539" s="4"/>
      <c r="AW1539" s="8"/>
      <c r="AX1539" s="4"/>
      <c r="AY1539" s="8"/>
      <c r="AZ1539" s="7"/>
      <c r="BA1539" s="7"/>
      <c r="BB1539" s="7"/>
      <c r="BC1539" s="4"/>
      <c r="BD1539" s="8"/>
      <c r="BE1539" s="4"/>
      <c r="BF1539" s="8"/>
      <c r="BG1539" s="7"/>
      <c r="BH1539" s="7"/>
      <c r="BI1539" s="7"/>
      <c r="BJ1539" s="4">
        <v>12</v>
      </c>
      <c r="BK1539" s="8">
        <v>1123.95</v>
      </c>
      <c r="BL1539" s="2" t="s">
        <v>8204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8205</v>
      </c>
      <c r="BV1539" s="2" t="s">
        <v>200</v>
      </c>
      <c r="BW1539" s="2" t="s">
        <v>200</v>
      </c>
      <c r="BX1539" s="2" t="s">
        <v>289</v>
      </c>
      <c r="BY1539" s="2" t="s">
        <v>247</v>
      </c>
      <c r="BZ1539" s="2" t="s">
        <v>212</v>
      </c>
      <c r="CA1539" s="2" t="s">
        <v>6101</v>
      </c>
      <c r="CB1539" s="2" t="s">
        <v>8206</v>
      </c>
      <c r="CC1539" s="2" t="s">
        <v>213</v>
      </c>
      <c r="CD1539" s="2" t="s">
        <v>200</v>
      </c>
      <c r="CE1539" s="4">
        <v>33</v>
      </c>
      <c r="CF1539" s="4"/>
      <c r="CG1539" s="4"/>
      <c r="CH1539" s="4"/>
      <c r="CI1539" s="4"/>
      <c r="CJ1539" s="4"/>
      <c r="CK1539" s="4"/>
      <c r="CL1539" s="4"/>
      <c r="CM1539" s="4"/>
      <c r="CN1539" s="4"/>
      <c r="CO1539" s="4"/>
      <c r="CP1539" s="4"/>
      <c r="CQ1539" s="4"/>
      <c r="CR1539" s="4"/>
      <c r="CS1539" s="4"/>
      <c r="CT1539" s="4"/>
      <c r="CU1539" s="4"/>
      <c r="CV1539" s="4"/>
      <c r="CW1539" s="4"/>
      <c r="CX1539" s="4"/>
      <c r="CY1539" s="4"/>
      <c r="CZ1539" s="4"/>
      <c r="DA1539" s="4"/>
      <c r="DB1539" s="4"/>
      <c r="DC1539" s="4"/>
      <c r="DD1539" s="4"/>
      <c r="DE1539" s="4"/>
      <c r="DF1539" s="4"/>
      <c r="DG1539" s="4"/>
      <c r="DH1539" s="4"/>
      <c r="DI1539" s="4"/>
      <c r="DJ1539" s="4"/>
      <c r="DK1539" s="4"/>
      <c r="DL1539" s="4"/>
      <c r="DM1539" s="4"/>
      <c r="DN1539" s="4"/>
      <c r="DO1539" s="4"/>
      <c r="DP1539" s="4"/>
      <c r="DQ1539" s="4"/>
      <c r="DR1539" s="4"/>
      <c r="DS1539" s="4"/>
      <c r="DT1539" s="4"/>
      <c r="DU1539" s="4"/>
      <c r="DV1539" s="4"/>
      <c r="DW1539" s="4"/>
      <c r="DX1539" s="4"/>
      <c r="DY1539" s="4"/>
      <c r="DZ1539" s="4"/>
      <c r="EA1539" s="4"/>
      <c r="EB1539" s="4"/>
      <c r="EC1539" s="4"/>
      <c r="ED1539" s="4"/>
      <c r="EE1539" s="4"/>
      <c r="EF1539" s="4"/>
      <c r="EG1539" s="4"/>
      <c r="EH1539" s="4"/>
      <c r="EI1539" s="4"/>
      <c r="EJ1539" s="4"/>
      <c r="EK1539" s="4"/>
      <c r="EL1539" s="4"/>
      <c r="EM1539" s="4"/>
      <c r="EN1539" s="4"/>
      <c r="EO1539" s="4"/>
      <c r="EP1539" s="4"/>
      <c r="EQ1539" s="4"/>
      <c r="ER1539" s="4"/>
      <c r="ES1539" s="4"/>
      <c r="ET1539" s="4"/>
      <c r="EU1539" s="4"/>
      <c r="EV1539" s="4"/>
      <c r="EW1539" s="4"/>
      <c r="EX1539" s="4"/>
      <c r="EY1539" s="4"/>
      <c r="EZ1539" s="4"/>
      <c r="FA1539" s="4"/>
      <c r="FB1539" s="4"/>
      <c r="FC1539" s="4"/>
      <c r="FD1539" s="4"/>
      <c r="FE1539" s="4"/>
      <c r="FF1539" s="4"/>
      <c r="FG1539" s="4"/>
      <c r="FH1539" s="4"/>
      <c r="FI1539" s="4"/>
      <c r="FJ1539" s="4"/>
      <c r="FK1539" s="4"/>
      <c r="FL1539" s="4"/>
      <c r="FM1539" s="4"/>
      <c r="FN1539" s="4"/>
      <c r="FO1539" s="4"/>
      <c r="FP1539" s="4"/>
      <c r="FQ1539" s="4"/>
      <c r="FR1539" s="4"/>
      <c r="FS1539" s="4"/>
      <c r="FT1539" s="4"/>
      <c r="FU1539" s="4"/>
      <c r="FV1539" s="4"/>
      <c r="FW1539" s="4"/>
      <c r="FX1539" s="4"/>
      <c r="FY1539" s="4"/>
      <c r="FZ1539" s="4"/>
      <c r="GA1539" s="4"/>
      <c r="GB1539" s="4"/>
      <c r="GC1539" s="4"/>
      <c r="GD1539" s="4"/>
      <c r="GE1539" s="4"/>
      <c r="GF1539" s="4"/>
      <c r="GG1539" s="4"/>
      <c r="GH1539" s="4"/>
    </row>
    <row r="1540">
      <c r="A1540" s="2" t="s">
        <v>8207</v>
      </c>
      <c r="B1540" s="2" t="s">
        <v>827</v>
      </c>
      <c r="C1540" s="2" t="s">
        <v>231</v>
      </c>
      <c r="D1540" s="2" t="s">
        <v>828</v>
      </c>
      <c r="E1540" s="2" t="s">
        <v>1011</v>
      </c>
      <c r="F1540" s="2" t="s">
        <v>8208</v>
      </c>
      <c r="G1540" s="2" t="s">
        <v>8209</v>
      </c>
      <c r="H1540" s="2" t="s">
        <v>6053</v>
      </c>
      <c r="I1540" s="2" t="s">
        <v>8210</v>
      </c>
      <c r="J1540" s="2" t="s">
        <v>1016</v>
      </c>
      <c r="K1540" s="2" t="s">
        <v>223</v>
      </c>
      <c r="L1540" s="3">
        <v>16.45</v>
      </c>
      <c r="M1540" s="3">
        <v>17.27</v>
      </c>
      <c r="N1540" s="3">
        <v>34.99</v>
      </c>
      <c r="O1540" s="2" t="s">
        <v>212</v>
      </c>
      <c r="P1540" s="2" t="s">
        <v>750</v>
      </c>
      <c r="Q1540" s="2" t="s">
        <v>206</v>
      </c>
      <c r="R1540" s="2" t="s">
        <v>200</v>
      </c>
      <c r="S1540" s="2" t="s">
        <v>8211</v>
      </c>
      <c r="T1540" s="2" t="s">
        <v>200</v>
      </c>
      <c r="U1540" s="2" t="s">
        <v>200</v>
      </c>
      <c r="V1540" s="2" t="s">
        <v>1077</v>
      </c>
      <c r="W1540" s="2" t="s">
        <v>736</v>
      </c>
      <c r="X1540" s="2" t="s">
        <v>1078</v>
      </c>
      <c r="Y1540" s="2" t="s">
        <v>8212</v>
      </c>
      <c r="Z1540" s="4">
        <v>320</v>
      </c>
      <c r="AA1540" s="4">
        <f>=ROUNDDOWN(45.7142857142857,0)</f>
      </c>
      <c r="AB1540" s="5">
        <v>7</v>
      </c>
      <c r="AC1540" s="2" t="s">
        <v>200</v>
      </c>
      <c r="AD1540" s="4"/>
      <c r="AE1540" s="4"/>
      <c r="AF1540" s="6">
        <v>64</v>
      </c>
      <c r="AG1540" s="6"/>
      <c r="AH1540" s="7">
        <v>1</v>
      </c>
      <c r="AI1540" s="4"/>
      <c r="AJ1540" s="4">
        <f>=ROUNDDOWN({0},0)</f>
      </c>
      <c r="AK1540" s="5"/>
      <c r="AL1540" s="2" t="s">
        <v>200</v>
      </c>
      <c r="AM1540" s="4"/>
      <c r="AN1540" s="4"/>
      <c r="AO1540" s="7"/>
      <c r="AP1540" s="4"/>
      <c r="AQ1540" s="8"/>
      <c r="AR1540" s="4"/>
      <c r="AS1540" s="8"/>
      <c r="AT1540" s="7"/>
      <c r="AU1540" s="7"/>
      <c r="AV1540" s="4" t="s">
        <v>200</v>
      </c>
      <c r="AW1540" s="8" t="s">
        <v>200</v>
      </c>
      <c r="AX1540" s="4" t="s">
        <v>200</v>
      </c>
      <c r="AY1540" s="8" t="s">
        <v>200</v>
      </c>
      <c r="AZ1540" s="7" t="s">
        <v>200</v>
      </c>
      <c r="BA1540" s="7" t="s">
        <v>200</v>
      </c>
      <c r="BB1540" s="7"/>
      <c r="BC1540" s="4" t="s">
        <v>200</v>
      </c>
      <c r="BD1540" s="8" t="s">
        <v>200</v>
      </c>
      <c r="BE1540" s="4" t="s">
        <v>200</v>
      </c>
      <c r="BF1540" s="8" t="s">
        <v>200</v>
      </c>
      <c r="BG1540" s="7" t="s">
        <v>200</v>
      </c>
      <c r="BH1540" s="7" t="s">
        <v>200</v>
      </c>
      <c r="BI1540" s="7"/>
      <c r="BJ1540" s="4">
        <v>23</v>
      </c>
      <c r="BK1540" s="8">
        <v>404.35</v>
      </c>
      <c r="BL1540" s="2" t="s">
        <v>8213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8214</v>
      </c>
      <c r="BV1540" s="2" t="s">
        <v>200</v>
      </c>
      <c r="BW1540" s="2" t="s">
        <v>200</v>
      </c>
      <c r="BX1540" s="2" t="s">
        <v>264</v>
      </c>
      <c r="BY1540" s="2" t="s">
        <v>247</v>
      </c>
      <c r="BZ1540" s="2" t="s">
        <v>212</v>
      </c>
      <c r="CA1540" s="2" t="s">
        <v>8215</v>
      </c>
      <c r="CB1540" s="2" t="s">
        <v>8216</v>
      </c>
      <c r="CC1540" s="2" t="s">
        <v>213</v>
      </c>
      <c r="CD1540" s="2" t="s">
        <v>200</v>
      </c>
      <c r="CE1540" s="4">
        <v>320</v>
      </c>
      <c r="CF1540" s="4"/>
      <c r="CG1540" s="4"/>
      <c r="CH1540" s="4"/>
      <c r="CI1540" s="4"/>
      <c r="CJ1540" s="4"/>
      <c r="CK1540" s="4"/>
      <c r="CL1540" s="4"/>
      <c r="CM1540" s="4"/>
      <c r="CN1540" s="4"/>
      <c r="CO1540" s="4"/>
      <c r="CP1540" s="4"/>
      <c r="CQ1540" s="4"/>
      <c r="CR1540" s="4"/>
      <c r="CS1540" s="4"/>
      <c r="CT1540" s="4"/>
      <c r="CU1540" s="4"/>
      <c r="CV1540" s="4"/>
      <c r="CW1540" s="4"/>
      <c r="CX1540" s="4"/>
      <c r="CY1540" s="4"/>
      <c r="CZ1540" s="4"/>
      <c r="DA1540" s="4"/>
      <c r="DB1540" s="4"/>
      <c r="DC1540" s="4"/>
      <c r="DD1540" s="4"/>
      <c r="DE1540" s="4"/>
      <c r="DF1540" s="4"/>
      <c r="DG1540" s="4"/>
      <c r="DH1540" s="4"/>
      <c r="DI1540" s="4"/>
      <c r="DJ1540" s="4"/>
      <c r="DK1540" s="4"/>
      <c r="DL1540" s="4"/>
      <c r="DM1540" s="4"/>
      <c r="DN1540" s="4"/>
      <c r="DO1540" s="4"/>
      <c r="DP1540" s="4"/>
      <c r="DQ1540" s="4"/>
      <c r="DR1540" s="4"/>
      <c r="DS1540" s="4"/>
      <c r="DT1540" s="4"/>
      <c r="DU1540" s="4"/>
      <c r="DV1540" s="4"/>
      <c r="DW1540" s="4"/>
      <c r="DX1540" s="4"/>
      <c r="DY1540" s="4"/>
      <c r="DZ1540" s="4"/>
      <c r="EA1540" s="4"/>
      <c r="EB1540" s="4"/>
      <c r="EC1540" s="4"/>
      <c r="ED1540" s="4"/>
      <c r="EE1540" s="4"/>
      <c r="EF1540" s="4"/>
      <c r="EG1540" s="4"/>
      <c r="EH1540" s="4"/>
      <c r="EI1540" s="4"/>
      <c r="EJ1540" s="4"/>
      <c r="EK1540" s="4"/>
      <c r="EL1540" s="4"/>
      <c r="EM1540" s="4"/>
      <c r="EN1540" s="4"/>
      <c r="EO1540" s="4"/>
      <c r="EP1540" s="4"/>
      <c r="EQ1540" s="4"/>
      <c r="ER1540" s="4"/>
      <c r="ES1540" s="4"/>
      <c r="ET1540" s="4"/>
      <c r="EU1540" s="4"/>
      <c r="EV1540" s="4"/>
      <c r="EW1540" s="4"/>
      <c r="EX1540" s="4"/>
      <c r="EY1540" s="4"/>
      <c r="EZ1540" s="4"/>
      <c r="FA1540" s="4"/>
      <c r="FB1540" s="4"/>
      <c r="FC1540" s="4"/>
      <c r="FD1540" s="4"/>
      <c r="FE1540" s="4"/>
      <c r="FF1540" s="4"/>
      <c r="FG1540" s="4"/>
      <c r="FH1540" s="4"/>
      <c r="FI1540" s="4"/>
      <c r="FJ1540" s="4"/>
      <c r="FK1540" s="4"/>
      <c r="FL1540" s="4"/>
      <c r="FM1540" s="4"/>
      <c r="FN1540" s="4"/>
      <c r="FO1540" s="4"/>
      <c r="FP1540" s="4"/>
      <c r="FQ1540" s="4"/>
      <c r="FR1540" s="4"/>
      <c r="FS1540" s="4"/>
      <c r="FT1540" s="4"/>
      <c r="FU1540" s="4"/>
      <c r="FV1540" s="4"/>
      <c r="FW1540" s="4"/>
      <c r="FX1540" s="4"/>
      <c r="FY1540" s="4"/>
      <c r="FZ1540" s="4"/>
      <c r="GA1540" s="4"/>
      <c r="GB1540" s="4"/>
      <c r="GC1540" s="4"/>
      <c r="GD1540" s="4"/>
      <c r="GE1540" s="4"/>
      <c r="GF1540" s="4"/>
      <c r="GG1540" s="4"/>
      <c r="GH1540" s="4"/>
    </row>
    <row r="1541">
      <c r="A1541" s="2" t="s">
        <v>8217</v>
      </c>
      <c r="B1541" s="2" t="s">
        <v>827</v>
      </c>
      <c r="C1541" s="2" t="s">
        <v>231</v>
      </c>
      <c r="D1541" s="2" t="s">
        <v>1084</v>
      </c>
      <c r="E1541" s="2" t="s">
        <v>1085</v>
      </c>
      <c r="F1541" s="2" t="s">
        <v>8208</v>
      </c>
      <c r="G1541" s="2" t="s">
        <v>8209</v>
      </c>
      <c r="H1541" s="2" t="s">
        <v>6053</v>
      </c>
      <c r="I1541" s="2" t="s">
        <v>8218</v>
      </c>
      <c r="J1541" s="2" t="s">
        <v>1087</v>
      </c>
      <c r="K1541" s="2" t="s">
        <v>223</v>
      </c>
      <c r="L1541" s="3">
        <v>11.25</v>
      </c>
      <c r="M1541" s="3">
        <v>11.81</v>
      </c>
      <c r="N1541" s="3">
        <v>24.99</v>
      </c>
      <c r="O1541" s="2" t="s">
        <v>212</v>
      </c>
      <c r="P1541" s="2" t="s">
        <v>750</v>
      </c>
      <c r="Q1541" s="2" t="s">
        <v>206</v>
      </c>
      <c r="R1541" s="2" t="s">
        <v>200</v>
      </c>
      <c r="S1541" s="2" t="s">
        <v>8211</v>
      </c>
      <c r="T1541" s="2" t="s">
        <v>200</v>
      </c>
      <c r="U1541" s="2" t="s">
        <v>200</v>
      </c>
      <c r="V1541" s="2" t="s">
        <v>1077</v>
      </c>
      <c r="W1541" s="2" t="s">
        <v>736</v>
      </c>
      <c r="X1541" s="2" t="s">
        <v>200</v>
      </c>
      <c r="Y1541" s="2" t="s">
        <v>8212</v>
      </c>
      <c r="Z1541" s="4">
        <v>200</v>
      </c>
      <c r="AA1541" s="4">
        <f>=ROUNDDOWN(25,0)</f>
      </c>
      <c r="AB1541" s="5">
        <v>8</v>
      </c>
      <c r="AC1541" s="2" t="s">
        <v>200</v>
      </c>
      <c r="AD1541" s="4"/>
      <c r="AE1541" s="4"/>
      <c r="AF1541" s="6">
        <v>64</v>
      </c>
      <c r="AG1541" s="6"/>
      <c r="AH1541" s="7">
        <v>1</v>
      </c>
      <c r="AI1541" s="4"/>
      <c r="AJ1541" s="4">
        <f>=ROUNDDOWN({0},0)</f>
      </c>
      <c r="AK1541" s="5"/>
      <c r="AL1541" s="2" t="s">
        <v>200</v>
      </c>
      <c r="AM1541" s="4"/>
      <c r="AN1541" s="4"/>
      <c r="AO1541" s="7"/>
      <c r="AP1541" s="4"/>
      <c r="AQ1541" s="8"/>
      <c r="AR1541" s="4"/>
      <c r="AS1541" s="8"/>
      <c r="AT1541" s="7"/>
      <c r="AU1541" s="7"/>
      <c r="AV1541" s="4" t="s">
        <v>200</v>
      </c>
      <c r="AW1541" s="8" t="s">
        <v>200</v>
      </c>
      <c r="AX1541" s="4" t="s">
        <v>200</v>
      </c>
      <c r="AY1541" s="8" t="s">
        <v>200</v>
      </c>
      <c r="AZ1541" s="7" t="s">
        <v>200</v>
      </c>
      <c r="BA1541" s="7" t="s">
        <v>200</v>
      </c>
      <c r="BB1541" s="7"/>
      <c r="BC1541" s="4" t="s">
        <v>200</v>
      </c>
      <c r="BD1541" s="8" t="s">
        <v>200</v>
      </c>
      <c r="BE1541" s="4" t="s">
        <v>200</v>
      </c>
      <c r="BF1541" s="8" t="s">
        <v>200</v>
      </c>
      <c r="BG1541" s="7" t="s">
        <v>200</v>
      </c>
      <c r="BH1541" s="7" t="s">
        <v>200</v>
      </c>
      <c r="BI1541" s="7"/>
      <c r="BJ1541" s="4">
        <v>39</v>
      </c>
      <c r="BK1541" s="8">
        <v>497.81</v>
      </c>
      <c r="BL1541" s="2" t="s">
        <v>8219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8220</v>
      </c>
      <c r="BV1541" s="2" t="s">
        <v>200</v>
      </c>
      <c r="BW1541" s="2" t="s">
        <v>200</v>
      </c>
      <c r="BX1541" s="2" t="s">
        <v>264</v>
      </c>
      <c r="BY1541" s="2" t="s">
        <v>247</v>
      </c>
      <c r="BZ1541" s="2" t="s">
        <v>212</v>
      </c>
      <c r="CA1541" s="2" t="s">
        <v>8215</v>
      </c>
      <c r="CB1541" s="2" t="s">
        <v>8221</v>
      </c>
      <c r="CC1541" s="2" t="s">
        <v>213</v>
      </c>
      <c r="CD1541" s="2" t="s">
        <v>200</v>
      </c>
      <c r="CE1541" s="4">
        <v>200</v>
      </c>
      <c r="CF1541" s="4"/>
      <c r="CG1541" s="4"/>
      <c r="CH1541" s="4"/>
      <c r="CI1541" s="4"/>
      <c r="CJ1541" s="4"/>
      <c r="CK1541" s="4"/>
      <c r="CL1541" s="4"/>
      <c r="CM1541" s="4"/>
      <c r="CN1541" s="4"/>
      <c r="CO1541" s="4"/>
      <c r="CP1541" s="4"/>
      <c r="CQ1541" s="4"/>
      <c r="CR1541" s="4"/>
      <c r="CS1541" s="4"/>
      <c r="CT1541" s="4"/>
      <c r="CU1541" s="4"/>
      <c r="CV1541" s="4"/>
      <c r="CW1541" s="4"/>
      <c r="CX1541" s="4"/>
      <c r="CY1541" s="4"/>
      <c r="CZ1541" s="4"/>
      <c r="DA1541" s="4"/>
      <c r="DB1541" s="4"/>
      <c r="DC1541" s="4"/>
      <c r="DD1541" s="4"/>
      <c r="DE1541" s="4"/>
      <c r="DF1541" s="4"/>
      <c r="DG1541" s="4"/>
      <c r="DH1541" s="4"/>
      <c r="DI1541" s="4"/>
      <c r="DJ1541" s="4"/>
      <c r="DK1541" s="4"/>
      <c r="DL1541" s="4"/>
      <c r="DM1541" s="4"/>
      <c r="DN1541" s="4"/>
      <c r="DO1541" s="4"/>
      <c r="DP1541" s="4"/>
      <c r="DQ1541" s="4"/>
      <c r="DR1541" s="4"/>
      <c r="DS1541" s="4"/>
      <c r="DT1541" s="4"/>
      <c r="DU1541" s="4"/>
      <c r="DV1541" s="4"/>
      <c r="DW1541" s="4"/>
      <c r="DX1541" s="4"/>
      <c r="DY1541" s="4"/>
      <c r="DZ1541" s="4"/>
      <c r="EA1541" s="4"/>
      <c r="EB1541" s="4"/>
      <c r="EC1541" s="4"/>
      <c r="ED1541" s="4"/>
      <c r="EE1541" s="4"/>
      <c r="EF1541" s="4"/>
      <c r="EG1541" s="4"/>
      <c r="EH1541" s="4"/>
      <c r="EI1541" s="4"/>
      <c r="EJ1541" s="4"/>
      <c r="EK1541" s="4"/>
      <c r="EL1541" s="4"/>
      <c r="EM1541" s="4"/>
      <c r="EN1541" s="4"/>
      <c r="EO1541" s="4"/>
      <c r="EP1541" s="4"/>
      <c r="EQ1541" s="4"/>
      <c r="ER1541" s="4"/>
      <c r="ES1541" s="4"/>
      <c r="ET1541" s="4"/>
      <c r="EU1541" s="4"/>
      <c r="EV1541" s="4"/>
      <c r="EW1541" s="4"/>
      <c r="EX1541" s="4"/>
      <c r="EY1541" s="4"/>
      <c r="EZ1541" s="4"/>
      <c r="FA1541" s="4"/>
      <c r="FB1541" s="4"/>
      <c r="FC1541" s="4"/>
      <c r="FD1541" s="4"/>
      <c r="FE1541" s="4"/>
      <c r="FF1541" s="4"/>
      <c r="FG1541" s="4"/>
      <c r="FH1541" s="4"/>
      <c r="FI1541" s="4"/>
      <c r="FJ1541" s="4"/>
      <c r="FK1541" s="4"/>
      <c r="FL1541" s="4"/>
      <c r="FM1541" s="4"/>
      <c r="FN1541" s="4"/>
      <c r="FO1541" s="4"/>
      <c r="FP1541" s="4"/>
      <c r="FQ1541" s="4"/>
      <c r="FR1541" s="4"/>
      <c r="FS1541" s="4"/>
      <c r="FT1541" s="4"/>
      <c r="FU1541" s="4"/>
      <c r="FV1541" s="4"/>
      <c r="FW1541" s="4"/>
      <c r="FX1541" s="4"/>
      <c r="FY1541" s="4"/>
      <c r="FZ1541" s="4"/>
      <c r="GA1541" s="4"/>
      <c r="GB1541" s="4"/>
      <c r="GC1541" s="4"/>
      <c r="GD1541" s="4"/>
      <c r="GE1541" s="4"/>
      <c r="GF1541" s="4"/>
      <c r="GG1541" s="4"/>
      <c r="GH1541" s="4"/>
    </row>
    <row r="1542">
      <c r="A1542" s="2" t="s">
        <v>8222</v>
      </c>
      <c r="B1542" s="2" t="s">
        <v>903</v>
      </c>
      <c r="C1542" s="2" t="s">
        <v>231</v>
      </c>
      <c r="D1542" s="2" t="s">
        <v>608</v>
      </c>
      <c r="E1542" s="2" t="s">
        <v>609</v>
      </c>
      <c r="F1542" s="2" t="s">
        <v>8208</v>
      </c>
      <c r="G1542" s="2" t="s">
        <v>8209</v>
      </c>
      <c r="H1542" s="2" t="s">
        <v>6053</v>
      </c>
      <c r="I1542" s="2" t="s">
        <v>8223</v>
      </c>
      <c r="J1542" s="2" t="s">
        <v>236</v>
      </c>
      <c r="K1542" s="2" t="s">
        <v>544</v>
      </c>
      <c r="L1542" s="3">
        <v>76.49</v>
      </c>
      <c r="M1542" s="3">
        <v>80.32</v>
      </c>
      <c r="N1542" s="3">
        <v>159.99</v>
      </c>
      <c r="O1542" s="2" t="s">
        <v>212</v>
      </c>
      <c r="P1542" s="2" t="s">
        <v>258</v>
      </c>
      <c r="Q1542" s="2" t="s">
        <v>206</v>
      </c>
      <c r="R1542" s="2" t="s">
        <v>200</v>
      </c>
      <c r="S1542" s="2" t="s">
        <v>8224</v>
      </c>
      <c r="T1542" s="2" t="s">
        <v>5847</v>
      </c>
      <c r="U1542" s="2" t="s">
        <v>1067</v>
      </c>
      <c r="V1542" s="2" t="s">
        <v>339</v>
      </c>
      <c r="W1542" s="2" t="s">
        <v>736</v>
      </c>
      <c r="X1542" s="2" t="s">
        <v>2827</v>
      </c>
      <c r="Y1542" s="2" t="s">
        <v>261</v>
      </c>
      <c r="Z1542" s="4">
        <v>158</v>
      </c>
      <c r="AA1542" s="4">
        <f>=ROUNDDOWN(52.6666666666667,0)</f>
      </c>
      <c r="AB1542" s="5">
        <v>3</v>
      </c>
      <c r="AC1542" s="2" t="s">
        <v>200</v>
      </c>
      <c r="AD1542" s="4"/>
      <c r="AE1542" s="4"/>
      <c r="AF1542" s="6">
        <v>64</v>
      </c>
      <c r="AG1542" s="6">
        <v>47</v>
      </c>
      <c r="AH1542" s="7">
        <v>1</v>
      </c>
      <c r="AI1542" s="4"/>
      <c r="AJ1542" s="4">
        <f>=ROUNDDOWN({0},0)</f>
      </c>
      <c r="AK1542" s="5"/>
      <c r="AL1542" s="2" t="s">
        <v>200</v>
      </c>
      <c r="AM1542" s="4"/>
      <c r="AN1542" s="4"/>
      <c r="AO1542" s="7"/>
      <c r="AP1542" s="4"/>
      <c r="AQ1542" s="8"/>
      <c r="AR1542" s="4"/>
      <c r="AS1542" s="8"/>
      <c r="AT1542" s="7"/>
      <c r="AU1542" s="7"/>
      <c r="AV1542" s="4"/>
      <c r="AW1542" s="8"/>
      <c r="AX1542" s="4"/>
      <c r="AY1542" s="8"/>
      <c r="AZ1542" s="7"/>
      <c r="BA1542" s="7"/>
      <c r="BB1542" s="7"/>
      <c r="BC1542" s="4" t="s">
        <v>200</v>
      </c>
      <c r="BD1542" s="8" t="s">
        <v>200</v>
      </c>
      <c r="BE1542" s="4" t="s">
        <v>200</v>
      </c>
      <c r="BF1542" s="8" t="s">
        <v>200</v>
      </c>
      <c r="BG1542" s="7" t="s">
        <v>200</v>
      </c>
      <c r="BH1542" s="7" t="s">
        <v>200</v>
      </c>
      <c r="BI1542" s="7"/>
      <c r="BJ1542" s="4">
        <v>6</v>
      </c>
      <c r="BK1542" s="8">
        <v>412.14</v>
      </c>
      <c r="BL1542" s="2" t="s">
        <v>8225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8226</v>
      </c>
      <c r="BV1542" s="2" t="s">
        <v>200</v>
      </c>
      <c r="BW1542" s="2" t="s">
        <v>200</v>
      </c>
      <c r="BX1542" s="2" t="s">
        <v>620</v>
      </c>
      <c r="BY1542" s="2" t="s">
        <v>247</v>
      </c>
      <c r="BZ1542" s="2" t="s">
        <v>212</v>
      </c>
      <c r="CA1542" s="2" t="s">
        <v>3433</v>
      </c>
      <c r="CB1542" s="2" t="s">
        <v>8227</v>
      </c>
      <c r="CC1542" s="2" t="s">
        <v>213</v>
      </c>
      <c r="CD1542" s="2" t="s">
        <v>200</v>
      </c>
      <c r="CE1542" s="4">
        <v>95</v>
      </c>
      <c r="CF1542" s="4"/>
      <c r="CG1542" s="4"/>
      <c r="CH1542" s="4">
        <v>63</v>
      </c>
      <c r="CI1542" s="4"/>
      <c r="CJ1542" s="4"/>
      <c r="CK1542" s="4"/>
      <c r="CL1542" s="4"/>
      <c r="CM1542" s="4"/>
      <c r="CN1542" s="4"/>
      <c r="CO1542" s="4"/>
      <c r="CP1542" s="4"/>
      <c r="CQ1542" s="4"/>
      <c r="CR1542" s="4"/>
      <c r="CS1542" s="4"/>
      <c r="CT1542" s="4"/>
      <c r="CU1542" s="4"/>
      <c r="CV1542" s="4"/>
      <c r="CW1542" s="4"/>
      <c r="CX1542" s="4"/>
      <c r="CY1542" s="4"/>
      <c r="CZ1542" s="4"/>
      <c r="DA1542" s="4"/>
      <c r="DB1542" s="4"/>
      <c r="DC1542" s="4"/>
      <c r="DD1542" s="4"/>
      <c r="DE1542" s="4"/>
      <c r="DF1542" s="4"/>
      <c r="DG1542" s="4"/>
      <c r="DH1542" s="4"/>
      <c r="DI1542" s="4"/>
      <c r="DJ1542" s="4"/>
      <c r="DK1542" s="4"/>
      <c r="DL1542" s="4"/>
      <c r="DM1542" s="4"/>
      <c r="DN1542" s="4"/>
      <c r="DO1542" s="4"/>
      <c r="DP1542" s="4"/>
      <c r="DQ1542" s="4"/>
      <c r="DR1542" s="4"/>
      <c r="DS1542" s="4"/>
      <c r="DT1542" s="4"/>
      <c r="DU1542" s="4"/>
      <c r="DV1542" s="4"/>
      <c r="DW1542" s="4"/>
      <c r="DX1542" s="4"/>
      <c r="DY1542" s="4"/>
      <c r="DZ1542" s="4"/>
      <c r="EA1542" s="4"/>
      <c r="EB1542" s="4"/>
      <c r="EC1542" s="4"/>
      <c r="ED1542" s="4"/>
      <c r="EE1542" s="4"/>
      <c r="EF1542" s="4"/>
      <c r="EG1542" s="4"/>
      <c r="EH1542" s="4"/>
      <c r="EI1542" s="4"/>
      <c r="EJ1542" s="4"/>
      <c r="EK1542" s="4"/>
      <c r="EL1542" s="4"/>
      <c r="EM1542" s="4"/>
      <c r="EN1542" s="4"/>
      <c r="EO1542" s="4"/>
      <c r="EP1542" s="4"/>
      <c r="EQ1542" s="4"/>
      <c r="ER1542" s="4"/>
      <c r="ES1542" s="4"/>
      <c r="ET1542" s="4"/>
      <c r="EU1542" s="4"/>
      <c r="EV1542" s="4"/>
      <c r="EW1542" s="4"/>
      <c r="EX1542" s="4"/>
      <c r="EY1542" s="4"/>
      <c r="EZ1542" s="4"/>
      <c r="FA1542" s="4"/>
      <c r="FB1542" s="4"/>
      <c r="FC1542" s="4"/>
      <c r="FD1542" s="4"/>
      <c r="FE1542" s="4"/>
      <c r="FF1542" s="4"/>
      <c r="FG1542" s="4"/>
      <c r="FH1542" s="4"/>
      <c r="FI1542" s="4"/>
      <c r="FJ1542" s="4"/>
      <c r="FK1542" s="4"/>
      <c r="FL1542" s="4"/>
      <c r="FM1542" s="4"/>
      <c r="FN1542" s="4"/>
      <c r="FO1542" s="4"/>
      <c r="FP1542" s="4"/>
      <c r="FQ1542" s="4"/>
      <c r="FR1542" s="4"/>
      <c r="FS1542" s="4"/>
      <c r="FT1542" s="4"/>
      <c r="FU1542" s="4"/>
      <c r="FV1542" s="4"/>
      <c r="FW1542" s="4"/>
      <c r="FX1542" s="4"/>
      <c r="FY1542" s="4"/>
      <c r="FZ1542" s="4"/>
      <c r="GA1542" s="4"/>
      <c r="GB1542" s="4"/>
      <c r="GC1542" s="4"/>
      <c r="GD1542" s="4"/>
      <c r="GE1542" s="4"/>
      <c r="GF1542" s="4"/>
      <c r="GG1542" s="4"/>
      <c r="GH1542" s="4"/>
    </row>
    <row r="1543">
      <c r="A1543" s="2" t="s">
        <v>8228</v>
      </c>
      <c r="B1543" s="2" t="s">
        <v>827</v>
      </c>
      <c r="C1543" s="2" t="s">
        <v>231</v>
      </c>
      <c r="D1543" s="2" t="s">
        <v>1084</v>
      </c>
      <c r="E1543" s="2" t="s">
        <v>1085</v>
      </c>
      <c r="F1543" s="2" t="s">
        <v>8208</v>
      </c>
      <c r="G1543" s="2" t="s">
        <v>8209</v>
      </c>
      <c r="H1543" s="2" t="s">
        <v>6053</v>
      </c>
      <c r="I1543" s="2" t="s">
        <v>8218</v>
      </c>
      <c r="J1543" s="2" t="s">
        <v>1087</v>
      </c>
      <c r="K1543" s="2" t="s">
        <v>801</v>
      </c>
      <c r="L1543" s="3">
        <v>11.25</v>
      </c>
      <c r="M1543" s="3">
        <v>11.81</v>
      </c>
      <c r="N1543" s="3">
        <v>24.99</v>
      </c>
      <c r="O1543" s="2" t="s">
        <v>460</v>
      </c>
      <c r="P1543" s="2" t="s">
        <v>285</v>
      </c>
      <c r="Q1543" s="2" t="s">
        <v>206</v>
      </c>
      <c r="R1543" s="2" t="s">
        <v>200</v>
      </c>
      <c r="S1543" s="2" t="s">
        <v>8229</v>
      </c>
      <c r="T1543" s="2" t="s">
        <v>200</v>
      </c>
      <c r="U1543" s="2" t="s">
        <v>270</v>
      </c>
      <c r="V1543" s="2" t="s">
        <v>1077</v>
      </c>
      <c r="W1543" s="2" t="s">
        <v>736</v>
      </c>
      <c r="X1543" s="2" t="s">
        <v>200</v>
      </c>
      <c r="Y1543" s="2" t="s">
        <v>7648</v>
      </c>
      <c r="Z1543" s="4">
        <v>318</v>
      </c>
      <c r="AA1543" s="4">
        <f>=ROUNDDOWN(85.9459459459459,0)</f>
      </c>
      <c r="AB1543" s="5">
        <v>3.7</v>
      </c>
      <c r="AC1543" s="2" t="s">
        <v>200</v>
      </c>
      <c r="AD1543" s="4"/>
      <c r="AE1543" s="4"/>
      <c r="AF1543" s="6">
        <v>64</v>
      </c>
      <c r="AG1543" s="6"/>
      <c r="AH1543" s="7">
        <v>1</v>
      </c>
      <c r="AI1543" s="4"/>
      <c r="AJ1543" s="4">
        <f>=ROUNDDOWN({0},0)</f>
      </c>
      <c r="AK1543" s="5"/>
      <c r="AL1543" s="2" t="s">
        <v>200</v>
      </c>
      <c r="AM1543" s="4"/>
      <c r="AN1543" s="4"/>
      <c r="AO1543" s="7"/>
      <c r="AP1543" s="4"/>
      <c r="AQ1543" s="8"/>
      <c r="AR1543" s="4"/>
      <c r="AS1543" s="8"/>
      <c r="AT1543" s="7"/>
      <c r="AU1543" s="7"/>
      <c r="AV1543" s="4"/>
      <c r="AW1543" s="8"/>
      <c r="AX1543" s="4"/>
      <c r="AY1543" s="8"/>
      <c r="AZ1543" s="7"/>
      <c r="BA1543" s="7"/>
      <c r="BB1543" s="7"/>
      <c r="BC1543" s="4" t="s">
        <v>200</v>
      </c>
      <c r="BD1543" s="8" t="s">
        <v>200</v>
      </c>
      <c r="BE1543" s="4" t="s">
        <v>200</v>
      </c>
      <c r="BF1543" s="8" t="s">
        <v>200</v>
      </c>
      <c r="BG1543" s="7" t="s">
        <v>200</v>
      </c>
      <c r="BH1543" s="7" t="s">
        <v>200</v>
      </c>
      <c r="BI1543" s="7"/>
      <c r="BJ1543" s="4">
        <v>28</v>
      </c>
      <c r="BK1543" s="8">
        <v>304.72</v>
      </c>
      <c r="BL1543" s="2" t="s">
        <v>8230</v>
      </c>
      <c r="BM1543" s="7"/>
      <c r="BN1543" s="7"/>
      <c r="BO1543" s="4"/>
      <c r="BP1543" s="8"/>
      <c r="BQ1543" s="4"/>
      <c r="BR1543" s="8"/>
      <c r="BS1543" s="7"/>
      <c r="BT1543" s="7"/>
      <c r="BU1543" s="2" t="s">
        <v>8231</v>
      </c>
      <c r="BV1543" s="2" t="s">
        <v>200</v>
      </c>
      <c r="BW1543" s="2" t="s">
        <v>200</v>
      </c>
      <c r="BX1543" s="2" t="s">
        <v>289</v>
      </c>
      <c r="BY1543" s="2" t="s">
        <v>247</v>
      </c>
      <c r="BZ1543" s="2" t="s">
        <v>212</v>
      </c>
      <c r="CA1543" s="2" t="s">
        <v>2043</v>
      </c>
      <c r="CB1543" s="2" t="s">
        <v>8232</v>
      </c>
      <c r="CC1543" s="2" t="s">
        <v>213</v>
      </c>
      <c r="CD1543" s="2" t="s">
        <v>200</v>
      </c>
      <c r="CE1543" s="4">
        <v>318</v>
      </c>
      <c r="CF1543" s="4"/>
      <c r="CG1543" s="4"/>
      <c r="CH1543" s="4"/>
      <c r="CI1543" s="4"/>
      <c r="CJ1543" s="4"/>
      <c r="CK1543" s="4"/>
      <c r="CL1543" s="4"/>
      <c r="CM1543" s="4"/>
      <c r="CN1543" s="4"/>
      <c r="CO1543" s="4"/>
      <c r="CP1543" s="4"/>
      <c r="CQ1543" s="4"/>
      <c r="CR1543" s="4"/>
      <c r="CS1543" s="4"/>
      <c r="CT1543" s="4"/>
      <c r="CU1543" s="4"/>
      <c r="CV1543" s="4"/>
      <c r="CW1543" s="4"/>
      <c r="CX1543" s="4"/>
      <c r="CY1543" s="4"/>
      <c r="CZ1543" s="4"/>
      <c r="DA1543" s="4"/>
      <c r="DB1543" s="4"/>
      <c r="DC1543" s="4"/>
      <c r="DD1543" s="4"/>
      <c r="DE1543" s="4"/>
      <c r="DF1543" s="4"/>
      <c r="DG1543" s="4"/>
      <c r="DH1543" s="4"/>
      <c r="DI1543" s="4"/>
      <c r="DJ1543" s="4"/>
      <c r="DK1543" s="4"/>
      <c r="DL1543" s="4"/>
      <c r="DM1543" s="4"/>
      <c r="DN1543" s="4"/>
      <c r="DO1543" s="4"/>
      <c r="DP1543" s="4"/>
      <c r="DQ1543" s="4"/>
      <c r="DR1543" s="4"/>
      <c r="DS1543" s="4"/>
      <c r="DT1543" s="4"/>
      <c r="DU1543" s="4"/>
      <c r="DV1543" s="4"/>
      <c r="DW1543" s="4"/>
      <c r="DX1543" s="4"/>
      <c r="DY1543" s="4"/>
      <c r="DZ1543" s="4"/>
      <c r="EA1543" s="4"/>
      <c r="EB1543" s="4"/>
      <c r="EC1543" s="4"/>
      <c r="ED1543" s="4"/>
      <c r="EE1543" s="4"/>
      <c r="EF1543" s="4"/>
      <c r="EG1543" s="4"/>
      <c r="EH1543" s="4"/>
      <c r="EI1543" s="4"/>
      <c r="EJ1543" s="4"/>
      <c r="EK1543" s="4"/>
      <c r="EL1543" s="4"/>
      <c r="EM1543" s="4"/>
      <c r="EN1543" s="4"/>
      <c r="EO1543" s="4"/>
      <c r="EP1543" s="4"/>
      <c r="EQ1543" s="4"/>
      <c r="ER1543" s="4"/>
      <c r="ES1543" s="4"/>
      <c r="ET1543" s="4"/>
      <c r="EU1543" s="4"/>
      <c r="EV1543" s="4"/>
      <c r="EW1543" s="4"/>
      <c r="EX1543" s="4"/>
      <c r="EY1543" s="4"/>
      <c r="EZ1543" s="4"/>
      <c r="FA1543" s="4"/>
      <c r="FB1543" s="4"/>
      <c r="FC1543" s="4"/>
      <c r="FD1543" s="4"/>
      <c r="FE1543" s="4"/>
      <c r="FF1543" s="4"/>
      <c r="FG1543" s="4"/>
      <c r="FH1543" s="4"/>
      <c r="FI1543" s="4"/>
      <c r="FJ1543" s="4"/>
      <c r="FK1543" s="4"/>
      <c r="FL1543" s="4"/>
      <c r="FM1543" s="4"/>
      <c r="FN1543" s="4"/>
      <c r="FO1543" s="4"/>
      <c r="FP1543" s="4"/>
      <c r="FQ1543" s="4"/>
      <c r="FR1543" s="4"/>
      <c r="FS1543" s="4"/>
      <c r="FT1543" s="4"/>
      <c r="FU1543" s="4"/>
      <c r="FV1543" s="4"/>
      <c r="FW1543" s="4"/>
      <c r="FX1543" s="4"/>
      <c r="FY1543" s="4"/>
      <c r="FZ1543" s="4"/>
      <c r="GA1543" s="4"/>
      <c r="GB1543" s="4"/>
      <c r="GC1543" s="4"/>
      <c r="GD1543" s="4"/>
      <c r="GE1543" s="4"/>
      <c r="GF1543" s="4"/>
      <c r="GG1543" s="4"/>
      <c r="GH1543" s="4"/>
    </row>
    <row r="1544">
      <c r="A1544" s="2" t="s">
        <v>8233</v>
      </c>
      <c r="B1544" s="2" t="s">
        <v>827</v>
      </c>
      <c r="C1544" s="2" t="s">
        <v>231</v>
      </c>
      <c r="D1544" s="2" t="s">
        <v>1084</v>
      </c>
      <c r="E1544" s="2" t="s">
        <v>1085</v>
      </c>
      <c r="F1544" s="2" t="s">
        <v>8208</v>
      </c>
      <c r="G1544" s="2" t="s">
        <v>8209</v>
      </c>
      <c r="H1544" s="2" t="s">
        <v>6053</v>
      </c>
      <c r="I1544" s="2" t="s">
        <v>8218</v>
      </c>
      <c r="J1544" s="2" t="s">
        <v>1087</v>
      </c>
      <c r="K1544" s="2" t="s">
        <v>890</v>
      </c>
      <c r="L1544" s="3">
        <v>11.25</v>
      </c>
      <c r="M1544" s="3">
        <v>11.81</v>
      </c>
      <c r="N1544" s="3">
        <v>24.99</v>
      </c>
      <c r="O1544" s="2" t="s">
        <v>212</v>
      </c>
      <c r="P1544" s="2" t="s">
        <v>258</v>
      </c>
      <c r="Q1544" s="2" t="s">
        <v>206</v>
      </c>
      <c r="R1544" s="2" t="s">
        <v>200</v>
      </c>
      <c r="S1544" s="2" t="s">
        <v>8234</v>
      </c>
      <c r="T1544" s="2" t="s">
        <v>200</v>
      </c>
      <c r="U1544" s="2" t="s">
        <v>270</v>
      </c>
      <c r="V1544" s="2" t="s">
        <v>1077</v>
      </c>
      <c r="W1544" s="2" t="s">
        <v>736</v>
      </c>
      <c r="X1544" s="2" t="s">
        <v>200</v>
      </c>
      <c r="Y1544" s="2" t="s">
        <v>7648</v>
      </c>
      <c r="Z1544" s="4">
        <v>454</v>
      </c>
      <c r="AA1544" s="4">
        <f>=ROUNDDOWN(64.8571428571429,0)</f>
      </c>
      <c r="AB1544" s="5">
        <v>7</v>
      </c>
      <c r="AC1544" s="2" t="s">
        <v>200</v>
      </c>
      <c r="AD1544" s="4"/>
      <c r="AE1544" s="4"/>
      <c r="AF1544" s="6">
        <v>64</v>
      </c>
      <c r="AG1544" s="6"/>
      <c r="AH1544" s="7">
        <v>1</v>
      </c>
      <c r="AI1544" s="4"/>
      <c r="AJ1544" s="4">
        <f>=ROUNDDOWN({0},0)</f>
      </c>
      <c r="AK1544" s="5"/>
      <c r="AL1544" s="2" t="s">
        <v>200</v>
      </c>
      <c r="AM1544" s="4"/>
      <c r="AN1544" s="4"/>
      <c r="AO1544" s="7"/>
      <c r="AP1544" s="4"/>
      <c r="AQ1544" s="8"/>
      <c r="AR1544" s="4"/>
      <c r="AS1544" s="8"/>
      <c r="AT1544" s="7"/>
      <c r="AU1544" s="7"/>
      <c r="AV1544" s="4"/>
      <c r="AW1544" s="8"/>
      <c r="AX1544" s="4"/>
      <c r="AY1544" s="8"/>
      <c r="AZ1544" s="7"/>
      <c r="BA1544" s="7"/>
      <c r="BB1544" s="7"/>
      <c r="BC1544" s="4" t="s">
        <v>200</v>
      </c>
      <c r="BD1544" s="8" t="s">
        <v>200</v>
      </c>
      <c r="BE1544" s="4" t="s">
        <v>200</v>
      </c>
      <c r="BF1544" s="8" t="s">
        <v>200</v>
      </c>
      <c r="BG1544" s="7" t="s">
        <v>200</v>
      </c>
      <c r="BH1544" s="7" t="s">
        <v>200</v>
      </c>
      <c r="BI1544" s="7"/>
      <c r="BJ1544" s="4">
        <v>17</v>
      </c>
      <c r="BK1544" s="8">
        <v>197.75</v>
      </c>
      <c r="BL1544" s="2" t="s">
        <v>8235</v>
      </c>
      <c r="BM1544" s="7"/>
      <c r="BN1544" s="7"/>
      <c r="BO1544" s="4"/>
      <c r="BP1544" s="8"/>
      <c r="BQ1544" s="4"/>
      <c r="BR1544" s="8"/>
      <c r="BS1544" s="7"/>
      <c r="BT1544" s="7"/>
      <c r="BU1544" s="2" t="s">
        <v>8236</v>
      </c>
      <c r="BV1544" s="2" t="s">
        <v>200</v>
      </c>
      <c r="BW1544" s="2" t="s">
        <v>200</v>
      </c>
      <c r="BX1544" s="2" t="s">
        <v>264</v>
      </c>
      <c r="BY1544" s="2" t="s">
        <v>247</v>
      </c>
      <c r="BZ1544" s="2" t="s">
        <v>212</v>
      </c>
      <c r="CA1544" s="2" t="s">
        <v>3913</v>
      </c>
      <c r="CB1544" s="2" t="s">
        <v>2038</v>
      </c>
      <c r="CC1544" s="2" t="s">
        <v>213</v>
      </c>
      <c r="CD1544" s="2" t="s">
        <v>200</v>
      </c>
      <c r="CE1544" s="4">
        <v>454</v>
      </c>
      <c r="CF1544" s="4"/>
      <c r="CG1544" s="4"/>
      <c r="CH1544" s="4"/>
      <c r="CI1544" s="4"/>
      <c r="CJ1544" s="4"/>
      <c r="CK1544" s="4"/>
      <c r="CL1544" s="4"/>
      <c r="CM1544" s="4"/>
      <c r="CN1544" s="4"/>
      <c r="CO1544" s="4"/>
      <c r="CP1544" s="4"/>
      <c r="CQ1544" s="4"/>
      <c r="CR1544" s="4"/>
      <c r="CS1544" s="4"/>
      <c r="CT1544" s="4"/>
      <c r="CU1544" s="4"/>
      <c r="CV1544" s="4"/>
      <c r="CW1544" s="4"/>
      <c r="CX1544" s="4"/>
      <c r="CY1544" s="4"/>
      <c r="CZ1544" s="4"/>
      <c r="DA1544" s="4"/>
      <c r="DB1544" s="4"/>
      <c r="DC1544" s="4"/>
      <c r="DD1544" s="4"/>
      <c r="DE1544" s="4"/>
      <c r="DF1544" s="4"/>
      <c r="DG1544" s="4"/>
      <c r="DH1544" s="4"/>
      <c r="DI1544" s="4"/>
      <c r="DJ1544" s="4"/>
      <c r="DK1544" s="4"/>
      <c r="DL1544" s="4"/>
      <c r="DM1544" s="4"/>
      <c r="DN1544" s="4"/>
      <c r="DO1544" s="4"/>
      <c r="DP1544" s="4"/>
      <c r="DQ1544" s="4"/>
      <c r="DR1544" s="4"/>
      <c r="DS1544" s="4"/>
      <c r="DT1544" s="4"/>
      <c r="DU1544" s="4"/>
      <c r="DV1544" s="4"/>
      <c r="DW1544" s="4"/>
      <c r="DX1544" s="4"/>
      <c r="DY1544" s="4"/>
      <c r="DZ1544" s="4"/>
      <c r="EA1544" s="4"/>
      <c r="EB1544" s="4"/>
      <c r="EC1544" s="4"/>
      <c r="ED1544" s="4"/>
      <c r="EE1544" s="4"/>
      <c r="EF1544" s="4"/>
      <c r="EG1544" s="4"/>
      <c r="EH1544" s="4"/>
      <c r="EI1544" s="4"/>
      <c r="EJ1544" s="4"/>
      <c r="EK1544" s="4"/>
      <c r="EL1544" s="4"/>
      <c r="EM1544" s="4"/>
      <c r="EN1544" s="4"/>
      <c r="EO1544" s="4"/>
      <c r="EP1544" s="4"/>
      <c r="EQ1544" s="4"/>
      <c r="ER1544" s="4"/>
      <c r="ES1544" s="4"/>
      <c r="ET1544" s="4"/>
      <c r="EU1544" s="4"/>
      <c r="EV1544" s="4"/>
      <c r="EW1544" s="4"/>
      <c r="EX1544" s="4"/>
      <c r="EY1544" s="4"/>
      <c r="EZ1544" s="4"/>
      <c r="FA1544" s="4"/>
      <c r="FB1544" s="4"/>
      <c r="FC1544" s="4"/>
      <c r="FD1544" s="4"/>
      <c r="FE1544" s="4"/>
      <c r="FF1544" s="4"/>
      <c r="FG1544" s="4"/>
      <c r="FH1544" s="4"/>
      <c r="FI1544" s="4"/>
      <c r="FJ1544" s="4"/>
      <c r="FK1544" s="4"/>
      <c r="FL1544" s="4"/>
      <c r="FM1544" s="4"/>
      <c r="FN1544" s="4"/>
      <c r="FO1544" s="4"/>
      <c r="FP1544" s="4"/>
      <c r="FQ1544" s="4"/>
      <c r="FR1544" s="4"/>
      <c r="FS1544" s="4"/>
      <c r="FT1544" s="4"/>
      <c r="FU1544" s="4"/>
      <c r="FV1544" s="4"/>
      <c r="FW1544" s="4"/>
      <c r="FX1544" s="4"/>
      <c r="FY1544" s="4"/>
      <c r="FZ1544" s="4"/>
      <c r="GA1544" s="4"/>
      <c r="GB1544" s="4"/>
      <c r="GC1544" s="4"/>
      <c r="GD1544" s="4"/>
      <c r="GE1544" s="4"/>
      <c r="GF1544" s="4"/>
      <c r="GG1544" s="4"/>
      <c r="GH1544" s="4"/>
    </row>
    <row r="1545">
      <c r="A1545" s="2" t="s">
        <v>8237</v>
      </c>
      <c r="B1545" s="2" t="s">
        <v>705</v>
      </c>
      <c r="C1545" s="2" t="s">
        <v>745</v>
      </c>
      <c r="D1545" s="2" t="s">
        <v>707</v>
      </c>
      <c r="E1545" s="2" t="s">
        <v>708</v>
      </c>
      <c r="F1545" s="2" t="s">
        <v>8238</v>
      </c>
      <c r="G1545" s="2" t="s">
        <v>8238</v>
      </c>
      <c r="H1545" s="2" t="s">
        <v>8238</v>
      </c>
      <c r="I1545" s="2" t="s">
        <v>8239</v>
      </c>
      <c r="J1545" s="2" t="s">
        <v>711</v>
      </c>
      <c r="K1545" s="2" t="s">
        <v>4041</v>
      </c>
      <c r="L1545" s="3">
        <v>132</v>
      </c>
      <c r="M1545" s="3">
        <v>138.6</v>
      </c>
      <c r="N1545" s="3">
        <v>279.99</v>
      </c>
      <c r="O1545" s="2" t="s">
        <v>212</v>
      </c>
      <c r="P1545" s="2" t="s">
        <v>750</v>
      </c>
      <c r="Q1545" s="2" t="s">
        <v>206</v>
      </c>
      <c r="R1545" s="2" t="s">
        <v>200</v>
      </c>
      <c r="S1545" s="2" t="s">
        <v>200</v>
      </c>
      <c r="T1545" s="2" t="s">
        <v>200</v>
      </c>
      <c r="U1545" s="2" t="s">
        <v>270</v>
      </c>
      <c r="V1545" s="2" t="s">
        <v>616</v>
      </c>
      <c r="W1545" s="2" t="s">
        <v>1399</v>
      </c>
      <c r="X1545" s="2" t="s">
        <v>241</v>
      </c>
      <c r="Y1545" s="2" t="s">
        <v>4277</v>
      </c>
      <c r="Z1545" s="4">
        <v>83</v>
      </c>
      <c r="AA1545" s="4">
        <f>=ROUNDDOWN(41.5,0)</f>
      </c>
      <c r="AB1545" s="5">
        <v>2</v>
      </c>
      <c r="AC1545" s="2" t="s">
        <v>200</v>
      </c>
      <c r="AD1545" s="4"/>
      <c r="AE1545" s="4"/>
      <c r="AF1545" s="6">
        <v>63</v>
      </c>
      <c r="AG1545" s="6"/>
      <c r="AH1545" s="7">
        <v>1</v>
      </c>
      <c r="AI1545" s="4"/>
      <c r="AJ1545" s="4">
        <f>=ROUNDDOWN({0},0)</f>
      </c>
      <c r="AK1545" s="5"/>
      <c r="AL1545" s="2" t="s">
        <v>200</v>
      </c>
      <c r="AM1545" s="4"/>
      <c r="AN1545" s="4"/>
      <c r="AO1545" s="7"/>
      <c r="AP1545" s="4"/>
      <c r="AQ1545" s="8"/>
      <c r="AR1545" s="4"/>
      <c r="AS1545" s="8"/>
      <c r="AT1545" s="7"/>
      <c r="AU1545" s="7"/>
      <c r="AV1545" s="4"/>
      <c r="AW1545" s="8"/>
      <c r="AX1545" s="4"/>
      <c r="AY1545" s="8"/>
      <c r="AZ1545" s="7"/>
      <c r="BA1545" s="7"/>
      <c r="BB1545" s="7"/>
      <c r="BC1545" s="4"/>
      <c r="BD1545" s="8"/>
      <c r="BE1545" s="4"/>
      <c r="BF1545" s="8"/>
      <c r="BG1545" s="7"/>
      <c r="BH1545" s="7"/>
      <c r="BI1545" s="7"/>
      <c r="BJ1545" s="4">
        <v>1</v>
      </c>
      <c r="BK1545" s="8">
        <v>138.6</v>
      </c>
      <c r="BL1545" s="2" t="s">
        <v>303</v>
      </c>
      <c r="BM1545" s="7"/>
      <c r="BN1545" s="7"/>
      <c r="BO1545" s="4"/>
      <c r="BP1545" s="8"/>
      <c r="BQ1545" s="4"/>
      <c r="BR1545" s="8"/>
      <c r="BS1545" s="7"/>
      <c r="BT1545" s="7"/>
      <c r="BU1545" s="2" t="s">
        <v>8240</v>
      </c>
      <c r="BV1545" s="2" t="s">
        <v>200</v>
      </c>
      <c r="BW1545" s="2" t="s">
        <v>200</v>
      </c>
      <c r="BX1545" s="2" t="s">
        <v>264</v>
      </c>
      <c r="BY1545" s="2" t="s">
        <v>247</v>
      </c>
      <c r="BZ1545" s="2" t="s">
        <v>212</v>
      </c>
      <c r="CA1545" s="2" t="s">
        <v>4391</v>
      </c>
      <c r="CB1545" s="2" t="s">
        <v>3767</v>
      </c>
      <c r="CC1545" s="2" t="s">
        <v>213</v>
      </c>
      <c r="CD1545" s="2" t="s">
        <v>200</v>
      </c>
      <c r="CE1545" s="4"/>
      <c r="CF1545" s="4">
        <v>83</v>
      </c>
      <c r="CG1545" s="4"/>
      <c r="CH1545" s="4"/>
      <c r="CI1545" s="4"/>
      <c r="CJ1545" s="4"/>
      <c r="CK1545" s="4"/>
      <c r="CL1545" s="4"/>
      <c r="CM1545" s="4"/>
      <c r="CN1545" s="4"/>
      <c r="CO1545" s="4"/>
      <c r="CP1545" s="4"/>
      <c r="CQ1545" s="4"/>
      <c r="CR1545" s="4"/>
      <c r="CS1545" s="4"/>
      <c r="CT1545" s="4"/>
      <c r="CU1545" s="4"/>
      <c r="CV1545" s="4"/>
      <c r="CW1545" s="4"/>
      <c r="CX1545" s="4"/>
      <c r="CY1545" s="4"/>
      <c r="CZ1545" s="4"/>
      <c r="DA1545" s="4"/>
      <c r="DB1545" s="4"/>
      <c r="DC1545" s="4"/>
      <c r="DD1545" s="4"/>
      <c r="DE1545" s="4"/>
      <c r="DF1545" s="4"/>
      <c r="DG1545" s="4"/>
      <c r="DH1545" s="4"/>
      <c r="DI1545" s="4"/>
      <c r="DJ1545" s="4"/>
      <c r="DK1545" s="4"/>
      <c r="DL1545" s="4"/>
      <c r="DM1545" s="4"/>
      <c r="DN1545" s="4"/>
      <c r="DO1545" s="4"/>
      <c r="DP1545" s="4"/>
      <c r="DQ1545" s="4"/>
      <c r="DR1545" s="4"/>
      <c r="DS1545" s="4"/>
      <c r="DT1545" s="4"/>
      <c r="DU1545" s="4"/>
      <c r="DV1545" s="4"/>
      <c r="DW1545" s="4"/>
      <c r="DX1545" s="4"/>
      <c r="DY1545" s="4"/>
      <c r="DZ1545" s="4"/>
      <c r="EA1545" s="4"/>
      <c r="EB1545" s="4"/>
      <c r="EC1545" s="4"/>
      <c r="ED1545" s="4"/>
      <c r="EE1545" s="4"/>
      <c r="EF1545" s="4"/>
      <c r="EG1545" s="4"/>
      <c r="EH1545" s="4"/>
      <c r="EI1545" s="4"/>
      <c r="EJ1545" s="4"/>
      <c r="EK1545" s="4"/>
      <c r="EL1545" s="4"/>
      <c r="EM1545" s="4"/>
      <c r="EN1545" s="4"/>
      <c r="EO1545" s="4"/>
      <c r="EP1545" s="4"/>
      <c r="EQ1545" s="4"/>
      <c r="ER1545" s="4"/>
      <c r="ES1545" s="4"/>
      <c r="ET1545" s="4"/>
      <c r="EU1545" s="4"/>
      <c r="EV1545" s="4"/>
      <c r="EW1545" s="4"/>
      <c r="EX1545" s="4"/>
      <c r="EY1545" s="4"/>
      <c r="EZ1545" s="4"/>
      <c r="FA1545" s="4"/>
      <c r="FB1545" s="4"/>
      <c r="FC1545" s="4"/>
      <c r="FD1545" s="4"/>
      <c r="FE1545" s="4"/>
      <c r="FF1545" s="4"/>
      <c r="FG1545" s="4"/>
      <c r="FH1545" s="4"/>
      <c r="FI1545" s="4"/>
      <c r="FJ1545" s="4"/>
      <c r="FK1545" s="4"/>
      <c r="FL1545" s="4"/>
      <c r="FM1545" s="4"/>
      <c r="FN1545" s="4"/>
      <c r="FO1545" s="4"/>
      <c r="FP1545" s="4"/>
      <c r="FQ1545" s="4"/>
      <c r="FR1545" s="4"/>
      <c r="FS1545" s="4"/>
      <c r="FT1545" s="4"/>
      <c r="FU1545" s="4"/>
      <c r="FV1545" s="4"/>
      <c r="FW1545" s="4"/>
      <c r="FX1545" s="4"/>
      <c r="FY1545" s="4"/>
      <c r="FZ1545" s="4"/>
      <c r="GA1545" s="4"/>
      <c r="GB1545" s="4"/>
      <c r="GC1545" s="4"/>
      <c r="GD1545" s="4"/>
      <c r="GE1545" s="4"/>
      <c r="GF1545" s="4"/>
      <c r="GG1545" s="4"/>
      <c r="GH1545" s="4"/>
    </row>
    <row r="1546">
      <c r="A1546" s="2" t="s">
        <v>8241</v>
      </c>
      <c r="B1546" s="2" t="s">
        <v>903</v>
      </c>
      <c r="C1546" s="2" t="s">
        <v>307</v>
      </c>
      <c r="D1546" s="2" t="s">
        <v>608</v>
      </c>
      <c r="E1546" s="2" t="s">
        <v>904</v>
      </c>
      <c r="F1546" s="2" t="s">
        <v>8242</v>
      </c>
      <c r="G1546" s="2" t="s">
        <v>8243</v>
      </c>
      <c r="H1546" s="2" t="s">
        <v>8244</v>
      </c>
      <c r="I1546" s="2" t="s">
        <v>6205</v>
      </c>
      <c r="J1546" s="2" t="s">
        <v>256</v>
      </c>
      <c r="K1546" s="2" t="s">
        <v>1700</v>
      </c>
      <c r="L1546" s="3">
        <v>49.39</v>
      </c>
      <c r="M1546" s="3">
        <v>51.86</v>
      </c>
      <c r="N1546" s="3">
        <v>89.99</v>
      </c>
      <c r="O1546" s="2" t="s">
        <v>460</v>
      </c>
      <c r="P1546" s="2" t="s">
        <v>285</v>
      </c>
      <c r="Q1546" s="2" t="s">
        <v>206</v>
      </c>
      <c r="R1546" s="2" t="s">
        <v>200</v>
      </c>
      <c r="S1546" s="2" t="s">
        <v>8245</v>
      </c>
      <c r="T1546" s="2" t="s">
        <v>200</v>
      </c>
      <c r="U1546" s="2" t="s">
        <v>1067</v>
      </c>
      <c r="V1546" s="2" t="s">
        <v>1348</v>
      </c>
      <c r="W1546" s="2" t="s">
        <v>1975</v>
      </c>
      <c r="X1546" s="2" t="s">
        <v>8246</v>
      </c>
      <c r="Y1546" s="2" t="s">
        <v>261</v>
      </c>
      <c r="Z1546" s="4">
        <v>95</v>
      </c>
      <c r="AA1546" s="4">
        <f>=ROUNDDOWN(13.5714285714286,0)</f>
      </c>
      <c r="AB1546" s="5">
        <v>7</v>
      </c>
      <c r="AC1546" s="2" t="s">
        <v>200</v>
      </c>
      <c r="AD1546" s="4"/>
      <c r="AE1546" s="4"/>
      <c r="AF1546" s="6">
        <v>65</v>
      </c>
      <c r="AG1546" s="6"/>
      <c r="AH1546" s="7">
        <v>1</v>
      </c>
      <c r="AI1546" s="4"/>
      <c r="AJ1546" s="4">
        <f>=ROUNDDOWN({0},0)</f>
      </c>
      <c r="AK1546" s="5"/>
      <c r="AL1546" s="2" t="s">
        <v>200</v>
      </c>
      <c r="AM1546" s="4"/>
      <c r="AN1546" s="4"/>
      <c r="AO1546" s="7"/>
      <c r="AP1546" s="4"/>
      <c r="AQ1546" s="8"/>
      <c r="AR1546" s="4"/>
      <c r="AS1546" s="8"/>
      <c r="AT1546" s="7"/>
      <c r="AU1546" s="7"/>
      <c r="AV1546" s="4"/>
      <c r="AW1546" s="8"/>
      <c r="AX1546" s="4"/>
      <c r="AY1546" s="8"/>
      <c r="AZ1546" s="7"/>
      <c r="BA1546" s="7"/>
      <c r="BB1546" s="7"/>
      <c r="BC1546" s="4"/>
      <c r="BD1546" s="8"/>
      <c r="BE1546" s="4"/>
      <c r="BF1546" s="8"/>
      <c r="BG1546" s="7"/>
      <c r="BH1546" s="7"/>
      <c r="BI1546" s="7"/>
      <c r="BJ1546" s="4">
        <v>17</v>
      </c>
      <c r="BK1546" s="8">
        <v>442.08</v>
      </c>
      <c r="BL1546" s="2" t="s">
        <v>8247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8248</v>
      </c>
      <c r="BV1546" s="2" t="s">
        <v>200</v>
      </c>
      <c r="BW1546" s="2" t="s">
        <v>200</v>
      </c>
      <c r="BX1546" s="2" t="s">
        <v>289</v>
      </c>
      <c r="BY1546" s="2" t="s">
        <v>247</v>
      </c>
      <c r="BZ1546" s="2" t="s">
        <v>212</v>
      </c>
      <c r="CA1546" s="2" t="s">
        <v>265</v>
      </c>
      <c r="CB1546" s="2" t="s">
        <v>8249</v>
      </c>
      <c r="CC1546" s="2" t="s">
        <v>213</v>
      </c>
      <c r="CD1546" s="2" t="s">
        <v>200</v>
      </c>
      <c r="CE1546" s="4">
        <v>95</v>
      </c>
      <c r="CF1546" s="4"/>
      <c r="CG1546" s="4"/>
      <c r="CH1546" s="4"/>
      <c r="CI1546" s="4"/>
      <c r="CJ1546" s="4"/>
      <c r="CK1546" s="4"/>
      <c r="CL1546" s="4"/>
      <c r="CM1546" s="4"/>
      <c r="CN1546" s="4"/>
      <c r="CO1546" s="4"/>
      <c r="CP1546" s="4"/>
      <c r="CQ1546" s="4"/>
      <c r="CR1546" s="4"/>
      <c r="CS1546" s="4"/>
      <c r="CT1546" s="4"/>
      <c r="CU1546" s="4"/>
      <c r="CV1546" s="4"/>
      <c r="CW1546" s="4"/>
      <c r="CX1546" s="4"/>
      <c r="CY1546" s="4"/>
      <c r="CZ1546" s="4"/>
      <c r="DA1546" s="4"/>
      <c r="DB1546" s="4"/>
      <c r="DC1546" s="4"/>
      <c r="DD1546" s="4"/>
      <c r="DE1546" s="4"/>
      <c r="DF1546" s="4"/>
      <c r="DG1546" s="4"/>
      <c r="DH1546" s="4"/>
      <c r="DI1546" s="4"/>
      <c r="DJ1546" s="4"/>
      <c r="DK1546" s="4"/>
      <c r="DL1546" s="4"/>
      <c r="DM1546" s="4"/>
      <c r="DN1546" s="4"/>
      <c r="DO1546" s="4"/>
      <c r="DP1546" s="4"/>
      <c r="DQ1546" s="4"/>
      <c r="DR1546" s="4"/>
      <c r="DS1546" s="4"/>
      <c r="DT1546" s="4"/>
      <c r="DU1546" s="4"/>
      <c r="DV1546" s="4"/>
      <c r="DW1546" s="4"/>
      <c r="DX1546" s="4"/>
      <c r="DY1546" s="4"/>
      <c r="DZ1546" s="4"/>
      <c r="EA1546" s="4"/>
      <c r="EB1546" s="4"/>
      <c r="EC1546" s="4"/>
      <c r="ED1546" s="4"/>
      <c r="EE1546" s="4"/>
      <c r="EF1546" s="4"/>
      <c r="EG1546" s="4"/>
      <c r="EH1546" s="4"/>
      <c r="EI1546" s="4"/>
      <c r="EJ1546" s="4"/>
      <c r="EK1546" s="4"/>
      <c r="EL1546" s="4"/>
      <c r="EM1546" s="4"/>
      <c r="EN1546" s="4"/>
      <c r="EO1546" s="4"/>
      <c r="EP1546" s="4"/>
      <c r="EQ1546" s="4"/>
      <c r="ER1546" s="4"/>
      <c r="ES1546" s="4"/>
      <c r="ET1546" s="4"/>
      <c r="EU1546" s="4"/>
      <c r="EV1546" s="4"/>
      <c r="EW1546" s="4"/>
      <c r="EX1546" s="4"/>
      <c r="EY1546" s="4"/>
      <c r="EZ1546" s="4"/>
      <c r="FA1546" s="4"/>
      <c r="FB1546" s="4"/>
      <c r="FC1546" s="4"/>
      <c r="FD1546" s="4"/>
      <c r="FE1546" s="4"/>
      <c r="FF1546" s="4"/>
      <c r="FG1546" s="4"/>
      <c r="FH1546" s="4"/>
      <c r="FI1546" s="4"/>
      <c r="FJ1546" s="4"/>
      <c r="FK1546" s="4"/>
      <c r="FL1546" s="4"/>
      <c r="FM1546" s="4"/>
      <c r="FN1546" s="4"/>
      <c r="FO1546" s="4"/>
      <c r="FP1546" s="4"/>
      <c r="FQ1546" s="4"/>
      <c r="FR1546" s="4"/>
      <c r="FS1546" s="4"/>
      <c r="FT1546" s="4"/>
      <c r="FU1546" s="4"/>
      <c r="FV1546" s="4"/>
      <c r="FW1546" s="4"/>
      <c r="FX1546" s="4"/>
      <c r="FY1546" s="4"/>
      <c r="FZ1546" s="4"/>
      <c r="GA1546" s="4"/>
      <c r="GB1546" s="4"/>
      <c r="GC1546" s="4"/>
      <c r="GD1546" s="4"/>
      <c r="GE1546" s="4"/>
      <c r="GF1546" s="4"/>
      <c r="GG1546" s="4"/>
      <c r="GH1546" s="4"/>
    </row>
    <row r="1547">
      <c r="A1547" s="2" t="s">
        <v>8250</v>
      </c>
      <c r="B1547" s="2" t="s">
        <v>744</v>
      </c>
      <c r="C1547" s="2" t="s">
        <v>231</v>
      </c>
      <c r="D1547" s="2" t="s">
        <v>1413</v>
      </c>
      <c r="E1547" s="2" t="s">
        <v>1414</v>
      </c>
      <c r="F1547" s="2" t="s">
        <v>8251</v>
      </c>
      <c r="G1547" s="2" t="s">
        <v>8252</v>
      </c>
      <c r="H1547" s="2" t="s">
        <v>8253</v>
      </c>
      <c r="I1547" s="2" t="s">
        <v>8254</v>
      </c>
      <c r="J1547" s="2" t="s">
        <v>711</v>
      </c>
      <c r="K1547" s="2" t="s">
        <v>387</v>
      </c>
      <c r="L1547" s="3">
        <v>114</v>
      </c>
      <c r="M1547" s="3">
        <v>119.7</v>
      </c>
      <c r="N1547" s="3">
        <v>239</v>
      </c>
      <c r="O1547" s="2" t="s">
        <v>212</v>
      </c>
      <c r="P1547" s="2" t="s">
        <v>258</v>
      </c>
      <c r="Q1547" s="2" t="s">
        <v>206</v>
      </c>
      <c r="R1547" s="2" t="s">
        <v>200</v>
      </c>
      <c r="S1547" s="2" t="s">
        <v>8255</v>
      </c>
      <c r="T1547" s="2" t="s">
        <v>200</v>
      </c>
      <c r="U1547" s="2" t="s">
        <v>200</v>
      </c>
      <c r="V1547" s="2" t="s">
        <v>208</v>
      </c>
      <c r="W1547" s="2" t="s">
        <v>419</v>
      </c>
      <c r="X1547" s="2" t="s">
        <v>200</v>
      </c>
      <c r="Y1547" s="2" t="s">
        <v>261</v>
      </c>
      <c r="Z1547" s="4">
        <v>29</v>
      </c>
      <c r="AA1547" s="4">
        <f>=ROUNDDOWN(2.63636363636364,0)</f>
      </c>
      <c r="AB1547" s="5">
        <v>11</v>
      </c>
      <c r="AC1547" s="2" t="s">
        <v>115</v>
      </c>
      <c r="AD1547" s="4">
        <v>102</v>
      </c>
      <c r="AE1547" s="4">
        <v>380</v>
      </c>
      <c r="AF1547" s="6">
        <v>76</v>
      </c>
      <c r="AG1547" s="6">
        <v>67</v>
      </c>
      <c r="AH1547" s="7">
        <v>1</v>
      </c>
      <c r="AI1547" s="4"/>
      <c r="AJ1547" s="4">
        <f>=ROUNDDOWN({0},0)</f>
      </c>
      <c r="AK1547" s="5"/>
      <c r="AL1547" s="2" t="s">
        <v>200</v>
      </c>
      <c r="AM1547" s="4"/>
      <c r="AN1547" s="4"/>
      <c r="AO1547" s="7"/>
      <c r="AP1547" s="4"/>
      <c r="AQ1547" s="8"/>
      <c r="AR1547" s="4"/>
      <c r="AS1547" s="8"/>
      <c r="AT1547" s="7"/>
      <c r="AU1547" s="7"/>
      <c r="AV1547" s="4"/>
      <c r="AW1547" s="8"/>
      <c r="AX1547" s="4"/>
      <c r="AY1547" s="8"/>
      <c r="AZ1547" s="7"/>
      <c r="BA1547" s="7"/>
      <c r="BB1547" s="7"/>
      <c r="BC1547" s="4"/>
      <c r="BD1547" s="8"/>
      <c r="BE1547" s="4"/>
      <c r="BF1547" s="8"/>
      <c r="BG1547" s="7"/>
      <c r="BH1547" s="7"/>
      <c r="BI1547" s="7"/>
      <c r="BJ1547" s="4">
        <v>47</v>
      </c>
      <c r="BK1547" s="8">
        <v>4940.64</v>
      </c>
      <c r="BL1547" s="2" t="s">
        <v>8256</v>
      </c>
      <c r="BM1547" s="7"/>
      <c r="BN1547" s="7"/>
      <c r="BO1547" s="4"/>
      <c r="BP1547" s="8"/>
      <c r="BQ1547" s="4"/>
      <c r="BR1547" s="8"/>
      <c r="BS1547" s="7"/>
      <c r="BT1547" s="7"/>
      <c r="BU1547" s="2" t="s">
        <v>8257</v>
      </c>
      <c r="BV1547" s="2" t="s">
        <v>200</v>
      </c>
      <c r="BW1547" s="2" t="s">
        <v>200</v>
      </c>
      <c r="BX1547" s="2" t="s">
        <v>620</v>
      </c>
      <c r="BY1547" s="2" t="s">
        <v>247</v>
      </c>
      <c r="BZ1547" s="2" t="s">
        <v>212</v>
      </c>
      <c r="CA1547" s="2" t="s">
        <v>7643</v>
      </c>
      <c r="CB1547" s="2" t="s">
        <v>7646</v>
      </c>
      <c r="CC1547" s="2" t="s">
        <v>213</v>
      </c>
      <c r="CD1547" s="2" t="s">
        <v>200</v>
      </c>
      <c r="CE1547" s="4"/>
      <c r="CF1547" s="4">
        <v>29</v>
      </c>
      <c r="CG1547" s="4"/>
      <c r="CH1547" s="4"/>
      <c r="CI1547" s="4"/>
      <c r="CJ1547" s="4"/>
      <c r="CK1547" s="4"/>
      <c r="CL1547" s="4"/>
      <c r="CM1547" s="4"/>
      <c r="CN1547" s="4"/>
      <c r="CO1547" s="4"/>
      <c r="CP1547" s="4"/>
      <c r="CQ1547" s="4"/>
      <c r="CR1547" s="4"/>
      <c r="CS1547" s="4"/>
      <c r="CT1547" s="4"/>
      <c r="CU1547" s="4"/>
      <c r="CV1547" s="4"/>
      <c r="CW1547" s="4"/>
      <c r="CX1547" s="4"/>
      <c r="CY1547" s="4"/>
      <c r="CZ1547" s="4"/>
      <c r="DA1547" s="4"/>
      <c r="DB1547" s="4">
        <v>102</v>
      </c>
      <c r="DC1547" s="4"/>
      <c r="DD1547" s="4"/>
      <c r="DE1547" s="4"/>
      <c r="DF1547" s="4"/>
      <c r="DG1547" s="4"/>
      <c r="DH1547" s="4">
        <v>28</v>
      </c>
      <c r="DI1547" s="4"/>
      <c r="DJ1547" s="4"/>
      <c r="DK1547" s="4"/>
      <c r="DL1547" s="4"/>
      <c r="DM1547" s="4"/>
      <c r="DN1547" s="4"/>
      <c r="DO1547" s="4"/>
      <c r="DP1547" s="4"/>
      <c r="DQ1547" s="4"/>
      <c r="DR1547" s="4"/>
      <c r="DS1547" s="4"/>
      <c r="DT1547" s="4"/>
      <c r="DU1547" s="4"/>
      <c r="DV1547" s="4"/>
      <c r="DW1547" s="4"/>
      <c r="DX1547" s="4"/>
      <c r="DY1547" s="4"/>
      <c r="DZ1547" s="4"/>
      <c r="EA1547" s="4"/>
      <c r="EB1547" s="4"/>
      <c r="EC1547" s="4"/>
      <c r="ED1547" s="4"/>
      <c r="EE1547" s="4"/>
      <c r="EF1547" s="4"/>
      <c r="EG1547" s="4"/>
      <c r="EH1547" s="4"/>
      <c r="EI1547" s="4"/>
      <c r="EJ1547" s="4"/>
      <c r="EK1547" s="4">
        <v>90</v>
      </c>
      <c r="EL1547" s="4"/>
      <c r="EM1547" s="4"/>
      <c r="EN1547" s="4"/>
      <c r="EO1547" s="4"/>
      <c r="EP1547" s="4"/>
      <c r="EQ1547" s="4"/>
      <c r="ER1547" s="4"/>
      <c r="ES1547" s="4"/>
      <c r="ET1547" s="4"/>
      <c r="EU1547" s="4"/>
      <c r="EV1547" s="4"/>
      <c r="EW1547" s="4"/>
      <c r="EX1547" s="4">
        <v>50</v>
      </c>
      <c r="EY1547" s="4"/>
      <c r="EZ1547" s="4"/>
      <c r="FA1547" s="4"/>
      <c r="FB1547" s="4"/>
      <c r="FC1547" s="4"/>
      <c r="FD1547" s="4"/>
      <c r="FE1547" s="4"/>
      <c r="FF1547" s="4"/>
      <c r="FG1547" s="4"/>
      <c r="FH1547" s="4"/>
      <c r="FI1547" s="4"/>
      <c r="FJ1547" s="4"/>
      <c r="FK1547" s="4"/>
      <c r="FL1547" s="4"/>
      <c r="FM1547" s="4"/>
      <c r="FN1547" s="4">
        <v>60</v>
      </c>
      <c r="FO1547" s="4"/>
      <c r="FP1547" s="4"/>
      <c r="FQ1547" s="4"/>
      <c r="FR1547" s="4"/>
      <c r="FS1547" s="4"/>
      <c r="FT1547" s="4"/>
      <c r="FU1547" s="4">
        <v>50</v>
      </c>
      <c r="FV1547" s="4"/>
      <c r="FW1547" s="4"/>
      <c r="FX1547" s="4"/>
      <c r="FY1547" s="4"/>
      <c r="FZ1547" s="4"/>
      <c r="GA1547" s="4"/>
      <c r="GB1547" s="4"/>
      <c r="GC1547" s="4"/>
      <c r="GD1547" s="4"/>
      <c r="GE1547" s="4"/>
      <c r="GF1547" s="4"/>
      <c r="GG1547" s="4"/>
      <c r="GH1547" s="4"/>
    </row>
    <row r="1548">
      <c r="A1548" s="2" t="s">
        <v>8258</v>
      </c>
      <c r="B1548" s="2" t="s">
        <v>744</v>
      </c>
      <c r="C1548" s="2" t="s">
        <v>231</v>
      </c>
      <c r="D1548" s="2" t="s">
        <v>1413</v>
      </c>
      <c r="E1548" s="2" t="s">
        <v>1414</v>
      </c>
      <c r="F1548" s="2" t="s">
        <v>8259</v>
      </c>
      <c r="G1548" s="2" t="s">
        <v>6054</v>
      </c>
      <c r="H1548" s="2" t="s">
        <v>8260</v>
      </c>
      <c r="I1548" s="2" t="s">
        <v>8254</v>
      </c>
      <c r="J1548" s="2" t="s">
        <v>711</v>
      </c>
      <c r="K1548" s="2" t="s">
        <v>1700</v>
      </c>
      <c r="L1548" s="3">
        <v>85.5</v>
      </c>
      <c r="M1548" s="3">
        <v>89.78</v>
      </c>
      <c r="N1548" s="3">
        <v>179</v>
      </c>
      <c r="O1548" s="2" t="s">
        <v>212</v>
      </c>
      <c r="P1548" s="2" t="s">
        <v>750</v>
      </c>
      <c r="Q1548" s="2" t="s">
        <v>206</v>
      </c>
      <c r="R1548" s="2" t="s">
        <v>200</v>
      </c>
      <c r="S1548" s="2" t="s">
        <v>8261</v>
      </c>
      <c r="T1548" s="2" t="s">
        <v>200</v>
      </c>
      <c r="U1548" s="2" t="s">
        <v>200</v>
      </c>
      <c r="V1548" s="2" t="s">
        <v>208</v>
      </c>
      <c r="W1548" s="2" t="s">
        <v>379</v>
      </c>
      <c r="X1548" s="2" t="s">
        <v>200</v>
      </c>
      <c r="Y1548" s="2" t="s">
        <v>261</v>
      </c>
      <c r="Z1548" s="4">
        <v>136</v>
      </c>
      <c r="AA1548" s="4">
        <f>=ROUNDDOWN(22.6666666666667,0)</f>
      </c>
      <c r="AB1548" s="5">
        <v>6</v>
      </c>
      <c r="AC1548" s="2" t="s">
        <v>691</v>
      </c>
      <c r="AD1548" s="4">
        <v>111</v>
      </c>
      <c r="AE1548" s="4">
        <v>111</v>
      </c>
      <c r="AF1548" s="6">
        <v>76</v>
      </c>
      <c r="AG1548" s="6">
        <v>67</v>
      </c>
      <c r="AH1548" s="7">
        <v>1</v>
      </c>
      <c r="AI1548" s="4"/>
      <c r="AJ1548" s="4">
        <f>=ROUNDDOWN({0},0)</f>
      </c>
      <c r="AK1548" s="5"/>
      <c r="AL1548" s="2" t="s">
        <v>200</v>
      </c>
      <c r="AM1548" s="4"/>
      <c r="AN1548" s="4"/>
      <c r="AO1548" s="7"/>
      <c r="AP1548" s="4"/>
      <c r="AQ1548" s="8"/>
      <c r="AR1548" s="4"/>
      <c r="AS1548" s="8"/>
      <c r="AT1548" s="7"/>
      <c r="AU1548" s="7"/>
      <c r="AV1548" s="4"/>
      <c r="AW1548" s="8"/>
      <c r="AX1548" s="4"/>
      <c r="AY1548" s="8"/>
      <c r="AZ1548" s="7"/>
      <c r="BA1548" s="7"/>
      <c r="BB1548" s="7"/>
      <c r="BC1548" s="4"/>
      <c r="BD1548" s="8"/>
      <c r="BE1548" s="4"/>
      <c r="BF1548" s="8"/>
      <c r="BG1548" s="7"/>
      <c r="BH1548" s="7"/>
      <c r="BI1548" s="7"/>
      <c r="BJ1548" s="4">
        <v>30</v>
      </c>
      <c r="BK1548" s="8">
        <v>2681.84</v>
      </c>
      <c r="BL1548" s="2" t="s">
        <v>8262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8263</v>
      </c>
      <c r="BV1548" s="2" t="s">
        <v>200</v>
      </c>
      <c r="BW1548" s="2" t="s">
        <v>200</v>
      </c>
      <c r="BX1548" s="2" t="s">
        <v>264</v>
      </c>
      <c r="BY1548" s="2" t="s">
        <v>247</v>
      </c>
      <c r="BZ1548" s="2" t="s">
        <v>212</v>
      </c>
      <c r="CA1548" s="2" t="s">
        <v>265</v>
      </c>
      <c r="CB1548" s="2" t="s">
        <v>8264</v>
      </c>
      <c r="CC1548" s="2" t="s">
        <v>213</v>
      </c>
      <c r="CD1548" s="2" t="s">
        <v>200</v>
      </c>
      <c r="CE1548" s="4"/>
      <c r="CF1548" s="4">
        <v>136</v>
      </c>
      <c r="CG1548" s="4"/>
      <c r="CH1548" s="4"/>
      <c r="CI1548" s="4"/>
      <c r="CJ1548" s="4"/>
      <c r="CK1548" s="4"/>
      <c r="CL1548" s="4"/>
      <c r="CM1548" s="4"/>
      <c r="CN1548" s="4"/>
      <c r="CO1548" s="4"/>
      <c r="CP1548" s="4"/>
      <c r="CQ1548" s="4"/>
      <c r="CR1548" s="4"/>
      <c r="CS1548" s="4"/>
      <c r="CT1548" s="4"/>
      <c r="CU1548" s="4"/>
      <c r="CV1548" s="4"/>
      <c r="CW1548" s="4"/>
      <c r="CX1548" s="4"/>
      <c r="CY1548" s="4"/>
      <c r="CZ1548" s="4"/>
      <c r="DA1548" s="4"/>
      <c r="DB1548" s="4"/>
      <c r="DC1548" s="4"/>
      <c r="DD1548" s="4"/>
      <c r="DE1548" s="4"/>
      <c r="DF1548" s="4"/>
      <c r="DG1548" s="4"/>
      <c r="DH1548" s="4"/>
      <c r="DI1548" s="4"/>
      <c r="DJ1548" s="4"/>
      <c r="DK1548" s="4"/>
      <c r="DL1548" s="4"/>
      <c r="DM1548" s="4"/>
      <c r="DN1548" s="4"/>
      <c r="DO1548" s="4"/>
      <c r="DP1548" s="4"/>
      <c r="DQ1548" s="4"/>
      <c r="DR1548" s="4"/>
      <c r="DS1548" s="4"/>
      <c r="DT1548" s="4"/>
      <c r="DU1548" s="4"/>
      <c r="DV1548" s="4"/>
      <c r="DW1548" s="4"/>
      <c r="DX1548" s="4"/>
      <c r="DY1548" s="4"/>
      <c r="DZ1548" s="4"/>
      <c r="EA1548" s="4"/>
      <c r="EB1548" s="4"/>
      <c r="EC1548" s="4"/>
      <c r="ED1548" s="4"/>
      <c r="EE1548" s="4"/>
      <c r="EF1548" s="4"/>
      <c r="EG1548" s="4"/>
      <c r="EH1548" s="4"/>
      <c r="EI1548" s="4"/>
      <c r="EJ1548" s="4"/>
      <c r="EK1548" s="4"/>
      <c r="EL1548" s="4"/>
      <c r="EM1548" s="4"/>
      <c r="EN1548" s="4"/>
      <c r="EO1548" s="4"/>
      <c r="EP1548" s="4"/>
      <c r="EQ1548" s="4"/>
      <c r="ER1548" s="4"/>
      <c r="ES1548" s="4"/>
      <c r="ET1548" s="4"/>
      <c r="EU1548" s="4"/>
      <c r="EV1548" s="4"/>
      <c r="EW1548" s="4"/>
      <c r="EX1548" s="4"/>
      <c r="EY1548" s="4"/>
      <c r="EZ1548" s="4"/>
      <c r="FA1548" s="4"/>
      <c r="FB1548" s="4"/>
      <c r="FC1548" s="4"/>
      <c r="FD1548" s="4"/>
      <c r="FE1548" s="4"/>
      <c r="FF1548" s="4">
        <v>111</v>
      </c>
      <c r="FG1548" s="4"/>
      <c r="FH1548" s="4"/>
      <c r="FI1548" s="4"/>
      <c r="FJ1548" s="4"/>
      <c r="FK1548" s="4"/>
      <c r="FL1548" s="4"/>
      <c r="FM1548" s="4"/>
      <c r="FN1548" s="4"/>
      <c r="FO1548" s="4"/>
      <c r="FP1548" s="4"/>
      <c r="FQ1548" s="4"/>
      <c r="FR1548" s="4"/>
      <c r="FS1548" s="4"/>
      <c r="FT1548" s="4"/>
      <c r="FU1548" s="4"/>
      <c r="FV1548" s="4"/>
      <c r="FW1548" s="4"/>
      <c r="FX1548" s="4"/>
      <c r="FY1548" s="4"/>
      <c r="FZ1548" s="4"/>
      <c r="GA1548" s="4"/>
      <c r="GB1548" s="4"/>
      <c r="GC1548" s="4"/>
      <c r="GD1548" s="4"/>
      <c r="GE1548" s="4"/>
      <c r="GF1548" s="4"/>
      <c r="GG1548" s="4"/>
      <c r="GH1548" s="4"/>
    </row>
    <row r="1549">
      <c r="A1549" s="2" t="s">
        <v>8265</v>
      </c>
      <c r="B1549" s="2" t="s">
        <v>744</v>
      </c>
      <c r="C1549" s="2" t="s">
        <v>730</v>
      </c>
      <c r="D1549" s="2" t="s">
        <v>783</v>
      </c>
      <c r="E1549" s="2" t="s">
        <v>784</v>
      </c>
      <c r="F1549" s="2" t="s">
        <v>8266</v>
      </c>
      <c r="G1549" s="2" t="s">
        <v>8266</v>
      </c>
      <c r="H1549" s="2" t="s">
        <v>8266</v>
      </c>
      <c r="I1549" s="2" t="s">
        <v>784</v>
      </c>
      <c r="J1549" s="2" t="s">
        <v>711</v>
      </c>
      <c r="K1549" s="2" t="s">
        <v>8267</v>
      </c>
      <c r="L1549" s="3">
        <v>299</v>
      </c>
      <c r="M1549" s="3">
        <v>313.95</v>
      </c>
      <c r="N1549" s="3">
        <v>629</v>
      </c>
      <c r="O1549" s="2" t="s">
        <v>417</v>
      </c>
      <c r="P1549" s="2" t="s">
        <v>285</v>
      </c>
      <c r="Q1549" s="2" t="s">
        <v>206</v>
      </c>
      <c r="R1549" s="2" t="s">
        <v>200</v>
      </c>
      <c r="S1549" s="2" t="s">
        <v>200</v>
      </c>
      <c r="T1549" s="2" t="s">
        <v>200</v>
      </c>
      <c r="U1549" s="2" t="s">
        <v>270</v>
      </c>
      <c r="V1549" s="2" t="s">
        <v>208</v>
      </c>
      <c r="W1549" s="2" t="s">
        <v>379</v>
      </c>
      <c r="X1549" s="2" t="s">
        <v>2053</v>
      </c>
      <c r="Y1549" s="2" t="s">
        <v>8268</v>
      </c>
      <c r="Z1549" s="4">
        <v>16</v>
      </c>
      <c r="AA1549" s="4">
        <f>=ROUNDDOWN(8,0)</f>
      </c>
      <c r="AB1549" s="5">
        <v>2</v>
      </c>
      <c r="AC1549" s="2" t="s">
        <v>200</v>
      </c>
      <c r="AD1549" s="4"/>
      <c r="AE1549" s="4"/>
      <c r="AF1549" s="6">
        <v>65</v>
      </c>
      <c r="AG1549" s="6"/>
      <c r="AH1549" s="7">
        <v>1</v>
      </c>
      <c r="AI1549" s="4"/>
      <c r="AJ1549" s="4">
        <f>=ROUNDDOWN({0},0)</f>
      </c>
      <c r="AK1549" s="5"/>
      <c r="AL1549" s="2" t="s">
        <v>200</v>
      </c>
      <c r="AM1549" s="4"/>
      <c r="AN1549" s="4"/>
      <c r="AO1549" s="7"/>
      <c r="AP1549" s="4"/>
      <c r="AQ1549" s="8"/>
      <c r="AR1549" s="4"/>
      <c r="AS1549" s="8"/>
      <c r="AT1549" s="7"/>
      <c r="AU1549" s="7"/>
      <c r="AV1549" s="4"/>
      <c r="AW1549" s="8"/>
      <c r="AX1549" s="4"/>
      <c r="AY1549" s="8"/>
      <c r="AZ1549" s="7"/>
      <c r="BA1549" s="7"/>
      <c r="BB1549" s="7"/>
      <c r="BC1549" s="4"/>
      <c r="BD1549" s="8"/>
      <c r="BE1549" s="4"/>
      <c r="BF1549" s="8"/>
      <c r="BG1549" s="7"/>
      <c r="BH1549" s="7"/>
      <c r="BI1549" s="7"/>
      <c r="BJ1549" s="4">
        <v>4</v>
      </c>
      <c r="BK1549" s="8">
        <v>950.64</v>
      </c>
      <c r="BL1549" s="2" t="s">
        <v>8269</v>
      </c>
      <c r="BM1549" s="7"/>
      <c r="BN1549" s="7"/>
      <c r="BO1549" s="4"/>
      <c r="BP1549" s="8"/>
      <c r="BQ1549" s="4"/>
      <c r="BR1549" s="8"/>
      <c r="BS1549" s="7"/>
      <c r="BT1549" s="7"/>
      <c r="BU1549" s="2" t="s">
        <v>8270</v>
      </c>
      <c r="BV1549" s="2" t="s">
        <v>200</v>
      </c>
      <c r="BW1549" s="2" t="s">
        <v>200</v>
      </c>
      <c r="BX1549" s="2" t="s">
        <v>289</v>
      </c>
      <c r="BY1549" s="2" t="s">
        <v>247</v>
      </c>
      <c r="BZ1549" s="2" t="s">
        <v>212</v>
      </c>
      <c r="CA1549" s="2" t="s">
        <v>8271</v>
      </c>
      <c r="CB1549" s="2" t="s">
        <v>8272</v>
      </c>
      <c r="CC1549" s="2" t="s">
        <v>213</v>
      </c>
      <c r="CD1549" s="2" t="s">
        <v>200</v>
      </c>
      <c r="CE1549" s="4"/>
      <c r="CF1549" s="4">
        <v>16</v>
      </c>
      <c r="CG1549" s="4"/>
      <c r="CH1549" s="4"/>
      <c r="CI1549" s="4"/>
      <c r="CJ1549" s="4"/>
      <c r="CK1549" s="4"/>
      <c r="CL1549" s="4"/>
      <c r="CM1549" s="4"/>
      <c r="CN1549" s="4"/>
      <c r="CO1549" s="4"/>
      <c r="CP1549" s="4"/>
      <c r="CQ1549" s="4"/>
      <c r="CR1549" s="4"/>
      <c r="CS1549" s="4"/>
      <c r="CT1549" s="4"/>
      <c r="CU1549" s="4"/>
      <c r="CV1549" s="4"/>
      <c r="CW1549" s="4"/>
      <c r="CX1549" s="4"/>
      <c r="CY1549" s="4"/>
      <c r="CZ1549" s="4"/>
      <c r="DA1549" s="4"/>
      <c r="DB1549" s="4"/>
      <c r="DC1549" s="4"/>
      <c r="DD1549" s="4"/>
      <c r="DE1549" s="4"/>
      <c r="DF1549" s="4"/>
      <c r="DG1549" s="4"/>
      <c r="DH1549" s="4"/>
      <c r="DI1549" s="4"/>
      <c r="DJ1549" s="4"/>
      <c r="DK1549" s="4"/>
      <c r="DL1549" s="4"/>
      <c r="DM1549" s="4"/>
      <c r="DN1549" s="4"/>
      <c r="DO1549" s="4"/>
      <c r="DP1549" s="4"/>
      <c r="DQ1549" s="4"/>
      <c r="DR1549" s="4"/>
      <c r="DS1549" s="4"/>
      <c r="DT1549" s="4"/>
      <c r="DU1549" s="4"/>
      <c r="DV1549" s="4"/>
      <c r="DW1549" s="4"/>
      <c r="DX1549" s="4"/>
      <c r="DY1549" s="4"/>
      <c r="DZ1549" s="4"/>
      <c r="EA1549" s="4"/>
      <c r="EB1549" s="4"/>
      <c r="EC1549" s="4"/>
      <c r="ED1549" s="4"/>
      <c r="EE1549" s="4"/>
      <c r="EF1549" s="4"/>
      <c r="EG1549" s="4"/>
      <c r="EH1549" s="4"/>
      <c r="EI1549" s="4"/>
      <c r="EJ1549" s="4"/>
      <c r="EK1549" s="4"/>
      <c r="EL1549" s="4"/>
      <c r="EM1549" s="4"/>
      <c r="EN1549" s="4"/>
      <c r="EO1549" s="4"/>
      <c r="EP1549" s="4"/>
      <c r="EQ1549" s="4"/>
      <c r="ER1549" s="4"/>
      <c r="ES1549" s="4"/>
      <c r="ET1549" s="4"/>
      <c r="EU1549" s="4"/>
      <c r="EV1549" s="4"/>
      <c r="EW1549" s="4"/>
      <c r="EX1549" s="4"/>
      <c r="EY1549" s="4"/>
      <c r="EZ1549" s="4"/>
      <c r="FA1549" s="4"/>
      <c r="FB1549" s="4"/>
      <c r="FC1549" s="4"/>
      <c r="FD1549" s="4"/>
      <c r="FE1549" s="4"/>
      <c r="FF1549" s="4"/>
      <c r="FG1549" s="4"/>
      <c r="FH1549" s="4"/>
      <c r="FI1549" s="4"/>
      <c r="FJ1549" s="4"/>
      <c r="FK1549" s="4"/>
      <c r="FL1549" s="4"/>
      <c r="FM1549" s="4"/>
      <c r="FN1549" s="4"/>
      <c r="FO1549" s="4"/>
      <c r="FP1549" s="4"/>
      <c r="FQ1549" s="4"/>
      <c r="FR1549" s="4"/>
      <c r="FS1549" s="4"/>
      <c r="FT1549" s="4"/>
      <c r="FU1549" s="4"/>
      <c r="FV1549" s="4"/>
      <c r="FW1549" s="4"/>
      <c r="FX1549" s="4"/>
      <c r="FY1549" s="4"/>
      <c r="FZ1549" s="4"/>
      <c r="GA1549" s="4"/>
      <c r="GB1549" s="4"/>
      <c r="GC1549" s="4"/>
      <c r="GD1549" s="4"/>
      <c r="GE1549" s="4"/>
      <c r="GF1549" s="4"/>
      <c r="GG1549" s="4"/>
      <c r="GH1549" s="4"/>
    </row>
    <row r="1550">
      <c r="A1550" s="2" t="s">
        <v>8273</v>
      </c>
      <c r="B1550" s="2" t="s">
        <v>744</v>
      </c>
      <c r="C1550" s="2" t="s">
        <v>745</v>
      </c>
      <c r="D1550" s="2" t="s">
        <v>1275</v>
      </c>
      <c r="E1550" s="2" t="s">
        <v>1276</v>
      </c>
      <c r="F1550" s="2" t="s">
        <v>8274</v>
      </c>
      <c r="G1550" s="2" t="s">
        <v>8274</v>
      </c>
      <c r="H1550" s="2" t="s">
        <v>8274</v>
      </c>
      <c r="I1550" s="2" t="s">
        <v>2093</v>
      </c>
      <c r="J1550" s="2" t="s">
        <v>711</v>
      </c>
      <c r="K1550" s="2" t="s">
        <v>1174</v>
      </c>
      <c r="L1550" s="3">
        <v>226.1</v>
      </c>
      <c r="M1550" s="3">
        <v>237.4</v>
      </c>
      <c r="N1550" s="3">
        <v>479</v>
      </c>
      <c r="O1550" s="2" t="s">
        <v>212</v>
      </c>
      <c r="P1550" s="2" t="s">
        <v>258</v>
      </c>
      <c r="Q1550" s="2" t="s">
        <v>206</v>
      </c>
      <c r="R1550" s="2" t="s">
        <v>200</v>
      </c>
      <c r="S1550" s="2" t="s">
        <v>8275</v>
      </c>
      <c r="T1550" s="2" t="s">
        <v>200</v>
      </c>
      <c r="U1550" s="2" t="s">
        <v>200</v>
      </c>
      <c r="V1550" s="2" t="s">
        <v>208</v>
      </c>
      <c r="W1550" s="2" t="s">
        <v>2095</v>
      </c>
      <c r="X1550" s="2" t="s">
        <v>200</v>
      </c>
      <c r="Y1550" s="2" t="s">
        <v>8276</v>
      </c>
      <c r="Z1550" s="4">
        <v>8</v>
      </c>
      <c r="AA1550" s="4">
        <f>=ROUNDDOWN(1.6,0)</f>
      </c>
      <c r="AB1550" s="5">
        <v>5</v>
      </c>
      <c r="AC1550" s="2" t="s">
        <v>116</v>
      </c>
      <c r="AD1550" s="4">
        <v>102</v>
      </c>
      <c r="AE1550" s="4">
        <v>298</v>
      </c>
      <c r="AF1550" s="6">
        <v>66</v>
      </c>
      <c r="AG1550" s="6"/>
      <c r="AH1550" s="7">
        <v>0.5333</v>
      </c>
      <c r="AI1550" s="4"/>
      <c r="AJ1550" s="4">
        <f>=ROUNDDOWN({0},0)</f>
      </c>
      <c r="AK1550" s="5"/>
      <c r="AL1550" s="2" t="s">
        <v>200</v>
      </c>
      <c r="AM1550" s="4"/>
      <c r="AN1550" s="4"/>
      <c r="AO1550" s="7"/>
      <c r="AP1550" s="4"/>
      <c r="AQ1550" s="8"/>
      <c r="AR1550" s="4"/>
      <c r="AS1550" s="8"/>
      <c r="AT1550" s="7"/>
      <c r="AU1550" s="7"/>
      <c r="AV1550" s="4"/>
      <c r="AW1550" s="8"/>
      <c r="AX1550" s="4"/>
      <c r="AY1550" s="8"/>
      <c r="AZ1550" s="7"/>
      <c r="BA1550" s="7"/>
      <c r="BB1550" s="7"/>
      <c r="BC1550" s="4"/>
      <c r="BD1550" s="8"/>
      <c r="BE1550" s="4"/>
      <c r="BF1550" s="8"/>
      <c r="BG1550" s="7"/>
      <c r="BH1550" s="7"/>
      <c r="BI1550" s="7"/>
      <c r="BJ1550" s="4">
        <v>40</v>
      </c>
      <c r="BK1550" s="8">
        <v>8095.38</v>
      </c>
      <c r="BL1550" s="2" t="s">
        <v>8277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8278</v>
      </c>
      <c r="BV1550" s="2" t="s">
        <v>200</v>
      </c>
      <c r="BW1550" s="2" t="s">
        <v>200</v>
      </c>
      <c r="BX1550" s="2" t="s">
        <v>264</v>
      </c>
      <c r="BY1550" s="2" t="s">
        <v>247</v>
      </c>
      <c r="BZ1550" s="2" t="s">
        <v>212</v>
      </c>
      <c r="CA1550" s="2" t="s">
        <v>7281</v>
      </c>
      <c r="CB1550" s="2" t="s">
        <v>8279</v>
      </c>
      <c r="CC1550" s="2" t="s">
        <v>213</v>
      </c>
      <c r="CD1550" s="2" t="s">
        <v>200</v>
      </c>
      <c r="CE1550" s="4"/>
      <c r="CF1550" s="4">
        <v>8</v>
      </c>
      <c r="CG1550" s="4"/>
      <c r="CH1550" s="4"/>
      <c r="CI1550" s="4"/>
      <c r="CJ1550" s="4"/>
      <c r="CK1550" s="4"/>
      <c r="CL1550" s="4"/>
      <c r="CM1550" s="4"/>
      <c r="CN1550" s="4"/>
      <c r="CO1550" s="4"/>
      <c r="CP1550" s="4"/>
      <c r="CQ1550" s="4"/>
      <c r="CR1550" s="4"/>
      <c r="CS1550" s="4"/>
      <c r="CT1550" s="4"/>
      <c r="CU1550" s="4"/>
      <c r="CV1550" s="4"/>
      <c r="CW1550" s="4"/>
      <c r="CX1550" s="4"/>
      <c r="CY1550" s="4"/>
      <c r="CZ1550" s="4"/>
      <c r="DA1550" s="4"/>
      <c r="DB1550" s="4"/>
      <c r="DC1550" s="4">
        <v>102</v>
      </c>
      <c r="DD1550" s="4"/>
      <c r="DE1550" s="4"/>
      <c r="DF1550" s="4"/>
      <c r="DG1550" s="4"/>
      <c r="DH1550" s="4"/>
      <c r="DI1550" s="4"/>
      <c r="DJ1550" s="4"/>
      <c r="DK1550" s="4"/>
      <c r="DL1550" s="4"/>
      <c r="DM1550" s="4"/>
      <c r="DN1550" s="4"/>
      <c r="DO1550" s="4"/>
      <c r="DP1550" s="4"/>
      <c r="DQ1550" s="4"/>
      <c r="DR1550" s="4"/>
      <c r="DS1550" s="4"/>
      <c r="DT1550" s="4"/>
      <c r="DU1550" s="4"/>
      <c r="DV1550" s="4"/>
      <c r="DW1550" s="4">
        <v>86</v>
      </c>
      <c r="DX1550" s="4"/>
      <c r="DY1550" s="4"/>
      <c r="DZ1550" s="4"/>
      <c r="EA1550" s="4"/>
      <c r="EB1550" s="4"/>
      <c r="EC1550" s="4"/>
      <c r="ED1550" s="4"/>
      <c r="EE1550" s="4"/>
      <c r="EF1550" s="4"/>
      <c r="EG1550" s="4"/>
      <c r="EH1550" s="4"/>
      <c r="EI1550" s="4"/>
      <c r="EJ1550" s="4"/>
      <c r="EK1550" s="4"/>
      <c r="EL1550" s="4"/>
      <c r="EM1550" s="4"/>
      <c r="EN1550" s="4"/>
      <c r="EO1550" s="4"/>
      <c r="EP1550" s="4"/>
      <c r="EQ1550" s="4"/>
      <c r="ER1550" s="4"/>
      <c r="ES1550" s="4"/>
      <c r="ET1550" s="4"/>
      <c r="EU1550" s="4"/>
      <c r="EV1550" s="4"/>
      <c r="EW1550" s="4"/>
      <c r="EX1550" s="4"/>
      <c r="EY1550" s="4"/>
      <c r="EZ1550" s="4"/>
      <c r="FA1550" s="4"/>
      <c r="FB1550" s="4"/>
      <c r="FC1550" s="4"/>
      <c r="FD1550" s="4"/>
      <c r="FE1550" s="4"/>
      <c r="FF1550" s="4"/>
      <c r="FG1550" s="4"/>
      <c r="FH1550" s="4"/>
      <c r="FI1550" s="4">
        <v>110</v>
      </c>
      <c r="FJ1550" s="4"/>
      <c r="FK1550" s="4"/>
      <c r="FL1550" s="4"/>
      <c r="FM1550" s="4"/>
      <c r="FN1550" s="4"/>
      <c r="FO1550" s="4"/>
      <c r="FP1550" s="4"/>
      <c r="FQ1550" s="4"/>
      <c r="FR1550" s="4"/>
      <c r="FS1550" s="4"/>
      <c r="FT1550" s="4"/>
      <c r="FU1550" s="4"/>
      <c r="FV1550" s="4"/>
      <c r="FW1550" s="4"/>
      <c r="FX1550" s="4"/>
      <c r="FY1550" s="4"/>
      <c r="FZ1550" s="4"/>
      <c r="GA1550" s="4"/>
      <c r="GB1550" s="4"/>
      <c r="GC1550" s="4"/>
      <c r="GD1550" s="4"/>
      <c r="GE1550" s="4"/>
      <c r="GF1550" s="4"/>
      <c r="GG1550" s="4"/>
      <c r="GH1550" s="4"/>
    </row>
    <row r="1551">
      <c r="A1551" s="2" t="s">
        <v>8280</v>
      </c>
      <c r="B1551" s="2" t="s">
        <v>932</v>
      </c>
      <c r="C1551" s="2" t="s">
        <v>877</v>
      </c>
      <c r="D1551" s="2" t="s">
        <v>918</v>
      </c>
      <c r="E1551" s="2" t="s">
        <v>919</v>
      </c>
      <c r="F1551" s="2" t="s">
        <v>8281</v>
      </c>
      <c r="G1551" s="2" t="s">
        <v>8282</v>
      </c>
      <c r="H1551" s="2" t="s">
        <v>5572</v>
      </c>
      <c r="I1551" s="2" t="s">
        <v>8283</v>
      </c>
      <c r="J1551" s="2" t="s">
        <v>1390</v>
      </c>
      <c r="K1551" s="2" t="s">
        <v>2359</v>
      </c>
      <c r="L1551" s="3">
        <v>19.04</v>
      </c>
      <c r="M1551" s="3">
        <v>19.99</v>
      </c>
      <c r="N1551" s="3">
        <v>39.99</v>
      </c>
      <c r="O1551" s="2" t="s">
        <v>212</v>
      </c>
      <c r="P1551" s="2" t="s">
        <v>205</v>
      </c>
      <c r="Q1551" s="2" t="s">
        <v>206</v>
      </c>
      <c r="R1551" s="2" t="s">
        <v>200</v>
      </c>
      <c r="S1551" s="2" t="s">
        <v>8284</v>
      </c>
      <c r="T1551" s="2" t="s">
        <v>1176</v>
      </c>
      <c r="U1551" s="2" t="s">
        <v>677</v>
      </c>
      <c r="V1551" s="2" t="s">
        <v>1068</v>
      </c>
      <c r="W1551" s="2" t="s">
        <v>241</v>
      </c>
      <c r="X1551" s="2" t="s">
        <v>419</v>
      </c>
      <c r="Y1551" s="2" t="s">
        <v>1328</v>
      </c>
      <c r="Z1551" s="4">
        <v>52</v>
      </c>
      <c r="AA1551" s="4">
        <f>=ROUNDDOWN(26,0)</f>
      </c>
      <c r="AB1551" s="5">
        <v>2</v>
      </c>
      <c r="AC1551" s="2" t="s">
        <v>200</v>
      </c>
      <c r="AD1551" s="4"/>
      <c r="AE1551" s="4"/>
      <c r="AF1551" s="6">
        <v>64</v>
      </c>
      <c r="AG1551" s="6"/>
      <c r="AH1551" s="7">
        <v>1</v>
      </c>
      <c r="AI1551" s="4"/>
      <c r="AJ1551" s="4">
        <f>=ROUNDDOWN({0},0)</f>
      </c>
      <c r="AK1551" s="5"/>
      <c r="AL1551" s="2" t="s">
        <v>200</v>
      </c>
      <c r="AM1551" s="4"/>
      <c r="AN1551" s="4"/>
      <c r="AO1551" s="7"/>
      <c r="AP1551" s="4"/>
      <c r="AQ1551" s="8"/>
      <c r="AR1551" s="4"/>
      <c r="AS1551" s="8"/>
      <c r="AT1551" s="7"/>
      <c r="AU1551" s="7"/>
      <c r="AV1551" s="4" t="s">
        <v>200</v>
      </c>
      <c r="AW1551" s="8" t="s">
        <v>200</v>
      </c>
      <c r="AX1551" s="4" t="s">
        <v>200</v>
      </c>
      <c r="AY1551" s="8" t="s">
        <v>200</v>
      </c>
      <c r="AZ1551" s="7" t="s">
        <v>200</v>
      </c>
      <c r="BA1551" s="7" t="s">
        <v>200</v>
      </c>
      <c r="BB1551" s="7"/>
      <c r="BC1551" s="4" t="s">
        <v>200</v>
      </c>
      <c r="BD1551" s="8" t="s">
        <v>200</v>
      </c>
      <c r="BE1551" s="4" t="s">
        <v>200</v>
      </c>
      <c r="BF1551" s="8" t="s">
        <v>200</v>
      </c>
      <c r="BG1551" s="7" t="s">
        <v>200</v>
      </c>
      <c r="BH1551" s="7" t="s">
        <v>200</v>
      </c>
      <c r="BI1551" s="7"/>
      <c r="BJ1551" s="4">
        <v>5</v>
      </c>
      <c r="BK1551" s="8">
        <v>108.26</v>
      </c>
      <c r="BL1551" s="2" t="s">
        <v>1184</v>
      </c>
      <c r="BM1551" s="7"/>
      <c r="BN1551" s="7"/>
      <c r="BO1551" s="4"/>
      <c r="BP1551" s="8"/>
      <c r="BQ1551" s="4"/>
      <c r="BR1551" s="8"/>
      <c r="BS1551" s="7"/>
      <c r="BT1551" s="7"/>
      <c r="BU1551" s="2" t="s">
        <v>8285</v>
      </c>
      <c r="BV1551" s="2" t="s">
        <v>200</v>
      </c>
      <c r="BW1551" s="2" t="s">
        <v>200</v>
      </c>
      <c r="BX1551" s="2" t="s">
        <v>264</v>
      </c>
      <c r="BY1551" s="2" t="s">
        <v>247</v>
      </c>
      <c r="BZ1551" s="2" t="s">
        <v>212</v>
      </c>
      <c r="CA1551" s="2" t="s">
        <v>915</v>
      </c>
      <c r="CB1551" s="2" t="s">
        <v>200</v>
      </c>
      <c r="CC1551" s="2" t="s">
        <v>213</v>
      </c>
      <c r="CD1551" s="2" t="s">
        <v>200</v>
      </c>
      <c r="CE1551" s="4">
        <v>52</v>
      </c>
      <c r="CF1551" s="4"/>
      <c r="CG1551" s="4"/>
      <c r="CH1551" s="4"/>
      <c r="CI1551" s="4"/>
      <c r="CJ1551" s="4"/>
      <c r="CK1551" s="4"/>
      <c r="CL1551" s="4"/>
      <c r="CM1551" s="4"/>
      <c r="CN1551" s="4"/>
      <c r="CO1551" s="4"/>
      <c r="CP1551" s="4"/>
      <c r="CQ1551" s="4"/>
      <c r="CR1551" s="4"/>
      <c r="CS1551" s="4"/>
      <c r="CT1551" s="4"/>
      <c r="CU1551" s="4"/>
      <c r="CV1551" s="4"/>
      <c r="CW1551" s="4"/>
      <c r="CX1551" s="4"/>
      <c r="CY1551" s="4"/>
      <c r="CZ1551" s="4"/>
      <c r="DA1551" s="4"/>
      <c r="DB1551" s="4"/>
      <c r="DC1551" s="4"/>
      <c r="DD1551" s="4"/>
      <c r="DE1551" s="4"/>
      <c r="DF1551" s="4"/>
      <c r="DG1551" s="4"/>
      <c r="DH1551" s="4"/>
      <c r="DI1551" s="4"/>
      <c r="DJ1551" s="4"/>
      <c r="DK1551" s="4"/>
      <c r="DL1551" s="4"/>
      <c r="DM1551" s="4"/>
      <c r="DN1551" s="4"/>
      <c r="DO1551" s="4"/>
      <c r="DP1551" s="4"/>
      <c r="DQ1551" s="4"/>
      <c r="DR1551" s="4"/>
      <c r="DS1551" s="4"/>
      <c r="DT1551" s="4"/>
      <c r="DU1551" s="4"/>
      <c r="DV1551" s="4"/>
      <c r="DW1551" s="4"/>
      <c r="DX1551" s="4"/>
      <c r="DY1551" s="4"/>
      <c r="DZ1551" s="4"/>
      <c r="EA1551" s="4"/>
      <c r="EB1551" s="4"/>
      <c r="EC1551" s="4"/>
      <c r="ED1551" s="4"/>
      <c r="EE1551" s="4"/>
      <c r="EF1551" s="4"/>
      <c r="EG1551" s="4"/>
      <c r="EH1551" s="4"/>
      <c r="EI1551" s="4"/>
      <c r="EJ1551" s="4"/>
      <c r="EK1551" s="4"/>
      <c r="EL1551" s="4"/>
      <c r="EM1551" s="4"/>
      <c r="EN1551" s="4"/>
      <c r="EO1551" s="4"/>
      <c r="EP1551" s="4"/>
      <c r="EQ1551" s="4"/>
      <c r="ER1551" s="4"/>
      <c r="ES1551" s="4"/>
      <c r="ET1551" s="4"/>
      <c r="EU1551" s="4"/>
      <c r="EV1551" s="4"/>
      <c r="EW1551" s="4"/>
      <c r="EX1551" s="4"/>
      <c r="EY1551" s="4"/>
      <c r="EZ1551" s="4"/>
      <c r="FA1551" s="4"/>
      <c r="FB1551" s="4"/>
      <c r="FC1551" s="4"/>
      <c r="FD1551" s="4"/>
      <c r="FE1551" s="4"/>
      <c r="FF1551" s="4"/>
      <c r="FG1551" s="4"/>
      <c r="FH1551" s="4"/>
      <c r="FI1551" s="4"/>
      <c r="FJ1551" s="4"/>
      <c r="FK1551" s="4"/>
      <c r="FL1551" s="4"/>
      <c r="FM1551" s="4"/>
      <c r="FN1551" s="4"/>
      <c r="FO1551" s="4"/>
      <c r="FP1551" s="4"/>
      <c r="FQ1551" s="4"/>
      <c r="FR1551" s="4"/>
      <c r="FS1551" s="4"/>
      <c r="FT1551" s="4"/>
      <c r="FU1551" s="4"/>
      <c r="FV1551" s="4"/>
      <c r="FW1551" s="4"/>
      <c r="FX1551" s="4"/>
      <c r="FY1551" s="4"/>
      <c r="FZ1551" s="4"/>
      <c r="GA1551" s="4"/>
      <c r="GB1551" s="4"/>
      <c r="GC1551" s="4"/>
      <c r="GD1551" s="4"/>
      <c r="GE1551" s="4"/>
      <c r="GF1551" s="4"/>
      <c r="GG1551" s="4"/>
      <c r="GH1551" s="4"/>
    </row>
    <row r="1552">
      <c r="A1552" s="2" t="s">
        <v>8286</v>
      </c>
      <c r="B1552" s="2" t="s">
        <v>932</v>
      </c>
      <c r="C1552" s="2" t="s">
        <v>877</v>
      </c>
      <c r="D1552" s="2" t="s">
        <v>918</v>
      </c>
      <c r="E1552" s="2" t="s">
        <v>919</v>
      </c>
      <c r="F1552" s="2" t="s">
        <v>8281</v>
      </c>
      <c r="G1552" s="2" t="s">
        <v>8282</v>
      </c>
      <c r="H1552" s="2" t="s">
        <v>5572</v>
      </c>
      <c r="I1552" s="2" t="s">
        <v>8283</v>
      </c>
      <c r="J1552" s="2" t="s">
        <v>612</v>
      </c>
      <c r="K1552" s="2" t="s">
        <v>2359</v>
      </c>
      <c r="L1552" s="3">
        <v>23.8</v>
      </c>
      <c r="M1552" s="3">
        <v>24.99</v>
      </c>
      <c r="N1552" s="3">
        <v>49.99</v>
      </c>
      <c r="O1552" s="2" t="s">
        <v>212</v>
      </c>
      <c r="P1552" s="2" t="s">
        <v>205</v>
      </c>
      <c r="Q1552" s="2" t="s">
        <v>206</v>
      </c>
      <c r="R1552" s="2" t="s">
        <v>200</v>
      </c>
      <c r="S1552" s="2" t="s">
        <v>8284</v>
      </c>
      <c r="T1552" s="2" t="s">
        <v>1176</v>
      </c>
      <c r="U1552" s="2" t="s">
        <v>454</v>
      </c>
      <c r="V1552" s="2" t="s">
        <v>1068</v>
      </c>
      <c r="W1552" s="2" t="s">
        <v>241</v>
      </c>
      <c r="X1552" s="2" t="s">
        <v>419</v>
      </c>
      <c r="Y1552" s="2" t="s">
        <v>806</v>
      </c>
      <c r="Z1552" s="4">
        <v>176</v>
      </c>
      <c r="AA1552" s="4">
        <f>=ROUNDDOWN(44,0)</f>
      </c>
      <c r="AB1552" s="5">
        <v>4</v>
      </c>
      <c r="AC1552" s="2" t="s">
        <v>200</v>
      </c>
      <c r="AD1552" s="4"/>
      <c r="AE1552" s="4"/>
      <c r="AF1552" s="6">
        <v>64</v>
      </c>
      <c r="AG1552" s="6"/>
      <c r="AH1552" s="7">
        <v>1</v>
      </c>
      <c r="AI1552" s="4"/>
      <c r="AJ1552" s="4">
        <f>=ROUNDDOWN({0},0)</f>
      </c>
      <c r="AK1552" s="5"/>
      <c r="AL1552" s="2" t="s">
        <v>200</v>
      </c>
      <c r="AM1552" s="4"/>
      <c r="AN1552" s="4"/>
      <c r="AO1552" s="7"/>
      <c r="AP1552" s="4"/>
      <c r="AQ1552" s="8"/>
      <c r="AR1552" s="4"/>
      <c r="AS1552" s="8"/>
      <c r="AT1552" s="7"/>
      <c r="AU1552" s="7"/>
      <c r="AV1552" s="4" t="s">
        <v>200</v>
      </c>
      <c r="AW1552" s="8" t="s">
        <v>200</v>
      </c>
      <c r="AX1552" s="4" t="s">
        <v>200</v>
      </c>
      <c r="AY1552" s="8" t="s">
        <v>200</v>
      </c>
      <c r="AZ1552" s="7" t="s">
        <v>200</v>
      </c>
      <c r="BA1552" s="7" t="s">
        <v>200</v>
      </c>
      <c r="BB1552" s="7"/>
      <c r="BC1552" s="4" t="s">
        <v>200</v>
      </c>
      <c r="BD1552" s="8" t="s">
        <v>200</v>
      </c>
      <c r="BE1552" s="4" t="s">
        <v>200</v>
      </c>
      <c r="BF1552" s="8" t="s">
        <v>200</v>
      </c>
      <c r="BG1552" s="7" t="s">
        <v>200</v>
      </c>
      <c r="BH1552" s="7" t="s">
        <v>200</v>
      </c>
      <c r="BI1552" s="7"/>
      <c r="BJ1552" s="4">
        <v>17</v>
      </c>
      <c r="BK1552" s="8">
        <v>456.08</v>
      </c>
      <c r="BL1552" s="2" t="s">
        <v>293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8287</v>
      </c>
      <c r="BV1552" s="2" t="s">
        <v>200</v>
      </c>
      <c r="BW1552" s="2" t="s">
        <v>200</v>
      </c>
      <c r="BX1552" s="2" t="s">
        <v>264</v>
      </c>
      <c r="BY1552" s="2" t="s">
        <v>247</v>
      </c>
      <c r="BZ1552" s="2" t="s">
        <v>212</v>
      </c>
      <c r="CA1552" s="2" t="s">
        <v>915</v>
      </c>
      <c r="CB1552" s="2" t="s">
        <v>1105</v>
      </c>
      <c r="CC1552" s="2" t="s">
        <v>213</v>
      </c>
      <c r="CD1552" s="2" t="s">
        <v>200</v>
      </c>
      <c r="CE1552" s="4">
        <v>176</v>
      </c>
      <c r="CF1552" s="4"/>
      <c r="CG1552" s="4"/>
      <c r="CH1552" s="4"/>
      <c r="CI1552" s="4"/>
      <c r="CJ1552" s="4"/>
      <c r="CK1552" s="4"/>
      <c r="CL1552" s="4"/>
      <c r="CM1552" s="4"/>
      <c r="CN1552" s="4"/>
      <c r="CO1552" s="4"/>
      <c r="CP1552" s="4"/>
      <c r="CQ1552" s="4"/>
      <c r="CR1552" s="4"/>
      <c r="CS1552" s="4"/>
      <c r="CT1552" s="4"/>
      <c r="CU1552" s="4"/>
      <c r="CV1552" s="4"/>
      <c r="CW1552" s="4"/>
      <c r="CX1552" s="4"/>
      <c r="CY1552" s="4"/>
      <c r="CZ1552" s="4"/>
      <c r="DA1552" s="4"/>
      <c r="DB1552" s="4"/>
      <c r="DC1552" s="4"/>
      <c r="DD1552" s="4"/>
      <c r="DE1552" s="4"/>
      <c r="DF1552" s="4"/>
      <c r="DG1552" s="4"/>
      <c r="DH1552" s="4"/>
      <c r="DI1552" s="4"/>
      <c r="DJ1552" s="4"/>
      <c r="DK1552" s="4"/>
      <c r="DL1552" s="4"/>
      <c r="DM1552" s="4"/>
      <c r="DN1552" s="4"/>
      <c r="DO1552" s="4"/>
      <c r="DP1552" s="4"/>
      <c r="DQ1552" s="4"/>
      <c r="DR1552" s="4"/>
      <c r="DS1552" s="4"/>
      <c r="DT1552" s="4"/>
      <c r="DU1552" s="4"/>
      <c r="DV1552" s="4"/>
      <c r="DW1552" s="4"/>
      <c r="DX1552" s="4"/>
      <c r="DY1552" s="4"/>
      <c r="DZ1552" s="4"/>
      <c r="EA1552" s="4"/>
      <c r="EB1552" s="4"/>
      <c r="EC1552" s="4"/>
      <c r="ED1552" s="4"/>
      <c r="EE1552" s="4"/>
      <c r="EF1552" s="4"/>
      <c r="EG1552" s="4"/>
      <c r="EH1552" s="4"/>
      <c r="EI1552" s="4"/>
      <c r="EJ1552" s="4"/>
      <c r="EK1552" s="4"/>
      <c r="EL1552" s="4"/>
      <c r="EM1552" s="4"/>
      <c r="EN1552" s="4"/>
      <c r="EO1552" s="4"/>
      <c r="EP1552" s="4"/>
      <c r="EQ1552" s="4"/>
      <c r="ER1552" s="4"/>
      <c r="ES1552" s="4"/>
      <c r="ET1552" s="4"/>
      <c r="EU1552" s="4"/>
      <c r="EV1552" s="4"/>
      <c r="EW1552" s="4"/>
      <c r="EX1552" s="4"/>
      <c r="EY1552" s="4"/>
      <c r="EZ1552" s="4"/>
      <c r="FA1552" s="4"/>
      <c r="FB1552" s="4"/>
      <c r="FC1552" s="4"/>
      <c r="FD1552" s="4"/>
      <c r="FE1552" s="4"/>
      <c r="FF1552" s="4"/>
      <c r="FG1552" s="4"/>
      <c r="FH1552" s="4"/>
      <c r="FI1552" s="4"/>
      <c r="FJ1552" s="4"/>
      <c r="FK1552" s="4"/>
      <c r="FL1552" s="4"/>
      <c r="FM1552" s="4"/>
      <c r="FN1552" s="4"/>
      <c r="FO1552" s="4"/>
      <c r="FP1552" s="4"/>
      <c r="FQ1552" s="4"/>
      <c r="FR1552" s="4"/>
      <c r="FS1552" s="4"/>
      <c r="FT1552" s="4"/>
      <c r="FU1552" s="4"/>
      <c r="FV1552" s="4"/>
      <c r="FW1552" s="4"/>
      <c r="FX1552" s="4"/>
      <c r="FY1552" s="4"/>
      <c r="FZ1552" s="4"/>
      <c r="GA1552" s="4"/>
      <c r="GB1552" s="4"/>
      <c r="GC1552" s="4"/>
      <c r="GD1552" s="4"/>
      <c r="GE1552" s="4"/>
      <c r="GF1552" s="4"/>
      <c r="GG1552" s="4"/>
      <c r="GH1552" s="4"/>
    </row>
    <row r="1553">
      <c r="A1553" s="2" t="s">
        <v>8288</v>
      </c>
      <c r="B1553" s="2" t="s">
        <v>932</v>
      </c>
      <c r="C1553" s="2" t="s">
        <v>877</v>
      </c>
      <c r="D1553" s="2" t="s">
        <v>608</v>
      </c>
      <c r="E1553" s="2" t="s">
        <v>1324</v>
      </c>
      <c r="F1553" s="2" t="s">
        <v>8281</v>
      </c>
      <c r="G1553" s="2" t="s">
        <v>8282</v>
      </c>
      <c r="H1553" s="2" t="s">
        <v>5572</v>
      </c>
      <c r="I1553" s="2" t="s">
        <v>8289</v>
      </c>
      <c r="J1553" s="2" t="s">
        <v>924</v>
      </c>
      <c r="K1553" s="2" t="s">
        <v>2359</v>
      </c>
      <c r="L1553" s="3">
        <v>30.95</v>
      </c>
      <c r="M1553" s="3">
        <v>32.5</v>
      </c>
      <c r="N1553" s="3">
        <v>64.99</v>
      </c>
      <c r="O1553" s="2" t="s">
        <v>212</v>
      </c>
      <c r="P1553" s="2" t="s">
        <v>205</v>
      </c>
      <c r="Q1553" s="2" t="s">
        <v>206</v>
      </c>
      <c r="R1553" s="2" t="s">
        <v>200</v>
      </c>
      <c r="S1553" s="2" t="s">
        <v>8284</v>
      </c>
      <c r="T1553" s="2" t="s">
        <v>1176</v>
      </c>
      <c r="U1553" s="2" t="s">
        <v>454</v>
      </c>
      <c r="V1553" s="2" t="s">
        <v>1068</v>
      </c>
      <c r="W1553" s="2" t="s">
        <v>241</v>
      </c>
      <c r="X1553" s="2" t="s">
        <v>419</v>
      </c>
      <c r="Y1553" s="2" t="s">
        <v>1328</v>
      </c>
      <c r="Z1553" s="4">
        <v>75</v>
      </c>
      <c r="AA1553" s="4">
        <f>=ROUNDDOWN(25,0)</f>
      </c>
      <c r="AB1553" s="5">
        <v>3</v>
      </c>
      <c r="AC1553" s="2" t="s">
        <v>200</v>
      </c>
      <c r="AD1553" s="4"/>
      <c r="AE1553" s="4"/>
      <c r="AF1553" s="6">
        <v>64</v>
      </c>
      <c r="AG1553" s="6"/>
      <c r="AH1553" s="7">
        <v>1</v>
      </c>
      <c r="AI1553" s="4"/>
      <c r="AJ1553" s="4">
        <f>=ROUNDDOWN({0},0)</f>
      </c>
      <c r="AK1553" s="5"/>
      <c r="AL1553" s="2" t="s">
        <v>200</v>
      </c>
      <c r="AM1553" s="4"/>
      <c r="AN1553" s="4"/>
      <c r="AO1553" s="7"/>
      <c r="AP1553" s="4"/>
      <c r="AQ1553" s="8"/>
      <c r="AR1553" s="4"/>
      <c r="AS1553" s="8"/>
      <c r="AT1553" s="7"/>
      <c r="AU1553" s="7"/>
      <c r="AV1553" s="4" t="s">
        <v>200</v>
      </c>
      <c r="AW1553" s="8" t="s">
        <v>200</v>
      </c>
      <c r="AX1553" s="4" t="s">
        <v>200</v>
      </c>
      <c r="AY1553" s="8" t="s">
        <v>200</v>
      </c>
      <c r="AZ1553" s="7" t="s">
        <v>200</v>
      </c>
      <c r="BA1553" s="7" t="s">
        <v>200</v>
      </c>
      <c r="BB1553" s="7" t="s">
        <v>200</v>
      </c>
      <c r="BC1553" s="4" t="s">
        <v>200</v>
      </c>
      <c r="BD1553" s="8" t="s">
        <v>200</v>
      </c>
      <c r="BE1553" s="4" t="s">
        <v>200</v>
      </c>
      <c r="BF1553" s="8" t="s">
        <v>200</v>
      </c>
      <c r="BG1553" s="7" t="s">
        <v>200</v>
      </c>
      <c r="BH1553" s="7" t="s">
        <v>200</v>
      </c>
      <c r="BI1553" s="7"/>
      <c r="BJ1553" s="4">
        <v>9</v>
      </c>
      <c r="BK1553" s="8">
        <v>316.88</v>
      </c>
      <c r="BL1553" s="2" t="s">
        <v>359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8290</v>
      </c>
      <c r="BV1553" s="2" t="s">
        <v>200</v>
      </c>
      <c r="BW1553" s="2" t="s">
        <v>200</v>
      </c>
      <c r="BX1553" s="2" t="s">
        <v>264</v>
      </c>
      <c r="BY1553" s="2" t="s">
        <v>247</v>
      </c>
      <c r="BZ1553" s="2" t="s">
        <v>212</v>
      </c>
      <c r="CA1553" s="2" t="s">
        <v>915</v>
      </c>
      <c r="CB1553" s="2" t="s">
        <v>1183</v>
      </c>
      <c r="CC1553" s="2" t="s">
        <v>213</v>
      </c>
      <c r="CD1553" s="2" t="s">
        <v>200</v>
      </c>
      <c r="CE1553" s="4">
        <v>75</v>
      </c>
      <c r="CF1553" s="4"/>
      <c r="CG1553" s="4"/>
      <c r="CH1553" s="4"/>
      <c r="CI1553" s="4"/>
      <c r="CJ1553" s="4"/>
      <c r="CK1553" s="4"/>
      <c r="CL1553" s="4"/>
      <c r="CM1553" s="4"/>
      <c r="CN1553" s="4"/>
      <c r="CO1553" s="4"/>
      <c r="CP1553" s="4"/>
      <c r="CQ1553" s="4"/>
      <c r="CR1553" s="4"/>
      <c r="CS1553" s="4"/>
      <c r="CT1553" s="4"/>
      <c r="CU1553" s="4"/>
      <c r="CV1553" s="4"/>
      <c r="CW1553" s="4"/>
      <c r="CX1553" s="4"/>
      <c r="CY1553" s="4"/>
      <c r="CZ1553" s="4"/>
      <c r="DA1553" s="4"/>
      <c r="DB1553" s="4"/>
      <c r="DC1553" s="4"/>
      <c r="DD1553" s="4"/>
      <c r="DE1553" s="4"/>
      <c r="DF1553" s="4"/>
      <c r="DG1553" s="4"/>
      <c r="DH1553" s="4"/>
      <c r="DI1553" s="4"/>
      <c r="DJ1553" s="4"/>
      <c r="DK1553" s="4"/>
      <c r="DL1553" s="4"/>
      <c r="DM1553" s="4"/>
      <c r="DN1553" s="4"/>
      <c r="DO1553" s="4"/>
      <c r="DP1553" s="4"/>
      <c r="DQ1553" s="4"/>
      <c r="DR1553" s="4"/>
      <c r="DS1553" s="4"/>
      <c r="DT1553" s="4"/>
      <c r="DU1553" s="4"/>
      <c r="DV1553" s="4"/>
      <c r="DW1553" s="4"/>
      <c r="DX1553" s="4"/>
      <c r="DY1553" s="4"/>
      <c r="DZ1553" s="4"/>
      <c r="EA1553" s="4"/>
      <c r="EB1553" s="4"/>
      <c r="EC1553" s="4"/>
      <c r="ED1553" s="4"/>
      <c r="EE1553" s="4"/>
      <c r="EF1553" s="4"/>
      <c r="EG1553" s="4"/>
      <c r="EH1553" s="4"/>
      <c r="EI1553" s="4"/>
      <c r="EJ1553" s="4"/>
      <c r="EK1553" s="4"/>
      <c r="EL1553" s="4"/>
      <c r="EM1553" s="4"/>
      <c r="EN1553" s="4"/>
      <c r="EO1553" s="4"/>
      <c r="EP1553" s="4"/>
      <c r="EQ1553" s="4"/>
      <c r="ER1553" s="4"/>
      <c r="ES1553" s="4"/>
      <c r="ET1553" s="4"/>
      <c r="EU1553" s="4"/>
      <c r="EV1553" s="4"/>
      <c r="EW1553" s="4"/>
      <c r="EX1553" s="4"/>
      <c r="EY1553" s="4"/>
      <c r="EZ1553" s="4"/>
      <c r="FA1553" s="4"/>
      <c r="FB1553" s="4"/>
      <c r="FC1553" s="4"/>
      <c r="FD1553" s="4"/>
      <c r="FE1553" s="4"/>
      <c r="FF1553" s="4"/>
      <c r="FG1553" s="4"/>
      <c r="FH1553" s="4"/>
      <c r="FI1553" s="4"/>
      <c r="FJ1553" s="4"/>
      <c r="FK1553" s="4"/>
      <c r="FL1553" s="4"/>
      <c r="FM1553" s="4"/>
      <c r="FN1553" s="4"/>
      <c r="FO1553" s="4"/>
      <c r="FP1553" s="4"/>
      <c r="FQ1553" s="4"/>
      <c r="FR1553" s="4"/>
      <c r="FS1553" s="4"/>
      <c r="FT1553" s="4"/>
      <c r="FU1553" s="4"/>
      <c r="FV1553" s="4"/>
      <c r="FW1553" s="4"/>
      <c r="FX1553" s="4"/>
      <c r="FY1553" s="4"/>
      <c r="FZ1553" s="4"/>
      <c r="GA1553" s="4"/>
      <c r="GB1553" s="4"/>
      <c r="GC1553" s="4"/>
      <c r="GD1553" s="4"/>
      <c r="GE1553" s="4"/>
      <c r="GF1553" s="4"/>
      <c r="GG1553" s="4"/>
      <c r="GH1553" s="4"/>
    </row>
    <row r="1554">
      <c r="A1554" s="2" t="s">
        <v>8291</v>
      </c>
      <c r="B1554" s="2" t="s">
        <v>932</v>
      </c>
      <c r="C1554" s="2" t="s">
        <v>877</v>
      </c>
      <c r="D1554" s="2" t="s">
        <v>918</v>
      </c>
      <c r="E1554" s="2" t="s">
        <v>919</v>
      </c>
      <c r="F1554" s="2" t="s">
        <v>8281</v>
      </c>
      <c r="G1554" s="2" t="s">
        <v>8282</v>
      </c>
      <c r="H1554" s="2" t="s">
        <v>5572</v>
      </c>
      <c r="I1554" s="2" t="s">
        <v>8283</v>
      </c>
      <c r="J1554" s="2" t="s">
        <v>924</v>
      </c>
      <c r="K1554" s="2" t="s">
        <v>2359</v>
      </c>
      <c r="L1554" s="3">
        <v>26.19</v>
      </c>
      <c r="M1554" s="3">
        <v>27.5</v>
      </c>
      <c r="N1554" s="3">
        <v>54.99</v>
      </c>
      <c r="O1554" s="2" t="s">
        <v>212</v>
      </c>
      <c r="P1554" s="2" t="s">
        <v>205</v>
      </c>
      <c r="Q1554" s="2" t="s">
        <v>206</v>
      </c>
      <c r="R1554" s="2" t="s">
        <v>200</v>
      </c>
      <c r="S1554" s="2" t="s">
        <v>8284</v>
      </c>
      <c r="T1554" s="2" t="s">
        <v>1176</v>
      </c>
      <c r="U1554" s="2" t="s">
        <v>454</v>
      </c>
      <c r="V1554" s="2" t="s">
        <v>1068</v>
      </c>
      <c r="W1554" s="2" t="s">
        <v>241</v>
      </c>
      <c r="X1554" s="2" t="s">
        <v>419</v>
      </c>
      <c r="Y1554" s="2" t="s">
        <v>1328</v>
      </c>
      <c r="Z1554" s="4">
        <v>66</v>
      </c>
      <c r="AA1554" s="4">
        <f>=ROUNDDOWN(33,0)</f>
      </c>
      <c r="AB1554" s="5">
        <v>2</v>
      </c>
      <c r="AC1554" s="2" t="s">
        <v>200</v>
      </c>
      <c r="AD1554" s="4"/>
      <c r="AE1554" s="4"/>
      <c r="AF1554" s="6">
        <v>64</v>
      </c>
      <c r="AG1554" s="6"/>
      <c r="AH1554" s="7">
        <v>1</v>
      </c>
      <c r="AI1554" s="4"/>
      <c r="AJ1554" s="4">
        <f>=ROUNDDOWN({0},0)</f>
      </c>
      <c r="AK1554" s="5"/>
      <c r="AL1554" s="2" t="s">
        <v>200</v>
      </c>
      <c r="AM1554" s="4"/>
      <c r="AN1554" s="4"/>
      <c r="AO1554" s="7"/>
      <c r="AP1554" s="4"/>
      <c r="AQ1554" s="8"/>
      <c r="AR1554" s="4"/>
      <c r="AS1554" s="8"/>
      <c r="AT1554" s="7"/>
      <c r="AU1554" s="7"/>
      <c r="AV1554" s="4" t="s">
        <v>200</v>
      </c>
      <c r="AW1554" s="8" t="s">
        <v>200</v>
      </c>
      <c r="AX1554" s="4" t="s">
        <v>200</v>
      </c>
      <c r="AY1554" s="8" t="s">
        <v>200</v>
      </c>
      <c r="AZ1554" s="7" t="s">
        <v>200</v>
      </c>
      <c r="BA1554" s="7" t="s">
        <v>200</v>
      </c>
      <c r="BB1554" s="7" t="s">
        <v>200</v>
      </c>
      <c r="BC1554" s="4" t="s">
        <v>200</v>
      </c>
      <c r="BD1554" s="8" t="s">
        <v>200</v>
      </c>
      <c r="BE1554" s="4" t="s">
        <v>200</v>
      </c>
      <c r="BF1554" s="8" t="s">
        <v>200</v>
      </c>
      <c r="BG1554" s="7" t="s">
        <v>200</v>
      </c>
      <c r="BH1554" s="7" t="s">
        <v>200</v>
      </c>
      <c r="BI1554" s="7"/>
      <c r="BJ1554" s="4">
        <v>3</v>
      </c>
      <c r="BK1554" s="8">
        <v>87.32</v>
      </c>
      <c r="BL1554" s="2" t="s">
        <v>941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8292</v>
      </c>
      <c r="BV1554" s="2" t="s">
        <v>200</v>
      </c>
      <c r="BW1554" s="2" t="s">
        <v>200</v>
      </c>
      <c r="BX1554" s="2" t="s">
        <v>264</v>
      </c>
      <c r="BY1554" s="2" t="s">
        <v>247</v>
      </c>
      <c r="BZ1554" s="2" t="s">
        <v>212</v>
      </c>
      <c r="CA1554" s="2" t="s">
        <v>915</v>
      </c>
      <c r="CB1554" s="2" t="s">
        <v>200</v>
      </c>
      <c r="CC1554" s="2" t="s">
        <v>213</v>
      </c>
      <c r="CD1554" s="2" t="s">
        <v>200</v>
      </c>
      <c r="CE1554" s="4">
        <v>66</v>
      </c>
      <c r="CF1554" s="4"/>
      <c r="CG1554" s="4"/>
      <c r="CH1554" s="4"/>
      <c r="CI1554" s="4"/>
      <c r="CJ1554" s="4"/>
      <c r="CK1554" s="4"/>
      <c r="CL1554" s="4"/>
      <c r="CM1554" s="4"/>
      <c r="CN1554" s="4"/>
      <c r="CO1554" s="4"/>
      <c r="CP1554" s="4"/>
      <c r="CQ1554" s="4"/>
      <c r="CR1554" s="4"/>
      <c r="CS1554" s="4"/>
      <c r="CT1554" s="4"/>
      <c r="CU1554" s="4"/>
      <c r="CV1554" s="4"/>
      <c r="CW1554" s="4"/>
      <c r="CX1554" s="4"/>
      <c r="CY1554" s="4"/>
      <c r="CZ1554" s="4"/>
      <c r="DA1554" s="4"/>
      <c r="DB1554" s="4"/>
      <c r="DC1554" s="4"/>
      <c r="DD1554" s="4"/>
      <c r="DE1554" s="4"/>
      <c r="DF1554" s="4"/>
      <c r="DG1554" s="4"/>
      <c r="DH1554" s="4"/>
      <c r="DI1554" s="4"/>
      <c r="DJ1554" s="4"/>
      <c r="DK1554" s="4"/>
      <c r="DL1554" s="4"/>
      <c r="DM1554" s="4"/>
      <c r="DN1554" s="4"/>
      <c r="DO1554" s="4"/>
      <c r="DP1554" s="4"/>
      <c r="DQ1554" s="4"/>
      <c r="DR1554" s="4"/>
      <c r="DS1554" s="4"/>
      <c r="DT1554" s="4"/>
      <c r="DU1554" s="4"/>
      <c r="DV1554" s="4"/>
      <c r="DW1554" s="4"/>
      <c r="DX1554" s="4"/>
      <c r="DY1554" s="4"/>
      <c r="DZ1554" s="4"/>
      <c r="EA1554" s="4"/>
      <c r="EB1554" s="4"/>
      <c r="EC1554" s="4"/>
      <c r="ED1554" s="4"/>
      <c r="EE1554" s="4"/>
      <c r="EF1554" s="4"/>
      <c r="EG1554" s="4"/>
      <c r="EH1554" s="4"/>
      <c r="EI1554" s="4"/>
      <c r="EJ1554" s="4"/>
      <c r="EK1554" s="4"/>
      <c r="EL1554" s="4"/>
      <c r="EM1554" s="4"/>
      <c r="EN1554" s="4"/>
      <c r="EO1554" s="4"/>
      <c r="EP1554" s="4"/>
      <c r="EQ1554" s="4"/>
      <c r="ER1554" s="4"/>
      <c r="ES1554" s="4"/>
      <c r="ET1554" s="4"/>
      <c r="EU1554" s="4"/>
      <c r="EV1554" s="4"/>
      <c r="EW1554" s="4"/>
      <c r="EX1554" s="4"/>
      <c r="EY1554" s="4"/>
      <c r="EZ1554" s="4"/>
      <c r="FA1554" s="4"/>
      <c r="FB1554" s="4"/>
      <c r="FC1554" s="4"/>
      <c r="FD1554" s="4"/>
      <c r="FE1554" s="4"/>
      <c r="FF1554" s="4"/>
      <c r="FG1554" s="4"/>
      <c r="FH1554" s="4"/>
      <c r="FI1554" s="4"/>
      <c r="FJ1554" s="4"/>
      <c r="FK1554" s="4"/>
      <c r="FL1554" s="4"/>
      <c r="FM1554" s="4"/>
      <c r="FN1554" s="4"/>
      <c r="FO1554" s="4"/>
      <c r="FP1554" s="4"/>
      <c r="FQ1554" s="4"/>
      <c r="FR1554" s="4"/>
      <c r="FS1554" s="4"/>
      <c r="FT1554" s="4"/>
      <c r="FU1554" s="4"/>
      <c r="FV1554" s="4"/>
      <c r="FW1554" s="4"/>
      <c r="FX1554" s="4"/>
      <c r="FY1554" s="4"/>
      <c r="FZ1554" s="4"/>
      <c r="GA1554" s="4"/>
      <c r="GB1554" s="4"/>
      <c r="GC1554" s="4"/>
      <c r="GD1554" s="4"/>
      <c r="GE1554" s="4"/>
      <c r="GF1554" s="4"/>
      <c r="GG1554" s="4"/>
      <c r="GH1554" s="4"/>
    </row>
    <row r="1555">
      <c r="A1555" s="2" t="s">
        <v>8293</v>
      </c>
      <c r="B1555" s="2" t="s">
        <v>903</v>
      </c>
      <c r="C1555" s="2" t="s">
        <v>745</v>
      </c>
      <c r="D1555" s="2" t="s">
        <v>608</v>
      </c>
      <c r="E1555" s="2" t="s">
        <v>1324</v>
      </c>
      <c r="F1555" s="2" t="s">
        <v>8281</v>
      </c>
      <c r="G1555" s="2" t="s">
        <v>8281</v>
      </c>
      <c r="H1555" s="2" t="s">
        <v>8281</v>
      </c>
      <c r="I1555" s="2" t="s">
        <v>8294</v>
      </c>
      <c r="J1555" s="2" t="s">
        <v>924</v>
      </c>
      <c r="K1555" s="2" t="s">
        <v>1700</v>
      </c>
      <c r="L1555" s="3">
        <v>64</v>
      </c>
      <c r="M1555" s="3">
        <v>67.2</v>
      </c>
      <c r="N1555" s="3">
        <v>139.99</v>
      </c>
      <c r="O1555" s="2" t="s">
        <v>212</v>
      </c>
      <c r="P1555" s="2" t="s">
        <v>258</v>
      </c>
      <c r="Q1555" s="2" t="s">
        <v>206</v>
      </c>
      <c r="R1555" s="2" t="s">
        <v>200</v>
      </c>
      <c r="S1555" s="2" t="s">
        <v>8295</v>
      </c>
      <c r="T1555" s="2" t="s">
        <v>1833</v>
      </c>
      <c r="U1555" s="2" t="s">
        <v>454</v>
      </c>
      <c r="V1555" s="2" t="s">
        <v>339</v>
      </c>
      <c r="W1555" s="2" t="s">
        <v>2773</v>
      </c>
      <c r="X1555" s="2" t="s">
        <v>241</v>
      </c>
      <c r="Y1555" s="2" t="s">
        <v>2993</v>
      </c>
      <c r="Z1555" s="4">
        <v>103</v>
      </c>
      <c r="AA1555" s="4">
        <f>=ROUNDDOWN(14.7142857142857,0)</f>
      </c>
      <c r="AB1555" s="5">
        <v>7</v>
      </c>
      <c r="AC1555" s="2" t="s">
        <v>1147</v>
      </c>
      <c r="AD1555" s="4">
        <v>130</v>
      </c>
      <c r="AE1555" s="4">
        <v>240</v>
      </c>
      <c r="AF1555" s="6">
        <v>65</v>
      </c>
      <c r="AG1555" s="6"/>
      <c r="AH1555" s="7">
        <v>1</v>
      </c>
      <c r="AI1555" s="4"/>
      <c r="AJ1555" s="4">
        <f>=ROUNDDOWN({0},0)</f>
      </c>
      <c r="AK1555" s="5"/>
      <c r="AL1555" s="2" t="s">
        <v>200</v>
      </c>
      <c r="AM1555" s="4"/>
      <c r="AN1555" s="4"/>
      <c r="AO1555" s="7"/>
      <c r="AP1555" s="4"/>
      <c r="AQ1555" s="8"/>
      <c r="AR1555" s="4"/>
      <c r="AS1555" s="8"/>
      <c r="AT1555" s="7"/>
      <c r="AU1555" s="7"/>
      <c r="AV1555" s="4" t="s">
        <v>200</v>
      </c>
      <c r="AW1555" s="8" t="s">
        <v>200</v>
      </c>
      <c r="AX1555" s="4" t="s">
        <v>200</v>
      </c>
      <c r="AY1555" s="8" t="s">
        <v>200</v>
      </c>
      <c r="AZ1555" s="7" t="s">
        <v>200</v>
      </c>
      <c r="BA1555" s="7" t="s">
        <v>200</v>
      </c>
      <c r="BB1555" s="7" t="s">
        <v>200</v>
      </c>
      <c r="BC1555" s="4" t="s">
        <v>200</v>
      </c>
      <c r="BD1555" s="8" t="s">
        <v>200</v>
      </c>
      <c r="BE1555" s="4" t="s">
        <v>200</v>
      </c>
      <c r="BF1555" s="8" t="s">
        <v>200</v>
      </c>
      <c r="BG1555" s="7" t="s">
        <v>200</v>
      </c>
      <c r="BH1555" s="7" t="s">
        <v>200</v>
      </c>
      <c r="BI1555" s="7"/>
      <c r="BJ1555" s="4">
        <v>26</v>
      </c>
      <c r="BK1555" s="8">
        <v>1916.62</v>
      </c>
      <c r="BL1555" s="2" t="s">
        <v>1741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8296</v>
      </c>
      <c r="BV1555" s="2" t="s">
        <v>200</v>
      </c>
      <c r="BW1555" s="2" t="s">
        <v>200</v>
      </c>
      <c r="BX1555" s="2" t="s">
        <v>264</v>
      </c>
      <c r="BY1555" s="2" t="s">
        <v>247</v>
      </c>
      <c r="BZ1555" s="2" t="s">
        <v>212</v>
      </c>
      <c r="CA1555" s="2" t="s">
        <v>7412</v>
      </c>
      <c r="CB1555" s="2" t="s">
        <v>8297</v>
      </c>
      <c r="CC1555" s="2" t="s">
        <v>213</v>
      </c>
      <c r="CD1555" s="2" t="s">
        <v>200</v>
      </c>
      <c r="CE1555" s="4">
        <v>16</v>
      </c>
      <c r="CF1555" s="4"/>
      <c r="CG1555" s="4"/>
      <c r="CH1555" s="4">
        <v>87</v>
      </c>
      <c r="CI1555" s="4"/>
      <c r="CJ1555" s="4"/>
      <c r="CK1555" s="4"/>
      <c r="CL1555" s="4"/>
      <c r="CM1555" s="4"/>
      <c r="CN1555" s="4"/>
      <c r="CO1555" s="4"/>
      <c r="CP1555" s="4"/>
      <c r="CQ1555" s="4"/>
      <c r="CR1555" s="4"/>
      <c r="CS1555" s="4"/>
      <c r="CT1555" s="4"/>
      <c r="CU1555" s="4"/>
      <c r="CV1555" s="4"/>
      <c r="CW1555" s="4"/>
      <c r="CX1555" s="4"/>
      <c r="CY1555" s="4"/>
      <c r="CZ1555" s="4"/>
      <c r="DA1555" s="4"/>
      <c r="DB1555" s="4"/>
      <c r="DC1555" s="4"/>
      <c r="DD1555" s="4"/>
      <c r="DE1555" s="4"/>
      <c r="DF1555" s="4"/>
      <c r="DG1555" s="4"/>
      <c r="DH1555" s="4"/>
      <c r="DI1555" s="4"/>
      <c r="DJ1555" s="4"/>
      <c r="DK1555" s="4"/>
      <c r="DL1555" s="4"/>
      <c r="DM1555" s="4"/>
      <c r="DN1555" s="4"/>
      <c r="DO1555" s="4"/>
      <c r="DP1555" s="4"/>
      <c r="DQ1555" s="4"/>
      <c r="DR1555" s="4"/>
      <c r="DS1555" s="4"/>
      <c r="DT1555" s="4"/>
      <c r="DU1555" s="4"/>
      <c r="DV1555" s="4"/>
      <c r="DW1555" s="4"/>
      <c r="DX1555" s="4"/>
      <c r="DY1555" s="4"/>
      <c r="DZ1555" s="4">
        <v>130</v>
      </c>
      <c r="EA1555" s="4"/>
      <c r="EB1555" s="4"/>
      <c r="EC1555" s="4"/>
      <c r="ED1555" s="4"/>
      <c r="EE1555" s="4"/>
      <c r="EF1555" s="4"/>
      <c r="EG1555" s="4"/>
      <c r="EH1555" s="4"/>
      <c r="EI1555" s="4"/>
      <c r="EJ1555" s="4"/>
      <c r="EK1555" s="4"/>
      <c r="EL1555" s="4"/>
      <c r="EM1555" s="4"/>
      <c r="EN1555" s="4"/>
      <c r="EO1555" s="4"/>
      <c r="EP1555" s="4"/>
      <c r="EQ1555" s="4"/>
      <c r="ER1555" s="4"/>
      <c r="ES1555" s="4"/>
      <c r="ET1555" s="4"/>
      <c r="EU1555" s="4"/>
      <c r="EV1555" s="4"/>
      <c r="EW1555" s="4"/>
      <c r="EX1555" s="4"/>
      <c r="EY1555" s="4"/>
      <c r="EZ1555" s="4"/>
      <c r="FA1555" s="4"/>
      <c r="FB1555" s="4"/>
      <c r="FC1555" s="4"/>
      <c r="FD1555" s="4"/>
      <c r="FE1555" s="4"/>
      <c r="FF1555" s="4"/>
      <c r="FG1555" s="4"/>
      <c r="FH1555" s="4"/>
      <c r="FI1555" s="4">
        <v>110</v>
      </c>
      <c r="FJ1555" s="4"/>
      <c r="FK1555" s="4"/>
      <c r="FL1555" s="4"/>
      <c r="FM1555" s="4"/>
      <c r="FN1555" s="4"/>
      <c r="FO1555" s="4"/>
      <c r="FP1555" s="4"/>
      <c r="FQ1555" s="4"/>
      <c r="FR1555" s="4"/>
      <c r="FS1555" s="4"/>
      <c r="FT1555" s="4"/>
      <c r="FU1555" s="4"/>
      <c r="FV1555" s="4"/>
      <c r="FW1555" s="4"/>
      <c r="FX1555" s="4"/>
      <c r="FY1555" s="4"/>
      <c r="FZ1555" s="4"/>
      <c r="GA1555" s="4"/>
      <c r="GB1555" s="4"/>
      <c r="GC1555" s="4"/>
      <c r="GD1555" s="4"/>
      <c r="GE1555" s="4"/>
      <c r="GF1555" s="4"/>
      <c r="GG1555" s="4"/>
      <c r="GH1555" s="4"/>
    </row>
    <row r="1556">
      <c r="A1556" s="2" t="s">
        <v>8298</v>
      </c>
      <c r="B1556" s="2" t="s">
        <v>903</v>
      </c>
      <c r="C1556" s="2" t="s">
        <v>745</v>
      </c>
      <c r="D1556" s="2" t="s">
        <v>918</v>
      </c>
      <c r="E1556" s="2" t="s">
        <v>919</v>
      </c>
      <c r="F1556" s="2" t="s">
        <v>8281</v>
      </c>
      <c r="G1556" s="2" t="s">
        <v>8281</v>
      </c>
      <c r="H1556" s="2" t="s">
        <v>8281</v>
      </c>
      <c r="I1556" s="2" t="s">
        <v>8299</v>
      </c>
      <c r="J1556" s="2" t="s">
        <v>924</v>
      </c>
      <c r="K1556" s="2" t="s">
        <v>1700</v>
      </c>
      <c r="L1556" s="3">
        <v>54.85</v>
      </c>
      <c r="M1556" s="3">
        <v>57.59</v>
      </c>
      <c r="N1556" s="3">
        <v>119.99</v>
      </c>
      <c r="O1556" s="2" t="s">
        <v>212</v>
      </c>
      <c r="P1556" s="2" t="s">
        <v>258</v>
      </c>
      <c r="Q1556" s="2" t="s">
        <v>206</v>
      </c>
      <c r="R1556" s="2" t="s">
        <v>200</v>
      </c>
      <c r="S1556" s="2" t="s">
        <v>8295</v>
      </c>
      <c r="T1556" s="2" t="s">
        <v>1833</v>
      </c>
      <c r="U1556" s="2" t="s">
        <v>454</v>
      </c>
      <c r="V1556" s="2" t="s">
        <v>339</v>
      </c>
      <c r="W1556" s="2" t="s">
        <v>2773</v>
      </c>
      <c r="X1556" s="2" t="s">
        <v>241</v>
      </c>
      <c r="Y1556" s="2" t="s">
        <v>3137</v>
      </c>
      <c r="Z1556" s="4">
        <v>68</v>
      </c>
      <c r="AA1556" s="4">
        <f>=ROUNDDOWN(17,0)</f>
      </c>
      <c r="AB1556" s="5">
        <v>4</v>
      </c>
      <c r="AC1556" s="2" t="s">
        <v>1147</v>
      </c>
      <c r="AD1556" s="4">
        <v>130</v>
      </c>
      <c r="AE1556" s="4">
        <v>220</v>
      </c>
      <c r="AF1556" s="6">
        <v>65</v>
      </c>
      <c r="AG1556" s="6"/>
      <c r="AH1556" s="7">
        <v>1</v>
      </c>
      <c r="AI1556" s="4"/>
      <c r="AJ1556" s="4">
        <f>=ROUNDDOWN({0},0)</f>
      </c>
      <c r="AK1556" s="5"/>
      <c r="AL1556" s="2" t="s">
        <v>200</v>
      </c>
      <c r="AM1556" s="4"/>
      <c r="AN1556" s="4"/>
      <c r="AO1556" s="7"/>
      <c r="AP1556" s="4"/>
      <c r="AQ1556" s="8"/>
      <c r="AR1556" s="4"/>
      <c r="AS1556" s="8"/>
      <c r="AT1556" s="7"/>
      <c r="AU1556" s="7"/>
      <c r="AV1556" s="4" t="s">
        <v>200</v>
      </c>
      <c r="AW1556" s="8" t="s">
        <v>200</v>
      </c>
      <c r="AX1556" s="4" t="s">
        <v>200</v>
      </c>
      <c r="AY1556" s="8" t="s">
        <v>200</v>
      </c>
      <c r="AZ1556" s="7" t="s">
        <v>200</v>
      </c>
      <c r="BA1556" s="7" t="s">
        <v>200</v>
      </c>
      <c r="BB1556" s="7" t="s">
        <v>200</v>
      </c>
      <c r="BC1556" s="4" t="s">
        <v>200</v>
      </c>
      <c r="BD1556" s="8" t="s">
        <v>200</v>
      </c>
      <c r="BE1556" s="4" t="s">
        <v>200</v>
      </c>
      <c r="BF1556" s="8" t="s">
        <v>200</v>
      </c>
      <c r="BG1556" s="7" t="s">
        <v>200</v>
      </c>
      <c r="BH1556" s="7" t="s">
        <v>200</v>
      </c>
      <c r="BI1556" s="7"/>
      <c r="BJ1556" s="4">
        <v>53</v>
      </c>
      <c r="BK1556" s="8">
        <v>3351.76</v>
      </c>
      <c r="BL1556" s="2" t="s">
        <v>2212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8300</v>
      </c>
      <c r="BV1556" s="2" t="s">
        <v>200</v>
      </c>
      <c r="BW1556" s="2" t="s">
        <v>200</v>
      </c>
      <c r="BX1556" s="2" t="s">
        <v>264</v>
      </c>
      <c r="BY1556" s="2" t="s">
        <v>247</v>
      </c>
      <c r="BZ1556" s="2" t="s">
        <v>212</v>
      </c>
      <c r="CA1556" s="2" t="s">
        <v>4253</v>
      </c>
      <c r="CB1556" s="2" t="s">
        <v>1264</v>
      </c>
      <c r="CC1556" s="2" t="s">
        <v>213</v>
      </c>
      <c r="CD1556" s="2" t="s">
        <v>200</v>
      </c>
      <c r="CE1556" s="4">
        <v>15</v>
      </c>
      <c r="CF1556" s="4"/>
      <c r="CG1556" s="4"/>
      <c r="CH1556" s="4">
        <v>53</v>
      </c>
      <c r="CI1556" s="4"/>
      <c r="CJ1556" s="4"/>
      <c r="CK1556" s="4"/>
      <c r="CL1556" s="4"/>
      <c r="CM1556" s="4"/>
      <c r="CN1556" s="4"/>
      <c r="CO1556" s="4"/>
      <c r="CP1556" s="4"/>
      <c r="CQ1556" s="4"/>
      <c r="CR1556" s="4"/>
      <c r="CS1556" s="4"/>
      <c r="CT1556" s="4"/>
      <c r="CU1556" s="4"/>
      <c r="CV1556" s="4"/>
      <c r="CW1556" s="4"/>
      <c r="CX1556" s="4"/>
      <c r="CY1556" s="4"/>
      <c r="CZ1556" s="4"/>
      <c r="DA1556" s="4"/>
      <c r="DB1556" s="4"/>
      <c r="DC1556" s="4"/>
      <c r="DD1556" s="4"/>
      <c r="DE1556" s="4"/>
      <c r="DF1556" s="4"/>
      <c r="DG1556" s="4"/>
      <c r="DH1556" s="4"/>
      <c r="DI1556" s="4"/>
      <c r="DJ1556" s="4"/>
      <c r="DK1556" s="4"/>
      <c r="DL1556" s="4"/>
      <c r="DM1556" s="4"/>
      <c r="DN1556" s="4"/>
      <c r="DO1556" s="4"/>
      <c r="DP1556" s="4"/>
      <c r="DQ1556" s="4"/>
      <c r="DR1556" s="4"/>
      <c r="DS1556" s="4"/>
      <c r="DT1556" s="4"/>
      <c r="DU1556" s="4"/>
      <c r="DV1556" s="4"/>
      <c r="DW1556" s="4"/>
      <c r="DX1556" s="4"/>
      <c r="DY1556" s="4"/>
      <c r="DZ1556" s="4">
        <v>130</v>
      </c>
      <c r="EA1556" s="4"/>
      <c r="EB1556" s="4"/>
      <c r="EC1556" s="4"/>
      <c r="ED1556" s="4"/>
      <c r="EE1556" s="4"/>
      <c r="EF1556" s="4"/>
      <c r="EG1556" s="4"/>
      <c r="EH1556" s="4"/>
      <c r="EI1556" s="4"/>
      <c r="EJ1556" s="4"/>
      <c r="EK1556" s="4"/>
      <c r="EL1556" s="4"/>
      <c r="EM1556" s="4"/>
      <c r="EN1556" s="4"/>
      <c r="EO1556" s="4"/>
      <c r="EP1556" s="4"/>
      <c r="EQ1556" s="4"/>
      <c r="ER1556" s="4"/>
      <c r="ES1556" s="4"/>
      <c r="ET1556" s="4"/>
      <c r="EU1556" s="4"/>
      <c r="EV1556" s="4"/>
      <c r="EW1556" s="4"/>
      <c r="EX1556" s="4"/>
      <c r="EY1556" s="4"/>
      <c r="EZ1556" s="4"/>
      <c r="FA1556" s="4"/>
      <c r="FB1556" s="4"/>
      <c r="FC1556" s="4"/>
      <c r="FD1556" s="4"/>
      <c r="FE1556" s="4"/>
      <c r="FF1556" s="4"/>
      <c r="FG1556" s="4"/>
      <c r="FH1556" s="4"/>
      <c r="FI1556" s="4">
        <v>90</v>
      </c>
      <c r="FJ1556" s="4"/>
      <c r="FK1556" s="4"/>
      <c r="FL1556" s="4"/>
      <c r="FM1556" s="4"/>
      <c r="FN1556" s="4"/>
      <c r="FO1556" s="4"/>
      <c r="FP1556" s="4"/>
      <c r="FQ1556" s="4"/>
      <c r="FR1556" s="4"/>
      <c r="FS1556" s="4"/>
      <c r="FT1556" s="4"/>
      <c r="FU1556" s="4"/>
      <c r="FV1556" s="4"/>
      <c r="FW1556" s="4"/>
      <c r="FX1556" s="4"/>
      <c r="FY1556" s="4"/>
      <c r="FZ1556" s="4"/>
      <c r="GA1556" s="4"/>
      <c r="GB1556" s="4"/>
      <c r="GC1556" s="4"/>
      <c r="GD1556" s="4"/>
      <c r="GE1556" s="4"/>
      <c r="GF1556" s="4"/>
      <c r="GG1556" s="4"/>
      <c r="GH1556" s="4"/>
    </row>
    <row r="1557">
      <c r="A1557" s="2" t="s">
        <v>8301</v>
      </c>
      <c r="B1557" s="2" t="s">
        <v>195</v>
      </c>
      <c r="C1557" s="2" t="s">
        <v>3397</v>
      </c>
      <c r="D1557" s="2" t="s">
        <v>1168</v>
      </c>
      <c r="E1557" s="2" t="s">
        <v>3205</v>
      </c>
      <c r="F1557" s="2" t="s">
        <v>8302</v>
      </c>
      <c r="G1557" s="2" t="s">
        <v>8302</v>
      </c>
      <c r="H1557" s="2" t="s">
        <v>8302</v>
      </c>
      <c r="I1557" s="2" t="s">
        <v>3207</v>
      </c>
      <c r="J1557" s="2" t="s">
        <v>256</v>
      </c>
      <c r="K1557" s="2" t="s">
        <v>1174</v>
      </c>
      <c r="L1557" s="3">
        <v>45.23</v>
      </c>
      <c r="M1557" s="3">
        <v>47.49</v>
      </c>
      <c r="N1557" s="3">
        <v>94.99</v>
      </c>
      <c r="O1557" s="2" t="s">
        <v>212</v>
      </c>
      <c r="P1557" s="2" t="s">
        <v>258</v>
      </c>
      <c r="Q1557" s="2" t="s">
        <v>206</v>
      </c>
      <c r="R1557" s="2" t="s">
        <v>200</v>
      </c>
      <c r="S1557" s="2" t="s">
        <v>8303</v>
      </c>
      <c r="T1557" s="2" t="s">
        <v>5055</v>
      </c>
      <c r="U1557" s="2" t="s">
        <v>270</v>
      </c>
      <c r="V1557" s="2" t="s">
        <v>208</v>
      </c>
      <c r="W1557" s="2" t="s">
        <v>241</v>
      </c>
      <c r="X1557" s="2" t="s">
        <v>1900</v>
      </c>
      <c r="Y1557" s="2" t="s">
        <v>3209</v>
      </c>
      <c r="Z1557" s="4">
        <v>177</v>
      </c>
      <c r="AA1557" s="4">
        <f>=ROUNDDOWN(44.25,0)</f>
      </c>
      <c r="AB1557" s="5">
        <v>4</v>
      </c>
      <c r="AC1557" s="2" t="s">
        <v>200</v>
      </c>
      <c r="AD1557" s="4"/>
      <c r="AE1557" s="4"/>
      <c r="AF1557" s="6">
        <v>65</v>
      </c>
      <c r="AG1557" s="6"/>
      <c r="AH1557" s="7">
        <v>1</v>
      </c>
      <c r="AI1557" s="4"/>
      <c r="AJ1557" s="4">
        <f>=ROUNDDOWN({0},0)</f>
      </c>
      <c r="AK1557" s="5"/>
      <c r="AL1557" s="2" t="s">
        <v>200</v>
      </c>
      <c r="AM1557" s="4"/>
      <c r="AN1557" s="4"/>
      <c r="AO1557" s="7"/>
      <c r="AP1557" s="4"/>
      <c r="AQ1557" s="8"/>
      <c r="AR1557" s="4"/>
      <c r="AS1557" s="8"/>
      <c r="AT1557" s="7"/>
      <c r="AU1557" s="7"/>
      <c r="AV1557" s="4" t="s">
        <v>200</v>
      </c>
      <c r="AW1557" s="8" t="s">
        <v>200</v>
      </c>
      <c r="AX1557" s="4" t="s">
        <v>200</v>
      </c>
      <c r="AY1557" s="8" t="s">
        <v>200</v>
      </c>
      <c r="AZ1557" s="7" t="s">
        <v>200</v>
      </c>
      <c r="BA1557" s="7" t="s">
        <v>200</v>
      </c>
      <c r="BB1557" s="7"/>
      <c r="BC1557" s="4" t="s">
        <v>200</v>
      </c>
      <c r="BD1557" s="8" t="s">
        <v>200</v>
      </c>
      <c r="BE1557" s="4" t="s">
        <v>200</v>
      </c>
      <c r="BF1557" s="8" t="s">
        <v>200</v>
      </c>
      <c r="BG1557" s="7" t="s">
        <v>200</v>
      </c>
      <c r="BH1557" s="7" t="s">
        <v>200</v>
      </c>
      <c r="BI1557" s="7"/>
      <c r="BJ1557" s="4">
        <v>27</v>
      </c>
      <c r="BK1557" s="8">
        <v>1377.23</v>
      </c>
      <c r="BL1557" s="2" t="s">
        <v>327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8304</v>
      </c>
      <c r="BV1557" s="2" t="s">
        <v>200</v>
      </c>
      <c r="BW1557" s="2" t="s">
        <v>200</v>
      </c>
      <c r="BX1557" s="2" t="s">
        <v>264</v>
      </c>
      <c r="BY1557" s="2" t="s">
        <v>247</v>
      </c>
      <c r="BZ1557" s="2" t="s">
        <v>212</v>
      </c>
      <c r="CA1557" s="2" t="s">
        <v>3211</v>
      </c>
      <c r="CB1557" s="2" t="s">
        <v>2790</v>
      </c>
      <c r="CC1557" s="2" t="s">
        <v>213</v>
      </c>
      <c r="CD1557" s="2" t="s">
        <v>200</v>
      </c>
      <c r="CE1557" s="4">
        <v>177</v>
      </c>
      <c r="CF1557" s="4"/>
      <c r="CG1557" s="4"/>
      <c r="CH1557" s="4"/>
      <c r="CI1557" s="4"/>
      <c r="CJ1557" s="4"/>
      <c r="CK1557" s="4"/>
      <c r="CL1557" s="4"/>
      <c r="CM1557" s="4"/>
      <c r="CN1557" s="4"/>
      <c r="CO1557" s="4"/>
      <c r="CP1557" s="4"/>
      <c r="CQ1557" s="4"/>
      <c r="CR1557" s="4"/>
      <c r="CS1557" s="4"/>
      <c r="CT1557" s="4"/>
      <c r="CU1557" s="4"/>
      <c r="CV1557" s="4"/>
      <c r="CW1557" s="4"/>
      <c r="CX1557" s="4"/>
      <c r="CY1557" s="4"/>
      <c r="CZ1557" s="4"/>
      <c r="DA1557" s="4"/>
      <c r="DB1557" s="4"/>
      <c r="DC1557" s="4"/>
      <c r="DD1557" s="4"/>
      <c r="DE1557" s="4"/>
      <c r="DF1557" s="4"/>
      <c r="DG1557" s="4"/>
      <c r="DH1557" s="4"/>
      <c r="DI1557" s="4"/>
      <c r="DJ1557" s="4"/>
      <c r="DK1557" s="4"/>
      <c r="DL1557" s="4"/>
      <c r="DM1557" s="4"/>
      <c r="DN1557" s="4"/>
      <c r="DO1557" s="4"/>
      <c r="DP1557" s="4"/>
      <c r="DQ1557" s="4"/>
      <c r="DR1557" s="4"/>
      <c r="DS1557" s="4"/>
      <c r="DT1557" s="4"/>
      <c r="DU1557" s="4"/>
      <c r="DV1557" s="4"/>
      <c r="DW1557" s="4"/>
      <c r="DX1557" s="4"/>
      <c r="DY1557" s="4"/>
      <c r="DZ1557" s="4"/>
      <c r="EA1557" s="4"/>
      <c r="EB1557" s="4"/>
      <c r="EC1557" s="4"/>
      <c r="ED1557" s="4"/>
      <c r="EE1557" s="4"/>
      <c r="EF1557" s="4"/>
      <c r="EG1557" s="4"/>
      <c r="EH1557" s="4"/>
      <c r="EI1557" s="4"/>
      <c r="EJ1557" s="4"/>
      <c r="EK1557" s="4"/>
      <c r="EL1557" s="4"/>
      <c r="EM1557" s="4"/>
      <c r="EN1557" s="4"/>
      <c r="EO1557" s="4"/>
      <c r="EP1557" s="4"/>
      <c r="EQ1557" s="4"/>
      <c r="ER1557" s="4"/>
      <c r="ES1557" s="4"/>
      <c r="ET1557" s="4"/>
      <c r="EU1557" s="4"/>
      <c r="EV1557" s="4"/>
      <c r="EW1557" s="4"/>
      <c r="EX1557" s="4"/>
      <c r="EY1557" s="4"/>
      <c r="EZ1557" s="4"/>
      <c r="FA1557" s="4"/>
      <c r="FB1557" s="4"/>
      <c r="FC1557" s="4"/>
      <c r="FD1557" s="4"/>
      <c r="FE1557" s="4"/>
      <c r="FF1557" s="4"/>
      <c r="FG1557" s="4"/>
      <c r="FH1557" s="4"/>
      <c r="FI1557" s="4"/>
      <c r="FJ1557" s="4"/>
      <c r="FK1557" s="4"/>
      <c r="FL1557" s="4"/>
      <c r="FM1557" s="4"/>
      <c r="FN1557" s="4"/>
      <c r="FO1557" s="4"/>
      <c r="FP1557" s="4"/>
      <c r="FQ1557" s="4"/>
      <c r="FR1557" s="4"/>
      <c r="FS1557" s="4"/>
      <c r="FT1557" s="4"/>
      <c r="FU1557" s="4"/>
      <c r="FV1557" s="4"/>
      <c r="FW1557" s="4"/>
      <c r="FX1557" s="4"/>
      <c r="FY1557" s="4"/>
      <c r="FZ1557" s="4"/>
      <c r="GA1557" s="4"/>
      <c r="GB1557" s="4"/>
      <c r="GC1557" s="4"/>
      <c r="GD1557" s="4"/>
      <c r="GE1557" s="4"/>
      <c r="GF1557" s="4"/>
      <c r="GG1557" s="4"/>
      <c r="GH1557" s="4"/>
    </row>
    <row r="1558">
      <c r="A1558" s="2" t="s">
        <v>8305</v>
      </c>
      <c r="B1558" s="2" t="s">
        <v>195</v>
      </c>
      <c r="C1558" s="2" t="s">
        <v>3397</v>
      </c>
      <c r="D1558" s="2" t="s">
        <v>1168</v>
      </c>
      <c r="E1558" s="2" t="s">
        <v>3205</v>
      </c>
      <c r="F1558" s="2" t="s">
        <v>8302</v>
      </c>
      <c r="G1558" s="2" t="s">
        <v>8302</v>
      </c>
      <c r="H1558" s="2" t="s">
        <v>8302</v>
      </c>
      <c r="I1558" s="2" t="s">
        <v>3207</v>
      </c>
      <c r="J1558" s="2" t="s">
        <v>277</v>
      </c>
      <c r="K1558" s="2" t="s">
        <v>1174</v>
      </c>
      <c r="L1558" s="3">
        <v>50</v>
      </c>
      <c r="M1558" s="3">
        <v>52.5</v>
      </c>
      <c r="N1558" s="3">
        <v>104.99</v>
      </c>
      <c r="O1558" s="2" t="s">
        <v>212</v>
      </c>
      <c r="P1558" s="2" t="s">
        <v>258</v>
      </c>
      <c r="Q1558" s="2" t="s">
        <v>206</v>
      </c>
      <c r="R1558" s="2" t="s">
        <v>200</v>
      </c>
      <c r="S1558" s="2" t="s">
        <v>8303</v>
      </c>
      <c r="T1558" s="2" t="s">
        <v>5055</v>
      </c>
      <c r="U1558" s="2" t="s">
        <v>270</v>
      </c>
      <c r="V1558" s="2" t="s">
        <v>208</v>
      </c>
      <c r="W1558" s="2" t="s">
        <v>241</v>
      </c>
      <c r="X1558" s="2" t="s">
        <v>1900</v>
      </c>
      <c r="Y1558" s="2" t="s">
        <v>3209</v>
      </c>
      <c r="Z1558" s="4">
        <v>430</v>
      </c>
      <c r="AA1558" s="4">
        <f>=ROUNDDOWN(61.4285714285714,0)</f>
      </c>
      <c r="AB1558" s="5">
        <v>7</v>
      </c>
      <c r="AC1558" s="2" t="s">
        <v>200</v>
      </c>
      <c r="AD1558" s="4"/>
      <c r="AE1558" s="4"/>
      <c r="AF1558" s="6">
        <v>65</v>
      </c>
      <c r="AG1558" s="6"/>
      <c r="AH1558" s="7">
        <v>1</v>
      </c>
      <c r="AI1558" s="4"/>
      <c r="AJ1558" s="4">
        <f>=ROUNDDOWN({0},0)</f>
      </c>
      <c r="AK1558" s="5"/>
      <c r="AL1558" s="2" t="s">
        <v>200</v>
      </c>
      <c r="AM1558" s="4"/>
      <c r="AN1558" s="4"/>
      <c r="AO1558" s="7"/>
      <c r="AP1558" s="4"/>
      <c r="AQ1558" s="8"/>
      <c r="AR1558" s="4"/>
      <c r="AS1558" s="8"/>
      <c r="AT1558" s="7"/>
      <c r="AU1558" s="7"/>
      <c r="AV1558" s="4" t="s">
        <v>200</v>
      </c>
      <c r="AW1558" s="8" t="s">
        <v>200</v>
      </c>
      <c r="AX1558" s="4" t="s">
        <v>200</v>
      </c>
      <c r="AY1558" s="8" t="s">
        <v>200</v>
      </c>
      <c r="AZ1558" s="7" t="s">
        <v>200</v>
      </c>
      <c r="BA1558" s="7" t="s">
        <v>200</v>
      </c>
      <c r="BB1558" s="7"/>
      <c r="BC1558" s="4" t="s">
        <v>200</v>
      </c>
      <c r="BD1558" s="8" t="s">
        <v>200</v>
      </c>
      <c r="BE1558" s="4" t="s">
        <v>200</v>
      </c>
      <c r="BF1558" s="8" t="s">
        <v>200</v>
      </c>
      <c r="BG1558" s="7" t="s">
        <v>200</v>
      </c>
      <c r="BH1558" s="7" t="s">
        <v>200</v>
      </c>
      <c r="BI1558" s="7"/>
      <c r="BJ1558" s="4">
        <v>32</v>
      </c>
      <c r="BK1558" s="8">
        <v>1805.46</v>
      </c>
      <c r="BL1558" s="2" t="s">
        <v>6172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8306</v>
      </c>
      <c r="BV1558" s="2" t="s">
        <v>200</v>
      </c>
      <c r="BW1558" s="2" t="s">
        <v>200</v>
      </c>
      <c r="BX1558" s="2" t="s">
        <v>264</v>
      </c>
      <c r="BY1558" s="2" t="s">
        <v>247</v>
      </c>
      <c r="BZ1558" s="2" t="s">
        <v>212</v>
      </c>
      <c r="CA1558" s="2" t="s">
        <v>3211</v>
      </c>
      <c r="CB1558" s="2" t="s">
        <v>6281</v>
      </c>
      <c r="CC1558" s="2" t="s">
        <v>213</v>
      </c>
      <c r="CD1558" s="2" t="s">
        <v>200</v>
      </c>
      <c r="CE1558" s="4">
        <v>430</v>
      </c>
      <c r="CF1558" s="4"/>
      <c r="CG1558" s="4"/>
      <c r="CH1558" s="4"/>
      <c r="CI1558" s="4"/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4"/>
      <c r="CX1558" s="4"/>
      <c r="CY1558" s="4"/>
      <c r="CZ1558" s="4"/>
      <c r="DA1558" s="4"/>
      <c r="DB1558" s="4"/>
      <c r="DC1558" s="4"/>
      <c r="DD1558" s="4"/>
      <c r="DE1558" s="4"/>
      <c r="DF1558" s="4"/>
      <c r="DG1558" s="4"/>
      <c r="DH1558" s="4"/>
      <c r="DI1558" s="4"/>
      <c r="DJ1558" s="4"/>
      <c r="DK1558" s="4"/>
      <c r="DL1558" s="4"/>
      <c r="DM1558" s="4"/>
      <c r="DN1558" s="4"/>
      <c r="DO1558" s="4"/>
      <c r="DP1558" s="4"/>
      <c r="DQ1558" s="4"/>
      <c r="DR1558" s="4"/>
      <c r="DS1558" s="4"/>
      <c r="DT1558" s="4"/>
      <c r="DU1558" s="4"/>
      <c r="DV1558" s="4"/>
      <c r="DW1558" s="4"/>
      <c r="DX1558" s="4"/>
      <c r="DY1558" s="4"/>
      <c r="DZ1558" s="4"/>
      <c r="EA1558" s="4"/>
      <c r="EB1558" s="4"/>
      <c r="EC1558" s="4"/>
      <c r="ED1558" s="4"/>
      <c r="EE1558" s="4"/>
      <c r="EF1558" s="4"/>
      <c r="EG1558" s="4"/>
      <c r="EH1558" s="4"/>
      <c r="EI1558" s="4"/>
      <c r="EJ1558" s="4"/>
      <c r="EK1558" s="4"/>
      <c r="EL1558" s="4"/>
      <c r="EM1558" s="4"/>
      <c r="EN1558" s="4"/>
      <c r="EO1558" s="4"/>
      <c r="EP1558" s="4"/>
      <c r="EQ1558" s="4"/>
      <c r="ER1558" s="4"/>
      <c r="ES1558" s="4"/>
      <c r="ET1558" s="4"/>
      <c r="EU1558" s="4"/>
      <c r="EV1558" s="4"/>
      <c r="EW1558" s="4"/>
      <c r="EX1558" s="4"/>
      <c r="EY1558" s="4"/>
      <c r="EZ1558" s="4"/>
      <c r="FA1558" s="4"/>
      <c r="FB1558" s="4"/>
      <c r="FC1558" s="4"/>
      <c r="FD1558" s="4"/>
      <c r="FE1558" s="4"/>
      <c r="FF1558" s="4"/>
      <c r="FG1558" s="4"/>
      <c r="FH1558" s="4"/>
      <c r="FI1558" s="4"/>
      <c r="FJ1558" s="4"/>
      <c r="FK1558" s="4"/>
      <c r="FL1558" s="4"/>
      <c r="FM1558" s="4"/>
      <c r="FN1558" s="4"/>
      <c r="FO1558" s="4"/>
      <c r="FP1558" s="4"/>
      <c r="FQ1558" s="4"/>
      <c r="FR1558" s="4"/>
      <c r="FS1558" s="4"/>
      <c r="FT1558" s="4"/>
      <c r="FU1558" s="4"/>
      <c r="FV1558" s="4"/>
      <c r="FW1558" s="4"/>
      <c r="FX1558" s="4"/>
      <c r="FY1558" s="4"/>
      <c r="FZ1558" s="4"/>
      <c r="GA1558" s="4"/>
      <c r="GB1558" s="4"/>
      <c r="GC1558" s="4"/>
      <c r="GD1558" s="4"/>
      <c r="GE1558" s="4"/>
      <c r="GF1558" s="4"/>
      <c r="GG1558" s="4"/>
      <c r="GH1558" s="4"/>
    </row>
    <row r="1559">
      <c r="A1559" s="2" t="s">
        <v>8307</v>
      </c>
      <c r="B1559" s="2" t="s">
        <v>719</v>
      </c>
      <c r="C1559" s="2" t="s">
        <v>231</v>
      </c>
      <c r="D1559" s="2" t="s">
        <v>1554</v>
      </c>
      <c r="E1559" s="2" t="s">
        <v>1555</v>
      </c>
      <c r="F1559" s="2" t="s">
        <v>8308</v>
      </c>
      <c r="G1559" s="2" t="s">
        <v>8308</v>
      </c>
      <c r="H1559" s="2" t="s">
        <v>8308</v>
      </c>
      <c r="I1559" s="2" t="s">
        <v>8309</v>
      </c>
      <c r="J1559" s="2" t="s">
        <v>711</v>
      </c>
      <c r="K1559" s="2" t="s">
        <v>733</v>
      </c>
      <c r="L1559" s="3">
        <v>36.42</v>
      </c>
      <c r="M1559" s="3">
        <v>38.24</v>
      </c>
      <c r="N1559" s="3">
        <v>76.49</v>
      </c>
      <c r="O1559" s="2" t="s">
        <v>212</v>
      </c>
      <c r="P1559" s="2" t="s">
        <v>285</v>
      </c>
      <c r="Q1559" s="2" t="s">
        <v>206</v>
      </c>
      <c r="R1559" s="2" t="s">
        <v>200</v>
      </c>
      <c r="S1559" s="2" t="s">
        <v>200</v>
      </c>
      <c r="T1559" s="2" t="s">
        <v>200</v>
      </c>
      <c r="U1559" s="2" t="s">
        <v>454</v>
      </c>
      <c r="V1559" s="2" t="s">
        <v>724</v>
      </c>
      <c r="W1559" s="2" t="s">
        <v>242</v>
      </c>
      <c r="X1559" s="2" t="s">
        <v>379</v>
      </c>
      <c r="Y1559" s="2" t="s">
        <v>6147</v>
      </c>
      <c r="Z1559" s="4">
        <v>29</v>
      </c>
      <c r="AA1559" s="4">
        <f>=ROUNDDOWN(29,0)</f>
      </c>
      <c r="AB1559" s="5">
        <v>1</v>
      </c>
      <c r="AC1559" s="2" t="s">
        <v>200</v>
      </c>
      <c r="AD1559" s="4"/>
      <c r="AE1559" s="4"/>
      <c r="AF1559" s="6">
        <v>63</v>
      </c>
      <c r="AG1559" s="6"/>
      <c r="AH1559" s="7">
        <v>1</v>
      </c>
      <c r="AI1559" s="4"/>
      <c r="AJ1559" s="4">
        <f>=ROUNDDOWN({0},0)</f>
      </c>
      <c r="AK1559" s="5"/>
      <c r="AL1559" s="2" t="s">
        <v>200</v>
      </c>
      <c r="AM1559" s="4"/>
      <c r="AN1559" s="4"/>
      <c r="AO1559" s="7"/>
      <c r="AP1559" s="4"/>
      <c r="AQ1559" s="8"/>
      <c r="AR1559" s="4"/>
      <c r="AS1559" s="8"/>
      <c r="AT1559" s="7"/>
      <c r="AU1559" s="7"/>
      <c r="AV1559" s="4"/>
      <c r="AW1559" s="8"/>
      <c r="AX1559" s="4"/>
      <c r="AY1559" s="8"/>
      <c r="AZ1559" s="7"/>
      <c r="BA1559" s="7"/>
      <c r="BB1559" s="7"/>
      <c r="BC1559" s="4"/>
      <c r="BD1559" s="8"/>
      <c r="BE1559" s="4"/>
      <c r="BF1559" s="8"/>
      <c r="BG1559" s="7"/>
      <c r="BH1559" s="7"/>
      <c r="BI1559" s="7"/>
      <c r="BJ1559" s="4">
        <v>5</v>
      </c>
      <c r="BK1559" s="8">
        <v>218.76</v>
      </c>
      <c r="BL1559" s="2" t="s">
        <v>8310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8311</v>
      </c>
      <c r="BV1559" s="2" t="s">
        <v>200</v>
      </c>
      <c r="BW1559" s="2" t="s">
        <v>200</v>
      </c>
      <c r="BX1559" s="2" t="s">
        <v>289</v>
      </c>
      <c r="BY1559" s="2" t="s">
        <v>247</v>
      </c>
      <c r="BZ1559" s="2" t="s">
        <v>212</v>
      </c>
      <c r="CA1559" s="2" t="s">
        <v>3209</v>
      </c>
      <c r="CB1559" s="2" t="s">
        <v>8312</v>
      </c>
      <c r="CC1559" s="2" t="s">
        <v>213</v>
      </c>
      <c r="CD1559" s="2" t="s">
        <v>200</v>
      </c>
      <c r="CE1559" s="4"/>
      <c r="CF1559" s="4">
        <v>29</v>
      </c>
      <c r="CG1559" s="4"/>
      <c r="CH1559" s="4"/>
      <c r="CI1559" s="4"/>
      <c r="CJ1559" s="4"/>
      <c r="CK1559" s="4"/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  <c r="CW1559" s="4"/>
      <c r="CX1559" s="4"/>
      <c r="CY1559" s="4"/>
      <c r="CZ1559" s="4"/>
      <c r="DA1559" s="4"/>
      <c r="DB1559" s="4"/>
      <c r="DC1559" s="4"/>
      <c r="DD1559" s="4"/>
      <c r="DE1559" s="4"/>
      <c r="DF1559" s="4"/>
      <c r="DG1559" s="4"/>
      <c r="DH1559" s="4"/>
      <c r="DI1559" s="4"/>
      <c r="DJ1559" s="4"/>
      <c r="DK1559" s="4"/>
      <c r="DL1559" s="4"/>
      <c r="DM1559" s="4"/>
      <c r="DN1559" s="4"/>
      <c r="DO1559" s="4"/>
      <c r="DP1559" s="4"/>
      <c r="DQ1559" s="4"/>
      <c r="DR1559" s="4"/>
      <c r="DS1559" s="4"/>
      <c r="DT1559" s="4"/>
      <c r="DU1559" s="4"/>
      <c r="DV1559" s="4"/>
      <c r="DW1559" s="4"/>
      <c r="DX1559" s="4"/>
      <c r="DY1559" s="4"/>
      <c r="DZ1559" s="4"/>
      <c r="EA1559" s="4"/>
      <c r="EB1559" s="4"/>
      <c r="EC1559" s="4"/>
      <c r="ED1559" s="4"/>
      <c r="EE1559" s="4"/>
      <c r="EF1559" s="4"/>
      <c r="EG1559" s="4"/>
      <c r="EH1559" s="4"/>
      <c r="EI1559" s="4"/>
      <c r="EJ1559" s="4"/>
      <c r="EK1559" s="4"/>
      <c r="EL1559" s="4"/>
      <c r="EM1559" s="4"/>
      <c r="EN1559" s="4"/>
      <c r="EO1559" s="4"/>
      <c r="EP1559" s="4"/>
      <c r="EQ1559" s="4"/>
      <c r="ER1559" s="4"/>
      <c r="ES1559" s="4"/>
      <c r="ET1559" s="4"/>
      <c r="EU1559" s="4"/>
      <c r="EV1559" s="4"/>
      <c r="EW1559" s="4"/>
      <c r="EX1559" s="4"/>
      <c r="EY1559" s="4"/>
      <c r="EZ1559" s="4"/>
      <c r="FA1559" s="4"/>
      <c r="FB1559" s="4"/>
      <c r="FC1559" s="4"/>
      <c r="FD1559" s="4"/>
      <c r="FE1559" s="4"/>
      <c r="FF1559" s="4"/>
      <c r="FG1559" s="4"/>
      <c r="FH1559" s="4"/>
      <c r="FI1559" s="4"/>
      <c r="FJ1559" s="4"/>
      <c r="FK1559" s="4"/>
      <c r="FL1559" s="4"/>
      <c r="FM1559" s="4"/>
      <c r="FN1559" s="4"/>
      <c r="FO1559" s="4"/>
      <c r="FP1559" s="4"/>
      <c r="FQ1559" s="4"/>
      <c r="FR1559" s="4"/>
      <c r="FS1559" s="4"/>
      <c r="FT1559" s="4"/>
      <c r="FU1559" s="4"/>
      <c r="FV1559" s="4"/>
      <c r="FW1559" s="4"/>
      <c r="FX1559" s="4"/>
      <c r="FY1559" s="4"/>
      <c r="FZ1559" s="4"/>
      <c r="GA1559" s="4"/>
      <c r="GB1559" s="4"/>
      <c r="GC1559" s="4"/>
      <c r="GD1559" s="4"/>
      <c r="GE1559" s="4"/>
      <c r="GF1559" s="4"/>
      <c r="GG1559" s="4"/>
      <c r="GH1559" s="4"/>
    </row>
    <row r="1560">
      <c r="A1560" s="2" t="s">
        <v>8313</v>
      </c>
      <c r="B1560" s="2" t="s">
        <v>250</v>
      </c>
      <c r="C1560" s="2" t="s">
        <v>756</v>
      </c>
      <c r="D1560" s="2" t="s">
        <v>252</v>
      </c>
      <c r="E1560" s="2" t="s">
        <v>374</v>
      </c>
      <c r="F1560" s="2" t="s">
        <v>8314</v>
      </c>
      <c r="G1560" s="2" t="s">
        <v>8314</v>
      </c>
      <c r="H1560" s="2" t="s">
        <v>8314</v>
      </c>
      <c r="I1560" s="2" t="s">
        <v>8315</v>
      </c>
      <c r="J1560" s="2" t="s">
        <v>236</v>
      </c>
      <c r="K1560" s="2" t="s">
        <v>257</v>
      </c>
      <c r="L1560" s="3">
        <v>33.42</v>
      </c>
      <c r="M1560" s="3">
        <v>35.09</v>
      </c>
      <c r="N1560" s="3">
        <v>89.99</v>
      </c>
      <c r="O1560" s="2" t="s">
        <v>212</v>
      </c>
      <c r="P1560" s="2" t="s">
        <v>258</v>
      </c>
      <c r="Q1560" s="2" t="s">
        <v>206</v>
      </c>
      <c r="R1560" s="2" t="s">
        <v>200</v>
      </c>
      <c r="S1560" s="2" t="s">
        <v>200</v>
      </c>
      <c r="T1560" s="2" t="s">
        <v>200</v>
      </c>
      <c r="U1560" s="2" t="s">
        <v>270</v>
      </c>
      <c r="V1560" s="2" t="s">
        <v>208</v>
      </c>
      <c r="W1560" s="2" t="s">
        <v>379</v>
      </c>
      <c r="X1560" s="2" t="s">
        <v>200</v>
      </c>
      <c r="Y1560" s="2" t="s">
        <v>8316</v>
      </c>
      <c r="Z1560" s="4">
        <v>124</v>
      </c>
      <c r="AA1560" s="4">
        <f>=ROUNDDOWN(20.6666666666667,0)</f>
      </c>
      <c r="AB1560" s="5">
        <v>6</v>
      </c>
      <c r="AC1560" s="2" t="s">
        <v>115</v>
      </c>
      <c r="AD1560" s="4">
        <v>50</v>
      </c>
      <c r="AE1560" s="4">
        <v>120</v>
      </c>
      <c r="AF1560" s="6">
        <v>67</v>
      </c>
      <c r="AG1560" s="6"/>
      <c r="AH1560" s="7">
        <v>1</v>
      </c>
      <c r="AI1560" s="4"/>
      <c r="AJ1560" s="4">
        <f>=ROUNDDOWN({0},0)</f>
      </c>
      <c r="AK1560" s="5"/>
      <c r="AL1560" s="2" t="s">
        <v>200</v>
      </c>
      <c r="AM1560" s="4"/>
      <c r="AN1560" s="4"/>
      <c r="AO1560" s="7"/>
      <c r="AP1560" s="4"/>
      <c r="AQ1560" s="8"/>
      <c r="AR1560" s="4"/>
      <c r="AS1560" s="8"/>
      <c r="AT1560" s="7"/>
      <c r="AU1560" s="7"/>
      <c r="AV1560" s="4"/>
      <c r="AW1560" s="8"/>
      <c r="AX1560" s="4"/>
      <c r="AY1560" s="8"/>
      <c r="AZ1560" s="7"/>
      <c r="BA1560" s="7"/>
      <c r="BB1560" s="7"/>
      <c r="BC1560" s="4"/>
      <c r="BD1560" s="8"/>
      <c r="BE1560" s="4"/>
      <c r="BF1560" s="8"/>
      <c r="BG1560" s="7"/>
      <c r="BH1560" s="7"/>
      <c r="BI1560" s="7"/>
      <c r="BJ1560" s="4">
        <v>20</v>
      </c>
      <c r="BK1560" s="8">
        <v>737</v>
      </c>
      <c r="BL1560" s="2" t="s">
        <v>5618</v>
      </c>
      <c r="BM1560" s="7"/>
      <c r="BN1560" s="7"/>
      <c r="BO1560" s="4"/>
      <c r="BP1560" s="8"/>
      <c r="BQ1560" s="4"/>
      <c r="BR1560" s="8"/>
      <c r="BS1560" s="7"/>
      <c r="BT1560" s="7"/>
      <c r="BU1560" s="2" t="s">
        <v>8317</v>
      </c>
      <c r="BV1560" s="2" t="s">
        <v>200</v>
      </c>
      <c r="BW1560" s="2" t="s">
        <v>200</v>
      </c>
      <c r="BX1560" s="2" t="s">
        <v>264</v>
      </c>
      <c r="BY1560" s="2" t="s">
        <v>247</v>
      </c>
      <c r="BZ1560" s="2" t="s">
        <v>212</v>
      </c>
      <c r="CA1560" s="2" t="s">
        <v>8318</v>
      </c>
      <c r="CB1560" s="2" t="s">
        <v>1905</v>
      </c>
      <c r="CC1560" s="2" t="s">
        <v>213</v>
      </c>
      <c r="CD1560" s="2" t="s">
        <v>200</v>
      </c>
      <c r="CE1560" s="4">
        <v>124</v>
      </c>
      <c r="CF1560" s="4"/>
      <c r="CG1560" s="4"/>
      <c r="CH1560" s="4"/>
      <c r="CI1560" s="4"/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  <c r="CX1560" s="4"/>
      <c r="CY1560" s="4"/>
      <c r="CZ1560" s="4"/>
      <c r="DA1560" s="4"/>
      <c r="DB1560" s="4">
        <v>50</v>
      </c>
      <c r="DC1560" s="4"/>
      <c r="DD1560" s="4"/>
      <c r="DE1560" s="4"/>
      <c r="DF1560" s="4"/>
      <c r="DG1560" s="4"/>
      <c r="DH1560" s="4"/>
      <c r="DI1560" s="4"/>
      <c r="DJ1560" s="4"/>
      <c r="DK1560" s="4"/>
      <c r="DL1560" s="4"/>
      <c r="DM1560" s="4"/>
      <c r="DN1560" s="4"/>
      <c r="DO1560" s="4"/>
      <c r="DP1560" s="4"/>
      <c r="DQ1560" s="4"/>
      <c r="DR1560" s="4"/>
      <c r="DS1560" s="4"/>
      <c r="DT1560" s="4"/>
      <c r="DU1560" s="4"/>
      <c r="DV1560" s="4"/>
      <c r="DW1560" s="4"/>
      <c r="DX1560" s="4"/>
      <c r="DY1560" s="4"/>
      <c r="DZ1560" s="4"/>
      <c r="EA1560" s="4"/>
      <c r="EB1560" s="4"/>
      <c r="EC1560" s="4"/>
      <c r="ED1560" s="4"/>
      <c r="EE1560" s="4"/>
      <c r="EF1560" s="4"/>
      <c r="EG1560" s="4"/>
      <c r="EH1560" s="4"/>
      <c r="EI1560" s="4"/>
      <c r="EJ1560" s="4"/>
      <c r="EK1560" s="4"/>
      <c r="EL1560" s="4"/>
      <c r="EM1560" s="4"/>
      <c r="EN1560" s="4"/>
      <c r="EO1560" s="4"/>
      <c r="EP1560" s="4"/>
      <c r="EQ1560" s="4"/>
      <c r="ER1560" s="4"/>
      <c r="ES1560" s="4">
        <v>70</v>
      </c>
      <c r="ET1560" s="4"/>
      <c r="EU1560" s="4"/>
      <c r="EV1560" s="4"/>
      <c r="EW1560" s="4"/>
      <c r="EX1560" s="4"/>
      <c r="EY1560" s="4"/>
      <c r="EZ1560" s="4"/>
      <c r="FA1560" s="4"/>
      <c r="FB1560" s="4"/>
      <c r="FC1560" s="4"/>
      <c r="FD1560" s="4"/>
      <c r="FE1560" s="4"/>
      <c r="FF1560" s="4"/>
      <c r="FG1560" s="4"/>
      <c r="FH1560" s="4"/>
      <c r="FI1560" s="4"/>
      <c r="FJ1560" s="4"/>
      <c r="FK1560" s="4"/>
      <c r="FL1560" s="4"/>
      <c r="FM1560" s="4"/>
      <c r="FN1560" s="4"/>
      <c r="FO1560" s="4"/>
      <c r="FP1560" s="4"/>
      <c r="FQ1560" s="4"/>
      <c r="FR1560" s="4"/>
      <c r="FS1560" s="4"/>
      <c r="FT1560" s="4"/>
      <c r="FU1560" s="4"/>
      <c r="FV1560" s="4"/>
      <c r="FW1560" s="4"/>
      <c r="FX1560" s="4"/>
      <c r="FY1560" s="4"/>
      <c r="FZ1560" s="4"/>
      <c r="GA1560" s="4"/>
      <c r="GB1560" s="4"/>
      <c r="GC1560" s="4"/>
      <c r="GD1560" s="4"/>
      <c r="GE1560" s="4"/>
      <c r="GF1560" s="4"/>
      <c r="GG1560" s="4"/>
      <c r="GH1560" s="4"/>
    </row>
    <row r="1561">
      <c r="A1561" s="2" t="s">
        <v>8319</v>
      </c>
      <c r="B1561" s="2" t="s">
        <v>230</v>
      </c>
      <c r="C1561" s="2" t="s">
        <v>756</v>
      </c>
      <c r="D1561" s="2" t="s">
        <v>232</v>
      </c>
      <c r="E1561" s="2" t="s">
        <v>233</v>
      </c>
      <c r="F1561" s="2" t="s">
        <v>8320</v>
      </c>
      <c r="G1561" s="2" t="s">
        <v>8320</v>
      </c>
      <c r="H1561" s="2" t="s">
        <v>8320</v>
      </c>
      <c r="I1561" s="2" t="s">
        <v>8321</v>
      </c>
      <c r="J1561" s="2" t="s">
        <v>302</v>
      </c>
      <c r="K1561" s="2" t="s">
        <v>221</v>
      </c>
      <c r="L1561" s="3">
        <v>18.57</v>
      </c>
      <c r="M1561" s="3">
        <v>19.5</v>
      </c>
      <c r="N1561" s="3">
        <v>49.99</v>
      </c>
      <c r="O1561" s="2" t="s">
        <v>212</v>
      </c>
      <c r="P1561" s="2" t="s">
        <v>285</v>
      </c>
      <c r="Q1561" s="2" t="s">
        <v>206</v>
      </c>
      <c r="R1561" s="2" t="s">
        <v>200</v>
      </c>
      <c r="S1561" s="2" t="s">
        <v>200</v>
      </c>
      <c r="T1561" s="2" t="s">
        <v>312</v>
      </c>
      <c r="U1561" s="2" t="s">
        <v>200</v>
      </c>
      <c r="V1561" s="2" t="s">
        <v>885</v>
      </c>
      <c r="W1561" s="2" t="s">
        <v>242</v>
      </c>
      <c r="X1561" s="2" t="s">
        <v>200</v>
      </c>
      <c r="Y1561" s="2" t="s">
        <v>2006</v>
      </c>
      <c r="Z1561" s="4">
        <v>12</v>
      </c>
      <c r="AA1561" s="4">
        <f>=ROUNDDOWN(24,0)</f>
      </c>
      <c r="AB1561" s="5">
        <v>0.5</v>
      </c>
      <c r="AC1561" s="2" t="s">
        <v>200</v>
      </c>
      <c r="AD1561" s="4"/>
      <c r="AE1561" s="4"/>
      <c r="AF1561" s="6">
        <v>65</v>
      </c>
      <c r="AG1561" s="6"/>
      <c r="AH1561" s="7">
        <v>1</v>
      </c>
      <c r="AI1561" s="4"/>
      <c r="AJ1561" s="4">
        <f>=ROUNDDOWN({0},0)</f>
      </c>
      <c r="AK1561" s="5"/>
      <c r="AL1561" s="2" t="s">
        <v>200</v>
      </c>
      <c r="AM1561" s="4"/>
      <c r="AN1561" s="4"/>
      <c r="AO1561" s="7"/>
      <c r="AP1561" s="4"/>
      <c r="AQ1561" s="8"/>
      <c r="AR1561" s="4"/>
      <c r="AS1561" s="8"/>
      <c r="AT1561" s="7"/>
      <c r="AU1561" s="7"/>
      <c r="AV1561" s="4"/>
      <c r="AW1561" s="8"/>
      <c r="AX1561" s="4"/>
      <c r="AY1561" s="8"/>
      <c r="AZ1561" s="7"/>
      <c r="BA1561" s="7"/>
      <c r="BB1561" s="7"/>
      <c r="BC1561" s="4" t="s">
        <v>200</v>
      </c>
      <c r="BD1561" s="8" t="s">
        <v>200</v>
      </c>
      <c r="BE1561" s="4" t="s">
        <v>200</v>
      </c>
      <c r="BF1561" s="8" t="s">
        <v>200</v>
      </c>
      <c r="BG1561" s="7" t="s">
        <v>200</v>
      </c>
      <c r="BH1561" s="7" t="s">
        <v>200</v>
      </c>
      <c r="BI1561" s="7"/>
      <c r="BJ1561" s="4">
        <v>2</v>
      </c>
      <c r="BK1561" s="8">
        <v>40.94</v>
      </c>
      <c r="BL1561" s="2" t="s">
        <v>5618</v>
      </c>
      <c r="BM1561" s="7"/>
      <c r="BN1561" s="7"/>
      <c r="BO1561" s="4"/>
      <c r="BP1561" s="8"/>
      <c r="BQ1561" s="4"/>
      <c r="BR1561" s="8"/>
      <c r="BS1561" s="7"/>
      <c r="BT1561" s="7"/>
      <c r="BU1561" s="2" t="s">
        <v>8322</v>
      </c>
      <c r="BV1561" s="2" t="s">
        <v>200</v>
      </c>
      <c r="BW1561" s="2" t="s">
        <v>200</v>
      </c>
      <c r="BX1561" s="2" t="s">
        <v>289</v>
      </c>
      <c r="BY1561" s="2" t="s">
        <v>247</v>
      </c>
      <c r="BZ1561" s="2" t="s">
        <v>212</v>
      </c>
      <c r="CA1561" s="2" t="s">
        <v>4586</v>
      </c>
      <c r="CB1561" s="2" t="s">
        <v>8323</v>
      </c>
      <c r="CC1561" s="2" t="s">
        <v>213</v>
      </c>
      <c r="CD1561" s="2" t="s">
        <v>200</v>
      </c>
      <c r="CE1561" s="4">
        <v>12</v>
      </c>
      <c r="CF1561" s="4"/>
      <c r="CG1561" s="4"/>
      <c r="CH1561" s="4"/>
      <c r="CI1561" s="4"/>
      <c r="CJ1561" s="4"/>
      <c r="CK1561" s="4"/>
      <c r="CL1561" s="4"/>
      <c r="CM1561" s="4"/>
      <c r="CN1561" s="4"/>
      <c r="CO1561" s="4"/>
      <c r="CP1561" s="4"/>
      <c r="CQ1561" s="4"/>
      <c r="CR1561" s="4"/>
      <c r="CS1561" s="4"/>
      <c r="CT1561" s="4"/>
      <c r="CU1561" s="4"/>
      <c r="CV1561" s="4"/>
      <c r="CW1561" s="4"/>
      <c r="CX1561" s="4"/>
      <c r="CY1561" s="4"/>
      <c r="CZ1561" s="4"/>
      <c r="DA1561" s="4"/>
      <c r="DB1561" s="4"/>
      <c r="DC1561" s="4"/>
      <c r="DD1561" s="4"/>
      <c r="DE1561" s="4"/>
      <c r="DF1561" s="4"/>
      <c r="DG1561" s="4"/>
      <c r="DH1561" s="4"/>
      <c r="DI1561" s="4"/>
      <c r="DJ1561" s="4"/>
      <c r="DK1561" s="4"/>
      <c r="DL1561" s="4"/>
      <c r="DM1561" s="4"/>
      <c r="DN1561" s="4"/>
      <c r="DO1561" s="4"/>
      <c r="DP1561" s="4"/>
      <c r="DQ1561" s="4"/>
      <c r="DR1561" s="4"/>
      <c r="DS1561" s="4"/>
      <c r="DT1561" s="4"/>
      <c r="DU1561" s="4"/>
      <c r="DV1561" s="4"/>
      <c r="DW1561" s="4"/>
      <c r="DX1561" s="4"/>
      <c r="DY1561" s="4"/>
      <c r="DZ1561" s="4"/>
      <c r="EA1561" s="4"/>
      <c r="EB1561" s="4"/>
      <c r="EC1561" s="4"/>
      <c r="ED1561" s="4"/>
      <c r="EE1561" s="4"/>
      <c r="EF1561" s="4"/>
      <c r="EG1561" s="4"/>
      <c r="EH1561" s="4"/>
      <c r="EI1561" s="4"/>
      <c r="EJ1561" s="4"/>
      <c r="EK1561" s="4"/>
      <c r="EL1561" s="4"/>
      <c r="EM1561" s="4"/>
      <c r="EN1561" s="4"/>
      <c r="EO1561" s="4"/>
      <c r="EP1561" s="4"/>
      <c r="EQ1561" s="4"/>
      <c r="ER1561" s="4"/>
      <c r="ES1561" s="4"/>
      <c r="ET1561" s="4"/>
      <c r="EU1561" s="4"/>
      <c r="EV1561" s="4"/>
      <c r="EW1561" s="4"/>
      <c r="EX1561" s="4"/>
      <c r="EY1561" s="4"/>
      <c r="EZ1561" s="4"/>
      <c r="FA1561" s="4"/>
      <c r="FB1561" s="4"/>
      <c r="FC1561" s="4"/>
      <c r="FD1561" s="4"/>
      <c r="FE1561" s="4"/>
      <c r="FF1561" s="4"/>
      <c r="FG1561" s="4"/>
      <c r="FH1561" s="4"/>
      <c r="FI1561" s="4"/>
      <c r="FJ1561" s="4"/>
      <c r="FK1561" s="4"/>
      <c r="FL1561" s="4"/>
      <c r="FM1561" s="4"/>
      <c r="FN1561" s="4"/>
      <c r="FO1561" s="4"/>
      <c r="FP1561" s="4"/>
      <c r="FQ1561" s="4"/>
      <c r="FR1561" s="4"/>
      <c r="FS1561" s="4"/>
      <c r="FT1561" s="4"/>
      <c r="FU1561" s="4"/>
      <c r="FV1561" s="4"/>
      <c r="FW1561" s="4"/>
      <c r="FX1561" s="4"/>
      <c r="FY1561" s="4"/>
      <c r="FZ1561" s="4"/>
      <c r="GA1561" s="4"/>
      <c r="GB1561" s="4"/>
      <c r="GC1561" s="4"/>
      <c r="GD1561" s="4"/>
      <c r="GE1561" s="4"/>
      <c r="GF1561" s="4"/>
      <c r="GG1561" s="4"/>
      <c r="GH1561" s="4"/>
    </row>
    <row r="1562">
      <c r="A1562" s="2" t="s">
        <v>8324</v>
      </c>
      <c r="B1562" s="2" t="s">
        <v>230</v>
      </c>
      <c r="C1562" s="2" t="s">
        <v>756</v>
      </c>
      <c r="D1562" s="2" t="s">
        <v>232</v>
      </c>
      <c r="E1562" s="2" t="s">
        <v>233</v>
      </c>
      <c r="F1562" s="2" t="s">
        <v>8320</v>
      </c>
      <c r="G1562" s="2" t="s">
        <v>8320</v>
      </c>
      <c r="H1562" s="2" t="s">
        <v>8320</v>
      </c>
      <c r="I1562" s="2" t="s">
        <v>8321</v>
      </c>
      <c r="J1562" s="2" t="s">
        <v>302</v>
      </c>
      <c r="K1562" s="2" t="s">
        <v>1700</v>
      </c>
      <c r="L1562" s="3">
        <v>18.57</v>
      </c>
      <c r="M1562" s="3">
        <v>19.5</v>
      </c>
      <c r="N1562" s="3">
        <v>49.99</v>
      </c>
      <c r="O1562" s="2" t="s">
        <v>212</v>
      </c>
      <c r="P1562" s="2" t="s">
        <v>285</v>
      </c>
      <c r="Q1562" s="2" t="s">
        <v>206</v>
      </c>
      <c r="R1562" s="2" t="s">
        <v>200</v>
      </c>
      <c r="S1562" s="2" t="s">
        <v>200</v>
      </c>
      <c r="T1562" s="2" t="s">
        <v>312</v>
      </c>
      <c r="U1562" s="2" t="s">
        <v>200</v>
      </c>
      <c r="V1562" s="2" t="s">
        <v>885</v>
      </c>
      <c r="W1562" s="2" t="s">
        <v>242</v>
      </c>
      <c r="X1562" s="2" t="s">
        <v>200</v>
      </c>
      <c r="Y1562" s="2" t="s">
        <v>2006</v>
      </c>
      <c r="Z1562" s="4">
        <v>8</v>
      </c>
      <c r="AA1562" s="4">
        <f>=ROUNDDOWN(8,0)</f>
      </c>
      <c r="AB1562" s="5">
        <v>1</v>
      </c>
      <c r="AC1562" s="2" t="s">
        <v>200</v>
      </c>
      <c r="AD1562" s="4"/>
      <c r="AE1562" s="4"/>
      <c r="AF1562" s="6">
        <v>65</v>
      </c>
      <c r="AG1562" s="6"/>
      <c r="AH1562" s="7">
        <v>1</v>
      </c>
      <c r="AI1562" s="4"/>
      <c r="AJ1562" s="4">
        <f>=ROUNDDOWN({0},0)</f>
      </c>
      <c r="AK1562" s="5"/>
      <c r="AL1562" s="2" t="s">
        <v>200</v>
      </c>
      <c r="AM1562" s="4"/>
      <c r="AN1562" s="4"/>
      <c r="AO1562" s="7"/>
      <c r="AP1562" s="4"/>
      <c r="AQ1562" s="8"/>
      <c r="AR1562" s="4"/>
      <c r="AS1562" s="8"/>
      <c r="AT1562" s="7"/>
      <c r="AU1562" s="7"/>
      <c r="AV1562" s="4" t="s">
        <v>200</v>
      </c>
      <c r="AW1562" s="8" t="s">
        <v>200</v>
      </c>
      <c r="AX1562" s="4" t="s">
        <v>200</v>
      </c>
      <c r="AY1562" s="8" t="s">
        <v>200</v>
      </c>
      <c r="AZ1562" s="7" t="s">
        <v>200</v>
      </c>
      <c r="BA1562" s="7" t="s">
        <v>200</v>
      </c>
      <c r="BB1562" s="7"/>
      <c r="BC1562" s="4" t="s">
        <v>200</v>
      </c>
      <c r="BD1562" s="8" t="s">
        <v>200</v>
      </c>
      <c r="BE1562" s="4" t="s">
        <v>200</v>
      </c>
      <c r="BF1562" s="8" t="s">
        <v>200</v>
      </c>
      <c r="BG1562" s="7" t="s">
        <v>200</v>
      </c>
      <c r="BH1562" s="7" t="s">
        <v>200</v>
      </c>
      <c r="BI1562" s="7"/>
      <c r="BJ1562" s="4">
        <v>6</v>
      </c>
      <c r="BK1562" s="8">
        <v>117.95</v>
      </c>
      <c r="BL1562" s="2" t="s">
        <v>315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8325</v>
      </c>
      <c r="BV1562" s="2" t="s">
        <v>200</v>
      </c>
      <c r="BW1562" s="2" t="s">
        <v>200</v>
      </c>
      <c r="BX1562" s="2" t="s">
        <v>289</v>
      </c>
      <c r="BY1562" s="2" t="s">
        <v>247</v>
      </c>
      <c r="BZ1562" s="2" t="s">
        <v>212</v>
      </c>
      <c r="CA1562" s="2" t="s">
        <v>4586</v>
      </c>
      <c r="CB1562" s="2" t="s">
        <v>5516</v>
      </c>
      <c r="CC1562" s="2" t="s">
        <v>213</v>
      </c>
      <c r="CD1562" s="2" t="s">
        <v>200</v>
      </c>
      <c r="CE1562" s="4">
        <v>8</v>
      </c>
      <c r="CF1562" s="4"/>
      <c r="CG1562" s="4"/>
      <c r="CH1562" s="4"/>
      <c r="CI1562" s="4"/>
      <c r="CJ1562" s="4"/>
      <c r="CK1562" s="4"/>
      <c r="CL1562" s="4"/>
      <c r="CM1562" s="4"/>
      <c r="CN1562" s="4"/>
      <c r="CO1562" s="4"/>
      <c r="CP1562" s="4"/>
      <c r="CQ1562" s="4"/>
      <c r="CR1562" s="4"/>
      <c r="CS1562" s="4"/>
      <c r="CT1562" s="4"/>
      <c r="CU1562" s="4"/>
      <c r="CV1562" s="4"/>
      <c r="CW1562" s="4"/>
      <c r="CX1562" s="4"/>
      <c r="CY1562" s="4"/>
      <c r="CZ1562" s="4"/>
      <c r="DA1562" s="4"/>
      <c r="DB1562" s="4"/>
      <c r="DC1562" s="4"/>
      <c r="DD1562" s="4"/>
      <c r="DE1562" s="4"/>
      <c r="DF1562" s="4"/>
      <c r="DG1562" s="4"/>
      <c r="DH1562" s="4"/>
      <c r="DI1562" s="4"/>
      <c r="DJ1562" s="4"/>
      <c r="DK1562" s="4"/>
      <c r="DL1562" s="4"/>
      <c r="DM1562" s="4"/>
      <c r="DN1562" s="4"/>
      <c r="DO1562" s="4"/>
      <c r="DP1562" s="4"/>
      <c r="DQ1562" s="4"/>
      <c r="DR1562" s="4"/>
      <c r="DS1562" s="4"/>
      <c r="DT1562" s="4"/>
      <c r="DU1562" s="4"/>
      <c r="DV1562" s="4"/>
      <c r="DW1562" s="4"/>
      <c r="DX1562" s="4"/>
      <c r="DY1562" s="4"/>
      <c r="DZ1562" s="4"/>
      <c r="EA1562" s="4"/>
      <c r="EB1562" s="4"/>
      <c r="EC1562" s="4"/>
      <c r="ED1562" s="4"/>
      <c r="EE1562" s="4"/>
      <c r="EF1562" s="4"/>
      <c r="EG1562" s="4"/>
      <c r="EH1562" s="4"/>
      <c r="EI1562" s="4"/>
      <c r="EJ1562" s="4"/>
      <c r="EK1562" s="4"/>
      <c r="EL1562" s="4"/>
      <c r="EM1562" s="4"/>
      <c r="EN1562" s="4"/>
      <c r="EO1562" s="4"/>
      <c r="EP1562" s="4"/>
      <c r="EQ1562" s="4"/>
      <c r="ER1562" s="4"/>
      <c r="ES1562" s="4"/>
      <c r="ET1562" s="4"/>
      <c r="EU1562" s="4"/>
      <c r="EV1562" s="4"/>
      <c r="EW1562" s="4"/>
      <c r="EX1562" s="4"/>
      <c r="EY1562" s="4"/>
      <c r="EZ1562" s="4"/>
      <c r="FA1562" s="4"/>
      <c r="FB1562" s="4"/>
      <c r="FC1562" s="4"/>
      <c r="FD1562" s="4"/>
      <c r="FE1562" s="4"/>
      <c r="FF1562" s="4"/>
      <c r="FG1562" s="4"/>
      <c r="FH1562" s="4"/>
      <c r="FI1562" s="4"/>
      <c r="FJ1562" s="4"/>
      <c r="FK1562" s="4"/>
      <c r="FL1562" s="4"/>
      <c r="FM1562" s="4"/>
      <c r="FN1562" s="4"/>
      <c r="FO1562" s="4"/>
      <c r="FP1562" s="4"/>
      <c r="FQ1562" s="4"/>
      <c r="FR1562" s="4"/>
      <c r="FS1562" s="4"/>
      <c r="FT1562" s="4"/>
      <c r="FU1562" s="4"/>
      <c r="FV1562" s="4"/>
      <c r="FW1562" s="4"/>
      <c r="FX1562" s="4"/>
      <c r="FY1562" s="4"/>
      <c r="FZ1562" s="4"/>
      <c r="GA1562" s="4"/>
      <c r="GB1562" s="4"/>
      <c r="GC1562" s="4"/>
      <c r="GD1562" s="4"/>
      <c r="GE1562" s="4"/>
      <c r="GF1562" s="4"/>
      <c r="GG1562" s="4"/>
      <c r="GH1562" s="4"/>
    </row>
    <row r="1563">
      <c r="A1563" s="2" t="s">
        <v>8326</v>
      </c>
      <c r="B1563" s="2" t="s">
        <v>230</v>
      </c>
      <c r="C1563" s="2" t="s">
        <v>756</v>
      </c>
      <c r="D1563" s="2" t="s">
        <v>232</v>
      </c>
      <c r="E1563" s="2" t="s">
        <v>233</v>
      </c>
      <c r="F1563" s="2" t="s">
        <v>8320</v>
      </c>
      <c r="G1563" s="2" t="s">
        <v>8320</v>
      </c>
      <c r="H1563" s="2" t="s">
        <v>8320</v>
      </c>
      <c r="I1563" s="2" t="s">
        <v>8327</v>
      </c>
      <c r="J1563" s="2" t="s">
        <v>236</v>
      </c>
      <c r="K1563" s="2" t="s">
        <v>1700</v>
      </c>
      <c r="L1563" s="3">
        <v>55.71</v>
      </c>
      <c r="M1563" s="3">
        <v>58.5</v>
      </c>
      <c r="N1563" s="3">
        <v>149.99</v>
      </c>
      <c r="O1563" s="2" t="s">
        <v>212</v>
      </c>
      <c r="P1563" s="2" t="s">
        <v>285</v>
      </c>
      <c r="Q1563" s="2" t="s">
        <v>206</v>
      </c>
      <c r="R1563" s="2" t="s">
        <v>200</v>
      </c>
      <c r="S1563" s="2" t="s">
        <v>200</v>
      </c>
      <c r="T1563" s="2" t="s">
        <v>312</v>
      </c>
      <c r="U1563" s="2" t="s">
        <v>200</v>
      </c>
      <c r="V1563" s="2" t="s">
        <v>885</v>
      </c>
      <c r="W1563" s="2" t="s">
        <v>242</v>
      </c>
      <c r="X1563" s="2" t="s">
        <v>200</v>
      </c>
      <c r="Y1563" s="2" t="s">
        <v>6139</v>
      </c>
      <c r="Z1563" s="4">
        <v>55</v>
      </c>
      <c r="AA1563" s="4">
        <f>=ROUNDDOWN(45.8333333333333,0)</f>
      </c>
      <c r="AB1563" s="5">
        <v>1.2</v>
      </c>
      <c r="AC1563" s="2" t="s">
        <v>200</v>
      </c>
      <c r="AD1563" s="4"/>
      <c r="AE1563" s="4"/>
      <c r="AF1563" s="6">
        <v>65</v>
      </c>
      <c r="AG1563" s="6"/>
      <c r="AH1563" s="7">
        <v>1</v>
      </c>
      <c r="AI1563" s="4"/>
      <c r="AJ1563" s="4">
        <f>=ROUNDDOWN({0},0)</f>
      </c>
      <c r="AK1563" s="5"/>
      <c r="AL1563" s="2" t="s">
        <v>200</v>
      </c>
      <c r="AM1563" s="4"/>
      <c r="AN1563" s="4"/>
      <c r="AO1563" s="7"/>
      <c r="AP1563" s="4"/>
      <c r="AQ1563" s="8"/>
      <c r="AR1563" s="4"/>
      <c r="AS1563" s="8"/>
      <c r="AT1563" s="7"/>
      <c r="AU1563" s="7"/>
      <c r="AV1563" s="4" t="s">
        <v>200</v>
      </c>
      <c r="AW1563" s="8" t="s">
        <v>200</v>
      </c>
      <c r="AX1563" s="4" t="s">
        <v>200</v>
      </c>
      <c r="AY1563" s="8" t="s">
        <v>200</v>
      </c>
      <c r="AZ1563" s="7" t="s">
        <v>200</v>
      </c>
      <c r="BA1563" s="7" t="s">
        <v>200</v>
      </c>
      <c r="BB1563" s="7"/>
      <c r="BC1563" s="4" t="s">
        <v>200</v>
      </c>
      <c r="BD1563" s="8" t="s">
        <v>200</v>
      </c>
      <c r="BE1563" s="4" t="s">
        <v>200</v>
      </c>
      <c r="BF1563" s="8" t="s">
        <v>200</v>
      </c>
      <c r="BG1563" s="7" t="s">
        <v>200</v>
      </c>
      <c r="BH1563" s="7" t="s">
        <v>200</v>
      </c>
      <c r="BI1563" s="7"/>
      <c r="BJ1563" s="4">
        <v>1</v>
      </c>
      <c r="BK1563" s="8">
        <v>61.42</v>
      </c>
      <c r="BL1563" s="2" t="s">
        <v>5618</v>
      </c>
      <c r="BM1563" s="7"/>
      <c r="BN1563" s="7"/>
      <c r="BO1563" s="4"/>
      <c r="BP1563" s="8"/>
      <c r="BQ1563" s="4"/>
      <c r="BR1563" s="8"/>
      <c r="BS1563" s="7"/>
      <c r="BT1563" s="7"/>
      <c r="BU1563" s="2" t="s">
        <v>8328</v>
      </c>
      <c r="BV1563" s="2" t="s">
        <v>200</v>
      </c>
      <c r="BW1563" s="2" t="s">
        <v>200</v>
      </c>
      <c r="BX1563" s="2" t="s">
        <v>289</v>
      </c>
      <c r="BY1563" s="2" t="s">
        <v>247</v>
      </c>
      <c r="BZ1563" s="2" t="s">
        <v>212</v>
      </c>
      <c r="CA1563" s="2" t="s">
        <v>4586</v>
      </c>
      <c r="CB1563" s="2" t="s">
        <v>8329</v>
      </c>
      <c r="CC1563" s="2" t="s">
        <v>213</v>
      </c>
      <c r="CD1563" s="2" t="s">
        <v>200</v>
      </c>
      <c r="CE1563" s="4">
        <v>55</v>
      </c>
      <c r="CF1563" s="4"/>
      <c r="CG1563" s="4"/>
      <c r="CH1563" s="4"/>
      <c r="CI1563" s="4"/>
      <c r="CJ1563" s="4"/>
      <c r="CK1563" s="4"/>
      <c r="CL1563" s="4"/>
      <c r="CM1563" s="4"/>
      <c r="CN1563" s="4"/>
      <c r="CO1563" s="4"/>
      <c r="CP1563" s="4"/>
      <c r="CQ1563" s="4"/>
      <c r="CR1563" s="4"/>
      <c r="CS1563" s="4"/>
      <c r="CT1563" s="4"/>
      <c r="CU1563" s="4"/>
      <c r="CV1563" s="4"/>
      <c r="CW1563" s="4"/>
      <c r="CX1563" s="4"/>
      <c r="CY1563" s="4"/>
      <c r="CZ1563" s="4"/>
      <c r="DA1563" s="4"/>
      <c r="DB1563" s="4"/>
      <c r="DC1563" s="4"/>
      <c r="DD1563" s="4"/>
      <c r="DE1563" s="4"/>
      <c r="DF1563" s="4"/>
      <c r="DG1563" s="4"/>
      <c r="DH1563" s="4"/>
      <c r="DI1563" s="4"/>
      <c r="DJ1563" s="4"/>
      <c r="DK1563" s="4"/>
      <c r="DL1563" s="4"/>
      <c r="DM1563" s="4"/>
      <c r="DN1563" s="4"/>
      <c r="DO1563" s="4"/>
      <c r="DP1563" s="4"/>
      <c r="DQ1563" s="4"/>
      <c r="DR1563" s="4"/>
      <c r="DS1563" s="4"/>
      <c r="DT1563" s="4"/>
      <c r="DU1563" s="4"/>
      <c r="DV1563" s="4"/>
      <c r="DW1563" s="4"/>
      <c r="DX1563" s="4"/>
      <c r="DY1563" s="4"/>
      <c r="DZ1563" s="4"/>
      <c r="EA1563" s="4"/>
      <c r="EB1563" s="4"/>
      <c r="EC1563" s="4"/>
      <c r="ED1563" s="4"/>
      <c r="EE1563" s="4"/>
      <c r="EF1563" s="4"/>
      <c r="EG1563" s="4"/>
      <c r="EH1563" s="4"/>
      <c r="EI1563" s="4"/>
      <c r="EJ1563" s="4"/>
      <c r="EK1563" s="4"/>
      <c r="EL1563" s="4"/>
      <c r="EM1563" s="4"/>
      <c r="EN1563" s="4"/>
      <c r="EO1563" s="4"/>
      <c r="EP1563" s="4"/>
      <c r="EQ1563" s="4"/>
      <c r="ER1563" s="4"/>
      <c r="ES1563" s="4"/>
      <c r="ET1563" s="4"/>
      <c r="EU1563" s="4"/>
      <c r="EV1563" s="4"/>
      <c r="EW1563" s="4"/>
      <c r="EX1563" s="4"/>
      <c r="EY1563" s="4"/>
      <c r="EZ1563" s="4"/>
      <c r="FA1563" s="4"/>
      <c r="FB1563" s="4"/>
      <c r="FC1563" s="4"/>
      <c r="FD1563" s="4"/>
      <c r="FE1563" s="4"/>
      <c r="FF1563" s="4"/>
      <c r="FG1563" s="4"/>
      <c r="FH1563" s="4"/>
      <c r="FI1563" s="4"/>
      <c r="FJ1563" s="4"/>
      <c r="FK1563" s="4"/>
      <c r="FL1563" s="4"/>
      <c r="FM1563" s="4"/>
      <c r="FN1563" s="4"/>
      <c r="FO1563" s="4"/>
      <c r="FP1563" s="4"/>
      <c r="FQ1563" s="4"/>
      <c r="FR1563" s="4"/>
      <c r="FS1563" s="4"/>
      <c r="FT1563" s="4"/>
      <c r="FU1563" s="4"/>
      <c r="FV1563" s="4"/>
      <c r="FW1563" s="4"/>
      <c r="FX1563" s="4"/>
      <c r="FY1563" s="4"/>
      <c r="FZ1563" s="4"/>
      <c r="GA1563" s="4"/>
      <c r="GB1563" s="4"/>
      <c r="GC1563" s="4"/>
      <c r="GD1563" s="4"/>
      <c r="GE1563" s="4"/>
      <c r="GF1563" s="4"/>
      <c r="GG1563" s="4"/>
      <c r="GH1563" s="4"/>
    </row>
    <row r="1564">
      <c r="A1564" s="2" t="s">
        <v>8330</v>
      </c>
      <c r="B1564" s="2" t="s">
        <v>744</v>
      </c>
      <c r="C1564" s="2" t="s">
        <v>231</v>
      </c>
      <c r="D1564" s="2" t="s">
        <v>795</v>
      </c>
      <c r="E1564" s="2" t="s">
        <v>796</v>
      </c>
      <c r="F1564" s="2" t="s">
        <v>8331</v>
      </c>
      <c r="G1564" s="2" t="s">
        <v>8332</v>
      </c>
      <c r="H1564" s="2" t="s">
        <v>8333</v>
      </c>
      <c r="I1564" s="2" t="s">
        <v>8334</v>
      </c>
      <c r="J1564" s="2" t="s">
        <v>711</v>
      </c>
      <c r="K1564" s="2" t="s">
        <v>203</v>
      </c>
      <c r="L1564" s="3">
        <v>247.5</v>
      </c>
      <c r="M1564" s="3">
        <v>259.88</v>
      </c>
      <c r="N1564" s="3">
        <v>519</v>
      </c>
      <c r="O1564" s="2" t="s">
        <v>460</v>
      </c>
      <c r="P1564" s="2" t="s">
        <v>285</v>
      </c>
      <c r="Q1564" s="2" t="s">
        <v>206</v>
      </c>
      <c r="R1564" s="2" t="s">
        <v>200</v>
      </c>
      <c r="S1564" s="2" t="s">
        <v>200</v>
      </c>
      <c r="T1564" s="2" t="s">
        <v>200</v>
      </c>
      <c r="U1564" s="2" t="s">
        <v>270</v>
      </c>
      <c r="V1564" s="2" t="s">
        <v>616</v>
      </c>
      <c r="W1564" s="2" t="s">
        <v>379</v>
      </c>
      <c r="X1564" s="2" t="s">
        <v>242</v>
      </c>
      <c r="Y1564" s="2" t="s">
        <v>1215</v>
      </c>
      <c r="Z1564" s="4">
        <v>23</v>
      </c>
      <c r="AA1564" s="4">
        <f>=ROUNDDOWN(20.9090909090909,0)</f>
      </c>
      <c r="AB1564" s="5">
        <v>1.1</v>
      </c>
      <c r="AC1564" s="2" t="s">
        <v>200</v>
      </c>
      <c r="AD1564" s="4"/>
      <c r="AE1564" s="4"/>
      <c r="AF1564" s="6">
        <v>65</v>
      </c>
      <c r="AG1564" s="6"/>
      <c r="AH1564" s="7">
        <v>1</v>
      </c>
      <c r="AI1564" s="4"/>
      <c r="AJ1564" s="4">
        <f>=ROUNDDOWN({0},0)</f>
      </c>
      <c r="AK1564" s="5"/>
      <c r="AL1564" s="2" t="s">
        <v>200</v>
      </c>
      <c r="AM1564" s="4"/>
      <c r="AN1564" s="4"/>
      <c r="AO1564" s="7"/>
      <c r="AP1564" s="4"/>
      <c r="AQ1564" s="8"/>
      <c r="AR1564" s="4"/>
      <c r="AS1564" s="8"/>
      <c r="AT1564" s="7"/>
      <c r="AU1564" s="7"/>
      <c r="AV1564" s="4"/>
      <c r="AW1564" s="8"/>
      <c r="AX1564" s="4"/>
      <c r="AY1564" s="8"/>
      <c r="AZ1564" s="7"/>
      <c r="BA1564" s="7"/>
      <c r="BB1564" s="7"/>
      <c r="BC1564" s="4"/>
      <c r="BD1564" s="8"/>
      <c r="BE1564" s="4"/>
      <c r="BF1564" s="8"/>
      <c r="BG1564" s="7"/>
      <c r="BH1564" s="7"/>
      <c r="BI1564" s="7"/>
      <c r="BJ1564" s="4">
        <v>1</v>
      </c>
      <c r="BK1564" s="8">
        <v>133.83</v>
      </c>
      <c r="BL1564" s="2" t="s">
        <v>1675</v>
      </c>
      <c r="BM1564" s="7"/>
      <c r="BN1564" s="7"/>
      <c r="BO1564" s="4"/>
      <c r="BP1564" s="8"/>
      <c r="BQ1564" s="4"/>
      <c r="BR1564" s="8"/>
      <c r="BS1564" s="7"/>
      <c r="BT1564" s="7"/>
      <c r="BU1564" s="2" t="s">
        <v>8335</v>
      </c>
      <c r="BV1564" s="2" t="s">
        <v>200</v>
      </c>
      <c r="BW1564" s="2" t="s">
        <v>200</v>
      </c>
      <c r="BX1564" s="2" t="s">
        <v>289</v>
      </c>
      <c r="BY1564" s="2" t="s">
        <v>247</v>
      </c>
      <c r="BZ1564" s="2" t="s">
        <v>212</v>
      </c>
      <c r="CA1564" s="2" t="s">
        <v>1215</v>
      </c>
      <c r="CB1564" s="2" t="s">
        <v>1105</v>
      </c>
      <c r="CC1564" s="2" t="s">
        <v>213</v>
      </c>
      <c r="CD1564" s="2" t="s">
        <v>200</v>
      </c>
      <c r="CE1564" s="4"/>
      <c r="CF1564" s="4">
        <v>23</v>
      </c>
      <c r="CG1564" s="4"/>
      <c r="CH1564" s="4"/>
      <c r="CI1564" s="4"/>
      <c r="CJ1564" s="4"/>
      <c r="CK1564" s="4"/>
      <c r="CL1564" s="4"/>
      <c r="CM1564" s="4"/>
      <c r="CN1564" s="4"/>
      <c r="CO1564" s="4"/>
      <c r="CP1564" s="4"/>
      <c r="CQ1564" s="4"/>
      <c r="CR1564" s="4"/>
      <c r="CS1564" s="4"/>
      <c r="CT1564" s="4"/>
      <c r="CU1564" s="4"/>
      <c r="CV1564" s="4"/>
      <c r="CW1564" s="4"/>
      <c r="CX1564" s="4"/>
      <c r="CY1564" s="4"/>
      <c r="CZ1564" s="4"/>
      <c r="DA1564" s="4"/>
      <c r="DB1564" s="4"/>
      <c r="DC1564" s="4"/>
      <c r="DD1564" s="4"/>
      <c r="DE1564" s="4"/>
      <c r="DF1564" s="4"/>
      <c r="DG1564" s="4"/>
      <c r="DH1564" s="4"/>
      <c r="DI1564" s="4"/>
      <c r="DJ1564" s="4"/>
      <c r="DK1564" s="4"/>
      <c r="DL1564" s="4"/>
      <c r="DM1564" s="4"/>
      <c r="DN1564" s="4"/>
      <c r="DO1564" s="4"/>
      <c r="DP1564" s="4"/>
      <c r="DQ1564" s="4"/>
      <c r="DR1564" s="4"/>
      <c r="DS1564" s="4"/>
      <c r="DT1564" s="4"/>
      <c r="DU1564" s="4"/>
      <c r="DV1564" s="4"/>
      <c r="DW1564" s="4"/>
      <c r="DX1564" s="4"/>
      <c r="DY1564" s="4"/>
      <c r="DZ1564" s="4"/>
      <c r="EA1564" s="4"/>
      <c r="EB1564" s="4"/>
      <c r="EC1564" s="4"/>
      <c r="ED1564" s="4"/>
      <c r="EE1564" s="4"/>
      <c r="EF1564" s="4"/>
      <c r="EG1564" s="4"/>
      <c r="EH1564" s="4"/>
      <c r="EI1564" s="4"/>
      <c r="EJ1564" s="4"/>
      <c r="EK1564" s="4"/>
      <c r="EL1564" s="4"/>
      <c r="EM1564" s="4"/>
      <c r="EN1564" s="4"/>
      <c r="EO1564" s="4"/>
      <c r="EP1564" s="4"/>
      <c r="EQ1564" s="4"/>
      <c r="ER1564" s="4"/>
      <c r="ES1564" s="4"/>
      <c r="ET1564" s="4"/>
      <c r="EU1564" s="4"/>
      <c r="EV1564" s="4"/>
      <c r="EW1564" s="4"/>
      <c r="EX1564" s="4"/>
      <c r="EY1564" s="4"/>
      <c r="EZ1564" s="4"/>
      <c r="FA1564" s="4"/>
      <c r="FB1564" s="4"/>
      <c r="FC1564" s="4"/>
      <c r="FD1564" s="4"/>
      <c r="FE1564" s="4"/>
      <c r="FF1564" s="4"/>
      <c r="FG1564" s="4"/>
      <c r="FH1564" s="4"/>
      <c r="FI1564" s="4"/>
      <c r="FJ1564" s="4"/>
      <c r="FK1564" s="4"/>
      <c r="FL1564" s="4"/>
      <c r="FM1564" s="4"/>
      <c r="FN1564" s="4"/>
      <c r="FO1564" s="4"/>
      <c r="FP1564" s="4"/>
      <c r="FQ1564" s="4"/>
      <c r="FR1564" s="4"/>
      <c r="FS1564" s="4"/>
      <c r="FT1564" s="4"/>
      <c r="FU1564" s="4"/>
      <c r="FV1564" s="4"/>
      <c r="FW1564" s="4"/>
      <c r="FX1564" s="4"/>
      <c r="FY1564" s="4"/>
      <c r="FZ1564" s="4"/>
      <c r="GA1564" s="4"/>
      <c r="GB1564" s="4"/>
      <c r="GC1564" s="4"/>
      <c r="GD1564" s="4"/>
      <c r="GE1564" s="4"/>
      <c r="GF1564" s="4"/>
      <c r="GG1564" s="4"/>
      <c r="GH1564" s="4"/>
    </row>
    <row r="1565">
      <c r="A1565" s="2" t="s">
        <v>8336</v>
      </c>
      <c r="B1565" s="2" t="s">
        <v>827</v>
      </c>
      <c r="C1565" s="2" t="s">
        <v>231</v>
      </c>
      <c r="D1565" s="2" t="s">
        <v>828</v>
      </c>
      <c r="E1565" s="2" t="s">
        <v>1588</v>
      </c>
      <c r="F1565" s="2" t="s">
        <v>8337</v>
      </c>
      <c r="G1565" s="2" t="s">
        <v>8338</v>
      </c>
      <c r="H1565" s="2" t="s">
        <v>4523</v>
      </c>
      <c r="I1565" s="2" t="s">
        <v>8339</v>
      </c>
      <c r="J1565" s="2" t="s">
        <v>1016</v>
      </c>
      <c r="K1565" s="2" t="s">
        <v>221</v>
      </c>
      <c r="L1565" s="3">
        <v>13.5</v>
      </c>
      <c r="M1565" s="3">
        <v>14.18</v>
      </c>
      <c r="N1565" s="3">
        <v>29.99</v>
      </c>
      <c r="O1565" s="2" t="s">
        <v>212</v>
      </c>
      <c r="P1565" s="2" t="s">
        <v>285</v>
      </c>
      <c r="Q1565" s="2" t="s">
        <v>206</v>
      </c>
      <c r="R1565" s="2" t="s">
        <v>200</v>
      </c>
      <c r="S1565" s="2" t="s">
        <v>8340</v>
      </c>
      <c r="T1565" s="2" t="s">
        <v>200</v>
      </c>
      <c r="U1565" s="2" t="s">
        <v>270</v>
      </c>
      <c r="V1565" s="2" t="s">
        <v>940</v>
      </c>
      <c r="W1565" s="2" t="s">
        <v>419</v>
      </c>
      <c r="X1565" s="2" t="s">
        <v>379</v>
      </c>
      <c r="Y1565" s="2" t="s">
        <v>4479</v>
      </c>
      <c r="Z1565" s="4">
        <v>85</v>
      </c>
      <c r="AA1565" s="4">
        <f>=ROUNDDOWN(5,0)</f>
      </c>
      <c r="AB1565" s="5">
        <v>17</v>
      </c>
      <c r="AC1565" s="2" t="s">
        <v>200</v>
      </c>
      <c r="AD1565" s="4"/>
      <c r="AE1565" s="4"/>
      <c r="AF1565" s="6">
        <v>65</v>
      </c>
      <c r="AG1565" s="6"/>
      <c r="AH1565" s="7">
        <v>1</v>
      </c>
      <c r="AI1565" s="4"/>
      <c r="AJ1565" s="4">
        <f>=ROUNDDOWN({0},0)</f>
      </c>
      <c r="AK1565" s="5"/>
      <c r="AL1565" s="2" t="s">
        <v>200</v>
      </c>
      <c r="AM1565" s="4"/>
      <c r="AN1565" s="4"/>
      <c r="AO1565" s="7"/>
      <c r="AP1565" s="4"/>
      <c r="AQ1565" s="8"/>
      <c r="AR1565" s="4"/>
      <c r="AS1565" s="8"/>
      <c r="AT1565" s="7"/>
      <c r="AU1565" s="7"/>
      <c r="AV1565" s="4" t="s">
        <v>200</v>
      </c>
      <c r="AW1565" s="8" t="s">
        <v>200</v>
      </c>
      <c r="AX1565" s="4" t="s">
        <v>200</v>
      </c>
      <c r="AY1565" s="8" t="s">
        <v>200</v>
      </c>
      <c r="AZ1565" s="7" t="s">
        <v>200</v>
      </c>
      <c r="BA1565" s="7" t="s">
        <v>200</v>
      </c>
      <c r="BB1565" s="7"/>
      <c r="BC1565" s="4" t="s">
        <v>200</v>
      </c>
      <c r="BD1565" s="8" t="s">
        <v>200</v>
      </c>
      <c r="BE1565" s="4" t="s">
        <v>200</v>
      </c>
      <c r="BF1565" s="8" t="s">
        <v>200</v>
      </c>
      <c r="BG1565" s="7" t="s">
        <v>200</v>
      </c>
      <c r="BH1565" s="7" t="s">
        <v>200</v>
      </c>
      <c r="BI1565" s="7"/>
      <c r="BJ1565" s="4">
        <v>39</v>
      </c>
      <c r="BK1565" s="8">
        <v>524.39</v>
      </c>
      <c r="BL1565" s="2" t="s">
        <v>1089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8341</v>
      </c>
      <c r="BV1565" s="2" t="s">
        <v>200</v>
      </c>
      <c r="BW1565" s="2" t="s">
        <v>200</v>
      </c>
      <c r="BX1565" s="2" t="s">
        <v>289</v>
      </c>
      <c r="BY1565" s="2" t="s">
        <v>247</v>
      </c>
      <c r="BZ1565" s="2" t="s">
        <v>212</v>
      </c>
      <c r="CA1565" s="2" t="s">
        <v>1202</v>
      </c>
      <c r="CB1565" s="2" t="s">
        <v>8342</v>
      </c>
      <c r="CC1565" s="2" t="s">
        <v>213</v>
      </c>
      <c r="CD1565" s="2" t="s">
        <v>200</v>
      </c>
      <c r="CE1565" s="4">
        <v>85</v>
      </c>
      <c r="CF1565" s="4"/>
      <c r="CG1565" s="4"/>
      <c r="CH1565" s="4"/>
      <c r="CI1565" s="4"/>
      <c r="CJ1565" s="4"/>
      <c r="CK1565" s="4"/>
      <c r="CL1565" s="4"/>
      <c r="CM1565" s="4"/>
      <c r="CN1565" s="4"/>
      <c r="CO1565" s="4"/>
      <c r="CP1565" s="4"/>
      <c r="CQ1565" s="4"/>
      <c r="CR1565" s="4"/>
      <c r="CS1565" s="4"/>
      <c r="CT1565" s="4"/>
      <c r="CU1565" s="4"/>
      <c r="CV1565" s="4"/>
      <c r="CW1565" s="4"/>
      <c r="CX1565" s="4"/>
      <c r="CY1565" s="4"/>
      <c r="CZ1565" s="4"/>
      <c r="DA1565" s="4"/>
      <c r="DB1565" s="4"/>
      <c r="DC1565" s="4"/>
      <c r="DD1565" s="4"/>
      <c r="DE1565" s="4"/>
      <c r="DF1565" s="4"/>
      <c r="DG1565" s="4"/>
      <c r="DH1565" s="4"/>
      <c r="DI1565" s="4"/>
      <c r="DJ1565" s="4"/>
      <c r="DK1565" s="4"/>
      <c r="DL1565" s="4"/>
      <c r="DM1565" s="4"/>
      <c r="DN1565" s="4"/>
      <c r="DO1565" s="4"/>
      <c r="DP1565" s="4"/>
      <c r="DQ1565" s="4"/>
      <c r="DR1565" s="4"/>
      <c r="DS1565" s="4"/>
      <c r="DT1565" s="4"/>
      <c r="DU1565" s="4"/>
      <c r="DV1565" s="4"/>
      <c r="DW1565" s="4"/>
      <c r="DX1565" s="4"/>
      <c r="DY1565" s="4"/>
      <c r="DZ1565" s="4"/>
      <c r="EA1565" s="4"/>
      <c r="EB1565" s="4"/>
      <c r="EC1565" s="4"/>
      <c r="ED1565" s="4"/>
      <c r="EE1565" s="4"/>
      <c r="EF1565" s="4"/>
      <c r="EG1565" s="4"/>
      <c r="EH1565" s="4"/>
      <c r="EI1565" s="4"/>
      <c r="EJ1565" s="4"/>
      <c r="EK1565" s="4"/>
      <c r="EL1565" s="4"/>
      <c r="EM1565" s="4"/>
      <c r="EN1565" s="4"/>
      <c r="EO1565" s="4"/>
      <c r="EP1565" s="4"/>
      <c r="EQ1565" s="4"/>
      <c r="ER1565" s="4"/>
      <c r="ES1565" s="4"/>
      <c r="ET1565" s="4"/>
      <c r="EU1565" s="4"/>
      <c r="EV1565" s="4"/>
      <c r="EW1565" s="4"/>
      <c r="EX1565" s="4"/>
      <c r="EY1565" s="4"/>
      <c r="EZ1565" s="4"/>
      <c r="FA1565" s="4"/>
      <c r="FB1565" s="4"/>
      <c r="FC1565" s="4"/>
      <c r="FD1565" s="4"/>
      <c r="FE1565" s="4"/>
      <c r="FF1565" s="4"/>
      <c r="FG1565" s="4"/>
      <c r="FH1565" s="4"/>
      <c r="FI1565" s="4"/>
      <c r="FJ1565" s="4"/>
      <c r="FK1565" s="4"/>
      <c r="FL1565" s="4"/>
      <c r="FM1565" s="4"/>
      <c r="FN1565" s="4"/>
      <c r="FO1565" s="4"/>
      <c r="FP1565" s="4"/>
      <c r="FQ1565" s="4"/>
      <c r="FR1565" s="4"/>
      <c r="FS1565" s="4"/>
      <c r="FT1565" s="4"/>
      <c r="FU1565" s="4"/>
      <c r="FV1565" s="4"/>
      <c r="FW1565" s="4"/>
      <c r="FX1565" s="4"/>
      <c r="FY1565" s="4"/>
      <c r="FZ1565" s="4"/>
      <c r="GA1565" s="4"/>
      <c r="GB1565" s="4"/>
      <c r="GC1565" s="4"/>
      <c r="GD1565" s="4"/>
      <c r="GE1565" s="4"/>
      <c r="GF1565" s="4"/>
      <c r="GG1565" s="4"/>
      <c r="GH1565" s="4"/>
    </row>
    <row r="1566">
      <c r="A1566" s="2" t="s">
        <v>8343</v>
      </c>
      <c r="B1566" s="2" t="s">
        <v>827</v>
      </c>
      <c r="C1566" s="2" t="s">
        <v>231</v>
      </c>
      <c r="D1566" s="2" t="s">
        <v>828</v>
      </c>
      <c r="E1566" s="2" t="s">
        <v>1588</v>
      </c>
      <c r="F1566" s="2" t="s">
        <v>8337</v>
      </c>
      <c r="G1566" s="2" t="s">
        <v>8338</v>
      </c>
      <c r="H1566" s="2" t="s">
        <v>4523</v>
      </c>
      <c r="I1566" s="2" t="s">
        <v>8339</v>
      </c>
      <c r="J1566" s="2" t="s">
        <v>1242</v>
      </c>
      <c r="K1566" s="2" t="s">
        <v>221</v>
      </c>
      <c r="L1566" s="3">
        <v>15.75</v>
      </c>
      <c r="M1566" s="3">
        <v>16.54</v>
      </c>
      <c r="N1566" s="3">
        <v>34.99</v>
      </c>
      <c r="O1566" s="2" t="s">
        <v>417</v>
      </c>
      <c r="P1566" s="2" t="s">
        <v>285</v>
      </c>
      <c r="Q1566" s="2" t="s">
        <v>206</v>
      </c>
      <c r="R1566" s="2" t="s">
        <v>200</v>
      </c>
      <c r="S1566" s="2" t="s">
        <v>8340</v>
      </c>
      <c r="T1566" s="2" t="s">
        <v>200</v>
      </c>
      <c r="U1566" s="2" t="s">
        <v>270</v>
      </c>
      <c r="V1566" s="2" t="s">
        <v>940</v>
      </c>
      <c r="W1566" s="2" t="s">
        <v>419</v>
      </c>
      <c r="X1566" s="2" t="s">
        <v>379</v>
      </c>
      <c r="Y1566" s="2" t="s">
        <v>4479</v>
      </c>
      <c r="Z1566" s="4">
        <v>56</v>
      </c>
      <c r="AA1566" s="4">
        <f>=ROUNDDOWN(70,0)</f>
      </c>
      <c r="AB1566" s="5">
        <v>0.8</v>
      </c>
      <c r="AC1566" s="2" t="s">
        <v>200</v>
      </c>
      <c r="AD1566" s="4"/>
      <c r="AE1566" s="4"/>
      <c r="AF1566" s="6">
        <v>65</v>
      </c>
      <c r="AG1566" s="6"/>
      <c r="AH1566" s="7">
        <v>0.8667</v>
      </c>
      <c r="AI1566" s="4"/>
      <c r="AJ1566" s="4">
        <f>=ROUNDDOWN({0},0)</f>
      </c>
      <c r="AK1566" s="5"/>
      <c r="AL1566" s="2" t="s">
        <v>200</v>
      </c>
      <c r="AM1566" s="4"/>
      <c r="AN1566" s="4"/>
      <c r="AO1566" s="7"/>
      <c r="AP1566" s="4"/>
      <c r="AQ1566" s="8"/>
      <c r="AR1566" s="4"/>
      <c r="AS1566" s="8"/>
      <c r="AT1566" s="7"/>
      <c r="AU1566" s="7"/>
      <c r="AV1566" s="4" t="s">
        <v>200</v>
      </c>
      <c r="AW1566" s="8" t="s">
        <v>200</v>
      </c>
      <c r="AX1566" s="4" t="s">
        <v>200</v>
      </c>
      <c r="AY1566" s="8" t="s">
        <v>200</v>
      </c>
      <c r="AZ1566" s="7" t="s">
        <v>200</v>
      </c>
      <c r="BA1566" s="7" t="s">
        <v>200</v>
      </c>
      <c r="BB1566" s="7" t="s">
        <v>200</v>
      </c>
      <c r="BC1566" s="4" t="s">
        <v>200</v>
      </c>
      <c r="BD1566" s="8" t="s">
        <v>200</v>
      </c>
      <c r="BE1566" s="4" t="s">
        <v>200</v>
      </c>
      <c r="BF1566" s="8" t="s">
        <v>200</v>
      </c>
      <c r="BG1566" s="7" t="s">
        <v>200</v>
      </c>
      <c r="BH1566" s="7" t="s">
        <v>200</v>
      </c>
      <c r="BI1566" s="7"/>
      <c r="BJ1566" s="4"/>
      <c r="BK1566" s="8"/>
      <c r="BL1566" s="2" t="s">
        <v>8013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8344</v>
      </c>
      <c r="BV1566" s="2" t="s">
        <v>200</v>
      </c>
      <c r="BW1566" s="2" t="s">
        <v>200</v>
      </c>
      <c r="BX1566" s="2" t="s">
        <v>289</v>
      </c>
      <c r="BY1566" s="2" t="s">
        <v>247</v>
      </c>
      <c r="BZ1566" s="2" t="s">
        <v>212</v>
      </c>
      <c r="CA1566" s="2" t="s">
        <v>1202</v>
      </c>
      <c r="CB1566" s="2" t="s">
        <v>8345</v>
      </c>
      <c r="CC1566" s="2" t="s">
        <v>213</v>
      </c>
      <c r="CD1566" s="2" t="s">
        <v>200</v>
      </c>
      <c r="CE1566" s="4">
        <v>56</v>
      </c>
      <c r="CF1566" s="4"/>
      <c r="CG1566" s="4"/>
      <c r="CH1566" s="4"/>
      <c r="CI1566" s="4"/>
      <c r="CJ1566" s="4"/>
      <c r="CK1566" s="4"/>
      <c r="CL1566" s="4"/>
      <c r="CM1566" s="4"/>
      <c r="CN1566" s="4"/>
      <c r="CO1566" s="4"/>
      <c r="CP1566" s="4"/>
      <c r="CQ1566" s="4"/>
      <c r="CR1566" s="4"/>
      <c r="CS1566" s="4"/>
      <c r="CT1566" s="4"/>
      <c r="CU1566" s="4"/>
      <c r="CV1566" s="4"/>
      <c r="CW1566" s="4"/>
      <c r="CX1566" s="4"/>
      <c r="CY1566" s="4"/>
      <c r="CZ1566" s="4"/>
      <c r="DA1566" s="4"/>
      <c r="DB1566" s="4"/>
      <c r="DC1566" s="4"/>
      <c r="DD1566" s="4"/>
      <c r="DE1566" s="4"/>
      <c r="DF1566" s="4"/>
      <c r="DG1566" s="4"/>
      <c r="DH1566" s="4"/>
      <c r="DI1566" s="4"/>
      <c r="DJ1566" s="4"/>
      <c r="DK1566" s="4"/>
      <c r="DL1566" s="4"/>
      <c r="DM1566" s="4"/>
      <c r="DN1566" s="4"/>
      <c r="DO1566" s="4"/>
      <c r="DP1566" s="4"/>
      <c r="DQ1566" s="4"/>
      <c r="DR1566" s="4"/>
      <c r="DS1566" s="4"/>
      <c r="DT1566" s="4"/>
      <c r="DU1566" s="4"/>
      <c r="DV1566" s="4"/>
      <c r="DW1566" s="4"/>
      <c r="DX1566" s="4"/>
      <c r="DY1566" s="4"/>
      <c r="DZ1566" s="4"/>
      <c r="EA1566" s="4"/>
      <c r="EB1566" s="4"/>
      <c r="EC1566" s="4"/>
      <c r="ED1566" s="4"/>
      <c r="EE1566" s="4"/>
      <c r="EF1566" s="4"/>
      <c r="EG1566" s="4"/>
      <c r="EH1566" s="4"/>
      <c r="EI1566" s="4"/>
      <c r="EJ1566" s="4"/>
      <c r="EK1566" s="4"/>
      <c r="EL1566" s="4"/>
      <c r="EM1566" s="4"/>
      <c r="EN1566" s="4"/>
      <c r="EO1566" s="4"/>
      <c r="EP1566" s="4"/>
      <c r="EQ1566" s="4"/>
      <c r="ER1566" s="4"/>
      <c r="ES1566" s="4"/>
      <c r="ET1566" s="4"/>
      <c r="EU1566" s="4"/>
      <c r="EV1566" s="4"/>
      <c r="EW1566" s="4"/>
      <c r="EX1566" s="4"/>
      <c r="EY1566" s="4"/>
      <c r="EZ1566" s="4"/>
      <c r="FA1566" s="4"/>
      <c r="FB1566" s="4"/>
      <c r="FC1566" s="4"/>
      <c r="FD1566" s="4"/>
      <c r="FE1566" s="4"/>
      <c r="FF1566" s="4"/>
      <c r="FG1566" s="4"/>
      <c r="FH1566" s="4"/>
      <c r="FI1566" s="4"/>
      <c r="FJ1566" s="4"/>
      <c r="FK1566" s="4"/>
      <c r="FL1566" s="4"/>
      <c r="FM1566" s="4"/>
      <c r="FN1566" s="4"/>
      <c r="FO1566" s="4"/>
      <c r="FP1566" s="4"/>
      <c r="FQ1566" s="4"/>
      <c r="FR1566" s="4"/>
      <c r="FS1566" s="4"/>
      <c r="FT1566" s="4"/>
      <c r="FU1566" s="4"/>
      <c r="FV1566" s="4"/>
      <c r="FW1566" s="4"/>
      <c r="FX1566" s="4"/>
      <c r="FY1566" s="4"/>
      <c r="FZ1566" s="4"/>
      <c r="GA1566" s="4"/>
      <c r="GB1566" s="4"/>
      <c r="GC1566" s="4"/>
      <c r="GD1566" s="4"/>
      <c r="GE1566" s="4"/>
      <c r="GF1566" s="4"/>
      <c r="GG1566" s="4"/>
      <c r="GH1566" s="4"/>
    </row>
    <row r="1567">
      <c r="A1567" s="2" t="s">
        <v>8346</v>
      </c>
      <c r="B1567" s="2" t="s">
        <v>827</v>
      </c>
      <c r="C1567" s="2" t="s">
        <v>231</v>
      </c>
      <c r="D1567" s="2" t="s">
        <v>828</v>
      </c>
      <c r="E1567" s="2" t="s">
        <v>1588</v>
      </c>
      <c r="F1567" s="2" t="s">
        <v>8337</v>
      </c>
      <c r="G1567" s="2" t="s">
        <v>8338</v>
      </c>
      <c r="H1567" s="2" t="s">
        <v>4523</v>
      </c>
      <c r="I1567" s="2" t="s">
        <v>8347</v>
      </c>
      <c r="J1567" s="2" t="s">
        <v>1242</v>
      </c>
      <c r="K1567" s="2" t="s">
        <v>221</v>
      </c>
      <c r="L1567" s="3">
        <v>13.2</v>
      </c>
      <c r="M1567" s="3">
        <v>13.86</v>
      </c>
      <c r="N1567" s="3">
        <v>32.99</v>
      </c>
      <c r="O1567" s="2" t="s">
        <v>460</v>
      </c>
      <c r="P1567" s="2" t="s">
        <v>285</v>
      </c>
      <c r="Q1567" s="2" t="s">
        <v>206</v>
      </c>
      <c r="R1567" s="2" t="s">
        <v>200</v>
      </c>
      <c r="S1567" s="2" t="s">
        <v>8340</v>
      </c>
      <c r="T1567" s="2" t="s">
        <v>200</v>
      </c>
      <c r="U1567" s="2" t="s">
        <v>270</v>
      </c>
      <c r="V1567" s="2" t="s">
        <v>940</v>
      </c>
      <c r="W1567" s="2" t="s">
        <v>419</v>
      </c>
      <c r="X1567" s="2" t="s">
        <v>379</v>
      </c>
      <c r="Y1567" s="2" t="s">
        <v>4479</v>
      </c>
      <c r="Z1567" s="4">
        <v>28</v>
      </c>
      <c r="AA1567" s="4">
        <f>=ROUNDDOWN(14,0)</f>
      </c>
      <c r="AB1567" s="5">
        <v>2</v>
      </c>
      <c r="AC1567" s="2" t="s">
        <v>200</v>
      </c>
      <c r="AD1567" s="4"/>
      <c r="AE1567" s="4"/>
      <c r="AF1567" s="6">
        <v>65</v>
      </c>
      <c r="AG1567" s="6"/>
      <c r="AH1567" s="7">
        <v>0.8667</v>
      </c>
      <c r="AI1567" s="4"/>
      <c r="AJ1567" s="4">
        <f>=ROUNDDOWN({0},0)</f>
      </c>
      <c r="AK1567" s="5"/>
      <c r="AL1567" s="2" t="s">
        <v>200</v>
      </c>
      <c r="AM1567" s="4"/>
      <c r="AN1567" s="4"/>
      <c r="AO1567" s="7"/>
      <c r="AP1567" s="4"/>
      <c r="AQ1567" s="8"/>
      <c r="AR1567" s="4"/>
      <c r="AS1567" s="8"/>
      <c r="AT1567" s="7"/>
      <c r="AU1567" s="7"/>
      <c r="AV1567" s="4" t="s">
        <v>200</v>
      </c>
      <c r="AW1567" s="8" t="s">
        <v>200</v>
      </c>
      <c r="AX1567" s="4" t="s">
        <v>200</v>
      </c>
      <c r="AY1567" s="8" t="s">
        <v>200</v>
      </c>
      <c r="AZ1567" s="7" t="s">
        <v>200</v>
      </c>
      <c r="BA1567" s="7" t="s">
        <v>200</v>
      </c>
      <c r="BB1567" s="7" t="s">
        <v>200</v>
      </c>
      <c r="BC1567" s="4" t="s">
        <v>200</v>
      </c>
      <c r="BD1567" s="8" t="s">
        <v>200</v>
      </c>
      <c r="BE1567" s="4" t="s">
        <v>200</v>
      </c>
      <c r="BF1567" s="8" t="s">
        <v>200</v>
      </c>
      <c r="BG1567" s="7" t="s">
        <v>200</v>
      </c>
      <c r="BH1567" s="7" t="s">
        <v>200</v>
      </c>
      <c r="BI1567" s="7"/>
      <c r="BJ1567" s="4">
        <v>1</v>
      </c>
      <c r="BK1567" s="8">
        <v>11.03</v>
      </c>
      <c r="BL1567" s="2" t="s">
        <v>8348</v>
      </c>
      <c r="BM1567" s="7"/>
      <c r="BN1567" s="7"/>
      <c r="BO1567" s="4"/>
      <c r="BP1567" s="8"/>
      <c r="BQ1567" s="4"/>
      <c r="BR1567" s="8"/>
      <c r="BS1567" s="7"/>
      <c r="BT1567" s="7"/>
      <c r="BU1567" s="2" t="s">
        <v>8349</v>
      </c>
      <c r="BV1567" s="2" t="s">
        <v>200</v>
      </c>
      <c r="BW1567" s="2" t="s">
        <v>200</v>
      </c>
      <c r="BX1567" s="2" t="s">
        <v>289</v>
      </c>
      <c r="BY1567" s="2" t="s">
        <v>247</v>
      </c>
      <c r="BZ1567" s="2" t="s">
        <v>212</v>
      </c>
      <c r="CA1567" s="2" t="s">
        <v>1202</v>
      </c>
      <c r="CB1567" s="2" t="s">
        <v>8350</v>
      </c>
      <c r="CC1567" s="2" t="s">
        <v>213</v>
      </c>
      <c r="CD1567" s="2" t="s">
        <v>200</v>
      </c>
      <c r="CE1567" s="4">
        <v>28</v>
      </c>
      <c r="CF1567" s="4"/>
      <c r="CG1567" s="4"/>
      <c r="CH1567" s="4"/>
      <c r="CI1567" s="4"/>
      <c r="CJ1567" s="4"/>
      <c r="CK1567" s="4"/>
      <c r="CL1567" s="4"/>
      <c r="CM1567" s="4"/>
      <c r="CN1567" s="4"/>
      <c r="CO1567" s="4"/>
      <c r="CP1567" s="4"/>
      <c r="CQ1567" s="4"/>
      <c r="CR1567" s="4"/>
      <c r="CS1567" s="4"/>
      <c r="CT1567" s="4"/>
      <c r="CU1567" s="4"/>
      <c r="CV1567" s="4"/>
      <c r="CW1567" s="4"/>
      <c r="CX1567" s="4"/>
      <c r="CY1567" s="4"/>
      <c r="CZ1567" s="4"/>
      <c r="DA1567" s="4"/>
      <c r="DB1567" s="4"/>
      <c r="DC1567" s="4"/>
      <c r="DD1567" s="4"/>
      <c r="DE1567" s="4"/>
      <c r="DF1567" s="4"/>
      <c r="DG1567" s="4"/>
      <c r="DH1567" s="4"/>
      <c r="DI1567" s="4"/>
      <c r="DJ1567" s="4"/>
      <c r="DK1567" s="4"/>
      <c r="DL1567" s="4"/>
      <c r="DM1567" s="4"/>
      <c r="DN1567" s="4"/>
      <c r="DO1567" s="4"/>
      <c r="DP1567" s="4"/>
      <c r="DQ1567" s="4"/>
      <c r="DR1567" s="4"/>
      <c r="DS1567" s="4"/>
      <c r="DT1567" s="4"/>
      <c r="DU1567" s="4"/>
      <c r="DV1567" s="4"/>
      <c r="DW1567" s="4"/>
      <c r="DX1567" s="4"/>
      <c r="DY1567" s="4"/>
      <c r="DZ1567" s="4"/>
      <c r="EA1567" s="4"/>
      <c r="EB1567" s="4"/>
      <c r="EC1567" s="4"/>
      <c r="ED1567" s="4"/>
      <c r="EE1567" s="4"/>
      <c r="EF1567" s="4"/>
      <c r="EG1567" s="4"/>
      <c r="EH1567" s="4"/>
      <c r="EI1567" s="4"/>
      <c r="EJ1567" s="4"/>
      <c r="EK1567" s="4"/>
      <c r="EL1567" s="4"/>
      <c r="EM1567" s="4"/>
      <c r="EN1567" s="4"/>
      <c r="EO1567" s="4"/>
      <c r="EP1567" s="4"/>
      <c r="EQ1567" s="4"/>
      <c r="ER1567" s="4"/>
      <c r="ES1567" s="4"/>
      <c r="ET1567" s="4"/>
      <c r="EU1567" s="4"/>
      <c r="EV1567" s="4"/>
      <c r="EW1567" s="4"/>
      <c r="EX1567" s="4"/>
      <c r="EY1567" s="4"/>
      <c r="EZ1567" s="4"/>
      <c r="FA1567" s="4"/>
      <c r="FB1567" s="4"/>
      <c r="FC1567" s="4"/>
      <c r="FD1567" s="4"/>
      <c r="FE1567" s="4"/>
      <c r="FF1567" s="4"/>
      <c r="FG1567" s="4"/>
      <c r="FH1567" s="4"/>
      <c r="FI1567" s="4"/>
      <c r="FJ1567" s="4"/>
      <c r="FK1567" s="4"/>
      <c r="FL1567" s="4"/>
      <c r="FM1567" s="4"/>
      <c r="FN1567" s="4"/>
      <c r="FO1567" s="4"/>
      <c r="FP1567" s="4"/>
      <c r="FQ1567" s="4"/>
      <c r="FR1567" s="4"/>
      <c r="FS1567" s="4"/>
      <c r="FT1567" s="4"/>
      <c r="FU1567" s="4"/>
      <c r="FV1567" s="4"/>
      <c r="FW1567" s="4"/>
      <c r="FX1567" s="4"/>
      <c r="FY1567" s="4"/>
      <c r="FZ1567" s="4"/>
      <c r="GA1567" s="4"/>
      <c r="GB1567" s="4"/>
      <c r="GC1567" s="4"/>
      <c r="GD1567" s="4"/>
      <c r="GE1567" s="4"/>
      <c r="GF1567" s="4"/>
      <c r="GG1567" s="4"/>
      <c r="GH1567" s="4"/>
    </row>
    <row r="1568">
      <c r="A1568" s="2" t="s">
        <v>8351</v>
      </c>
      <c r="B1568" s="2" t="s">
        <v>827</v>
      </c>
      <c r="C1568" s="2" t="s">
        <v>231</v>
      </c>
      <c r="D1568" s="2" t="s">
        <v>828</v>
      </c>
      <c r="E1568" s="2" t="s">
        <v>1588</v>
      </c>
      <c r="F1568" s="2" t="s">
        <v>8337</v>
      </c>
      <c r="G1568" s="2" t="s">
        <v>8338</v>
      </c>
      <c r="H1568" s="2" t="s">
        <v>4523</v>
      </c>
      <c r="I1568" s="2" t="s">
        <v>8339</v>
      </c>
      <c r="J1568" s="2" t="s">
        <v>1016</v>
      </c>
      <c r="K1568" s="2" t="s">
        <v>223</v>
      </c>
      <c r="L1568" s="3">
        <v>13.5</v>
      </c>
      <c r="M1568" s="3">
        <v>14.18</v>
      </c>
      <c r="N1568" s="3">
        <v>29.99</v>
      </c>
      <c r="O1568" s="2" t="s">
        <v>417</v>
      </c>
      <c r="P1568" s="2" t="s">
        <v>285</v>
      </c>
      <c r="Q1568" s="2" t="s">
        <v>206</v>
      </c>
      <c r="R1568" s="2" t="s">
        <v>200</v>
      </c>
      <c r="S1568" s="2" t="s">
        <v>8352</v>
      </c>
      <c r="T1568" s="2" t="s">
        <v>200</v>
      </c>
      <c r="U1568" s="2" t="s">
        <v>270</v>
      </c>
      <c r="V1568" s="2" t="s">
        <v>940</v>
      </c>
      <c r="W1568" s="2" t="s">
        <v>419</v>
      </c>
      <c r="X1568" s="2" t="s">
        <v>379</v>
      </c>
      <c r="Y1568" s="2" t="s">
        <v>4479</v>
      </c>
      <c r="Z1568" s="4">
        <v>40</v>
      </c>
      <c r="AA1568" s="4">
        <f>=ROUNDDOWN(8,0)</f>
      </c>
      <c r="AB1568" s="5">
        <v>5</v>
      </c>
      <c r="AC1568" s="2" t="s">
        <v>200</v>
      </c>
      <c r="AD1568" s="4"/>
      <c r="AE1568" s="4"/>
      <c r="AF1568" s="6">
        <v>65</v>
      </c>
      <c r="AG1568" s="6"/>
      <c r="AH1568" s="7">
        <v>0.9667</v>
      </c>
      <c r="AI1568" s="4"/>
      <c r="AJ1568" s="4">
        <f>=ROUNDDOWN({0},0)</f>
      </c>
      <c r="AK1568" s="5"/>
      <c r="AL1568" s="2" t="s">
        <v>200</v>
      </c>
      <c r="AM1568" s="4"/>
      <c r="AN1568" s="4"/>
      <c r="AO1568" s="7"/>
      <c r="AP1568" s="4"/>
      <c r="AQ1568" s="8"/>
      <c r="AR1568" s="4"/>
      <c r="AS1568" s="8"/>
      <c r="AT1568" s="7"/>
      <c r="AU1568" s="7"/>
      <c r="AV1568" s="4" t="s">
        <v>200</v>
      </c>
      <c r="AW1568" s="8" t="s">
        <v>200</v>
      </c>
      <c r="AX1568" s="4" t="s">
        <v>200</v>
      </c>
      <c r="AY1568" s="8" t="s">
        <v>200</v>
      </c>
      <c r="AZ1568" s="7" t="s">
        <v>200</v>
      </c>
      <c r="BA1568" s="7" t="s">
        <v>200</v>
      </c>
      <c r="BB1568" s="7"/>
      <c r="BC1568" s="4" t="s">
        <v>200</v>
      </c>
      <c r="BD1568" s="8" t="s">
        <v>200</v>
      </c>
      <c r="BE1568" s="4" t="s">
        <v>200</v>
      </c>
      <c r="BF1568" s="8" t="s">
        <v>200</v>
      </c>
      <c r="BG1568" s="7" t="s">
        <v>200</v>
      </c>
      <c r="BH1568" s="7" t="s">
        <v>200</v>
      </c>
      <c r="BI1568" s="7"/>
      <c r="BJ1568" s="4">
        <v>2</v>
      </c>
      <c r="BK1568" s="8">
        <v>23.58</v>
      </c>
      <c r="BL1568" s="2" t="s">
        <v>2723</v>
      </c>
      <c r="BM1568" s="7"/>
      <c r="BN1568" s="7"/>
      <c r="BO1568" s="4"/>
      <c r="BP1568" s="8"/>
      <c r="BQ1568" s="4"/>
      <c r="BR1568" s="8"/>
      <c r="BS1568" s="7"/>
      <c r="BT1568" s="7"/>
      <c r="BU1568" s="2" t="s">
        <v>8353</v>
      </c>
      <c r="BV1568" s="2" t="s">
        <v>200</v>
      </c>
      <c r="BW1568" s="2" t="s">
        <v>200</v>
      </c>
      <c r="BX1568" s="2" t="s">
        <v>289</v>
      </c>
      <c r="BY1568" s="2" t="s">
        <v>247</v>
      </c>
      <c r="BZ1568" s="2" t="s">
        <v>212</v>
      </c>
      <c r="CA1568" s="2" t="s">
        <v>1202</v>
      </c>
      <c r="CB1568" s="2" t="s">
        <v>6430</v>
      </c>
      <c r="CC1568" s="2" t="s">
        <v>213</v>
      </c>
      <c r="CD1568" s="2" t="s">
        <v>200</v>
      </c>
      <c r="CE1568" s="4">
        <v>40</v>
      </c>
      <c r="CF1568" s="4"/>
      <c r="CG1568" s="4"/>
      <c r="CH1568" s="4"/>
      <c r="CI1568" s="4"/>
      <c r="CJ1568" s="4"/>
      <c r="CK1568" s="4"/>
      <c r="CL1568" s="4"/>
      <c r="CM1568" s="4"/>
      <c r="CN1568" s="4"/>
      <c r="CO1568" s="4"/>
      <c r="CP1568" s="4"/>
      <c r="CQ1568" s="4"/>
      <c r="CR1568" s="4"/>
      <c r="CS1568" s="4"/>
      <c r="CT1568" s="4"/>
      <c r="CU1568" s="4"/>
      <c r="CV1568" s="4"/>
      <c r="CW1568" s="4"/>
      <c r="CX1568" s="4"/>
      <c r="CY1568" s="4"/>
      <c r="CZ1568" s="4"/>
      <c r="DA1568" s="4"/>
      <c r="DB1568" s="4"/>
      <c r="DC1568" s="4"/>
      <c r="DD1568" s="4"/>
      <c r="DE1568" s="4"/>
      <c r="DF1568" s="4"/>
      <c r="DG1568" s="4"/>
      <c r="DH1568" s="4"/>
      <c r="DI1568" s="4"/>
      <c r="DJ1568" s="4"/>
      <c r="DK1568" s="4"/>
      <c r="DL1568" s="4"/>
      <c r="DM1568" s="4"/>
      <c r="DN1568" s="4"/>
      <c r="DO1568" s="4"/>
      <c r="DP1568" s="4"/>
      <c r="DQ1568" s="4"/>
      <c r="DR1568" s="4"/>
      <c r="DS1568" s="4"/>
      <c r="DT1568" s="4"/>
      <c r="DU1568" s="4"/>
      <c r="DV1568" s="4"/>
      <c r="DW1568" s="4"/>
      <c r="DX1568" s="4"/>
      <c r="DY1568" s="4"/>
      <c r="DZ1568" s="4"/>
      <c r="EA1568" s="4"/>
      <c r="EB1568" s="4"/>
      <c r="EC1568" s="4"/>
      <c r="ED1568" s="4"/>
      <c r="EE1568" s="4"/>
      <c r="EF1568" s="4"/>
      <c r="EG1568" s="4"/>
      <c r="EH1568" s="4"/>
      <c r="EI1568" s="4"/>
      <c r="EJ1568" s="4"/>
      <c r="EK1568" s="4"/>
      <c r="EL1568" s="4"/>
      <c r="EM1568" s="4"/>
      <c r="EN1568" s="4"/>
      <c r="EO1568" s="4"/>
      <c r="EP1568" s="4"/>
      <c r="EQ1568" s="4"/>
      <c r="ER1568" s="4"/>
      <c r="ES1568" s="4"/>
      <c r="ET1568" s="4"/>
      <c r="EU1568" s="4"/>
      <c r="EV1568" s="4"/>
      <c r="EW1568" s="4"/>
      <c r="EX1568" s="4"/>
      <c r="EY1568" s="4"/>
      <c r="EZ1568" s="4"/>
      <c r="FA1568" s="4"/>
      <c r="FB1568" s="4"/>
      <c r="FC1568" s="4"/>
      <c r="FD1568" s="4"/>
      <c r="FE1568" s="4"/>
      <c r="FF1568" s="4"/>
      <c r="FG1568" s="4"/>
      <c r="FH1568" s="4"/>
      <c r="FI1568" s="4"/>
      <c r="FJ1568" s="4"/>
      <c r="FK1568" s="4"/>
      <c r="FL1568" s="4"/>
      <c r="FM1568" s="4"/>
      <c r="FN1568" s="4"/>
      <c r="FO1568" s="4"/>
      <c r="FP1568" s="4"/>
      <c r="FQ1568" s="4"/>
      <c r="FR1568" s="4"/>
      <c r="FS1568" s="4"/>
      <c r="FT1568" s="4"/>
      <c r="FU1568" s="4"/>
      <c r="FV1568" s="4"/>
      <c r="FW1568" s="4"/>
      <c r="FX1568" s="4"/>
      <c r="FY1568" s="4"/>
      <c r="FZ1568" s="4"/>
      <c r="GA1568" s="4"/>
      <c r="GB1568" s="4"/>
      <c r="GC1568" s="4"/>
      <c r="GD1568" s="4"/>
      <c r="GE1568" s="4"/>
      <c r="GF1568" s="4"/>
      <c r="GG1568" s="4"/>
      <c r="GH1568" s="4"/>
    </row>
    <row r="1569">
      <c r="A1569" s="2" t="s">
        <v>8354</v>
      </c>
      <c r="B1569" s="2" t="s">
        <v>827</v>
      </c>
      <c r="C1569" s="2" t="s">
        <v>231</v>
      </c>
      <c r="D1569" s="2" t="s">
        <v>828</v>
      </c>
      <c r="E1569" s="2" t="s">
        <v>1588</v>
      </c>
      <c r="F1569" s="2" t="s">
        <v>8337</v>
      </c>
      <c r="G1569" s="2" t="s">
        <v>8338</v>
      </c>
      <c r="H1569" s="2" t="s">
        <v>4523</v>
      </c>
      <c r="I1569" s="2" t="s">
        <v>8339</v>
      </c>
      <c r="J1569" s="2" t="s">
        <v>1242</v>
      </c>
      <c r="K1569" s="2" t="s">
        <v>223</v>
      </c>
      <c r="L1569" s="3">
        <v>15.75</v>
      </c>
      <c r="M1569" s="3">
        <v>16.54</v>
      </c>
      <c r="N1569" s="3">
        <v>34.99</v>
      </c>
      <c r="O1569" s="2" t="s">
        <v>417</v>
      </c>
      <c r="P1569" s="2" t="s">
        <v>285</v>
      </c>
      <c r="Q1569" s="2" t="s">
        <v>206</v>
      </c>
      <c r="R1569" s="2" t="s">
        <v>200</v>
      </c>
      <c r="S1569" s="2" t="s">
        <v>8352</v>
      </c>
      <c r="T1569" s="2" t="s">
        <v>200</v>
      </c>
      <c r="U1569" s="2" t="s">
        <v>270</v>
      </c>
      <c r="V1569" s="2" t="s">
        <v>940</v>
      </c>
      <c r="W1569" s="2" t="s">
        <v>419</v>
      </c>
      <c r="X1569" s="2" t="s">
        <v>379</v>
      </c>
      <c r="Y1569" s="2" t="s">
        <v>4479</v>
      </c>
      <c r="Z1569" s="4">
        <v>9</v>
      </c>
      <c r="AA1569" s="4">
        <f>=ROUNDDOWN(3,0)</f>
      </c>
      <c r="AB1569" s="5">
        <v>3</v>
      </c>
      <c r="AC1569" s="2" t="s">
        <v>200</v>
      </c>
      <c r="AD1569" s="4"/>
      <c r="AE1569" s="4"/>
      <c r="AF1569" s="6">
        <v>65</v>
      </c>
      <c r="AG1569" s="6"/>
      <c r="AH1569" s="7">
        <v>0.9667</v>
      </c>
      <c r="AI1569" s="4"/>
      <c r="AJ1569" s="4">
        <f>=ROUNDDOWN({0},0)</f>
      </c>
      <c r="AK1569" s="5"/>
      <c r="AL1569" s="2" t="s">
        <v>200</v>
      </c>
      <c r="AM1569" s="4"/>
      <c r="AN1569" s="4"/>
      <c r="AO1569" s="7"/>
      <c r="AP1569" s="4"/>
      <c r="AQ1569" s="8"/>
      <c r="AR1569" s="4"/>
      <c r="AS1569" s="8"/>
      <c r="AT1569" s="7"/>
      <c r="AU1569" s="7"/>
      <c r="AV1569" s="4" t="s">
        <v>200</v>
      </c>
      <c r="AW1569" s="8" t="s">
        <v>200</v>
      </c>
      <c r="AX1569" s="4" t="s">
        <v>200</v>
      </c>
      <c r="AY1569" s="8" t="s">
        <v>200</v>
      </c>
      <c r="AZ1569" s="7" t="s">
        <v>200</v>
      </c>
      <c r="BA1569" s="7" t="s">
        <v>200</v>
      </c>
      <c r="BB1569" s="7" t="s">
        <v>200</v>
      </c>
      <c r="BC1569" s="4" t="s">
        <v>200</v>
      </c>
      <c r="BD1569" s="8" t="s">
        <v>200</v>
      </c>
      <c r="BE1569" s="4" t="s">
        <v>200</v>
      </c>
      <c r="BF1569" s="8" t="s">
        <v>200</v>
      </c>
      <c r="BG1569" s="7" t="s">
        <v>200</v>
      </c>
      <c r="BH1569" s="7" t="s">
        <v>200</v>
      </c>
      <c r="BI1569" s="7"/>
      <c r="BJ1569" s="4"/>
      <c r="BK1569" s="8"/>
      <c r="BL1569" s="2" t="s">
        <v>8355</v>
      </c>
      <c r="BM1569" s="7"/>
      <c r="BN1569" s="7"/>
      <c r="BO1569" s="4"/>
      <c r="BP1569" s="8"/>
      <c r="BQ1569" s="4"/>
      <c r="BR1569" s="8"/>
      <c r="BS1569" s="7"/>
      <c r="BT1569" s="7"/>
      <c r="BU1569" s="2" t="s">
        <v>8356</v>
      </c>
      <c r="BV1569" s="2" t="s">
        <v>200</v>
      </c>
      <c r="BW1569" s="2" t="s">
        <v>200</v>
      </c>
      <c r="BX1569" s="2" t="s">
        <v>289</v>
      </c>
      <c r="BY1569" s="2" t="s">
        <v>247</v>
      </c>
      <c r="BZ1569" s="2" t="s">
        <v>212</v>
      </c>
      <c r="CA1569" s="2" t="s">
        <v>1202</v>
      </c>
      <c r="CB1569" s="2" t="s">
        <v>8357</v>
      </c>
      <c r="CC1569" s="2" t="s">
        <v>213</v>
      </c>
      <c r="CD1569" s="2" t="s">
        <v>200</v>
      </c>
      <c r="CE1569" s="4">
        <v>9</v>
      </c>
      <c r="CF1569" s="4"/>
      <c r="CG1569" s="4"/>
      <c r="CH1569" s="4"/>
      <c r="CI1569" s="4"/>
      <c r="CJ1569" s="4"/>
      <c r="CK1569" s="4"/>
      <c r="CL1569" s="4"/>
      <c r="CM1569" s="4"/>
      <c r="CN1569" s="4"/>
      <c r="CO1569" s="4"/>
      <c r="CP1569" s="4"/>
      <c r="CQ1569" s="4"/>
      <c r="CR1569" s="4"/>
      <c r="CS1569" s="4"/>
      <c r="CT1569" s="4"/>
      <c r="CU1569" s="4"/>
      <c r="CV1569" s="4"/>
      <c r="CW1569" s="4"/>
      <c r="CX1569" s="4"/>
      <c r="CY1569" s="4"/>
      <c r="CZ1569" s="4"/>
      <c r="DA1569" s="4"/>
      <c r="DB1569" s="4"/>
      <c r="DC1569" s="4"/>
      <c r="DD1569" s="4"/>
      <c r="DE1569" s="4"/>
      <c r="DF1569" s="4"/>
      <c r="DG1569" s="4"/>
      <c r="DH1569" s="4"/>
      <c r="DI1569" s="4"/>
      <c r="DJ1569" s="4"/>
      <c r="DK1569" s="4"/>
      <c r="DL1569" s="4"/>
      <c r="DM1569" s="4"/>
      <c r="DN1569" s="4"/>
      <c r="DO1569" s="4"/>
      <c r="DP1569" s="4"/>
      <c r="DQ1569" s="4"/>
      <c r="DR1569" s="4"/>
      <c r="DS1569" s="4"/>
      <c r="DT1569" s="4"/>
      <c r="DU1569" s="4"/>
      <c r="DV1569" s="4"/>
      <c r="DW1569" s="4"/>
      <c r="DX1569" s="4"/>
      <c r="DY1569" s="4"/>
      <c r="DZ1569" s="4"/>
      <c r="EA1569" s="4"/>
      <c r="EB1569" s="4"/>
      <c r="EC1569" s="4"/>
      <c r="ED1569" s="4"/>
      <c r="EE1569" s="4"/>
      <c r="EF1569" s="4"/>
      <c r="EG1569" s="4"/>
      <c r="EH1569" s="4"/>
      <c r="EI1569" s="4"/>
      <c r="EJ1569" s="4"/>
      <c r="EK1569" s="4"/>
      <c r="EL1569" s="4"/>
      <c r="EM1569" s="4"/>
      <c r="EN1569" s="4"/>
      <c r="EO1569" s="4"/>
      <c r="EP1569" s="4"/>
      <c r="EQ1569" s="4"/>
      <c r="ER1569" s="4"/>
      <c r="ES1569" s="4"/>
      <c r="ET1569" s="4"/>
      <c r="EU1569" s="4"/>
      <c r="EV1569" s="4"/>
      <c r="EW1569" s="4"/>
      <c r="EX1569" s="4"/>
      <c r="EY1569" s="4"/>
      <c r="EZ1569" s="4"/>
      <c r="FA1569" s="4"/>
      <c r="FB1569" s="4"/>
      <c r="FC1569" s="4"/>
      <c r="FD1569" s="4"/>
      <c r="FE1569" s="4"/>
      <c r="FF1569" s="4"/>
      <c r="FG1569" s="4"/>
      <c r="FH1569" s="4"/>
      <c r="FI1569" s="4"/>
      <c r="FJ1569" s="4"/>
      <c r="FK1569" s="4"/>
      <c r="FL1569" s="4"/>
      <c r="FM1569" s="4"/>
      <c r="FN1569" s="4"/>
      <c r="FO1569" s="4"/>
      <c r="FP1569" s="4"/>
      <c r="FQ1569" s="4"/>
      <c r="FR1569" s="4"/>
      <c r="FS1569" s="4"/>
      <c r="FT1569" s="4"/>
      <c r="FU1569" s="4"/>
      <c r="FV1569" s="4"/>
      <c r="FW1569" s="4"/>
      <c r="FX1569" s="4"/>
      <c r="FY1569" s="4"/>
      <c r="FZ1569" s="4"/>
      <c r="GA1569" s="4"/>
      <c r="GB1569" s="4"/>
      <c r="GC1569" s="4"/>
      <c r="GD1569" s="4"/>
      <c r="GE1569" s="4"/>
      <c r="GF1569" s="4"/>
      <c r="GG1569" s="4"/>
      <c r="GH1569" s="4"/>
    </row>
    <row r="1570">
      <c r="A1570" s="2" t="s">
        <v>8358</v>
      </c>
      <c r="B1570" s="2" t="s">
        <v>827</v>
      </c>
      <c r="C1570" s="2" t="s">
        <v>231</v>
      </c>
      <c r="D1570" s="2" t="s">
        <v>828</v>
      </c>
      <c r="E1570" s="2" t="s">
        <v>1588</v>
      </c>
      <c r="F1570" s="2" t="s">
        <v>8337</v>
      </c>
      <c r="G1570" s="2" t="s">
        <v>8338</v>
      </c>
      <c r="H1570" s="2" t="s">
        <v>4523</v>
      </c>
      <c r="I1570" s="2" t="s">
        <v>8347</v>
      </c>
      <c r="J1570" s="2" t="s">
        <v>1242</v>
      </c>
      <c r="K1570" s="2" t="s">
        <v>223</v>
      </c>
      <c r="L1570" s="3">
        <v>13.2</v>
      </c>
      <c r="M1570" s="3">
        <v>13.86</v>
      </c>
      <c r="N1570" s="3">
        <v>32.99</v>
      </c>
      <c r="O1570" s="2" t="s">
        <v>460</v>
      </c>
      <c r="P1570" s="2" t="s">
        <v>285</v>
      </c>
      <c r="Q1570" s="2" t="s">
        <v>206</v>
      </c>
      <c r="R1570" s="2" t="s">
        <v>200</v>
      </c>
      <c r="S1570" s="2" t="s">
        <v>8352</v>
      </c>
      <c r="T1570" s="2" t="s">
        <v>200</v>
      </c>
      <c r="U1570" s="2" t="s">
        <v>270</v>
      </c>
      <c r="V1570" s="2" t="s">
        <v>940</v>
      </c>
      <c r="W1570" s="2" t="s">
        <v>419</v>
      </c>
      <c r="X1570" s="2" t="s">
        <v>379</v>
      </c>
      <c r="Y1570" s="2" t="s">
        <v>4479</v>
      </c>
      <c r="Z1570" s="4">
        <v>252</v>
      </c>
      <c r="AA1570" s="4">
        <f>=ROUNDDOWN(1260,0)</f>
      </c>
      <c r="AB1570" s="5">
        <v>0.2</v>
      </c>
      <c r="AC1570" s="2" t="s">
        <v>200</v>
      </c>
      <c r="AD1570" s="4"/>
      <c r="AE1570" s="4"/>
      <c r="AF1570" s="6">
        <v>65</v>
      </c>
      <c r="AG1570" s="6"/>
      <c r="AH1570" s="7">
        <v>1</v>
      </c>
      <c r="AI1570" s="4"/>
      <c r="AJ1570" s="4">
        <f>=ROUNDDOWN({0},0)</f>
      </c>
      <c r="AK1570" s="5"/>
      <c r="AL1570" s="2" t="s">
        <v>200</v>
      </c>
      <c r="AM1570" s="4"/>
      <c r="AN1570" s="4"/>
      <c r="AO1570" s="7"/>
      <c r="AP1570" s="4"/>
      <c r="AQ1570" s="8"/>
      <c r="AR1570" s="4"/>
      <c r="AS1570" s="8"/>
      <c r="AT1570" s="7"/>
      <c r="AU1570" s="7"/>
      <c r="AV1570" s="4" t="s">
        <v>200</v>
      </c>
      <c r="AW1570" s="8" t="s">
        <v>200</v>
      </c>
      <c r="AX1570" s="4" t="s">
        <v>200</v>
      </c>
      <c r="AY1570" s="8" t="s">
        <v>200</v>
      </c>
      <c r="AZ1570" s="7" t="s">
        <v>200</v>
      </c>
      <c r="BA1570" s="7" t="s">
        <v>200</v>
      </c>
      <c r="BB1570" s="7" t="s">
        <v>200</v>
      </c>
      <c r="BC1570" s="4" t="s">
        <v>200</v>
      </c>
      <c r="BD1570" s="8" t="s">
        <v>200</v>
      </c>
      <c r="BE1570" s="4" t="s">
        <v>200</v>
      </c>
      <c r="BF1570" s="8" t="s">
        <v>200</v>
      </c>
      <c r="BG1570" s="7" t="s">
        <v>200</v>
      </c>
      <c r="BH1570" s="7" t="s">
        <v>200</v>
      </c>
      <c r="BI1570" s="7"/>
      <c r="BJ1570" s="4">
        <v>13</v>
      </c>
      <c r="BK1570" s="8">
        <v>158.12</v>
      </c>
      <c r="BL1570" s="2" t="s">
        <v>5749</v>
      </c>
      <c r="BM1570" s="7"/>
      <c r="BN1570" s="7"/>
      <c r="BO1570" s="4"/>
      <c r="BP1570" s="8"/>
      <c r="BQ1570" s="4"/>
      <c r="BR1570" s="8"/>
      <c r="BS1570" s="7"/>
      <c r="BT1570" s="7"/>
      <c r="BU1570" s="2" t="s">
        <v>8359</v>
      </c>
      <c r="BV1570" s="2" t="s">
        <v>200</v>
      </c>
      <c r="BW1570" s="2" t="s">
        <v>200</v>
      </c>
      <c r="BX1570" s="2" t="s">
        <v>289</v>
      </c>
      <c r="BY1570" s="2" t="s">
        <v>247</v>
      </c>
      <c r="BZ1570" s="2" t="s">
        <v>212</v>
      </c>
      <c r="CA1570" s="2" t="s">
        <v>1202</v>
      </c>
      <c r="CB1570" s="2" t="s">
        <v>8360</v>
      </c>
      <c r="CC1570" s="2" t="s">
        <v>213</v>
      </c>
      <c r="CD1570" s="2" t="s">
        <v>200</v>
      </c>
      <c r="CE1570" s="4">
        <v>252</v>
      </c>
      <c r="CF1570" s="4"/>
      <c r="CG1570" s="4"/>
      <c r="CH1570" s="4"/>
      <c r="CI1570" s="4"/>
      <c r="CJ1570" s="4"/>
      <c r="CK1570" s="4"/>
      <c r="CL1570" s="4"/>
      <c r="CM1570" s="4"/>
      <c r="CN1570" s="4"/>
      <c r="CO1570" s="4"/>
      <c r="CP1570" s="4"/>
      <c r="CQ1570" s="4"/>
      <c r="CR1570" s="4"/>
      <c r="CS1570" s="4"/>
      <c r="CT1570" s="4"/>
      <c r="CU1570" s="4"/>
      <c r="CV1570" s="4"/>
      <c r="CW1570" s="4"/>
      <c r="CX1570" s="4"/>
      <c r="CY1570" s="4"/>
      <c r="CZ1570" s="4"/>
      <c r="DA1570" s="4"/>
      <c r="DB1570" s="4"/>
      <c r="DC1570" s="4"/>
      <c r="DD1570" s="4"/>
      <c r="DE1570" s="4"/>
      <c r="DF1570" s="4"/>
      <c r="DG1570" s="4"/>
      <c r="DH1570" s="4"/>
      <c r="DI1570" s="4"/>
      <c r="DJ1570" s="4"/>
      <c r="DK1570" s="4"/>
      <c r="DL1570" s="4"/>
      <c r="DM1570" s="4"/>
      <c r="DN1570" s="4"/>
      <c r="DO1570" s="4"/>
      <c r="DP1570" s="4"/>
      <c r="DQ1570" s="4"/>
      <c r="DR1570" s="4"/>
      <c r="DS1570" s="4"/>
      <c r="DT1570" s="4"/>
      <c r="DU1570" s="4"/>
      <c r="DV1570" s="4"/>
      <c r="DW1570" s="4"/>
      <c r="DX1570" s="4"/>
      <c r="DY1570" s="4"/>
      <c r="DZ1570" s="4"/>
      <c r="EA1570" s="4"/>
      <c r="EB1570" s="4"/>
      <c r="EC1570" s="4"/>
      <c r="ED1570" s="4"/>
      <c r="EE1570" s="4"/>
      <c r="EF1570" s="4"/>
      <c r="EG1570" s="4"/>
      <c r="EH1570" s="4"/>
      <c r="EI1570" s="4"/>
      <c r="EJ1570" s="4"/>
      <c r="EK1570" s="4"/>
      <c r="EL1570" s="4"/>
      <c r="EM1570" s="4"/>
      <c r="EN1570" s="4"/>
      <c r="EO1570" s="4"/>
      <c r="EP1570" s="4"/>
      <c r="EQ1570" s="4"/>
      <c r="ER1570" s="4"/>
      <c r="ES1570" s="4"/>
      <c r="ET1570" s="4"/>
      <c r="EU1570" s="4"/>
      <c r="EV1570" s="4"/>
      <c r="EW1570" s="4"/>
      <c r="EX1570" s="4"/>
      <c r="EY1570" s="4"/>
      <c r="EZ1570" s="4"/>
      <c r="FA1570" s="4"/>
      <c r="FB1570" s="4"/>
      <c r="FC1570" s="4"/>
      <c r="FD1570" s="4"/>
      <c r="FE1570" s="4"/>
      <c r="FF1570" s="4"/>
      <c r="FG1570" s="4"/>
      <c r="FH1570" s="4"/>
      <c r="FI1570" s="4"/>
      <c r="FJ1570" s="4"/>
      <c r="FK1570" s="4"/>
      <c r="FL1570" s="4"/>
      <c r="FM1570" s="4"/>
      <c r="FN1570" s="4"/>
      <c r="FO1570" s="4"/>
      <c r="FP1570" s="4"/>
      <c r="FQ1570" s="4"/>
      <c r="FR1570" s="4"/>
      <c r="FS1570" s="4"/>
      <c r="FT1570" s="4"/>
      <c r="FU1570" s="4"/>
      <c r="FV1570" s="4"/>
      <c r="FW1570" s="4"/>
      <c r="FX1570" s="4"/>
      <c r="FY1570" s="4"/>
      <c r="FZ1570" s="4"/>
      <c r="GA1570" s="4"/>
      <c r="GB1570" s="4"/>
      <c r="GC1570" s="4"/>
      <c r="GD1570" s="4"/>
      <c r="GE1570" s="4"/>
      <c r="GF1570" s="4"/>
      <c r="GG1570" s="4"/>
      <c r="GH1570" s="4"/>
    </row>
    <row r="1571">
      <c r="A1571" s="2" t="s">
        <v>8361</v>
      </c>
      <c r="B1571" s="2" t="s">
        <v>827</v>
      </c>
      <c r="C1571" s="2" t="s">
        <v>231</v>
      </c>
      <c r="D1571" s="2" t="s">
        <v>828</v>
      </c>
      <c r="E1571" s="2" t="s">
        <v>1588</v>
      </c>
      <c r="F1571" s="2" t="s">
        <v>8337</v>
      </c>
      <c r="G1571" s="2" t="s">
        <v>8338</v>
      </c>
      <c r="H1571" s="2" t="s">
        <v>4523</v>
      </c>
      <c r="I1571" s="2" t="s">
        <v>8339</v>
      </c>
      <c r="J1571" s="2" t="s">
        <v>1016</v>
      </c>
      <c r="K1571" s="2" t="s">
        <v>257</v>
      </c>
      <c r="L1571" s="3">
        <v>13.5</v>
      </c>
      <c r="M1571" s="3">
        <v>14.18</v>
      </c>
      <c r="N1571" s="3">
        <v>29.99</v>
      </c>
      <c r="O1571" s="2" t="s">
        <v>417</v>
      </c>
      <c r="P1571" s="2" t="s">
        <v>285</v>
      </c>
      <c r="Q1571" s="2" t="s">
        <v>206</v>
      </c>
      <c r="R1571" s="2" t="s">
        <v>200</v>
      </c>
      <c r="S1571" s="2" t="s">
        <v>8362</v>
      </c>
      <c r="T1571" s="2" t="s">
        <v>200</v>
      </c>
      <c r="U1571" s="2" t="s">
        <v>270</v>
      </c>
      <c r="V1571" s="2" t="s">
        <v>940</v>
      </c>
      <c r="W1571" s="2" t="s">
        <v>419</v>
      </c>
      <c r="X1571" s="2" t="s">
        <v>379</v>
      </c>
      <c r="Y1571" s="2" t="s">
        <v>4479</v>
      </c>
      <c r="Z1571" s="4">
        <v>61</v>
      </c>
      <c r="AA1571" s="4">
        <f>=ROUNDDOWN(10.1666666666667,0)</f>
      </c>
      <c r="AB1571" s="5">
        <v>6</v>
      </c>
      <c r="AC1571" s="2" t="s">
        <v>200</v>
      </c>
      <c r="AD1571" s="4"/>
      <c r="AE1571" s="4"/>
      <c r="AF1571" s="6">
        <v>65</v>
      </c>
      <c r="AG1571" s="6"/>
      <c r="AH1571" s="7">
        <v>0.8667</v>
      </c>
      <c r="AI1571" s="4"/>
      <c r="AJ1571" s="4">
        <f>=ROUNDDOWN({0},0)</f>
      </c>
      <c r="AK1571" s="5"/>
      <c r="AL1571" s="2" t="s">
        <v>200</v>
      </c>
      <c r="AM1571" s="4"/>
      <c r="AN1571" s="4"/>
      <c r="AO1571" s="7"/>
      <c r="AP1571" s="4"/>
      <c r="AQ1571" s="8"/>
      <c r="AR1571" s="4"/>
      <c r="AS1571" s="8"/>
      <c r="AT1571" s="7"/>
      <c r="AU1571" s="7"/>
      <c r="AV1571" s="4" t="s">
        <v>200</v>
      </c>
      <c r="AW1571" s="8" t="s">
        <v>200</v>
      </c>
      <c r="AX1571" s="4" t="s">
        <v>200</v>
      </c>
      <c r="AY1571" s="8" t="s">
        <v>200</v>
      </c>
      <c r="AZ1571" s="7" t="s">
        <v>200</v>
      </c>
      <c r="BA1571" s="7" t="s">
        <v>200</v>
      </c>
      <c r="BB1571" s="7" t="s">
        <v>200</v>
      </c>
      <c r="BC1571" s="4" t="s">
        <v>200</v>
      </c>
      <c r="BD1571" s="8" t="s">
        <v>200</v>
      </c>
      <c r="BE1571" s="4" t="s">
        <v>200</v>
      </c>
      <c r="BF1571" s="8" t="s">
        <v>200</v>
      </c>
      <c r="BG1571" s="7" t="s">
        <v>200</v>
      </c>
      <c r="BH1571" s="7" t="s">
        <v>200</v>
      </c>
      <c r="BI1571" s="7"/>
      <c r="BJ1571" s="4">
        <v>4</v>
      </c>
      <c r="BK1571" s="8">
        <v>64.04</v>
      </c>
      <c r="BL1571" s="2" t="s">
        <v>2760</v>
      </c>
      <c r="BM1571" s="7"/>
      <c r="BN1571" s="7"/>
      <c r="BO1571" s="4"/>
      <c r="BP1571" s="8"/>
      <c r="BQ1571" s="4"/>
      <c r="BR1571" s="8"/>
      <c r="BS1571" s="7"/>
      <c r="BT1571" s="7"/>
      <c r="BU1571" s="2" t="s">
        <v>8363</v>
      </c>
      <c r="BV1571" s="2" t="s">
        <v>200</v>
      </c>
      <c r="BW1571" s="2" t="s">
        <v>200</v>
      </c>
      <c r="BX1571" s="2" t="s">
        <v>289</v>
      </c>
      <c r="BY1571" s="2" t="s">
        <v>247</v>
      </c>
      <c r="BZ1571" s="2" t="s">
        <v>212</v>
      </c>
      <c r="CA1571" s="2" t="s">
        <v>1202</v>
      </c>
      <c r="CB1571" s="2" t="s">
        <v>8364</v>
      </c>
      <c r="CC1571" s="2" t="s">
        <v>213</v>
      </c>
      <c r="CD1571" s="2" t="s">
        <v>200</v>
      </c>
      <c r="CE1571" s="4">
        <v>61</v>
      </c>
      <c r="CF1571" s="4"/>
      <c r="CG1571" s="4"/>
      <c r="CH1571" s="4"/>
      <c r="CI1571" s="4"/>
      <c r="CJ1571" s="4"/>
      <c r="CK1571" s="4"/>
      <c r="CL1571" s="4"/>
      <c r="CM1571" s="4"/>
      <c r="CN1571" s="4"/>
      <c r="CO1571" s="4"/>
      <c r="CP1571" s="4"/>
      <c r="CQ1571" s="4"/>
      <c r="CR1571" s="4"/>
      <c r="CS1571" s="4"/>
      <c r="CT1571" s="4"/>
      <c r="CU1571" s="4"/>
      <c r="CV1571" s="4"/>
      <c r="CW1571" s="4"/>
      <c r="CX1571" s="4"/>
      <c r="CY1571" s="4"/>
      <c r="CZ1571" s="4"/>
      <c r="DA1571" s="4"/>
      <c r="DB1571" s="4"/>
      <c r="DC1571" s="4"/>
      <c r="DD1571" s="4"/>
      <c r="DE1571" s="4"/>
      <c r="DF1571" s="4"/>
      <c r="DG1571" s="4"/>
      <c r="DH1571" s="4"/>
      <c r="DI1571" s="4"/>
      <c r="DJ1571" s="4"/>
      <c r="DK1571" s="4"/>
      <c r="DL1571" s="4"/>
      <c r="DM1571" s="4"/>
      <c r="DN1571" s="4"/>
      <c r="DO1571" s="4"/>
      <c r="DP1571" s="4"/>
      <c r="DQ1571" s="4"/>
      <c r="DR1571" s="4"/>
      <c r="DS1571" s="4"/>
      <c r="DT1571" s="4"/>
      <c r="DU1571" s="4"/>
      <c r="DV1571" s="4"/>
      <c r="DW1571" s="4"/>
      <c r="DX1571" s="4"/>
      <c r="DY1571" s="4"/>
      <c r="DZ1571" s="4"/>
      <c r="EA1571" s="4"/>
      <c r="EB1571" s="4"/>
      <c r="EC1571" s="4"/>
      <c r="ED1571" s="4"/>
      <c r="EE1571" s="4"/>
      <c r="EF1571" s="4"/>
      <c r="EG1571" s="4"/>
      <c r="EH1571" s="4"/>
      <c r="EI1571" s="4"/>
      <c r="EJ1571" s="4"/>
      <c r="EK1571" s="4"/>
      <c r="EL1571" s="4"/>
      <c r="EM1571" s="4"/>
      <c r="EN1571" s="4"/>
      <c r="EO1571" s="4"/>
      <c r="EP1571" s="4"/>
      <c r="EQ1571" s="4"/>
      <c r="ER1571" s="4"/>
      <c r="ES1571" s="4"/>
      <c r="ET1571" s="4"/>
      <c r="EU1571" s="4"/>
      <c r="EV1571" s="4"/>
      <c r="EW1571" s="4"/>
      <c r="EX1571" s="4"/>
      <c r="EY1571" s="4"/>
      <c r="EZ1571" s="4"/>
      <c r="FA1571" s="4"/>
      <c r="FB1571" s="4"/>
      <c r="FC1571" s="4"/>
      <c r="FD1571" s="4"/>
      <c r="FE1571" s="4"/>
      <c r="FF1571" s="4"/>
      <c r="FG1571" s="4"/>
      <c r="FH1571" s="4"/>
      <c r="FI1571" s="4"/>
      <c r="FJ1571" s="4"/>
      <c r="FK1571" s="4"/>
      <c r="FL1571" s="4"/>
      <c r="FM1571" s="4"/>
      <c r="FN1571" s="4"/>
      <c r="FO1571" s="4"/>
      <c r="FP1571" s="4"/>
      <c r="FQ1571" s="4"/>
      <c r="FR1571" s="4"/>
      <c r="FS1571" s="4"/>
      <c r="FT1571" s="4"/>
      <c r="FU1571" s="4"/>
      <c r="FV1571" s="4"/>
      <c r="FW1571" s="4"/>
      <c r="FX1571" s="4"/>
      <c r="FY1571" s="4"/>
      <c r="FZ1571" s="4"/>
      <c r="GA1571" s="4"/>
      <c r="GB1571" s="4"/>
      <c r="GC1571" s="4"/>
      <c r="GD1571" s="4"/>
      <c r="GE1571" s="4"/>
      <c r="GF1571" s="4"/>
      <c r="GG1571" s="4"/>
      <c r="GH1571" s="4"/>
    </row>
    <row r="1572">
      <c r="A1572" s="2" t="s">
        <v>8365</v>
      </c>
      <c r="B1572" s="2" t="s">
        <v>827</v>
      </c>
      <c r="C1572" s="2" t="s">
        <v>231</v>
      </c>
      <c r="D1572" s="2" t="s">
        <v>828</v>
      </c>
      <c r="E1572" s="2" t="s">
        <v>1588</v>
      </c>
      <c r="F1572" s="2" t="s">
        <v>8337</v>
      </c>
      <c r="G1572" s="2" t="s">
        <v>8338</v>
      </c>
      <c r="H1572" s="2" t="s">
        <v>4523</v>
      </c>
      <c r="I1572" s="2" t="s">
        <v>8347</v>
      </c>
      <c r="J1572" s="2" t="s">
        <v>1016</v>
      </c>
      <c r="K1572" s="2" t="s">
        <v>257</v>
      </c>
      <c r="L1572" s="3">
        <v>11.34</v>
      </c>
      <c r="M1572" s="3">
        <v>11.91</v>
      </c>
      <c r="N1572" s="3">
        <v>26.99</v>
      </c>
      <c r="O1572" s="2" t="s">
        <v>417</v>
      </c>
      <c r="P1572" s="2" t="s">
        <v>285</v>
      </c>
      <c r="Q1572" s="2" t="s">
        <v>206</v>
      </c>
      <c r="R1572" s="2" t="s">
        <v>200</v>
      </c>
      <c r="S1572" s="2" t="s">
        <v>8362</v>
      </c>
      <c r="T1572" s="2" t="s">
        <v>200</v>
      </c>
      <c r="U1572" s="2" t="s">
        <v>270</v>
      </c>
      <c r="V1572" s="2" t="s">
        <v>940</v>
      </c>
      <c r="W1572" s="2" t="s">
        <v>419</v>
      </c>
      <c r="X1572" s="2" t="s">
        <v>379</v>
      </c>
      <c r="Y1572" s="2" t="s">
        <v>4479</v>
      </c>
      <c r="Z1572" s="4">
        <v>2</v>
      </c>
      <c r="AA1572" s="4">
        <f>=ROUNDDOWN(0.5,0)</f>
      </c>
      <c r="AB1572" s="5">
        <v>4</v>
      </c>
      <c r="AC1572" s="2" t="s">
        <v>200</v>
      </c>
      <c r="AD1572" s="4"/>
      <c r="AE1572" s="4"/>
      <c r="AF1572" s="6">
        <v>65</v>
      </c>
      <c r="AG1572" s="6"/>
      <c r="AH1572" s="7">
        <v>0.9667</v>
      </c>
      <c r="AI1572" s="4"/>
      <c r="AJ1572" s="4">
        <f>=ROUNDDOWN({0},0)</f>
      </c>
      <c r="AK1572" s="5"/>
      <c r="AL1572" s="2" t="s">
        <v>200</v>
      </c>
      <c r="AM1572" s="4"/>
      <c r="AN1572" s="4"/>
      <c r="AO1572" s="7"/>
      <c r="AP1572" s="4"/>
      <c r="AQ1572" s="8"/>
      <c r="AR1572" s="4"/>
      <c r="AS1572" s="8"/>
      <c r="AT1572" s="7"/>
      <c r="AU1572" s="7"/>
      <c r="AV1572" s="4" t="s">
        <v>200</v>
      </c>
      <c r="AW1572" s="8" t="s">
        <v>200</v>
      </c>
      <c r="AX1572" s="4" t="s">
        <v>200</v>
      </c>
      <c r="AY1572" s="8" t="s">
        <v>200</v>
      </c>
      <c r="AZ1572" s="7" t="s">
        <v>200</v>
      </c>
      <c r="BA1572" s="7" t="s">
        <v>200</v>
      </c>
      <c r="BB1572" s="7" t="s">
        <v>200</v>
      </c>
      <c r="BC1572" s="4" t="s">
        <v>200</v>
      </c>
      <c r="BD1572" s="8" t="s">
        <v>200</v>
      </c>
      <c r="BE1572" s="4" t="s">
        <v>200</v>
      </c>
      <c r="BF1572" s="8" t="s">
        <v>200</v>
      </c>
      <c r="BG1572" s="7" t="s">
        <v>200</v>
      </c>
      <c r="BH1572" s="7" t="s">
        <v>200</v>
      </c>
      <c r="BI1572" s="7"/>
      <c r="BJ1572" s="4">
        <v>14</v>
      </c>
      <c r="BK1572" s="8">
        <v>144.55</v>
      </c>
      <c r="BL1572" s="2" t="s">
        <v>8366</v>
      </c>
      <c r="BM1572" s="7"/>
      <c r="BN1572" s="7"/>
      <c r="BO1572" s="4"/>
      <c r="BP1572" s="8"/>
      <c r="BQ1572" s="4"/>
      <c r="BR1572" s="8"/>
      <c r="BS1572" s="7"/>
      <c r="BT1572" s="7"/>
      <c r="BU1572" s="2" t="s">
        <v>8367</v>
      </c>
      <c r="BV1572" s="2" t="s">
        <v>200</v>
      </c>
      <c r="BW1572" s="2" t="s">
        <v>200</v>
      </c>
      <c r="BX1572" s="2" t="s">
        <v>289</v>
      </c>
      <c r="BY1572" s="2" t="s">
        <v>247</v>
      </c>
      <c r="BZ1572" s="2" t="s">
        <v>212</v>
      </c>
      <c r="CA1572" s="2" t="s">
        <v>1202</v>
      </c>
      <c r="CB1572" s="2" t="s">
        <v>8368</v>
      </c>
      <c r="CC1572" s="2" t="s">
        <v>213</v>
      </c>
      <c r="CD1572" s="2" t="s">
        <v>200</v>
      </c>
      <c r="CE1572" s="4">
        <v>2</v>
      </c>
      <c r="CF1572" s="4"/>
      <c r="CG1572" s="4"/>
      <c r="CH1572" s="4"/>
      <c r="CI1572" s="4"/>
      <c r="CJ1572" s="4"/>
      <c r="CK1572" s="4"/>
      <c r="CL1572" s="4"/>
      <c r="CM1572" s="4"/>
      <c r="CN1572" s="4"/>
      <c r="CO1572" s="4"/>
      <c r="CP1572" s="4"/>
      <c r="CQ1572" s="4"/>
      <c r="CR1572" s="4"/>
      <c r="CS1572" s="4"/>
      <c r="CT1572" s="4"/>
      <c r="CU1572" s="4"/>
      <c r="CV1572" s="4"/>
      <c r="CW1572" s="4"/>
      <c r="CX1572" s="4"/>
      <c r="CY1572" s="4"/>
      <c r="CZ1572" s="4"/>
      <c r="DA1572" s="4"/>
      <c r="DB1572" s="4"/>
      <c r="DC1572" s="4"/>
      <c r="DD1572" s="4"/>
      <c r="DE1572" s="4"/>
      <c r="DF1572" s="4"/>
      <c r="DG1572" s="4"/>
      <c r="DH1572" s="4"/>
      <c r="DI1572" s="4"/>
      <c r="DJ1572" s="4"/>
      <c r="DK1572" s="4"/>
      <c r="DL1572" s="4"/>
      <c r="DM1572" s="4"/>
      <c r="DN1572" s="4"/>
      <c r="DO1572" s="4"/>
      <c r="DP1572" s="4"/>
      <c r="DQ1572" s="4"/>
      <c r="DR1572" s="4"/>
      <c r="DS1572" s="4"/>
      <c r="DT1572" s="4"/>
      <c r="DU1572" s="4"/>
      <c r="DV1572" s="4"/>
      <c r="DW1572" s="4"/>
      <c r="DX1572" s="4"/>
      <c r="DY1572" s="4"/>
      <c r="DZ1572" s="4"/>
      <c r="EA1572" s="4"/>
      <c r="EB1572" s="4"/>
      <c r="EC1572" s="4"/>
      <c r="ED1572" s="4"/>
      <c r="EE1572" s="4"/>
      <c r="EF1572" s="4"/>
      <c r="EG1572" s="4"/>
      <c r="EH1572" s="4"/>
      <c r="EI1572" s="4"/>
      <c r="EJ1572" s="4"/>
      <c r="EK1572" s="4"/>
      <c r="EL1572" s="4"/>
      <c r="EM1572" s="4"/>
      <c r="EN1572" s="4"/>
      <c r="EO1572" s="4"/>
      <c r="EP1572" s="4"/>
      <c r="EQ1572" s="4"/>
      <c r="ER1572" s="4"/>
      <c r="ES1572" s="4"/>
      <c r="ET1572" s="4"/>
      <c r="EU1572" s="4"/>
      <c r="EV1572" s="4"/>
      <c r="EW1572" s="4"/>
      <c r="EX1572" s="4"/>
      <c r="EY1572" s="4"/>
      <c r="EZ1572" s="4"/>
      <c r="FA1572" s="4"/>
      <c r="FB1572" s="4"/>
      <c r="FC1572" s="4"/>
      <c r="FD1572" s="4"/>
      <c r="FE1572" s="4"/>
      <c r="FF1572" s="4"/>
      <c r="FG1572" s="4"/>
      <c r="FH1572" s="4"/>
      <c r="FI1572" s="4"/>
      <c r="FJ1572" s="4"/>
      <c r="FK1572" s="4"/>
      <c r="FL1572" s="4"/>
      <c r="FM1572" s="4"/>
      <c r="FN1572" s="4"/>
      <c r="FO1572" s="4"/>
      <c r="FP1572" s="4"/>
      <c r="FQ1572" s="4"/>
      <c r="FR1572" s="4"/>
      <c r="FS1572" s="4"/>
      <c r="FT1572" s="4"/>
      <c r="FU1572" s="4"/>
      <c r="FV1572" s="4"/>
      <c r="FW1572" s="4"/>
      <c r="FX1572" s="4"/>
      <c r="FY1572" s="4"/>
      <c r="FZ1572" s="4"/>
      <c r="GA1572" s="4"/>
      <c r="GB1572" s="4"/>
      <c r="GC1572" s="4"/>
      <c r="GD1572" s="4"/>
      <c r="GE1572" s="4"/>
      <c r="GF1572" s="4"/>
      <c r="GG1572" s="4"/>
      <c r="GH1572" s="4"/>
    </row>
    <row r="1573">
      <c r="A1573" s="2" t="s">
        <v>8369</v>
      </c>
      <c r="B1573" s="2" t="s">
        <v>230</v>
      </c>
      <c r="C1573" s="2" t="s">
        <v>251</v>
      </c>
      <c r="D1573" s="2" t="s">
        <v>232</v>
      </c>
      <c r="E1573" s="2" t="s">
        <v>233</v>
      </c>
      <c r="F1573" s="2" t="s">
        <v>8370</v>
      </c>
      <c r="G1573" s="2" t="s">
        <v>8370</v>
      </c>
      <c r="H1573" s="2" t="s">
        <v>8370</v>
      </c>
      <c r="I1573" s="2" t="s">
        <v>309</v>
      </c>
      <c r="J1573" s="2" t="s">
        <v>256</v>
      </c>
      <c r="K1573" s="2" t="s">
        <v>660</v>
      </c>
      <c r="L1573" s="3">
        <v>16.5</v>
      </c>
      <c r="M1573" s="3">
        <v>17.32</v>
      </c>
      <c r="N1573" s="3">
        <v>32.99</v>
      </c>
      <c r="O1573" s="2" t="s">
        <v>212</v>
      </c>
      <c r="P1573" s="2" t="s">
        <v>258</v>
      </c>
      <c r="Q1573" s="2" t="s">
        <v>206</v>
      </c>
      <c r="R1573" s="2" t="s">
        <v>200</v>
      </c>
      <c r="S1573" s="2" t="s">
        <v>8371</v>
      </c>
      <c r="T1573" s="2" t="s">
        <v>8372</v>
      </c>
      <c r="U1573" s="2" t="s">
        <v>200</v>
      </c>
      <c r="V1573" s="2" t="s">
        <v>208</v>
      </c>
      <c r="W1573" s="2" t="s">
        <v>241</v>
      </c>
      <c r="X1573" s="2" t="s">
        <v>200</v>
      </c>
      <c r="Y1573" s="2" t="s">
        <v>7544</v>
      </c>
      <c r="Z1573" s="4">
        <v>128</v>
      </c>
      <c r="AA1573" s="4">
        <f>=ROUNDDOWN(53.3333333333333,0)</f>
      </c>
      <c r="AB1573" s="5">
        <v>2.4</v>
      </c>
      <c r="AC1573" s="2" t="s">
        <v>200</v>
      </c>
      <c r="AD1573" s="4"/>
      <c r="AE1573" s="4"/>
      <c r="AF1573" s="6">
        <v>66</v>
      </c>
      <c r="AG1573" s="6"/>
      <c r="AH1573" s="7">
        <v>1</v>
      </c>
      <c r="AI1573" s="4"/>
      <c r="AJ1573" s="4">
        <f>=ROUNDDOWN({0},0)</f>
      </c>
      <c r="AK1573" s="5"/>
      <c r="AL1573" s="2" t="s">
        <v>200</v>
      </c>
      <c r="AM1573" s="4"/>
      <c r="AN1573" s="4"/>
      <c r="AO1573" s="7"/>
      <c r="AP1573" s="4"/>
      <c r="AQ1573" s="8"/>
      <c r="AR1573" s="4"/>
      <c r="AS1573" s="8"/>
      <c r="AT1573" s="7"/>
      <c r="AU1573" s="7"/>
      <c r="AV1573" s="4" t="s">
        <v>200</v>
      </c>
      <c r="AW1573" s="8" t="s">
        <v>200</v>
      </c>
      <c r="AX1573" s="4" t="s">
        <v>200</v>
      </c>
      <c r="AY1573" s="8" t="s">
        <v>200</v>
      </c>
      <c r="AZ1573" s="7" t="s">
        <v>200</v>
      </c>
      <c r="BA1573" s="7" t="s">
        <v>200</v>
      </c>
      <c r="BB1573" s="7"/>
      <c r="BC1573" s="4" t="s">
        <v>200</v>
      </c>
      <c r="BD1573" s="8" t="s">
        <v>200</v>
      </c>
      <c r="BE1573" s="4" t="s">
        <v>200</v>
      </c>
      <c r="BF1573" s="8" t="s">
        <v>200</v>
      </c>
      <c r="BG1573" s="7" t="s">
        <v>200</v>
      </c>
      <c r="BH1573" s="7" t="s">
        <v>200</v>
      </c>
      <c r="BI1573" s="7"/>
      <c r="BJ1573" s="4">
        <v>6</v>
      </c>
      <c r="BK1573" s="8">
        <v>103</v>
      </c>
      <c r="BL1573" s="2" t="s">
        <v>298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8373</v>
      </c>
      <c r="BV1573" s="2" t="s">
        <v>200</v>
      </c>
      <c r="BW1573" s="2" t="s">
        <v>200</v>
      </c>
      <c r="BX1573" s="2" t="s">
        <v>264</v>
      </c>
      <c r="BY1573" s="2" t="s">
        <v>247</v>
      </c>
      <c r="BZ1573" s="2" t="s">
        <v>212</v>
      </c>
      <c r="CA1573" s="2" t="s">
        <v>6101</v>
      </c>
      <c r="CB1573" s="2" t="s">
        <v>2817</v>
      </c>
      <c r="CC1573" s="2" t="s">
        <v>213</v>
      </c>
      <c r="CD1573" s="2" t="s">
        <v>200</v>
      </c>
      <c r="CE1573" s="4">
        <v>128</v>
      </c>
      <c r="CF1573" s="4"/>
      <c r="CG1573" s="4"/>
      <c r="CH1573" s="4"/>
      <c r="CI1573" s="4"/>
      <c r="CJ1573" s="4"/>
      <c r="CK1573" s="4"/>
      <c r="CL1573" s="4"/>
      <c r="CM1573" s="4"/>
      <c r="CN1573" s="4"/>
      <c r="CO1573" s="4"/>
      <c r="CP1573" s="4"/>
      <c r="CQ1573" s="4"/>
      <c r="CR1573" s="4"/>
      <c r="CS1573" s="4"/>
      <c r="CT1573" s="4"/>
      <c r="CU1573" s="4"/>
      <c r="CV1573" s="4"/>
      <c r="CW1573" s="4"/>
      <c r="CX1573" s="4"/>
      <c r="CY1573" s="4"/>
      <c r="CZ1573" s="4"/>
      <c r="DA1573" s="4"/>
      <c r="DB1573" s="4"/>
      <c r="DC1573" s="4"/>
      <c r="DD1573" s="4"/>
      <c r="DE1573" s="4"/>
      <c r="DF1573" s="4"/>
      <c r="DG1573" s="4"/>
      <c r="DH1573" s="4"/>
      <c r="DI1573" s="4"/>
      <c r="DJ1573" s="4"/>
      <c r="DK1573" s="4"/>
      <c r="DL1573" s="4"/>
      <c r="DM1573" s="4"/>
      <c r="DN1573" s="4"/>
      <c r="DO1573" s="4"/>
      <c r="DP1573" s="4"/>
      <c r="DQ1573" s="4"/>
      <c r="DR1573" s="4"/>
      <c r="DS1573" s="4"/>
      <c r="DT1573" s="4"/>
      <c r="DU1573" s="4"/>
      <c r="DV1573" s="4"/>
      <c r="DW1573" s="4"/>
      <c r="DX1573" s="4"/>
      <c r="DY1573" s="4"/>
      <c r="DZ1573" s="4"/>
      <c r="EA1573" s="4"/>
      <c r="EB1573" s="4"/>
      <c r="EC1573" s="4"/>
      <c r="ED1573" s="4"/>
      <c r="EE1573" s="4"/>
      <c r="EF1573" s="4"/>
      <c r="EG1573" s="4"/>
      <c r="EH1573" s="4"/>
      <c r="EI1573" s="4"/>
      <c r="EJ1573" s="4"/>
      <c r="EK1573" s="4"/>
      <c r="EL1573" s="4"/>
      <c r="EM1573" s="4"/>
      <c r="EN1573" s="4"/>
      <c r="EO1573" s="4"/>
      <c r="EP1573" s="4"/>
      <c r="EQ1573" s="4"/>
      <c r="ER1573" s="4"/>
      <c r="ES1573" s="4"/>
      <c r="ET1573" s="4"/>
      <c r="EU1573" s="4"/>
      <c r="EV1573" s="4"/>
      <c r="EW1573" s="4"/>
      <c r="EX1573" s="4"/>
      <c r="EY1573" s="4"/>
      <c r="EZ1573" s="4"/>
      <c r="FA1573" s="4"/>
      <c r="FB1573" s="4"/>
      <c r="FC1573" s="4"/>
      <c r="FD1573" s="4"/>
      <c r="FE1573" s="4"/>
      <c r="FF1573" s="4"/>
      <c r="FG1573" s="4"/>
      <c r="FH1573" s="4"/>
      <c r="FI1573" s="4"/>
      <c r="FJ1573" s="4"/>
      <c r="FK1573" s="4"/>
      <c r="FL1573" s="4"/>
      <c r="FM1573" s="4"/>
      <c r="FN1573" s="4"/>
      <c r="FO1573" s="4"/>
      <c r="FP1573" s="4"/>
      <c r="FQ1573" s="4"/>
      <c r="FR1573" s="4"/>
      <c r="FS1573" s="4"/>
      <c r="FT1573" s="4"/>
      <c r="FU1573" s="4"/>
      <c r="FV1573" s="4"/>
      <c r="FW1573" s="4"/>
      <c r="FX1573" s="4"/>
      <c r="FY1573" s="4"/>
      <c r="FZ1573" s="4"/>
      <c r="GA1573" s="4"/>
      <c r="GB1573" s="4"/>
      <c r="GC1573" s="4"/>
      <c r="GD1573" s="4"/>
      <c r="GE1573" s="4"/>
      <c r="GF1573" s="4"/>
      <c r="GG1573" s="4"/>
      <c r="GH1573" s="4"/>
    </row>
    <row r="1574">
      <c r="A1574" s="2" t="s">
        <v>8374</v>
      </c>
      <c r="B1574" s="2" t="s">
        <v>230</v>
      </c>
      <c r="C1574" s="2" t="s">
        <v>251</v>
      </c>
      <c r="D1574" s="2" t="s">
        <v>232</v>
      </c>
      <c r="E1574" s="2" t="s">
        <v>233</v>
      </c>
      <c r="F1574" s="2" t="s">
        <v>8370</v>
      </c>
      <c r="G1574" s="2" t="s">
        <v>8370</v>
      </c>
      <c r="H1574" s="2" t="s">
        <v>8370</v>
      </c>
      <c r="I1574" s="2" t="s">
        <v>309</v>
      </c>
      <c r="J1574" s="2" t="s">
        <v>277</v>
      </c>
      <c r="K1574" s="2" t="s">
        <v>660</v>
      </c>
      <c r="L1574" s="3">
        <v>16.5</v>
      </c>
      <c r="M1574" s="3">
        <v>17.32</v>
      </c>
      <c r="N1574" s="3">
        <v>32.99</v>
      </c>
      <c r="O1574" s="2" t="s">
        <v>212</v>
      </c>
      <c r="P1574" s="2" t="s">
        <v>750</v>
      </c>
      <c r="Q1574" s="2" t="s">
        <v>206</v>
      </c>
      <c r="R1574" s="2" t="s">
        <v>200</v>
      </c>
      <c r="S1574" s="2" t="s">
        <v>8371</v>
      </c>
      <c r="T1574" s="2" t="s">
        <v>8372</v>
      </c>
      <c r="U1574" s="2" t="s">
        <v>200</v>
      </c>
      <c r="V1574" s="2" t="s">
        <v>208</v>
      </c>
      <c r="W1574" s="2" t="s">
        <v>241</v>
      </c>
      <c r="X1574" s="2" t="s">
        <v>200</v>
      </c>
      <c r="Y1574" s="2" t="s">
        <v>7544</v>
      </c>
      <c r="Z1574" s="4">
        <v>343</v>
      </c>
      <c r="AA1574" s="4">
        <f>=ROUNDDOWN(68.6,0)</f>
      </c>
      <c r="AB1574" s="5">
        <v>5</v>
      </c>
      <c r="AC1574" s="2" t="s">
        <v>200</v>
      </c>
      <c r="AD1574" s="4"/>
      <c r="AE1574" s="4"/>
      <c r="AF1574" s="6">
        <v>66</v>
      </c>
      <c r="AG1574" s="6"/>
      <c r="AH1574" s="7">
        <v>1</v>
      </c>
      <c r="AI1574" s="4"/>
      <c r="AJ1574" s="4">
        <f>=ROUNDDOWN({0},0)</f>
      </c>
      <c r="AK1574" s="5"/>
      <c r="AL1574" s="2" t="s">
        <v>200</v>
      </c>
      <c r="AM1574" s="4"/>
      <c r="AN1574" s="4"/>
      <c r="AO1574" s="7"/>
      <c r="AP1574" s="4"/>
      <c r="AQ1574" s="8"/>
      <c r="AR1574" s="4"/>
      <c r="AS1574" s="8"/>
      <c r="AT1574" s="7"/>
      <c r="AU1574" s="7"/>
      <c r="AV1574" s="4" t="s">
        <v>200</v>
      </c>
      <c r="AW1574" s="8" t="s">
        <v>200</v>
      </c>
      <c r="AX1574" s="4" t="s">
        <v>200</v>
      </c>
      <c r="AY1574" s="8" t="s">
        <v>200</v>
      </c>
      <c r="AZ1574" s="7" t="s">
        <v>200</v>
      </c>
      <c r="BA1574" s="7" t="s">
        <v>200</v>
      </c>
      <c r="BB1574" s="7"/>
      <c r="BC1574" s="4" t="s">
        <v>200</v>
      </c>
      <c r="BD1574" s="8" t="s">
        <v>200</v>
      </c>
      <c r="BE1574" s="4" t="s">
        <v>200</v>
      </c>
      <c r="BF1574" s="8" t="s">
        <v>200</v>
      </c>
      <c r="BG1574" s="7" t="s">
        <v>200</v>
      </c>
      <c r="BH1574" s="7" t="s">
        <v>200</v>
      </c>
      <c r="BI1574" s="7"/>
      <c r="BJ1574" s="4">
        <v>13</v>
      </c>
      <c r="BK1574" s="8">
        <v>210.17</v>
      </c>
      <c r="BL1574" s="2" t="s">
        <v>8375</v>
      </c>
      <c r="BM1574" s="7"/>
      <c r="BN1574" s="7"/>
      <c r="BO1574" s="4"/>
      <c r="BP1574" s="8"/>
      <c r="BQ1574" s="4"/>
      <c r="BR1574" s="8"/>
      <c r="BS1574" s="7"/>
      <c r="BT1574" s="7"/>
      <c r="BU1574" s="2" t="s">
        <v>8376</v>
      </c>
      <c r="BV1574" s="2" t="s">
        <v>200</v>
      </c>
      <c r="BW1574" s="2" t="s">
        <v>200</v>
      </c>
      <c r="BX1574" s="2" t="s">
        <v>264</v>
      </c>
      <c r="BY1574" s="2" t="s">
        <v>247</v>
      </c>
      <c r="BZ1574" s="2" t="s">
        <v>212</v>
      </c>
      <c r="CA1574" s="2" t="s">
        <v>6101</v>
      </c>
      <c r="CB1574" s="2" t="s">
        <v>8377</v>
      </c>
      <c r="CC1574" s="2" t="s">
        <v>213</v>
      </c>
      <c r="CD1574" s="2" t="s">
        <v>200</v>
      </c>
      <c r="CE1574" s="4">
        <v>343</v>
      </c>
      <c r="CF1574" s="4"/>
      <c r="CG1574" s="4"/>
      <c r="CH1574" s="4"/>
      <c r="CI1574" s="4"/>
      <c r="CJ1574" s="4"/>
      <c r="CK1574" s="4"/>
      <c r="CL1574" s="4"/>
      <c r="CM1574" s="4"/>
      <c r="CN1574" s="4"/>
      <c r="CO1574" s="4"/>
      <c r="CP1574" s="4"/>
      <c r="CQ1574" s="4"/>
      <c r="CR1574" s="4"/>
      <c r="CS1574" s="4"/>
      <c r="CT1574" s="4"/>
      <c r="CU1574" s="4"/>
      <c r="CV1574" s="4"/>
      <c r="CW1574" s="4"/>
      <c r="CX1574" s="4"/>
      <c r="CY1574" s="4"/>
      <c r="CZ1574" s="4"/>
      <c r="DA1574" s="4"/>
      <c r="DB1574" s="4"/>
      <c r="DC1574" s="4"/>
      <c r="DD1574" s="4"/>
      <c r="DE1574" s="4"/>
      <c r="DF1574" s="4"/>
      <c r="DG1574" s="4"/>
      <c r="DH1574" s="4"/>
      <c r="DI1574" s="4"/>
      <c r="DJ1574" s="4"/>
      <c r="DK1574" s="4"/>
      <c r="DL1574" s="4"/>
      <c r="DM1574" s="4"/>
      <c r="DN1574" s="4"/>
      <c r="DO1574" s="4"/>
      <c r="DP1574" s="4"/>
      <c r="DQ1574" s="4"/>
      <c r="DR1574" s="4"/>
      <c r="DS1574" s="4"/>
      <c r="DT1574" s="4"/>
      <c r="DU1574" s="4"/>
      <c r="DV1574" s="4"/>
      <c r="DW1574" s="4"/>
      <c r="DX1574" s="4"/>
      <c r="DY1574" s="4"/>
      <c r="DZ1574" s="4"/>
      <c r="EA1574" s="4"/>
      <c r="EB1574" s="4"/>
      <c r="EC1574" s="4"/>
      <c r="ED1574" s="4"/>
      <c r="EE1574" s="4"/>
      <c r="EF1574" s="4"/>
      <c r="EG1574" s="4"/>
      <c r="EH1574" s="4"/>
      <c r="EI1574" s="4"/>
      <c r="EJ1574" s="4"/>
      <c r="EK1574" s="4"/>
      <c r="EL1574" s="4"/>
      <c r="EM1574" s="4"/>
      <c r="EN1574" s="4"/>
      <c r="EO1574" s="4"/>
      <c r="EP1574" s="4"/>
      <c r="EQ1574" s="4"/>
      <c r="ER1574" s="4"/>
      <c r="ES1574" s="4"/>
      <c r="ET1574" s="4"/>
      <c r="EU1574" s="4"/>
      <c r="EV1574" s="4"/>
      <c r="EW1574" s="4"/>
      <c r="EX1574" s="4"/>
      <c r="EY1574" s="4"/>
      <c r="EZ1574" s="4"/>
      <c r="FA1574" s="4"/>
      <c r="FB1574" s="4"/>
      <c r="FC1574" s="4"/>
      <c r="FD1574" s="4"/>
      <c r="FE1574" s="4"/>
      <c r="FF1574" s="4"/>
      <c r="FG1574" s="4"/>
      <c r="FH1574" s="4"/>
      <c r="FI1574" s="4"/>
      <c r="FJ1574" s="4"/>
      <c r="FK1574" s="4"/>
      <c r="FL1574" s="4"/>
      <c r="FM1574" s="4"/>
      <c r="FN1574" s="4"/>
      <c r="FO1574" s="4"/>
      <c r="FP1574" s="4"/>
      <c r="FQ1574" s="4"/>
      <c r="FR1574" s="4"/>
      <c r="FS1574" s="4"/>
      <c r="FT1574" s="4"/>
      <c r="FU1574" s="4"/>
      <c r="FV1574" s="4"/>
      <c r="FW1574" s="4"/>
      <c r="FX1574" s="4"/>
      <c r="FY1574" s="4"/>
      <c r="FZ1574" s="4"/>
      <c r="GA1574" s="4"/>
      <c r="GB1574" s="4"/>
      <c r="GC1574" s="4"/>
      <c r="GD1574" s="4"/>
      <c r="GE1574" s="4"/>
      <c r="GF1574" s="4"/>
      <c r="GG1574" s="4"/>
      <c r="GH1574" s="4"/>
    </row>
    <row r="1575">
      <c r="A1575" s="2" t="s">
        <v>8378</v>
      </c>
      <c r="B1575" s="2" t="s">
        <v>230</v>
      </c>
      <c r="C1575" s="2" t="s">
        <v>251</v>
      </c>
      <c r="D1575" s="2" t="s">
        <v>232</v>
      </c>
      <c r="E1575" s="2" t="s">
        <v>233</v>
      </c>
      <c r="F1575" s="2" t="s">
        <v>8370</v>
      </c>
      <c r="G1575" s="2" t="s">
        <v>8370</v>
      </c>
      <c r="H1575" s="2" t="s">
        <v>8370</v>
      </c>
      <c r="I1575" s="2" t="s">
        <v>309</v>
      </c>
      <c r="J1575" s="2" t="s">
        <v>236</v>
      </c>
      <c r="K1575" s="2" t="s">
        <v>660</v>
      </c>
      <c r="L1575" s="3">
        <v>21.5</v>
      </c>
      <c r="M1575" s="3">
        <v>22.58</v>
      </c>
      <c r="N1575" s="3">
        <v>42.99</v>
      </c>
      <c r="O1575" s="2" t="s">
        <v>460</v>
      </c>
      <c r="P1575" s="2" t="s">
        <v>285</v>
      </c>
      <c r="Q1575" s="2" t="s">
        <v>206</v>
      </c>
      <c r="R1575" s="2" t="s">
        <v>200</v>
      </c>
      <c r="S1575" s="2" t="s">
        <v>8371</v>
      </c>
      <c r="T1575" s="2" t="s">
        <v>8372</v>
      </c>
      <c r="U1575" s="2" t="s">
        <v>200</v>
      </c>
      <c r="V1575" s="2" t="s">
        <v>208</v>
      </c>
      <c r="W1575" s="2" t="s">
        <v>241</v>
      </c>
      <c r="X1575" s="2" t="s">
        <v>200</v>
      </c>
      <c r="Y1575" s="2" t="s">
        <v>7544</v>
      </c>
      <c r="Z1575" s="4">
        <v>73</v>
      </c>
      <c r="AA1575" s="4">
        <f>=ROUNDDOWN(52.1428571428571,0)</f>
      </c>
      <c r="AB1575" s="5">
        <v>1.4</v>
      </c>
      <c r="AC1575" s="2" t="s">
        <v>200</v>
      </c>
      <c r="AD1575" s="4"/>
      <c r="AE1575" s="4"/>
      <c r="AF1575" s="6">
        <v>66</v>
      </c>
      <c r="AG1575" s="6"/>
      <c r="AH1575" s="7">
        <v>1</v>
      </c>
      <c r="AI1575" s="4"/>
      <c r="AJ1575" s="4">
        <f>=ROUNDDOWN({0},0)</f>
      </c>
      <c r="AK1575" s="5"/>
      <c r="AL1575" s="2" t="s">
        <v>200</v>
      </c>
      <c r="AM1575" s="4"/>
      <c r="AN1575" s="4"/>
      <c r="AO1575" s="7"/>
      <c r="AP1575" s="4"/>
      <c r="AQ1575" s="8"/>
      <c r="AR1575" s="4"/>
      <c r="AS1575" s="8"/>
      <c r="AT1575" s="7"/>
      <c r="AU1575" s="7"/>
      <c r="AV1575" s="4" t="s">
        <v>200</v>
      </c>
      <c r="AW1575" s="8" t="s">
        <v>200</v>
      </c>
      <c r="AX1575" s="4" t="s">
        <v>200</v>
      </c>
      <c r="AY1575" s="8" t="s">
        <v>200</v>
      </c>
      <c r="AZ1575" s="7" t="s">
        <v>200</v>
      </c>
      <c r="BA1575" s="7" t="s">
        <v>200</v>
      </c>
      <c r="BB1575" s="7"/>
      <c r="BC1575" s="4" t="s">
        <v>200</v>
      </c>
      <c r="BD1575" s="8" t="s">
        <v>200</v>
      </c>
      <c r="BE1575" s="4" t="s">
        <v>200</v>
      </c>
      <c r="BF1575" s="8" t="s">
        <v>200</v>
      </c>
      <c r="BG1575" s="7" t="s">
        <v>200</v>
      </c>
      <c r="BH1575" s="7" t="s">
        <v>200</v>
      </c>
      <c r="BI1575" s="7"/>
      <c r="BJ1575" s="4">
        <v>10</v>
      </c>
      <c r="BK1575" s="8">
        <v>268.28</v>
      </c>
      <c r="BL1575" s="2" t="s">
        <v>8379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8380</v>
      </c>
      <c r="BV1575" s="2" t="s">
        <v>200</v>
      </c>
      <c r="BW1575" s="2" t="s">
        <v>200</v>
      </c>
      <c r="BX1575" s="2" t="s">
        <v>289</v>
      </c>
      <c r="BY1575" s="2" t="s">
        <v>247</v>
      </c>
      <c r="BZ1575" s="2" t="s">
        <v>212</v>
      </c>
      <c r="CA1575" s="2" t="s">
        <v>6101</v>
      </c>
      <c r="CB1575" s="2" t="s">
        <v>2214</v>
      </c>
      <c r="CC1575" s="2" t="s">
        <v>213</v>
      </c>
      <c r="CD1575" s="2" t="s">
        <v>200</v>
      </c>
      <c r="CE1575" s="4">
        <v>73</v>
      </c>
      <c r="CF1575" s="4"/>
      <c r="CG1575" s="4"/>
      <c r="CH1575" s="4"/>
      <c r="CI1575" s="4"/>
      <c r="CJ1575" s="4"/>
      <c r="CK1575" s="4"/>
      <c r="CL1575" s="4"/>
      <c r="CM1575" s="4"/>
      <c r="CN1575" s="4"/>
      <c r="CO1575" s="4"/>
      <c r="CP1575" s="4"/>
      <c r="CQ1575" s="4"/>
      <c r="CR1575" s="4"/>
      <c r="CS1575" s="4"/>
      <c r="CT1575" s="4"/>
      <c r="CU1575" s="4"/>
      <c r="CV1575" s="4"/>
      <c r="CW1575" s="4"/>
      <c r="CX1575" s="4"/>
      <c r="CY1575" s="4"/>
      <c r="CZ1575" s="4"/>
      <c r="DA1575" s="4"/>
      <c r="DB1575" s="4"/>
      <c r="DC1575" s="4"/>
      <c r="DD1575" s="4"/>
      <c r="DE1575" s="4"/>
      <c r="DF1575" s="4"/>
      <c r="DG1575" s="4"/>
      <c r="DH1575" s="4"/>
      <c r="DI1575" s="4"/>
      <c r="DJ1575" s="4"/>
      <c r="DK1575" s="4"/>
      <c r="DL1575" s="4"/>
      <c r="DM1575" s="4"/>
      <c r="DN1575" s="4"/>
      <c r="DO1575" s="4"/>
      <c r="DP1575" s="4"/>
      <c r="DQ1575" s="4"/>
      <c r="DR1575" s="4"/>
      <c r="DS1575" s="4"/>
      <c r="DT1575" s="4"/>
      <c r="DU1575" s="4"/>
      <c r="DV1575" s="4"/>
      <c r="DW1575" s="4"/>
      <c r="DX1575" s="4"/>
      <c r="DY1575" s="4"/>
      <c r="DZ1575" s="4"/>
      <c r="EA1575" s="4"/>
      <c r="EB1575" s="4"/>
      <c r="EC1575" s="4"/>
      <c r="ED1575" s="4"/>
      <c r="EE1575" s="4"/>
      <c r="EF1575" s="4"/>
      <c r="EG1575" s="4"/>
      <c r="EH1575" s="4"/>
      <c r="EI1575" s="4"/>
      <c r="EJ1575" s="4"/>
      <c r="EK1575" s="4"/>
      <c r="EL1575" s="4"/>
      <c r="EM1575" s="4"/>
      <c r="EN1575" s="4"/>
      <c r="EO1575" s="4"/>
      <c r="EP1575" s="4"/>
      <c r="EQ1575" s="4"/>
      <c r="ER1575" s="4"/>
      <c r="ES1575" s="4"/>
      <c r="ET1575" s="4"/>
      <c r="EU1575" s="4"/>
      <c r="EV1575" s="4"/>
      <c r="EW1575" s="4"/>
      <c r="EX1575" s="4"/>
      <c r="EY1575" s="4"/>
      <c r="EZ1575" s="4"/>
      <c r="FA1575" s="4"/>
      <c r="FB1575" s="4"/>
      <c r="FC1575" s="4"/>
      <c r="FD1575" s="4"/>
      <c r="FE1575" s="4"/>
      <c r="FF1575" s="4"/>
      <c r="FG1575" s="4"/>
      <c r="FH1575" s="4"/>
      <c r="FI1575" s="4"/>
      <c r="FJ1575" s="4"/>
      <c r="FK1575" s="4"/>
      <c r="FL1575" s="4"/>
      <c r="FM1575" s="4"/>
      <c r="FN1575" s="4"/>
      <c r="FO1575" s="4"/>
      <c r="FP1575" s="4"/>
      <c r="FQ1575" s="4"/>
      <c r="FR1575" s="4"/>
      <c r="FS1575" s="4"/>
      <c r="FT1575" s="4"/>
      <c r="FU1575" s="4"/>
      <c r="FV1575" s="4"/>
      <c r="FW1575" s="4"/>
      <c r="FX1575" s="4"/>
      <c r="FY1575" s="4"/>
      <c r="FZ1575" s="4"/>
      <c r="GA1575" s="4"/>
      <c r="GB1575" s="4"/>
      <c r="GC1575" s="4"/>
      <c r="GD1575" s="4"/>
      <c r="GE1575" s="4"/>
      <c r="GF1575" s="4"/>
      <c r="GG1575" s="4"/>
      <c r="GH1575" s="4"/>
    </row>
    <row r="1576">
      <c r="A1576" s="2" t="s">
        <v>8381</v>
      </c>
      <c r="B1576" s="2" t="s">
        <v>230</v>
      </c>
      <c r="C1576" s="2" t="s">
        <v>251</v>
      </c>
      <c r="D1576" s="2" t="s">
        <v>232</v>
      </c>
      <c r="E1576" s="2" t="s">
        <v>233</v>
      </c>
      <c r="F1576" s="2" t="s">
        <v>8370</v>
      </c>
      <c r="G1576" s="2" t="s">
        <v>8370</v>
      </c>
      <c r="H1576" s="2" t="s">
        <v>8370</v>
      </c>
      <c r="I1576" s="2" t="s">
        <v>309</v>
      </c>
      <c r="J1576" s="2" t="s">
        <v>277</v>
      </c>
      <c r="K1576" s="2" t="s">
        <v>221</v>
      </c>
      <c r="L1576" s="3">
        <v>16.5</v>
      </c>
      <c r="M1576" s="3">
        <v>17.32</v>
      </c>
      <c r="N1576" s="3">
        <v>32.99</v>
      </c>
      <c r="O1576" s="2" t="s">
        <v>212</v>
      </c>
      <c r="P1576" s="2" t="s">
        <v>258</v>
      </c>
      <c r="Q1576" s="2" t="s">
        <v>206</v>
      </c>
      <c r="R1576" s="2" t="s">
        <v>200</v>
      </c>
      <c r="S1576" s="2" t="s">
        <v>8382</v>
      </c>
      <c r="T1576" s="2" t="s">
        <v>8372</v>
      </c>
      <c r="U1576" s="2" t="s">
        <v>200</v>
      </c>
      <c r="V1576" s="2" t="s">
        <v>208</v>
      </c>
      <c r="W1576" s="2" t="s">
        <v>241</v>
      </c>
      <c r="X1576" s="2" t="s">
        <v>200</v>
      </c>
      <c r="Y1576" s="2" t="s">
        <v>7544</v>
      </c>
      <c r="Z1576" s="4">
        <v>524</v>
      </c>
      <c r="AA1576" s="4">
        <f>=ROUNDDOWN(47.6363636363636,0)</f>
      </c>
      <c r="AB1576" s="5">
        <v>11</v>
      </c>
      <c r="AC1576" s="2" t="s">
        <v>200</v>
      </c>
      <c r="AD1576" s="4"/>
      <c r="AE1576" s="4"/>
      <c r="AF1576" s="6">
        <v>66</v>
      </c>
      <c r="AG1576" s="6"/>
      <c r="AH1576" s="7">
        <v>1</v>
      </c>
      <c r="AI1576" s="4"/>
      <c r="AJ1576" s="4">
        <f>=ROUNDDOWN({0},0)</f>
      </c>
      <c r="AK1576" s="5"/>
      <c r="AL1576" s="2" t="s">
        <v>200</v>
      </c>
      <c r="AM1576" s="4"/>
      <c r="AN1576" s="4"/>
      <c r="AO1576" s="7"/>
      <c r="AP1576" s="4"/>
      <c r="AQ1576" s="8"/>
      <c r="AR1576" s="4"/>
      <c r="AS1576" s="8"/>
      <c r="AT1576" s="7"/>
      <c r="AU1576" s="7"/>
      <c r="AV1576" s="4"/>
      <c r="AW1576" s="8"/>
      <c r="AX1576" s="4"/>
      <c r="AY1576" s="8"/>
      <c r="AZ1576" s="7"/>
      <c r="BA1576" s="7"/>
      <c r="BB1576" s="7"/>
      <c r="BC1576" s="4" t="s">
        <v>200</v>
      </c>
      <c r="BD1576" s="8" t="s">
        <v>200</v>
      </c>
      <c r="BE1576" s="4" t="s">
        <v>200</v>
      </c>
      <c r="BF1576" s="8" t="s">
        <v>200</v>
      </c>
      <c r="BG1576" s="7" t="s">
        <v>200</v>
      </c>
      <c r="BH1576" s="7" t="s">
        <v>200</v>
      </c>
      <c r="BI1576" s="7"/>
      <c r="BJ1576" s="4">
        <v>35</v>
      </c>
      <c r="BK1576" s="8">
        <v>556.36</v>
      </c>
      <c r="BL1576" s="2" t="s">
        <v>8383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8384</v>
      </c>
      <c r="BV1576" s="2" t="s">
        <v>200</v>
      </c>
      <c r="BW1576" s="2" t="s">
        <v>200</v>
      </c>
      <c r="BX1576" s="2" t="s">
        <v>264</v>
      </c>
      <c r="BY1576" s="2" t="s">
        <v>247</v>
      </c>
      <c r="BZ1576" s="2" t="s">
        <v>212</v>
      </c>
      <c r="CA1576" s="2" t="s">
        <v>6101</v>
      </c>
      <c r="CB1576" s="2" t="s">
        <v>8385</v>
      </c>
      <c r="CC1576" s="2" t="s">
        <v>213</v>
      </c>
      <c r="CD1576" s="2" t="s">
        <v>200</v>
      </c>
      <c r="CE1576" s="4">
        <v>524</v>
      </c>
      <c r="CF1576" s="4"/>
      <c r="CG1576" s="4"/>
      <c r="CH1576" s="4"/>
      <c r="CI1576" s="4"/>
      <c r="CJ1576" s="4"/>
      <c r="CK1576" s="4"/>
      <c r="CL1576" s="4"/>
      <c r="CM1576" s="4"/>
      <c r="CN1576" s="4"/>
      <c r="CO1576" s="4"/>
      <c r="CP1576" s="4"/>
      <c r="CQ1576" s="4"/>
      <c r="CR1576" s="4"/>
      <c r="CS1576" s="4"/>
      <c r="CT1576" s="4"/>
      <c r="CU1576" s="4"/>
      <c r="CV1576" s="4"/>
      <c r="CW1576" s="4"/>
      <c r="CX1576" s="4"/>
      <c r="CY1576" s="4"/>
      <c r="CZ1576" s="4"/>
      <c r="DA1576" s="4"/>
      <c r="DB1576" s="4"/>
      <c r="DC1576" s="4"/>
      <c r="DD1576" s="4"/>
      <c r="DE1576" s="4"/>
      <c r="DF1576" s="4"/>
      <c r="DG1576" s="4"/>
      <c r="DH1576" s="4"/>
      <c r="DI1576" s="4"/>
      <c r="DJ1576" s="4"/>
      <c r="DK1576" s="4"/>
      <c r="DL1576" s="4"/>
      <c r="DM1576" s="4"/>
      <c r="DN1576" s="4"/>
      <c r="DO1576" s="4"/>
      <c r="DP1576" s="4"/>
      <c r="DQ1576" s="4"/>
      <c r="DR1576" s="4"/>
      <c r="DS1576" s="4"/>
      <c r="DT1576" s="4"/>
      <c r="DU1576" s="4"/>
      <c r="DV1576" s="4"/>
      <c r="DW1576" s="4"/>
      <c r="DX1576" s="4"/>
      <c r="DY1576" s="4"/>
      <c r="DZ1576" s="4"/>
      <c r="EA1576" s="4"/>
      <c r="EB1576" s="4"/>
      <c r="EC1576" s="4"/>
      <c r="ED1576" s="4"/>
      <c r="EE1576" s="4"/>
      <c r="EF1576" s="4"/>
      <c r="EG1576" s="4"/>
      <c r="EH1576" s="4"/>
      <c r="EI1576" s="4"/>
      <c r="EJ1576" s="4"/>
      <c r="EK1576" s="4"/>
      <c r="EL1576" s="4"/>
      <c r="EM1576" s="4"/>
      <c r="EN1576" s="4"/>
      <c r="EO1576" s="4"/>
      <c r="EP1576" s="4"/>
      <c r="EQ1576" s="4"/>
      <c r="ER1576" s="4"/>
      <c r="ES1576" s="4"/>
      <c r="ET1576" s="4"/>
      <c r="EU1576" s="4"/>
      <c r="EV1576" s="4"/>
      <c r="EW1576" s="4"/>
      <c r="EX1576" s="4"/>
      <c r="EY1576" s="4"/>
      <c r="EZ1576" s="4"/>
      <c r="FA1576" s="4"/>
      <c r="FB1576" s="4"/>
      <c r="FC1576" s="4"/>
      <c r="FD1576" s="4"/>
      <c r="FE1576" s="4"/>
      <c r="FF1576" s="4"/>
      <c r="FG1576" s="4"/>
      <c r="FH1576" s="4"/>
      <c r="FI1576" s="4"/>
      <c r="FJ1576" s="4"/>
      <c r="FK1576" s="4"/>
      <c r="FL1576" s="4"/>
      <c r="FM1576" s="4"/>
      <c r="FN1576" s="4"/>
      <c r="FO1576" s="4"/>
      <c r="FP1576" s="4"/>
      <c r="FQ1576" s="4"/>
      <c r="FR1576" s="4"/>
      <c r="FS1576" s="4"/>
      <c r="FT1576" s="4"/>
      <c r="FU1576" s="4"/>
      <c r="FV1576" s="4"/>
      <c r="FW1576" s="4"/>
      <c r="FX1576" s="4"/>
      <c r="FY1576" s="4"/>
      <c r="FZ1576" s="4"/>
      <c r="GA1576" s="4"/>
      <c r="GB1576" s="4"/>
      <c r="GC1576" s="4"/>
      <c r="GD1576" s="4"/>
      <c r="GE1576" s="4"/>
      <c r="GF1576" s="4"/>
      <c r="GG1576" s="4"/>
      <c r="GH1576" s="4"/>
    </row>
    <row r="1577">
      <c r="A1577" s="2" t="s">
        <v>8386</v>
      </c>
      <c r="B1577" s="2" t="s">
        <v>230</v>
      </c>
      <c r="C1577" s="2" t="s">
        <v>251</v>
      </c>
      <c r="D1577" s="2" t="s">
        <v>232</v>
      </c>
      <c r="E1577" s="2" t="s">
        <v>233</v>
      </c>
      <c r="F1577" s="2" t="s">
        <v>8370</v>
      </c>
      <c r="G1577" s="2" t="s">
        <v>8370</v>
      </c>
      <c r="H1577" s="2" t="s">
        <v>8370</v>
      </c>
      <c r="I1577" s="2" t="s">
        <v>309</v>
      </c>
      <c r="J1577" s="2" t="s">
        <v>256</v>
      </c>
      <c r="K1577" s="2" t="s">
        <v>436</v>
      </c>
      <c r="L1577" s="3">
        <v>16.5</v>
      </c>
      <c r="M1577" s="3">
        <v>17.32</v>
      </c>
      <c r="N1577" s="3">
        <v>32.99</v>
      </c>
      <c r="O1577" s="2" t="s">
        <v>212</v>
      </c>
      <c r="P1577" s="2" t="s">
        <v>750</v>
      </c>
      <c r="Q1577" s="2" t="s">
        <v>206</v>
      </c>
      <c r="R1577" s="2" t="s">
        <v>200</v>
      </c>
      <c r="S1577" s="2" t="s">
        <v>8387</v>
      </c>
      <c r="T1577" s="2" t="s">
        <v>8372</v>
      </c>
      <c r="U1577" s="2" t="s">
        <v>200</v>
      </c>
      <c r="V1577" s="2" t="s">
        <v>208</v>
      </c>
      <c r="W1577" s="2" t="s">
        <v>241</v>
      </c>
      <c r="X1577" s="2" t="s">
        <v>200</v>
      </c>
      <c r="Y1577" s="2" t="s">
        <v>261</v>
      </c>
      <c r="Z1577" s="4">
        <v>66</v>
      </c>
      <c r="AA1577" s="4">
        <f>=ROUNDDOWN(66,0)</f>
      </c>
      <c r="AB1577" s="5">
        <v>1</v>
      </c>
      <c r="AC1577" s="2" t="s">
        <v>200</v>
      </c>
      <c r="AD1577" s="4"/>
      <c r="AE1577" s="4"/>
      <c r="AF1577" s="6">
        <v>66</v>
      </c>
      <c r="AG1577" s="6"/>
      <c r="AH1577" s="7">
        <v>1</v>
      </c>
      <c r="AI1577" s="4"/>
      <c r="AJ1577" s="4">
        <f>=ROUNDDOWN({0},0)</f>
      </c>
      <c r="AK1577" s="5"/>
      <c r="AL1577" s="2" t="s">
        <v>200</v>
      </c>
      <c r="AM1577" s="4"/>
      <c r="AN1577" s="4"/>
      <c r="AO1577" s="7"/>
      <c r="AP1577" s="4"/>
      <c r="AQ1577" s="8"/>
      <c r="AR1577" s="4"/>
      <c r="AS1577" s="8"/>
      <c r="AT1577" s="7"/>
      <c r="AU1577" s="7"/>
      <c r="AV1577" s="4" t="s">
        <v>200</v>
      </c>
      <c r="AW1577" s="8" t="s">
        <v>200</v>
      </c>
      <c r="AX1577" s="4" t="s">
        <v>200</v>
      </c>
      <c r="AY1577" s="8" t="s">
        <v>200</v>
      </c>
      <c r="AZ1577" s="7" t="s">
        <v>200</v>
      </c>
      <c r="BA1577" s="7" t="s">
        <v>200</v>
      </c>
      <c r="BB1577" s="7"/>
      <c r="BC1577" s="4" t="s">
        <v>200</v>
      </c>
      <c r="BD1577" s="8" t="s">
        <v>200</v>
      </c>
      <c r="BE1577" s="4" t="s">
        <v>200</v>
      </c>
      <c r="BF1577" s="8" t="s">
        <v>200</v>
      </c>
      <c r="BG1577" s="7" t="s">
        <v>200</v>
      </c>
      <c r="BH1577" s="7" t="s">
        <v>200</v>
      </c>
      <c r="BI1577" s="7"/>
      <c r="BJ1577" s="4">
        <v>4</v>
      </c>
      <c r="BK1577" s="8">
        <v>64.28</v>
      </c>
      <c r="BL1577" s="2" t="s">
        <v>319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8388</v>
      </c>
      <c r="BV1577" s="2" t="s">
        <v>200</v>
      </c>
      <c r="BW1577" s="2" t="s">
        <v>200</v>
      </c>
      <c r="BX1577" s="2" t="s">
        <v>264</v>
      </c>
      <c r="BY1577" s="2" t="s">
        <v>247</v>
      </c>
      <c r="BZ1577" s="2" t="s">
        <v>212</v>
      </c>
      <c r="CA1577" s="2" t="s">
        <v>6101</v>
      </c>
      <c r="CB1577" s="2" t="s">
        <v>6492</v>
      </c>
      <c r="CC1577" s="2" t="s">
        <v>213</v>
      </c>
      <c r="CD1577" s="2" t="s">
        <v>200</v>
      </c>
      <c r="CE1577" s="4">
        <v>66</v>
      </c>
      <c r="CF1577" s="4"/>
      <c r="CG1577" s="4"/>
      <c r="CH1577" s="4"/>
      <c r="CI1577" s="4"/>
      <c r="CJ1577" s="4"/>
      <c r="CK1577" s="4"/>
      <c r="CL1577" s="4"/>
      <c r="CM1577" s="4"/>
      <c r="CN1577" s="4"/>
      <c r="CO1577" s="4"/>
      <c r="CP1577" s="4"/>
      <c r="CQ1577" s="4"/>
      <c r="CR1577" s="4"/>
      <c r="CS1577" s="4"/>
      <c r="CT1577" s="4"/>
      <c r="CU1577" s="4"/>
      <c r="CV1577" s="4"/>
      <c r="CW1577" s="4"/>
      <c r="CX1577" s="4"/>
      <c r="CY1577" s="4"/>
      <c r="CZ1577" s="4"/>
      <c r="DA1577" s="4"/>
      <c r="DB1577" s="4"/>
      <c r="DC1577" s="4"/>
      <c r="DD1577" s="4"/>
      <c r="DE1577" s="4"/>
      <c r="DF1577" s="4"/>
      <c r="DG1577" s="4"/>
      <c r="DH1577" s="4"/>
      <c r="DI1577" s="4"/>
      <c r="DJ1577" s="4"/>
      <c r="DK1577" s="4"/>
      <c r="DL1577" s="4"/>
      <c r="DM1577" s="4"/>
      <c r="DN1577" s="4"/>
      <c r="DO1577" s="4"/>
      <c r="DP1577" s="4"/>
      <c r="DQ1577" s="4"/>
      <c r="DR1577" s="4"/>
      <c r="DS1577" s="4"/>
      <c r="DT1577" s="4"/>
      <c r="DU1577" s="4"/>
      <c r="DV1577" s="4"/>
      <c r="DW1577" s="4"/>
      <c r="DX1577" s="4"/>
      <c r="DY1577" s="4"/>
      <c r="DZ1577" s="4"/>
      <c r="EA1577" s="4"/>
      <c r="EB1577" s="4"/>
      <c r="EC1577" s="4"/>
      <c r="ED1577" s="4"/>
      <c r="EE1577" s="4"/>
      <c r="EF1577" s="4"/>
      <c r="EG1577" s="4"/>
      <c r="EH1577" s="4"/>
      <c r="EI1577" s="4"/>
      <c r="EJ1577" s="4"/>
      <c r="EK1577" s="4"/>
      <c r="EL1577" s="4"/>
      <c r="EM1577" s="4"/>
      <c r="EN1577" s="4"/>
      <c r="EO1577" s="4"/>
      <c r="EP1577" s="4"/>
      <c r="EQ1577" s="4"/>
      <c r="ER1577" s="4"/>
      <c r="ES1577" s="4"/>
      <c r="ET1577" s="4"/>
      <c r="EU1577" s="4"/>
      <c r="EV1577" s="4"/>
      <c r="EW1577" s="4"/>
      <c r="EX1577" s="4"/>
      <c r="EY1577" s="4"/>
      <c r="EZ1577" s="4"/>
      <c r="FA1577" s="4"/>
      <c r="FB1577" s="4"/>
      <c r="FC1577" s="4"/>
      <c r="FD1577" s="4"/>
      <c r="FE1577" s="4"/>
      <c r="FF1577" s="4"/>
      <c r="FG1577" s="4"/>
      <c r="FH1577" s="4"/>
      <c r="FI1577" s="4"/>
      <c r="FJ1577" s="4"/>
      <c r="FK1577" s="4"/>
      <c r="FL1577" s="4"/>
      <c r="FM1577" s="4"/>
      <c r="FN1577" s="4"/>
      <c r="FO1577" s="4"/>
      <c r="FP1577" s="4"/>
      <c r="FQ1577" s="4"/>
      <c r="FR1577" s="4"/>
      <c r="FS1577" s="4"/>
      <c r="FT1577" s="4"/>
      <c r="FU1577" s="4"/>
      <c r="FV1577" s="4"/>
      <c r="FW1577" s="4"/>
      <c r="FX1577" s="4"/>
      <c r="FY1577" s="4"/>
      <c r="FZ1577" s="4"/>
      <c r="GA1577" s="4"/>
      <c r="GB1577" s="4"/>
      <c r="GC1577" s="4"/>
      <c r="GD1577" s="4"/>
      <c r="GE1577" s="4"/>
      <c r="GF1577" s="4"/>
      <c r="GG1577" s="4"/>
      <c r="GH1577" s="4"/>
    </row>
    <row r="1578">
      <c r="A1578" s="2" t="s">
        <v>8389</v>
      </c>
      <c r="B1578" s="2" t="s">
        <v>230</v>
      </c>
      <c r="C1578" s="2" t="s">
        <v>251</v>
      </c>
      <c r="D1578" s="2" t="s">
        <v>232</v>
      </c>
      <c r="E1578" s="2" t="s">
        <v>233</v>
      </c>
      <c r="F1578" s="2" t="s">
        <v>8370</v>
      </c>
      <c r="G1578" s="2" t="s">
        <v>8370</v>
      </c>
      <c r="H1578" s="2" t="s">
        <v>8370</v>
      </c>
      <c r="I1578" s="2" t="s">
        <v>309</v>
      </c>
      <c r="J1578" s="2" t="s">
        <v>277</v>
      </c>
      <c r="K1578" s="2" t="s">
        <v>436</v>
      </c>
      <c r="L1578" s="3">
        <v>16.5</v>
      </c>
      <c r="M1578" s="3">
        <v>17.32</v>
      </c>
      <c r="N1578" s="3">
        <v>32.99</v>
      </c>
      <c r="O1578" s="2" t="s">
        <v>212</v>
      </c>
      <c r="P1578" s="2" t="s">
        <v>258</v>
      </c>
      <c r="Q1578" s="2" t="s">
        <v>206</v>
      </c>
      <c r="R1578" s="2" t="s">
        <v>200</v>
      </c>
      <c r="S1578" s="2" t="s">
        <v>8387</v>
      </c>
      <c r="T1578" s="2" t="s">
        <v>8372</v>
      </c>
      <c r="U1578" s="2" t="s">
        <v>200</v>
      </c>
      <c r="V1578" s="2" t="s">
        <v>208</v>
      </c>
      <c r="W1578" s="2" t="s">
        <v>241</v>
      </c>
      <c r="X1578" s="2" t="s">
        <v>200</v>
      </c>
      <c r="Y1578" s="2" t="s">
        <v>261</v>
      </c>
      <c r="Z1578" s="4">
        <v>206</v>
      </c>
      <c r="AA1578" s="4">
        <f>=ROUNDDOWN(93.6363636363636,0)</f>
      </c>
      <c r="AB1578" s="5">
        <v>2.2</v>
      </c>
      <c r="AC1578" s="2" t="s">
        <v>200</v>
      </c>
      <c r="AD1578" s="4"/>
      <c r="AE1578" s="4"/>
      <c r="AF1578" s="6">
        <v>66</v>
      </c>
      <c r="AG1578" s="6"/>
      <c r="AH1578" s="7">
        <v>1</v>
      </c>
      <c r="AI1578" s="4"/>
      <c r="AJ1578" s="4">
        <f>=ROUNDDOWN({0},0)</f>
      </c>
      <c r="AK1578" s="5"/>
      <c r="AL1578" s="2" t="s">
        <v>200</v>
      </c>
      <c r="AM1578" s="4"/>
      <c r="AN1578" s="4"/>
      <c r="AO1578" s="7"/>
      <c r="AP1578" s="4"/>
      <c r="AQ1578" s="8"/>
      <c r="AR1578" s="4"/>
      <c r="AS1578" s="8"/>
      <c r="AT1578" s="7"/>
      <c r="AU1578" s="7"/>
      <c r="AV1578" s="4" t="s">
        <v>200</v>
      </c>
      <c r="AW1578" s="8" t="s">
        <v>200</v>
      </c>
      <c r="AX1578" s="4" t="s">
        <v>200</v>
      </c>
      <c r="AY1578" s="8" t="s">
        <v>200</v>
      </c>
      <c r="AZ1578" s="7" t="s">
        <v>200</v>
      </c>
      <c r="BA1578" s="7" t="s">
        <v>200</v>
      </c>
      <c r="BB1578" s="7"/>
      <c r="BC1578" s="4" t="s">
        <v>200</v>
      </c>
      <c r="BD1578" s="8" t="s">
        <v>200</v>
      </c>
      <c r="BE1578" s="4" t="s">
        <v>200</v>
      </c>
      <c r="BF1578" s="8" t="s">
        <v>200</v>
      </c>
      <c r="BG1578" s="7" t="s">
        <v>200</v>
      </c>
      <c r="BH1578" s="7" t="s">
        <v>200</v>
      </c>
      <c r="BI1578" s="7"/>
      <c r="BJ1578" s="4">
        <v>8</v>
      </c>
      <c r="BK1578" s="8">
        <v>128.7</v>
      </c>
      <c r="BL1578" s="2" t="s">
        <v>8390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8391</v>
      </c>
      <c r="BV1578" s="2" t="s">
        <v>200</v>
      </c>
      <c r="BW1578" s="2" t="s">
        <v>200</v>
      </c>
      <c r="BX1578" s="2" t="s">
        <v>264</v>
      </c>
      <c r="BY1578" s="2" t="s">
        <v>247</v>
      </c>
      <c r="BZ1578" s="2" t="s">
        <v>212</v>
      </c>
      <c r="CA1578" s="2" t="s">
        <v>6101</v>
      </c>
      <c r="CB1578" s="2" t="s">
        <v>3434</v>
      </c>
      <c r="CC1578" s="2" t="s">
        <v>213</v>
      </c>
      <c r="CD1578" s="2" t="s">
        <v>200</v>
      </c>
      <c r="CE1578" s="4">
        <v>206</v>
      </c>
      <c r="CF1578" s="4"/>
      <c r="CG1578" s="4"/>
      <c r="CH1578" s="4"/>
      <c r="CI1578" s="4"/>
      <c r="CJ1578" s="4"/>
      <c r="CK1578" s="4"/>
      <c r="CL1578" s="4"/>
      <c r="CM1578" s="4"/>
      <c r="CN1578" s="4"/>
      <c r="CO1578" s="4"/>
      <c r="CP1578" s="4"/>
      <c r="CQ1578" s="4"/>
      <c r="CR1578" s="4"/>
      <c r="CS1578" s="4"/>
      <c r="CT1578" s="4"/>
      <c r="CU1578" s="4"/>
      <c r="CV1578" s="4"/>
      <c r="CW1578" s="4"/>
      <c r="CX1578" s="4"/>
      <c r="CY1578" s="4"/>
      <c r="CZ1578" s="4"/>
      <c r="DA1578" s="4"/>
      <c r="DB1578" s="4"/>
      <c r="DC1578" s="4"/>
      <c r="DD1578" s="4"/>
      <c r="DE1578" s="4"/>
      <c r="DF1578" s="4"/>
      <c r="DG1578" s="4"/>
      <c r="DH1578" s="4"/>
      <c r="DI1578" s="4"/>
      <c r="DJ1578" s="4"/>
      <c r="DK1578" s="4"/>
      <c r="DL1578" s="4"/>
      <c r="DM1578" s="4"/>
      <c r="DN1578" s="4"/>
      <c r="DO1578" s="4"/>
      <c r="DP1578" s="4"/>
      <c r="DQ1578" s="4"/>
      <c r="DR1578" s="4"/>
      <c r="DS1578" s="4"/>
      <c r="DT1578" s="4"/>
      <c r="DU1578" s="4"/>
      <c r="DV1578" s="4"/>
      <c r="DW1578" s="4"/>
      <c r="DX1578" s="4"/>
      <c r="DY1578" s="4"/>
      <c r="DZ1578" s="4"/>
      <c r="EA1578" s="4"/>
      <c r="EB1578" s="4"/>
      <c r="EC1578" s="4"/>
      <c r="ED1578" s="4"/>
      <c r="EE1578" s="4"/>
      <c r="EF1578" s="4"/>
      <c r="EG1578" s="4"/>
      <c r="EH1578" s="4"/>
      <c r="EI1578" s="4"/>
      <c r="EJ1578" s="4"/>
      <c r="EK1578" s="4"/>
      <c r="EL1578" s="4"/>
      <c r="EM1578" s="4"/>
      <c r="EN1578" s="4"/>
      <c r="EO1578" s="4"/>
      <c r="EP1578" s="4"/>
      <c r="EQ1578" s="4"/>
      <c r="ER1578" s="4"/>
      <c r="ES1578" s="4"/>
      <c r="ET1578" s="4"/>
      <c r="EU1578" s="4"/>
      <c r="EV1578" s="4"/>
      <c r="EW1578" s="4"/>
      <c r="EX1578" s="4"/>
      <c r="EY1578" s="4"/>
      <c r="EZ1578" s="4"/>
      <c r="FA1578" s="4"/>
      <c r="FB1578" s="4"/>
      <c r="FC1578" s="4"/>
      <c r="FD1578" s="4"/>
      <c r="FE1578" s="4"/>
      <c r="FF1578" s="4"/>
      <c r="FG1578" s="4"/>
      <c r="FH1578" s="4"/>
      <c r="FI1578" s="4"/>
      <c r="FJ1578" s="4"/>
      <c r="FK1578" s="4"/>
      <c r="FL1578" s="4"/>
      <c r="FM1578" s="4"/>
      <c r="FN1578" s="4"/>
      <c r="FO1578" s="4"/>
      <c r="FP1578" s="4"/>
      <c r="FQ1578" s="4"/>
      <c r="FR1578" s="4"/>
      <c r="FS1578" s="4"/>
      <c r="FT1578" s="4"/>
      <c r="FU1578" s="4"/>
      <c r="FV1578" s="4"/>
      <c r="FW1578" s="4"/>
      <c r="FX1578" s="4"/>
      <c r="FY1578" s="4"/>
      <c r="FZ1578" s="4"/>
      <c r="GA1578" s="4"/>
      <c r="GB1578" s="4"/>
      <c r="GC1578" s="4"/>
      <c r="GD1578" s="4"/>
      <c r="GE1578" s="4"/>
      <c r="GF1578" s="4"/>
      <c r="GG1578" s="4"/>
      <c r="GH1578" s="4"/>
    </row>
    <row r="1579">
      <c r="A1579" s="2" t="s">
        <v>8392</v>
      </c>
      <c r="B1579" s="2" t="s">
        <v>230</v>
      </c>
      <c r="C1579" s="2" t="s">
        <v>251</v>
      </c>
      <c r="D1579" s="2" t="s">
        <v>232</v>
      </c>
      <c r="E1579" s="2" t="s">
        <v>233</v>
      </c>
      <c r="F1579" s="2" t="s">
        <v>8370</v>
      </c>
      <c r="G1579" s="2" t="s">
        <v>8370</v>
      </c>
      <c r="H1579" s="2" t="s">
        <v>8370</v>
      </c>
      <c r="I1579" s="2" t="s">
        <v>309</v>
      </c>
      <c r="J1579" s="2" t="s">
        <v>297</v>
      </c>
      <c r="K1579" s="2" t="s">
        <v>436</v>
      </c>
      <c r="L1579" s="3">
        <v>19</v>
      </c>
      <c r="M1579" s="3">
        <v>19.95</v>
      </c>
      <c r="N1579" s="3">
        <v>37.99</v>
      </c>
      <c r="O1579" s="2" t="s">
        <v>212</v>
      </c>
      <c r="P1579" s="2" t="s">
        <v>258</v>
      </c>
      <c r="Q1579" s="2" t="s">
        <v>206</v>
      </c>
      <c r="R1579" s="2" t="s">
        <v>200</v>
      </c>
      <c r="S1579" s="2" t="s">
        <v>8387</v>
      </c>
      <c r="T1579" s="2" t="s">
        <v>8372</v>
      </c>
      <c r="U1579" s="2" t="s">
        <v>200</v>
      </c>
      <c r="V1579" s="2" t="s">
        <v>208</v>
      </c>
      <c r="W1579" s="2" t="s">
        <v>241</v>
      </c>
      <c r="X1579" s="2" t="s">
        <v>200</v>
      </c>
      <c r="Y1579" s="2" t="s">
        <v>6265</v>
      </c>
      <c r="Z1579" s="4">
        <v>486</v>
      </c>
      <c r="AA1579" s="4">
        <f>=ROUNDDOWN(44.1818181818182,0)</f>
      </c>
      <c r="AB1579" s="5">
        <v>11</v>
      </c>
      <c r="AC1579" s="2" t="s">
        <v>200</v>
      </c>
      <c r="AD1579" s="4"/>
      <c r="AE1579" s="4"/>
      <c r="AF1579" s="6">
        <v>66</v>
      </c>
      <c r="AG1579" s="6"/>
      <c r="AH1579" s="7">
        <v>1</v>
      </c>
      <c r="AI1579" s="4"/>
      <c r="AJ1579" s="4">
        <f>=ROUNDDOWN({0},0)</f>
      </c>
      <c r="AK1579" s="5"/>
      <c r="AL1579" s="2" t="s">
        <v>200</v>
      </c>
      <c r="AM1579" s="4"/>
      <c r="AN1579" s="4"/>
      <c r="AO1579" s="7"/>
      <c r="AP1579" s="4"/>
      <c r="AQ1579" s="8"/>
      <c r="AR1579" s="4"/>
      <c r="AS1579" s="8"/>
      <c r="AT1579" s="7"/>
      <c r="AU1579" s="7"/>
      <c r="AV1579" s="4" t="s">
        <v>200</v>
      </c>
      <c r="AW1579" s="8" t="s">
        <v>200</v>
      </c>
      <c r="AX1579" s="4" t="s">
        <v>200</v>
      </c>
      <c r="AY1579" s="8" t="s">
        <v>200</v>
      </c>
      <c r="AZ1579" s="7" t="s">
        <v>200</v>
      </c>
      <c r="BA1579" s="7" t="s">
        <v>200</v>
      </c>
      <c r="BB1579" s="7"/>
      <c r="BC1579" s="4" t="s">
        <v>200</v>
      </c>
      <c r="BD1579" s="8" t="s">
        <v>200</v>
      </c>
      <c r="BE1579" s="4" t="s">
        <v>200</v>
      </c>
      <c r="BF1579" s="8" t="s">
        <v>200</v>
      </c>
      <c r="BG1579" s="7" t="s">
        <v>200</v>
      </c>
      <c r="BH1579" s="7" t="s">
        <v>200</v>
      </c>
      <c r="BI1579" s="7"/>
      <c r="BJ1579" s="4">
        <v>45</v>
      </c>
      <c r="BK1579" s="8">
        <v>880.36</v>
      </c>
      <c r="BL1579" s="2" t="s">
        <v>8393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8394</v>
      </c>
      <c r="BV1579" s="2" t="s">
        <v>200</v>
      </c>
      <c r="BW1579" s="2" t="s">
        <v>200</v>
      </c>
      <c r="BX1579" s="2" t="s">
        <v>264</v>
      </c>
      <c r="BY1579" s="2" t="s">
        <v>247</v>
      </c>
      <c r="BZ1579" s="2" t="s">
        <v>212</v>
      </c>
      <c r="CA1579" s="2" t="s">
        <v>6101</v>
      </c>
      <c r="CB1579" s="2" t="s">
        <v>8395</v>
      </c>
      <c r="CC1579" s="2" t="s">
        <v>213</v>
      </c>
      <c r="CD1579" s="2" t="s">
        <v>200</v>
      </c>
      <c r="CE1579" s="4">
        <v>486</v>
      </c>
      <c r="CF1579" s="4"/>
      <c r="CG1579" s="4"/>
      <c r="CH1579" s="4"/>
      <c r="CI1579" s="4"/>
      <c r="CJ1579" s="4"/>
      <c r="CK1579" s="4"/>
      <c r="CL1579" s="4"/>
      <c r="CM1579" s="4"/>
      <c r="CN1579" s="4"/>
      <c r="CO1579" s="4"/>
      <c r="CP1579" s="4"/>
      <c r="CQ1579" s="4"/>
      <c r="CR1579" s="4"/>
      <c r="CS1579" s="4"/>
      <c r="CT1579" s="4"/>
      <c r="CU1579" s="4"/>
      <c r="CV1579" s="4"/>
      <c r="CW1579" s="4"/>
      <c r="CX1579" s="4"/>
      <c r="CY1579" s="4"/>
      <c r="CZ1579" s="4"/>
      <c r="DA1579" s="4"/>
      <c r="DB1579" s="4"/>
      <c r="DC1579" s="4"/>
      <c r="DD1579" s="4"/>
      <c r="DE1579" s="4"/>
      <c r="DF1579" s="4"/>
      <c r="DG1579" s="4"/>
      <c r="DH1579" s="4"/>
      <c r="DI1579" s="4"/>
      <c r="DJ1579" s="4"/>
      <c r="DK1579" s="4"/>
      <c r="DL1579" s="4"/>
      <c r="DM1579" s="4"/>
      <c r="DN1579" s="4"/>
      <c r="DO1579" s="4"/>
      <c r="DP1579" s="4"/>
      <c r="DQ1579" s="4"/>
      <c r="DR1579" s="4"/>
      <c r="DS1579" s="4"/>
      <c r="DT1579" s="4"/>
      <c r="DU1579" s="4"/>
      <c r="DV1579" s="4"/>
      <c r="DW1579" s="4"/>
      <c r="DX1579" s="4"/>
      <c r="DY1579" s="4"/>
      <c r="DZ1579" s="4"/>
      <c r="EA1579" s="4"/>
      <c r="EB1579" s="4"/>
      <c r="EC1579" s="4"/>
      <c r="ED1579" s="4"/>
      <c r="EE1579" s="4"/>
      <c r="EF1579" s="4"/>
      <c r="EG1579" s="4"/>
      <c r="EH1579" s="4"/>
      <c r="EI1579" s="4"/>
      <c r="EJ1579" s="4"/>
      <c r="EK1579" s="4"/>
      <c r="EL1579" s="4"/>
      <c r="EM1579" s="4"/>
      <c r="EN1579" s="4"/>
      <c r="EO1579" s="4"/>
      <c r="EP1579" s="4"/>
      <c r="EQ1579" s="4"/>
      <c r="ER1579" s="4"/>
      <c r="ES1579" s="4"/>
      <c r="ET1579" s="4"/>
      <c r="EU1579" s="4"/>
      <c r="EV1579" s="4"/>
      <c r="EW1579" s="4"/>
      <c r="EX1579" s="4"/>
      <c r="EY1579" s="4"/>
      <c r="EZ1579" s="4"/>
      <c r="FA1579" s="4"/>
      <c r="FB1579" s="4"/>
      <c r="FC1579" s="4"/>
      <c r="FD1579" s="4"/>
      <c r="FE1579" s="4"/>
      <c r="FF1579" s="4"/>
      <c r="FG1579" s="4"/>
      <c r="FH1579" s="4"/>
      <c r="FI1579" s="4"/>
      <c r="FJ1579" s="4"/>
      <c r="FK1579" s="4"/>
      <c r="FL1579" s="4"/>
      <c r="FM1579" s="4"/>
      <c r="FN1579" s="4"/>
      <c r="FO1579" s="4"/>
      <c r="FP1579" s="4"/>
      <c r="FQ1579" s="4"/>
      <c r="FR1579" s="4"/>
      <c r="FS1579" s="4"/>
      <c r="FT1579" s="4"/>
      <c r="FU1579" s="4"/>
      <c r="FV1579" s="4"/>
      <c r="FW1579" s="4"/>
      <c r="FX1579" s="4"/>
      <c r="FY1579" s="4"/>
      <c r="FZ1579" s="4"/>
      <c r="GA1579" s="4"/>
      <c r="GB1579" s="4"/>
      <c r="GC1579" s="4"/>
      <c r="GD1579" s="4"/>
      <c r="GE1579" s="4"/>
      <c r="GF1579" s="4"/>
      <c r="GG1579" s="4"/>
      <c r="GH1579" s="4"/>
    </row>
    <row r="1580">
      <c r="A1580" s="2" t="s">
        <v>8396</v>
      </c>
      <c r="B1580" s="2" t="s">
        <v>230</v>
      </c>
      <c r="C1580" s="2" t="s">
        <v>251</v>
      </c>
      <c r="D1580" s="2" t="s">
        <v>232</v>
      </c>
      <c r="E1580" s="2" t="s">
        <v>233</v>
      </c>
      <c r="F1580" s="2" t="s">
        <v>8370</v>
      </c>
      <c r="G1580" s="2" t="s">
        <v>8370</v>
      </c>
      <c r="H1580" s="2" t="s">
        <v>8370</v>
      </c>
      <c r="I1580" s="2" t="s">
        <v>309</v>
      </c>
      <c r="J1580" s="2" t="s">
        <v>302</v>
      </c>
      <c r="K1580" s="2" t="s">
        <v>436</v>
      </c>
      <c r="L1580" s="3">
        <v>21.5</v>
      </c>
      <c r="M1580" s="3">
        <v>22.58</v>
      </c>
      <c r="N1580" s="3">
        <v>42.99</v>
      </c>
      <c r="O1580" s="2" t="s">
        <v>212</v>
      </c>
      <c r="P1580" s="2" t="s">
        <v>258</v>
      </c>
      <c r="Q1580" s="2" t="s">
        <v>206</v>
      </c>
      <c r="R1580" s="2" t="s">
        <v>200</v>
      </c>
      <c r="S1580" s="2" t="s">
        <v>8387</v>
      </c>
      <c r="T1580" s="2" t="s">
        <v>8372</v>
      </c>
      <c r="U1580" s="2" t="s">
        <v>200</v>
      </c>
      <c r="V1580" s="2" t="s">
        <v>208</v>
      </c>
      <c r="W1580" s="2" t="s">
        <v>241</v>
      </c>
      <c r="X1580" s="2" t="s">
        <v>200</v>
      </c>
      <c r="Y1580" s="2" t="s">
        <v>261</v>
      </c>
      <c r="Z1580" s="4">
        <v>267</v>
      </c>
      <c r="AA1580" s="4">
        <f>=ROUNDDOWN(32.1686746987952,0)</f>
      </c>
      <c r="AB1580" s="5">
        <v>8.3</v>
      </c>
      <c r="AC1580" s="2" t="s">
        <v>200</v>
      </c>
      <c r="AD1580" s="4"/>
      <c r="AE1580" s="4"/>
      <c r="AF1580" s="6">
        <v>66</v>
      </c>
      <c r="AG1580" s="6"/>
      <c r="AH1580" s="7">
        <v>1</v>
      </c>
      <c r="AI1580" s="4"/>
      <c r="AJ1580" s="4">
        <f>=ROUNDDOWN({0},0)</f>
      </c>
      <c r="AK1580" s="5"/>
      <c r="AL1580" s="2" t="s">
        <v>200</v>
      </c>
      <c r="AM1580" s="4"/>
      <c r="AN1580" s="4"/>
      <c r="AO1580" s="7"/>
      <c r="AP1580" s="4"/>
      <c r="AQ1580" s="8"/>
      <c r="AR1580" s="4"/>
      <c r="AS1580" s="8"/>
      <c r="AT1580" s="7"/>
      <c r="AU1580" s="7"/>
      <c r="AV1580" s="4" t="s">
        <v>200</v>
      </c>
      <c r="AW1580" s="8" t="s">
        <v>200</v>
      </c>
      <c r="AX1580" s="4" t="s">
        <v>200</v>
      </c>
      <c r="AY1580" s="8" t="s">
        <v>200</v>
      </c>
      <c r="AZ1580" s="7" t="s">
        <v>200</v>
      </c>
      <c r="BA1580" s="7" t="s">
        <v>200</v>
      </c>
      <c r="BB1580" s="7"/>
      <c r="BC1580" s="4" t="s">
        <v>200</v>
      </c>
      <c r="BD1580" s="8" t="s">
        <v>200</v>
      </c>
      <c r="BE1580" s="4" t="s">
        <v>200</v>
      </c>
      <c r="BF1580" s="8" t="s">
        <v>200</v>
      </c>
      <c r="BG1580" s="7" t="s">
        <v>200</v>
      </c>
      <c r="BH1580" s="7" t="s">
        <v>200</v>
      </c>
      <c r="BI1580" s="7"/>
      <c r="BJ1580" s="4">
        <v>28</v>
      </c>
      <c r="BK1580" s="8">
        <v>638.32</v>
      </c>
      <c r="BL1580" s="2" t="s">
        <v>7478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8397</v>
      </c>
      <c r="BV1580" s="2" t="s">
        <v>200</v>
      </c>
      <c r="BW1580" s="2" t="s">
        <v>200</v>
      </c>
      <c r="BX1580" s="2" t="s">
        <v>264</v>
      </c>
      <c r="BY1580" s="2" t="s">
        <v>247</v>
      </c>
      <c r="BZ1580" s="2" t="s">
        <v>212</v>
      </c>
      <c r="CA1580" s="2" t="s">
        <v>6101</v>
      </c>
      <c r="CB1580" s="2" t="s">
        <v>8398</v>
      </c>
      <c r="CC1580" s="2" t="s">
        <v>213</v>
      </c>
      <c r="CD1580" s="2" t="s">
        <v>200</v>
      </c>
      <c r="CE1580" s="4">
        <v>267</v>
      </c>
      <c r="CF1580" s="4"/>
      <c r="CG1580" s="4"/>
      <c r="CH1580" s="4"/>
      <c r="CI1580" s="4"/>
      <c r="CJ1580" s="4"/>
      <c r="CK1580" s="4"/>
      <c r="CL1580" s="4"/>
      <c r="CM1580" s="4"/>
      <c r="CN1580" s="4"/>
      <c r="CO1580" s="4"/>
      <c r="CP1580" s="4"/>
      <c r="CQ1580" s="4"/>
      <c r="CR1580" s="4"/>
      <c r="CS1580" s="4"/>
      <c r="CT1580" s="4"/>
      <c r="CU1580" s="4"/>
      <c r="CV1580" s="4"/>
      <c r="CW1580" s="4"/>
      <c r="CX1580" s="4"/>
      <c r="CY1580" s="4"/>
      <c r="CZ1580" s="4"/>
      <c r="DA1580" s="4"/>
      <c r="DB1580" s="4"/>
      <c r="DC1580" s="4"/>
      <c r="DD1580" s="4"/>
      <c r="DE1580" s="4"/>
      <c r="DF1580" s="4"/>
      <c r="DG1580" s="4"/>
      <c r="DH1580" s="4"/>
      <c r="DI1580" s="4"/>
      <c r="DJ1580" s="4"/>
      <c r="DK1580" s="4"/>
      <c r="DL1580" s="4"/>
      <c r="DM1580" s="4"/>
      <c r="DN1580" s="4"/>
      <c r="DO1580" s="4"/>
      <c r="DP1580" s="4"/>
      <c r="DQ1580" s="4"/>
      <c r="DR1580" s="4"/>
      <c r="DS1580" s="4"/>
      <c r="DT1580" s="4"/>
      <c r="DU1580" s="4"/>
      <c r="DV1580" s="4"/>
      <c r="DW1580" s="4"/>
      <c r="DX1580" s="4"/>
      <c r="DY1580" s="4"/>
      <c r="DZ1580" s="4"/>
      <c r="EA1580" s="4"/>
      <c r="EB1580" s="4"/>
      <c r="EC1580" s="4"/>
      <c r="ED1580" s="4"/>
      <c r="EE1580" s="4"/>
      <c r="EF1580" s="4"/>
      <c r="EG1580" s="4"/>
      <c r="EH1580" s="4"/>
      <c r="EI1580" s="4"/>
      <c r="EJ1580" s="4"/>
      <c r="EK1580" s="4"/>
      <c r="EL1580" s="4"/>
      <c r="EM1580" s="4"/>
      <c r="EN1580" s="4"/>
      <c r="EO1580" s="4"/>
      <c r="EP1580" s="4"/>
      <c r="EQ1580" s="4"/>
      <c r="ER1580" s="4"/>
      <c r="ES1580" s="4"/>
      <c r="ET1580" s="4"/>
      <c r="EU1580" s="4"/>
      <c r="EV1580" s="4"/>
      <c r="EW1580" s="4"/>
      <c r="EX1580" s="4"/>
      <c r="EY1580" s="4"/>
      <c r="EZ1580" s="4"/>
      <c r="FA1580" s="4"/>
      <c r="FB1580" s="4"/>
      <c r="FC1580" s="4"/>
      <c r="FD1580" s="4"/>
      <c r="FE1580" s="4"/>
      <c r="FF1580" s="4"/>
      <c r="FG1580" s="4"/>
      <c r="FH1580" s="4"/>
      <c r="FI1580" s="4"/>
      <c r="FJ1580" s="4"/>
      <c r="FK1580" s="4"/>
      <c r="FL1580" s="4"/>
      <c r="FM1580" s="4"/>
      <c r="FN1580" s="4"/>
      <c r="FO1580" s="4"/>
      <c r="FP1580" s="4"/>
      <c r="FQ1580" s="4"/>
      <c r="FR1580" s="4"/>
      <c r="FS1580" s="4"/>
      <c r="FT1580" s="4"/>
      <c r="FU1580" s="4"/>
      <c r="FV1580" s="4"/>
      <c r="FW1580" s="4"/>
      <c r="FX1580" s="4"/>
      <c r="FY1580" s="4"/>
      <c r="FZ1580" s="4"/>
      <c r="GA1580" s="4"/>
      <c r="GB1580" s="4"/>
      <c r="GC1580" s="4"/>
      <c r="GD1580" s="4"/>
      <c r="GE1580" s="4"/>
      <c r="GF1580" s="4"/>
      <c r="GG1580" s="4"/>
      <c r="GH1580" s="4"/>
    </row>
    <row r="1581">
      <c r="A1581" s="2" t="s">
        <v>8399</v>
      </c>
      <c r="B1581" s="2" t="s">
        <v>230</v>
      </c>
      <c r="C1581" s="2" t="s">
        <v>251</v>
      </c>
      <c r="D1581" s="2" t="s">
        <v>232</v>
      </c>
      <c r="E1581" s="2" t="s">
        <v>233</v>
      </c>
      <c r="F1581" s="2" t="s">
        <v>8370</v>
      </c>
      <c r="G1581" s="2" t="s">
        <v>8370</v>
      </c>
      <c r="H1581" s="2" t="s">
        <v>8370</v>
      </c>
      <c r="I1581" s="2" t="s">
        <v>309</v>
      </c>
      <c r="J1581" s="2" t="s">
        <v>256</v>
      </c>
      <c r="K1581" s="2" t="s">
        <v>2589</v>
      </c>
      <c r="L1581" s="3">
        <v>16.5</v>
      </c>
      <c r="M1581" s="3">
        <v>17.32</v>
      </c>
      <c r="N1581" s="3">
        <v>32.99</v>
      </c>
      <c r="O1581" s="2" t="s">
        <v>212</v>
      </c>
      <c r="P1581" s="2" t="s">
        <v>258</v>
      </c>
      <c r="Q1581" s="2" t="s">
        <v>206</v>
      </c>
      <c r="R1581" s="2" t="s">
        <v>200</v>
      </c>
      <c r="S1581" s="2" t="s">
        <v>8400</v>
      </c>
      <c r="T1581" s="2" t="s">
        <v>8372</v>
      </c>
      <c r="U1581" s="2" t="s">
        <v>454</v>
      </c>
      <c r="V1581" s="2" t="s">
        <v>208</v>
      </c>
      <c r="W1581" s="2" t="s">
        <v>241</v>
      </c>
      <c r="X1581" s="2" t="s">
        <v>379</v>
      </c>
      <c r="Y1581" s="2" t="s">
        <v>8401</v>
      </c>
      <c r="Z1581" s="4">
        <v>123</v>
      </c>
      <c r="AA1581" s="4">
        <f>=ROUNDDOWN(55.9090909090909,0)</f>
      </c>
      <c r="AB1581" s="5">
        <v>2.2</v>
      </c>
      <c r="AC1581" s="2" t="s">
        <v>200</v>
      </c>
      <c r="AD1581" s="4"/>
      <c r="AE1581" s="4"/>
      <c r="AF1581" s="6">
        <v>66</v>
      </c>
      <c r="AG1581" s="6"/>
      <c r="AH1581" s="7">
        <v>1</v>
      </c>
      <c r="AI1581" s="4"/>
      <c r="AJ1581" s="4">
        <f>=ROUNDDOWN({0},0)</f>
      </c>
      <c r="AK1581" s="5"/>
      <c r="AL1581" s="2" t="s">
        <v>200</v>
      </c>
      <c r="AM1581" s="4"/>
      <c r="AN1581" s="4"/>
      <c r="AO1581" s="7"/>
      <c r="AP1581" s="4"/>
      <c r="AQ1581" s="8"/>
      <c r="AR1581" s="4"/>
      <c r="AS1581" s="8"/>
      <c r="AT1581" s="7"/>
      <c r="AU1581" s="7"/>
      <c r="AV1581" s="4" t="s">
        <v>200</v>
      </c>
      <c r="AW1581" s="8" t="s">
        <v>200</v>
      </c>
      <c r="AX1581" s="4" t="s">
        <v>200</v>
      </c>
      <c r="AY1581" s="8" t="s">
        <v>200</v>
      </c>
      <c r="AZ1581" s="7" t="s">
        <v>200</v>
      </c>
      <c r="BA1581" s="7" t="s">
        <v>200</v>
      </c>
      <c r="BB1581" s="7"/>
      <c r="BC1581" s="4" t="s">
        <v>200</v>
      </c>
      <c r="BD1581" s="8" t="s">
        <v>200</v>
      </c>
      <c r="BE1581" s="4" t="s">
        <v>200</v>
      </c>
      <c r="BF1581" s="8" t="s">
        <v>200</v>
      </c>
      <c r="BG1581" s="7" t="s">
        <v>200</v>
      </c>
      <c r="BH1581" s="7" t="s">
        <v>200</v>
      </c>
      <c r="BI1581" s="7"/>
      <c r="BJ1581" s="4">
        <v>18</v>
      </c>
      <c r="BK1581" s="8">
        <v>332.21</v>
      </c>
      <c r="BL1581" s="2" t="s">
        <v>8402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8403</v>
      </c>
      <c r="BV1581" s="2" t="s">
        <v>200</v>
      </c>
      <c r="BW1581" s="2" t="s">
        <v>200</v>
      </c>
      <c r="BX1581" s="2" t="s">
        <v>264</v>
      </c>
      <c r="BY1581" s="2" t="s">
        <v>247</v>
      </c>
      <c r="BZ1581" s="2" t="s">
        <v>212</v>
      </c>
      <c r="CA1581" s="2" t="s">
        <v>8401</v>
      </c>
      <c r="CB1581" s="2" t="s">
        <v>3244</v>
      </c>
      <c r="CC1581" s="2" t="s">
        <v>213</v>
      </c>
      <c r="CD1581" s="2" t="s">
        <v>200</v>
      </c>
      <c r="CE1581" s="4">
        <v>123</v>
      </c>
      <c r="CF1581" s="4"/>
      <c r="CG1581" s="4"/>
      <c r="CH1581" s="4"/>
      <c r="CI1581" s="4"/>
      <c r="CJ1581" s="4"/>
      <c r="CK1581" s="4"/>
      <c r="CL1581" s="4"/>
      <c r="CM1581" s="4"/>
      <c r="CN1581" s="4"/>
      <c r="CO1581" s="4"/>
      <c r="CP1581" s="4"/>
      <c r="CQ1581" s="4"/>
      <c r="CR1581" s="4"/>
      <c r="CS1581" s="4"/>
      <c r="CT1581" s="4"/>
      <c r="CU1581" s="4"/>
      <c r="CV1581" s="4"/>
      <c r="CW1581" s="4"/>
      <c r="CX1581" s="4"/>
      <c r="CY1581" s="4"/>
      <c r="CZ1581" s="4"/>
      <c r="DA1581" s="4"/>
      <c r="DB1581" s="4"/>
      <c r="DC1581" s="4"/>
      <c r="DD1581" s="4"/>
      <c r="DE1581" s="4"/>
      <c r="DF1581" s="4"/>
      <c r="DG1581" s="4"/>
      <c r="DH1581" s="4"/>
      <c r="DI1581" s="4"/>
      <c r="DJ1581" s="4"/>
      <c r="DK1581" s="4"/>
      <c r="DL1581" s="4"/>
      <c r="DM1581" s="4"/>
      <c r="DN1581" s="4"/>
      <c r="DO1581" s="4"/>
      <c r="DP1581" s="4"/>
      <c r="DQ1581" s="4"/>
      <c r="DR1581" s="4"/>
      <c r="DS1581" s="4"/>
      <c r="DT1581" s="4"/>
      <c r="DU1581" s="4"/>
      <c r="DV1581" s="4"/>
      <c r="DW1581" s="4"/>
      <c r="DX1581" s="4"/>
      <c r="DY1581" s="4"/>
      <c r="DZ1581" s="4"/>
      <c r="EA1581" s="4"/>
      <c r="EB1581" s="4"/>
      <c r="EC1581" s="4"/>
      <c r="ED1581" s="4"/>
      <c r="EE1581" s="4"/>
      <c r="EF1581" s="4"/>
      <c r="EG1581" s="4"/>
      <c r="EH1581" s="4"/>
      <c r="EI1581" s="4"/>
      <c r="EJ1581" s="4"/>
      <c r="EK1581" s="4"/>
      <c r="EL1581" s="4"/>
      <c r="EM1581" s="4"/>
      <c r="EN1581" s="4"/>
      <c r="EO1581" s="4"/>
      <c r="EP1581" s="4"/>
      <c r="EQ1581" s="4"/>
      <c r="ER1581" s="4"/>
      <c r="ES1581" s="4"/>
      <c r="ET1581" s="4"/>
      <c r="EU1581" s="4"/>
      <c r="EV1581" s="4"/>
      <c r="EW1581" s="4"/>
      <c r="EX1581" s="4"/>
      <c r="EY1581" s="4"/>
      <c r="EZ1581" s="4"/>
      <c r="FA1581" s="4"/>
      <c r="FB1581" s="4"/>
      <c r="FC1581" s="4"/>
      <c r="FD1581" s="4"/>
      <c r="FE1581" s="4"/>
      <c r="FF1581" s="4"/>
      <c r="FG1581" s="4"/>
      <c r="FH1581" s="4"/>
      <c r="FI1581" s="4"/>
      <c r="FJ1581" s="4"/>
      <c r="FK1581" s="4"/>
      <c r="FL1581" s="4"/>
      <c r="FM1581" s="4"/>
      <c r="FN1581" s="4"/>
      <c r="FO1581" s="4"/>
      <c r="FP1581" s="4"/>
      <c r="FQ1581" s="4"/>
      <c r="FR1581" s="4"/>
      <c r="FS1581" s="4"/>
      <c r="FT1581" s="4"/>
      <c r="FU1581" s="4"/>
      <c r="FV1581" s="4"/>
      <c r="FW1581" s="4"/>
      <c r="FX1581" s="4"/>
      <c r="FY1581" s="4"/>
      <c r="FZ1581" s="4"/>
      <c r="GA1581" s="4"/>
      <c r="GB1581" s="4"/>
      <c r="GC1581" s="4"/>
      <c r="GD1581" s="4"/>
      <c r="GE1581" s="4"/>
      <c r="GF1581" s="4"/>
      <c r="GG1581" s="4"/>
      <c r="GH1581" s="4"/>
    </row>
    <row r="1582">
      <c r="A1582" s="2" t="s">
        <v>8404</v>
      </c>
      <c r="B1582" s="2" t="s">
        <v>230</v>
      </c>
      <c r="C1582" s="2" t="s">
        <v>251</v>
      </c>
      <c r="D1582" s="2" t="s">
        <v>232</v>
      </c>
      <c r="E1582" s="2" t="s">
        <v>233</v>
      </c>
      <c r="F1582" s="2" t="s">
        <v>8370</v>
      </c>
      <c r="G1582" s="2" t="s">
        <v>8370</v>
      </c>
      <c r="H1582" s="2" t="s">
        <v>8370</v>
      </c>
      <c r="I1582" s="2" t="s">
        <v>309</v>
      </c>
      <c r="J1582" s="2" t="s">
        <v>277</v>
      </c>
      <c r="K1582" s="2" t="s">
        <v>2589</v>
      </c>
      <c r="L1582" s="3">
        <v>16.5</v>
      </c>
      <c r="M1582" s="3">
        <v>17.32</v>
      </c>
      <c r="N1582" s="3">
        <v>32.99</v>
      </c>
      <c r="O1582" s="2" t="s">
        <v>212</v>
      </c>
      <c r="P1582" s="2" t="s">
        <v>258</v>
      </c>
      <c r="Q1582" s="2" t="s">
        <v>206</v>
      </c>
      <c r="R1582" s="2" t="s">
        <v>200</v>
      </c>
      <c r="S1582" s="2" t="s">
        <v>8400</v>
      </c>
      <c r="T1582" s="2" t="s">
        <v>8372</v>
      </c>
      <c r="U1582" s="2" t="s">
        <v>240</v>
      </c>
      <c r="V1582" s="2" t="s">
        <v>208</v>
      </c>
      <c r="W1582" s="2" t="s">
        <v>241</v>
      </c>
      <c r="X1582" s="2" t="s">
        <v>379</v>
      </c>
      <c r="Y1582" s="2" t="s">
        <v>8401</v>
      </c>
      <c r="Z1582" s="4">
        <v>181</v>
      </c>
      <c r="AA1582" s="4">
        <f>=ROUNDDOWN(43.0952380952381,0)</f>
      </c>
      <c r="AB1582" s="5">
        <v>4.2</v>
      </c>
      <c r="AC1582" s="2" t="s">
        <v>200</v>
      </c>
      <c r="AD1582" s="4"/>
      <c r="AE1582" s="4"/>
      <c r="AF1582" s="6">
        <v>66</v>
      </c>
      <c r="AG1582" s="6"/>
      <c r="AH1582" s="7">
        <v>1</v>
      </c>
      <c r="AI1582" s="4"/>
      <c r="AJ1582" s="4">
        <f>=ROUNDDOWN({0},0)</f>
      </c>
      <c r="AK1582" s="5"/>
      <c r="AL1582" s="2" t="s">
        <v>200</v>
      </c>
      <c r="AM1582" s="4"/>
      <c r="AN1582" s="4"/>
      <c r="AO1582" s="7"/>
      <c r="AP1582" s="4"/>
      <c r="AQ1582" s="8"/>
      <c r="AR1582" s="4"/>
      <c r="AS1582" s="8"/>
      <c r="AT1582" s="7"/>
      <c r="AU1582" s="7"/>
      <c r="AV1582" s="4" t="s">
        <v>200</v>
      </c>
      <c r="AW1582" s="8" t="s">
        <v>200</v>
      </c>
      <c r="AX1582" s="4" t="s">
        <v>200</v>
      </c>
      <c r="AY1582" s="8" t="s">
        <v>200</v>
      </c>
      <c r="AZ1582" s="7" t="s">
        <v>200</v>
      </c>
      <c r="BA1582" s="7" t="s">
        <v>200</v>
      </c>
      <c r="BB1582" s="7"/>
      <c r="BC1582" s="4" t="s">
        <v>200</v>
      </c>
      <c r="BD1582" s="8" t="s">
        <v>200</v>
      </c>
      <c r="BE1582" s="4" t="s">
        <v>200</v>
      </c>
      <c r="BF1582" s="8" t="s">
        <v>200</v>
      </c>
      <c r="BG1582" s="7" t="s">
        <v>200</v>
      </c>
      <c r="BH1582" s="7" t="s">
        <v>200</v>
      </c>
      <c r="BI1582" s="7"/>
      <c r="BJ1582" s="4">
        <v>13</v>
      </c>
      <c r="BK1582" s="8">
        <v>206.56</v>
      </c>
      <c r="BL1582" s="2" t="s">
        <v>4470</v>
      </c>
      <c r="BM1582" s="7"/>
      <c r="BN1582" s="7"/>
      <c r="BO1582" s="4"/>
      <c r="BP1582" s="8"/>
      <c r="BQ1582" s="4"/>
      <c r="BR1582" s="8"/>
      <c r="BS1582" s="7"/>
      <c r="BT1582" s="7"/>
      <c r="BU1582" s="2" t="s">
        <v>8405</v>
      </c>
      <c r="BV1582" s="2" t="s">
        <v>200</v>
      </c>
      <c r="BW1582" s="2" t="s">
        <v>200</v>
      </c>
      <c r="BX1582" s="2" t="s">
        <v>264</v>
      </c>
      <c r="BY1582" s="2" t="s">
        <v>247</v>
      </c>
      <c r="BZ1582" s="2" t="s">
        <v>212</v>
      </c>
      <c r="CA1582" s="2" t="s">
        <v>8401</v>
      </c>
      <c r="CB1582" s="2" t="s">
        <v>852</v>
      </c>
      <c r="CC1582" s="2" t="s">
        <v>213</v>
      </c>
      <c r="CD1582" s="2" t="s">
        <v>200</v>
      </c>
      <c r="CE1582" s="4">
        <v>181</v>
      </c>
      <c r="CF1582" s="4"/>
      <c r="CG1582" s="4"/>
      <c r="CH1582" s="4"/>
      <c r="CI1582" s="4"/>
      <c r="CJ1582" s="4"/>
      <c r="CK1582" s="4"/>
      <c r="CL1582" s="4"/>
      <c r="CM1582" s="4"/>
      <c r="CN1582" s="4"/>
      <c r="CO1582" s="4"/>
      <c r="CP1582" s="4"/>
      <c r="CQ1582" s="4"/>
      <c r="CR1582" s="4"/>
      <c r="CS1582" s="4"/>
      <c r="CT1582" s="4"/>
      <c r="CU1582" s="4"/>
      <c r="CV1582" s="4"/>
      <c r="CW1582" s="4"/>
      <c r="CX1582" s="4"/>
      <c r="CY1582" s="4"/>
      <c r="CZ1582" s="4"/>
      <c r="DA1582" s="4"/>
      <c r="DB1582" s="4"/>
      <c r="DC1582" s="4"/>
      <c r="DD1582" s="4"/>
      <c r="DE1582" s="4"/>
      <c r="DF1582" s="4"/>
      <c r="DG1582" s="4"/>
      <c r="DH1582" s="4"/>
      <c r="DI1582" s="4"/>
      <c r="DJ1582" s="4"/>
      <c r="DK1582" s="4"/>
      <c r="DL1582" s="4"/>
      <c r="DM1582" s="4"/>
      <c r="DN1582" s="4"/>
      <c r="DO1582" s="4"/>
      <c r="DP1582" s="4"/>
      <c r="DQ1582" s="4"/>
      <c r="DR1582" s="4"/>
      <c r="DS1582" s="4"/>
      <c r="DT1582" s="4"/>
      <c r="DU1582" s="4"/>
      <c r="DV1582" s="4"/>
      <c r="DW1582" s="4"/>
      <c r="DX1582" s="4"/>
      <c r="DY1582" s="4"/>
      <c r="DZ1582" s="4"/>
      <c r="EA1582" s="4"/>
      <c r="EB1582" s="4"/>
      <c r="EC1582" s="4"/>
      <c r="ED1582" s="4"/>
      <c r="EE1582" s="4"/>
      <c r="EF1582" s="4"/>
      <c r="EG1582" s="4"/>
      <c r="EH1582" s="4"/>
      <c r="EI1582" s="4"/>
      <c r="EJ1582" s="4"/>
      <c r="EK1582" s="4"/>
      <c r="EL1582" s="4"/>
      <c r="EM1582" s="4"/>
      <c r="EN1582" s="4"/>
      <c r="EO1582" s="4"/>
      <c r="EP1582" s="4"/>
      <c r="EQ1582" s="4"/>
      <c r="ER1582" s="4"/>
      <c r="ES1582" s="4"/>
      <c r="ET1582" s="4"/>
      <c r="EU1582" s="4"/>
      <c r="EV1582" s="4"/>
      <c r="EW1582" s="4"/>
      <c r="EX1582" s="4"/>
      <c r="EY1582" s="4"/>
      <c r="EZ1582" s="4"/>
      <c r="FA1582" s="4"/>
      <c r="FB1582" s="4"/>
      <c r="FC1582" s="4"/>
      <c r="FD1582" s="4"/>
      <c r="FE1582" s="4"/>
      <c r="FF1582" s="4"/>
      <c r="FG1582" s="4"/>
      <c r="FH1582" s="4"/>
      <c r="FI1582" s="4"/>
      <c r="FJ1582" s="4"/>
      <c r="FK1582" s="4"/>
      <c r="FL1582" s="4"/>
      <c r="FM1582" s="4"/>
      <c r="FN1582" s="4"/>
      <c r="FO1582" s="4"/>
      <c r="FP1582" s="4"/>
      <c r="FQ1582" s="4"/>
      <c r="FR1582" s="4"/>
      <c r="FS1582" s="4"/>
      <c r="FT1582" s="4"/>
      <c r="FU1582" s="4"/>
      <c r="FV1582" s="4"/>
      <c r="FW1582" s="4"/>
      <c r="FX1582" s="4"/>
      <c r="FY1582" s="4"/>
      <c r="FZ1582" s="4"/>
      <c r="GA1582" s="4"/>
      <c r="GB1582" s="4"/>
      <c r="GC1582" s="4"/>
      <c r="GD1582" s="4"/>
      <c r="GE1582" s="4"/>
      <c r="GF1582" s="4"/>
      <c r="GG1582" s="4"/>
      <c r="GH1582" s="4"/>
    </row>
    <row r="1583">
      <c r="A1583" s="2" t="s">
        <v>8406</v>
      </c>
      <c r="B1583" s="2" t="s">
        <v>230</v>
      </c>
      <c r="C1583" s="2" t="s">
        <v>251</v>
      </c>
      <c r="D1583" s="2" t="s">
        <v>232</v>
      </c>
      <c r="E1583" s="2" t="s">
        <v>233</v>
      </c>
      <c r="F1583" s="2" t="s">
        <v>8370</v>
      </c>
      <c r="G1583" s="2" t="s">
        <v>8370</v>
      </c>
      <c r="H1583" s="2" t="s">
        <v>8370</v>
      </c>
      <c r="I1583" s="2" t="s">
        <v>309</v>
      </c>
      <c r="J1583" s="2" t="s">
        <v>302</v>
      </c>
      <c r="K1583" s="2" t="s">
        <v>2589</v>
      </c>
      <c r="L1583" s="3">
        <v>21.5</v>
      </c>
      <c r="M1583" s="3">
        <v>22.58</v>
      </c>
      <c r="N1583" s="3">
        <v>42.99</v>
      </c>
      <c r="O1583" s="2" t="s">
        <v>212</v>
      </c>
      <c r="P1583" s="2" t="s">
        <v>258</v>
      </c>
      <c r="Q1583" s="2" t="s">
        <v>206</v>
      </c>
      <c r="R1583" s="2" t="s">
        <v>200</v>
      </c>
      <c r="S1583" s="2" t="s">
        <v>8400</v>
      </c>
      <c r="T1583" s="2" t="s">
        <v>8372</v>
      </c>
      <c r="U1583" s="2" t="s">
        <v>240</v>
      </c>
      <c r="V1583" s="2" t="s">
        <v>208</v>
      </c>
      <c r="W1583" s="2" t="s">
        <v>241</v>
      </c>
      <c r="X1583" s="2" t="s">
        <v>379</v>
      </c>
      <c r="Y1583" s="2" t="s">
        <v>8401</v>
      </c>
      <c r="Z1583" s="4">
        <v>205</v>
      </c>
      <c r="AA1583" s="4">
        <f>=ROUNDDOWN(24.6987951807229,0)</f>
      </c>
      <c r="AB1583" s="5">
        <v>8.3</v>
      </c>
      <c r="AC1583" s="2" t="s">
        <v>200</v>
      </c>
      <c r="AD1583" s="4"/>
      <c r="AE1583" s="4"/>
      <c r="AF1583" s="6">
        <v>66</v>
      </c>
      <c r="AG1583" s="6"/>
      <c r="AH1583" s="7">
        <v>1</v>
      </c>
      <c r="AI1583" s="4"/>
      <c r="AJ1583" s="4">
        <f>=ROUNDDOWN({0},0)</f>
      </c>
      <c r="AK1583" s="5"/>
      <c r="AL1583" s="2" t="s">
        <v>200</v>
      </c>
      <c r="AM1583" s="4"/>
      <c r="AN1583" s="4"/>
      <c r="AO1583" s="7"/>
      <c r="AP1583" s="4"/>
      <c r="AQ1583" s="8"/>
      <c r="AR1583" s="4"/>
      <c r="AS1583" s="8"/>
      <c r="AT1583" s="7"/>
      <c r="AU1583" s="7"/>
      <c r="AV1583" s="4" t="s">
        <v>200</v>
      </c>
      <c r="AW1583" s="8" t="s">
        <v>200</v>
      </c>
      <c r="AX1583" s="4" t="s">
        <v>200</v>
      </c>
      <c r="AY1583" s="8" t="s">
        <v>200</v>
      </c>
      <c r="AZ1583" s="7" t="s">
        <v>200</v>
      </c>
      <c r="BA1583" s="7" t="s">
        <v>200</v>
      </c>
      <c r="BB1583" s="7"/>
      <c r="BC1583" s="4" t="s">
        <v>200</v>
      </c>
      <c r="BD1583" s="8" t="s">
        <v>200</v>
      </c>
      <c r="BE1583" s="4" t="s">
        <v>200</v>
      </c>
      <c r="BF1583" s="8" t="s">
        <v>200</v>
      </c>
      <c r="BG1583" s="7" t="s">
        <v>200</v>
      </c>
      <c r="BH1583" s="7" t="s">
        <v>200</v>
      </c>
      <c r="BI1583" s="7"/>
      <c r="BJ1583" s="4">
        <v>31</v>
      </c>
      <c r="BK1583" s="8">
        <v>675.64</v>
      </c>
      <c r="BL1583" s="2" t="s">
        <v>298</v>
      </c>
      <c r="BM1583" s="7"/>
      <c r="BN1583" s="7"/>
      <c r="BO1583" s="4"/>
      <c r="BP1583" s="8"/>
      <c r="BQ1583" s="4"/>
      <c r="BR1583" s="8"/>
      <c r="BS1583" s="7"/>
      <c r="BT1583" s="7"/>
      <c r="BU1583" s="2" t="s">
        <v>8407</v>
      </c>
      <c r="BV1583" s="2" t="s">
        <v>200</v>
      </c>
      <c r="BW1583" s="2" t="s">
        <v>200</v>
      </c>
      <c r="BX1583" s="2" t="s">
        <v>264</v>
      </c>
      <c r="BY1583" s="2" t="s">
        <v>247</v>
      </c>
      <c r="BZ1583" s="2" t="s">
        <v>212</v>
      </c>
      <c r="CA1583" s="2" t="s">
        <v>8401</v>
      </c>
      <c r="CB1583" s="2" t="s">
        <v>4649</v>
      </c>
      <c r="CC1583" s="2" t="s">
        <v>213</v>
      </c>
      <c r="CD1583" s="2" t="s">
        <v>200</v>
      </c>
      <c r="CE1583" s="4">
        <v>205</v>
      </c>
      <c r="CF1583" s="4"/>
      <c r="CG1583" s="4"/>
      <c r="CH1583" s="4"/>
      <c r="CI1583" s="4"/>
      <c r="CJ1583" s="4"/>
      <c r="CK1583" s="4"/>
      <c r="CL1583" s="4"/>
      <c r="CM1583" s="4"/>
      <c r="CN1583" s="4"/>
      <c r="CO1583" s="4"/>
      <c r="CP1583" s="4"/>
      <c r="CQ1583" s="4"/>
      <c r="CR1583" s="4"/>
      <c r="CS1583" s="4"/>
      <c r="CT1583" s="4"/>
      <c r="CU1583" s="4"/>
      <c r="CV1583" s="4"/>
      <c r="CW1583" s="4"/>
      <c r="CX1583" s="4"/>
      <c r="CY1583" s="4"/>
      <c r="CZ1583" s="4"/>
      <c r="DA1583" s="4"/>
      <c r="DB1583" s="4"/>
      <c r="DC1583" s="4"/>
      <c r="DD1583" s="4"/>
      <c r="DE1583" s="4"/>
      <c r="DF1583" s="4"/>
      <c r="DG1583" s="4"/>
      <c r="DH1583" s="4"/>
      <c r="DI1583" s="4"/>
      <c r="DJ1583" s="4"/>
      <c r="DK1583" s="4"/>
      <c r="DL1583" s="4"/>
      <c r="DM1583" s="4"/>
      <c r="DN1583" s="4"/>
      <c r="DO1583" s="4"/>
      <c r="DP1583" s="4"/>
      <c r="DQ1583" s="4"/>
      <c r="DR1583" s="4"/>
      <c r="DS1583" s="4"/>
      <c r="DT1583" s="4"/>
      <c r="DU1583" s="4"/>
      <c r="DV1583" s="4"/>
      <c r="DW1583" s="4"/>
      <c r="DX1583" s="4"/>
      <c r="DY1583" s="4"/>
      <c r="DZ1583" s="4"/>
      <c r="EA1583" s="4"/>
      <c r="EB1583" s="4"/>
      <c r="EC1583" s="4"/>
      <c r="ED1583" s="4"/>
      <c r="EE1583" s="4"/>
      <c r="EF1583" s="4"/>
      <c r="EG1583" s="4"/>
      <c r="EH1583" s="4"/>
      <c r="EI1583" s="4"/>
      <c r="EJ1583" s="4"/>
      <c r="EK1583" s="4"/>
      <c r="EL1583" s="4"/>
      <c r="EM1583" s="4"/>
      <c r="EN1583" s="4"/>
      <c r="EO1583" s="4"/>
      <c r="EP1583" s="4"/>
      <c r="EQ1583" s="4"/>
      <c r="ER1583" s="4"/>
      <c r="ES1583" s="4"/>
      <c r="ET1583" s="4"/>
      <c r="EU1583" s="4"/>
      <c r="EV1583" s="4"/>
      <c r="EW1583" s="4"/>
      <c r="EX1583" s="4"/>
      <c r="EY1583" s="4"/>
      <c r="EZ1583" s="4"/>
      <c r="FA1583" s="4"/>
      <c r="FB1583" s="4"/>
      <c r="FC1583" s="4"/>
      <c r="FD1583" s="4"/>
      <c r="FE1583" s="4"/>
      <c r="FF1583" s="4"/>
      <c r="FG1583" s="4"/>
      <c r="FH1583" s="4"/>
      <c r="FI1583" s="4"/>
      <c r="FJ1583" s="4"/>
      <c r="FK1583" s="4"/>
      <c r="FL1583" s="4"/>
      <c r="FM1583" s="4"/>
      <c r="FN1583" s="4"/>
      <c r="FO1583" s="4"/>
      <c r="FP1583" s="4"/>
      <c r="FQ1583" s="4"/>
      <c r="FR1583" s="4"/>
      <c r="FS1583" s="4"/>
      <c r="FT1583" s="4"/>
      <c r="FU1583" s="4"/>
      <c r="FV1583" s="4"/>
      <c r="FW1583" s="4"/>
      <c r="FX1583" s="4"/>
      <c r="FY1583" s="4"/>
      <c r="FZ1583" s="4"/>
      <c r="GA1583" s="4"/>
      <c r="GB1583" s="4"/>
      <c r="GC1583" s="4"/>
      <c r="GD1583" s="4"/>
      <c r="GE1583" s="4"/>
      <c r="GF1583" s="4"/>
      <c r="GG1583" s="4"/>
      <c r="GH1583" s="4"/>
    </row>
    <row r="1584">
      <c r="A1584" s="2" t="s">
        <v>8408</v>
      </c>
      <c r="B1584" s="2" t="s">
        <v>230</v>
      </c>
      <c r="C1584" s="2" t="s">
        <v>251</v>
      </c>
      <c r="D1584" s="2" t="s">
        <v>232</v>
      </c>
      <c r="E1584" s="2" t="s">
        <v>233</v>
      </c>
      <c r="F1584" s="2" t="s">
        <v>8370</v>
      </c>
      <c r="G1584" s="2" t="s">
        <v>8370</v>
      </c>
      <c r="H1584" s="2" t="s">
        <v>8370</v>
      </c>
      <c r="I1584" s="2" t="s">
        <v>309</v>
      </c>
      <c r="J1584" s="2" t="s">
        <v>236</v>
      </c>
      <c r="K1584" s="2" t="s">
        <v>2589</v>
      </c>
      <c r="L1584" s="3">
        <v>21.5</v>
      </c>
      <c r="M1584" s="3">
        <v>22.58</v>
      </c>
      <c r="N1584" s="3">
        <v>42.99</v>
      </c>
      <c r="O1584" s="2" t="s">
        <v>212</v>
      </c>
      <c r="P1584" s="2" t="s">
        <v>285</v>
      </c>
      <c r="Q1584" s="2" t="s">
        <v>206</v>
      </c>
      <c r="R1584" s="2" t="s">
        <v>200</v>
      </c>
      <c r="S1584" s="2" t="s">
        <v>8400</v>
      </c>
      <c r="T1584" s="2" t="s">
        <v>8372</v>
      </c>
      <c r="U1584" s="2" t="s">
        <v>240</v>
      </c>
      <c r="V1584" s="2" t="s">
        <v>208</v>
      </c>
      <c r="W1584" s="2" t="s">
        <v>241</v>
      </c>
      <c r="X1584" s="2" t="s">
        <v>379</v>
      </c>
      <c r="Y1584" s="2" t="s">
        <v>8401</v>
      </c>
      <c r="Z1584" s="4">
        <v>13</v>
      </c>
      <c r="AA1584" s="4">
        <f>=ROUNDDOWN(10,0)</f>
      </c>
      <c r="AB1584" s="5">
        <v>1.3</v>
      </c>
      <c r="AC1584" s="2" t="s">
        <v>200</v>
      </c>
      <c r="AD1584" s="4"/>
      <c r="AE1584" s="4"/>
      <c r="AF1584" s="6">
        <v>66</v>
      </c>
      <c r="AG1584" s="6"/>
      <c r="AH1584" s="7">
        <v>1</v>
      </c>
      <c r="AI1584" s="4"/>
      <c r="AJ1584" s="4">
        <f>=ROUNDDOWN({0},0)</f>
      </c>
      <c r="AK1584" s="5"/>
      <c r="AL1584" s="2" t="s">
        <v>200</v>
      </c>
      <c r="AM1584" s="4"/>
      <c r="AN1584" s="4"/>
      <c r="AO1584" s="7"/>
      <c r="AP1584" s="4"/>
      <c r="AQ1584" s="8"/>
      <c r="AR1584" s="4"/>
      <c r="AS1584" s="8"/>
      <c r="AT1584" s="7"/>
      <c r="AU1584" s="7"/>
      <c r="AV1584" s="4" t="s">
        <v>200</v>
      </c>
      <c r="AW1584" s="8" t="s">
        <v>200</v>
      </c>
      <c r="AX1584" s="4" t="s">
        <v>200</v>
      </c>
      <c r="AY1584" s="8" t="s">
        <v>200</v>
      </c>
      <c r="AZ1584" s="7" t="s">
        <v>200</v>
      </c>
      <c r="BA1584" s="7" t="s">
        <v>200</v>
      </c>
      <c r="BB1584" s="7"/>
      <c r="BC1584" s="4" t="s">
        <v>200</v>
      </c>
      <c r="BD1584" s="8" t="s">
        <v>200</v>
      </c>
      <c r="BE1584" s="4" t="s">
        <v>200</v>
      </c>
      <c r="BF1584" s="8" t="s">
        <v>200</v>
      </c>
      <c r="BG1584" s="7" t="s">
        <v>200</v>
      </c>
      <c r="BH1584" s="7" t="s">
        <v>200</v>
      </c>
      <c r="BI1584" s="7"/>
      <c r="BJ1584" s="4">
        <v>6</v>
      </c>
      <c r="BK1584" s="8">
        <v>141.15</v>
      </c>
      <c r="BL1584" s="2" t="s">
        <v>8409</v>
      </c>
      <c r="BM1584" s="7"/>
      <c r="BN1584" s="7"/>
      <c r="BO1584" s="4"/>
      <c r="BP1584" s="8"/>
      <c r="BQ1584" s="4"/>
      <c r="BR1584" s="8"/>
      <c r="BS1584" s="7"/>
      <c r="BT1584" s="7"/>
      <c r="BU1584" s="2" t="s">
        <v>8410</v>
      </c>
      <c r="BV1584" s="2" t="s">
        <v>200</v>
      </c>
      <c r="BW1584" s="2" t="s">
        <v>200</v>
      </c>
      <c r="BX1584" s="2" t="s">
        <v>289</v>
      </c>
      <c r="BY1584" s="2" t="s">
        <v>247</v>
      </c>
      <c r="BZ1584" s="2" t="s">
        <v>212</v>
      </c>
      <c r="CA1584" s="2" t="s">
        <v>8401</v>
      </c>
      <c r="CB1584" s="2" t="s">
        <v>8411</v>
      </c>
      <c r="CC1584" s="2" t="s">
        <v>213</v>
      </c>
      <c r="CD1584" s="2" t="s">
        <v>200</v>
      </c>
      <c r="CE1584" s="4">
        <v>13</v>
      </c>
      <c r="CF1584" s="4"/>
      <c r="CG1584" s="4"/>
      <c r="CH1584" s="4"/>
      <c r="CI1584" s="4"/>
      <c r="CJ1584" s="4"/>
      <c r="CK1584" s="4"/>
      <c r="CL1584" s="4"/>
      <c r="CM1584" s="4"/>
      <c r="CN1584" s="4"/>
      <c r="CO1584" s="4"/>
      <c r="CP1584" s="4"/>
      <c r="CQ1584" s="4"/>
      <c r="CR1584" s="4"/>
      <c r="CS1584" s="4"/>
      <c r="CT1584" s="4"/>
      <c r="CU1584" s="4"/>
      <c r="CV1584" s="4"/>
      <c r="CW1584" s="4"/>
      <c r="CX1584" s="4"/>
      <c r="CY1584" s="4"/>
      <c r="CZ1584" s="4"/>
      <c r="DA1584" s="4"/>
      <c r="DB1584" s="4"/>
      <c r="DC1584" s="4"/>
      <c r="DD1584" s="4"/>
      <c r="DE1584" s="4"/>
      <c r="DF1584" s="4"/>
      <c r="DG1584" s="4"/>
      <c r="DH1584" s="4"/>
      <c r="DI1584" s="4"/>
      <c r="DJ1584" s="4"/>
      <c r="DK1584" s="4"/>
      <c r="DL1584" s="4"/>
      <c r="DM1584" s="4"/>
      <c r="DN1584" s="4"/>
      <c r="DO1584" s="4"/>
      <c r="DP1584" s="4"/>
      <c r="DQ1584" s="4"/>
      <c r="DR1584" s="4"/>
      <c r="DS1584" s="4"/>
      <c r="DT1584" s="4"/>
      <c r="DU1584" s="4"/>
      <c r="DV1584" s="4"/>
      <c r="DW1584" s="4"/>
      <c r="DX1584" s="4"/>
      <c r="DY1584" s="4"/>
      <c r="DZ1584" s="4"/>
      <c r="EA1584" s="4"/>
      <c r="EB1584" s="4"/>
      <c r="EC1584" s="4"/>
      <c r="ED1584" s="4"/>
      <c r="EE1584" s="4"/>
      <c r="EF1584" s="4"/>
      <c r="EG1584" s="4"/>
      <c r="EH1584" s="4"/>
      <c r="EI1584" s="4"/>
      <c r="EJ1584" s="4"/>
      <c r="EK1584" s="4"/>
      <c r="EL1584" s="4"/>
      <c r="EM1584" s="4"/>
      <c r="EN1584" s="4"/>
      <c r="EO1584" s="4"/>
      <c r="EP1584" s="4"/>
      <c r="EQ1584" s="4"/>
      <c r="ER1584" s="4"/>
      <c r="ES1584" s="4"/>
      <c r="ET1584" s="4"/>
      <c r="EU1584" s="4"/>
      <c r="EV1584" s="4"/>
      <c r="EW1584" s="4"/>
      <c r="EX1584" s="4"/>
      <c r="EY1584" s="4"/>
      <c r="EZ1584" s="4"/>
      <c r="FA1584" s="4"/>
      <c r="FB1584" s="4"/>
      <c r="FC1584" s="4"/>
      <c r="FD1584" s="4"/>
      <c r="FE1584" s="4"/>
      <c r="FF1584" s="4"/>
      <c r="FG1584" s="4"/>
      <c r="FH1584" s="4"/>
      <c r="FI1584" s="4"/>
      <c r="FJ1584" s="4"/>
      <c r="FK1584" s="4"/>
      <c r="FL1584" s="4"/>
      <c r="FM1584" s="4"/>
      <c r="FN1584" s="4"/>
      <c r="FO1584" s="4"/>
      <c r="FP1584" s="4"/>
      <c r="FQ1584" s="4"/>
      <c r="FR1584" s="4"/>
      <c r="FS1584" s="4"/>
      <c r="FT1584" s="4"/>
      <c r="FU1584" s="4"/>
      <c r="FV1584" s="4"/>
      <c r="FW1584" s="4"/>
      <c r="FX1584" s="4"/>
      <c r="FY1584" s="4"/>
      <c r="FZ1584" s="4"/>
      <c r="GA1584" s="4"/>
      <c r="GB1584" s="4"/>
      <c r="GC1584" s="4"/>
      <c r="GD1584" s="4"/>
      <c r="GE1584" s="4"/>
      <c r="GF1584" s="4"/>
      <c r="GG1584" s="4"/>
      <c r="GH1584" s="4"/>
    </row>
    <row r="1585">
      <c r="A1585" s="2" t="s">
        <v>8412</v>
      </c>
      <c r="B1585" s="2" t="s">
        <v>230</v>
      </c>
      <c r="C1585" s="2" t="s">
        <v>251</v>
      </c>
      <c r="D1585" s="2" t="s">
        <v>232</v>
      </c>
      <c r="E1585" s="2" t="s">
        <v>233</v>
      </c>
      <c r="F1585" s="2" t="s">
        <v>8370</v>
      </c>
      <c r="G1585" s="2" t="s">
        <v>8370</v>
      </c>
      <c r="H1585" s="2" t="s">
        <v>8370</v>
      </c>
      <c r="I1585" s="2" t="s">
        <v>309</v>
      </c>
      <c r="J1585" s="2" t="s">
        <v>236</v>
      </c>
      <c r="K1585" s="2" t="s">
        <v>257</v>
      </c>
      <c r="L1585" s="3">
        <v>21.5</v>
      </c>
      <c r="M1585" s="3">
        <v>22.58</v>
      </c>
      <c r="N1585" s="3">
        <v>42.99</v>
      </c>
      <c r="O1585" s="2" t="s">
        <v>212</v>
      </c>
      <c r="P1585" s="2" t="s">
        <v>285</v>
      </c>
      <c r="Q1585" s="2" t="s">
        <v>206</v>
      </c>
      <c r="R1585" s="2" t="s">
        <v>200</v>
      </c>
      <c r="S1585" s="2" t="s">
        <v>8413</v>
      </c>
      <c r="T1585" s="2" t="s">
        <v>8372</v>
      </c>
      <c r="U1585" s="2" t="s">
        <v>200</v>
      </c>
      <c r="V1585" s="2" t="s">
        <v>208</v>
      </c>
      <c r="W1585" s="2" t="s">
        <v>241</v>
      </c>
      <c r="X1585" s="2" t="s">
        <v>200</v>
      </c>
      <c r="Y1585" s="2" t="s">
        <v>7544</v>
      </c>
      <c r="Z1585" s="4">
        <v>38</v>
      </c>
      <c r="AA1585" s="4">
        <f>=ROUNDDOWN(21.1111111111111,0)</f>
      </c>
      <c r="AB1585" s="5">
        <v>1.8</v>
      </c>
      <c r="AC1585" s="2" t="s">
        <v>200</v>
      </c>
      <c r="AD1585" s="4"/>
      <c r="AE1585" s="4"/>
      <c r="AF1585" s="6">
        <v>66</v>
      </c>
      <c r="AG1585" s="6"/>
      <c r="AH1585" s="7">
        <v>1</v>
      </c>
      <c r="AI1585" s="4"/>
      <c r="AJ1585" s="4">
        <f>=ROUNDDOWN({0},0)</f>
      </c>
      <c r="AK1585" s="5"/>
      <c r="AL1585" s="2" t="s">
        <v>200</v>
      </c>
      <c r="AM1585" s="4"/>
      <c r="AN1585" s="4"/>
      <c r="AO1585" s="7"/>
      <c r="AP1585" s="4"/>
      <c r="AQ1585" s="8"/>
      <c r="AR1585" s="4"/>
      <c r="AS1585" s="8"/>
      <c r="AT1585" s="7"/>
      <c r="AU1585" s="7"/>
      <c r="AV1585" s="4"/>
      <c r="AW1585" s="8"/>
      <c r="AX1585" s="4"/>
      <c r="AY1585" s="8"/>
      <c r="AZ1585" s="7"/>
      <c r="BA1585" s="7"/>
      <c r="BB1585" s="7"/>
      <c r="BC1585" s="4" t="s">
        <v>200</v>
      </c>
      <c r="BD1585" s="8" t="s">
        <v>200</v>
      </c>
      <c r="BE1585" s="4" t="s">
        <v>200</v>
      </c>
      <c r="BF1585" s="8" t="s">
        <v>200</v>
      </c>
      <c r="BG1585" s="7" t="s">
        <v>200</v>
      </c>
      <c r="BH1585" s="7" t="s">
        <v>200</v>
      </c>
      <c r="BI1585" s="7"/>
      <c r="BJ1585" s="4">
        <v>5</v>
      </c>
      <c r="BK1585" s="8">
        <v>113.4</v>
      </c>
      <c r="BL1585" s="2" t="s">
        <v>3823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8414</v>
      </c>
      <c r="BV1585" s="2" t="s">
        <v>200</v>
      </c>
      <c r="BW1585" s="2" t="s">
        <v>200</v>
      </c>
      <c r="BX1585" s="2" t="s">
        <v>289</v>
      </c>
      <c r="BY1585" s="2" t="s">
        <v>247</v>
      </c>
      <c r="BZ1585" s="2" t="s">
        <v>212</v>
      </c>
      <c r="CA1585" s="2" t="s">
        <v>6101</v>
      </c>
      <c r="CB1585" s="2" t="s">
        <v>8415</v>
      </c>
      <c r="CC1585" s="2" t="s">
        <v>213</v>
      </c>
      <c r="CD1585" s="2" t="s">
        <v>200</v>
      </c>
      <c r="CE1585" s="4">
        <v>38</v>
      </c>
      <c r="CF1585" s="4"/>
      <c r="CG1585" s="4"/>
      <c r="CH1585" s="4"/>
      <c r="CI1585" s="4"/>
      <c r="CJ1585" s="4"/>
      <c r="CK1585" s="4"/>
      <c r="CL1585" s="4"/>
      <c r="CM1585" s="4"/>
      <c r="CN1585" s="4"/>
      <c r="CO1585" s="4"/>
      <c r="CP1585" s="4"/>
      <c r="CQ1585" s="4"/>
      <c r="CR1585" s="4"/>
      <c r="CS1585" s="4"/>
      <c r="CT1585" s="4"/>
      <c r="CU1585" s="4"/>
      <c r="CV1585" s="4"/>
      <c r="CW1585" s="4"/>
      <c r="CX1585" s="4"/>
      <c r="CY1585" s="4"/>
      <c r="CZ1585" s="4"/>
      <c r="DA1585" s="4"/>
      <c r="DB1585" s="4"/>
      <c r="DC1585" s="4"/>
      <c r="DD1585" s="4"/>
      <c r="DE1585" s="4"/>
      <c r="DF1585" s="4"/>
      <c r="DG1585" s="4"/>
      <c r="DH1585" s="4"/>
      <c r="DI1585" s="4"/>
      <c r="DJ1585" s="4"/>
      <c r="DK1585" s="4"/>
      <c r="DL1585" s="4"/>
      <c r="DM1585" s="4"/>
      <c r="DN1585" s="4"/>
      <c r="DO1585" s="4"/>
      <c r="DP1585" s="4"/>
      <c r="DQ1585" s="4"/>
      <c r="DR1585" s="4"/>
      <c r="DS1585" s="4"/>
      <c r="DT1585" s="4"/>
      <c r="DU1585" s="4"/>
      <c r="DV1585" s="4"/>
      <c r="DW1585" s="4"/>
      <c r="DX1585" s="4"/>
      <c r="DY1585" s="4"/>
      <c r="DZ1585" s="4"/>
      <c r="EA1585" s="4"/>
      <c r="EB1585" s="4"/>
      <c r="EC1585" s="4"/>
      <c r="ED1585" s="4"/>
      <c r="EE1585" s="4"/>
      <c r="EF1585" s="4"/>
      <c r="EG1585" s="4"/>
      <c r="EH1585" s="4"/>
      <c r="EI1585" s="4"/>
      <c r="EJ1585" s="4"/>
      <c r="EK1585" s="4"/>
      <c r="EL1585" s="4"/>
      <c r="EM1585" s="4"/>
      <c r="EN1585" s="4"/>
      <c r="EO1585" s="4"/>
      <c r="EP1585" s="4"/>
      <c r="EQ1585" s="4"/>
      <c r="ER1585" s="4"/>
      <c r="ES1585" s="4"/>
      <c r="ET1585" s="4"/>
      <c r="EU1585" s="4"/>
      <c r="EV1585" s="4"/>
      <c r="EW1585" s="4"/>
      <c r="EX1585" s="4"/>
      <c r="EY1585" s="4"/>
      <c r="EZ1585" s="4"/>
      <c r="FA1585" s="4"/>
      <c r="FB1585" s="4"/>
      <c r="FC1585" s="4"/>
      <c r="FD1585" s="4"/>
      <c r="FE1585" s="4"/>
      <c r="FF1585" s="4"/>
      <c r="FG1585" s="4"/>
      <c r="FH1585" s="4"/>
      <c r="FI1585" s="4"/>
      <c r="FJ1585" s="4"/>
      <c r="FK1585" s="4"/>
      <c r="FL1585" s="4"/>
      <c r="FM1585" s="4"/>
      <c r="FN1585" s="4"/>
      <c r="FO1585" s="4"/>
      <c r="FP1585" s="4"/>
      <c r="FQ1585" s="4"/>
      <c r="FR1585" s="4"/>
      <c r="FS1585" s="4"/>
      <c r="FT1585" s="4"/>
      <c r="FU1585" s="4"/>
      <c r="FV1585" s="4"/>
      <c r="FW1585" s="4"/>
      <c r="FX1585" s="4"/>
      <c r="FY1585" s="4"/>
      <c r="FZ1585" s="4"/>
      <c r="GA1585" s="4"/>
      <c r="GB1585" s="4"/>
      <c r="GC1585" s="4"/>
      <c r="GD1585" s="4"/>
      <c r="GE1585" s="4"/>
      <c r="GF1585" s="4"/>
      <c r="GG1585" s="4"/>
      <c r="GH1585" s="4"/>
    </row>
    <row r="1586">
      <c r="A1586" s="2" t="s">
        <v>8416</v>
      </c>
      <c r="B1586" s="2" t="s">
        <v>719</v>
      </c>
      <c r="C1586" s="2" t="s">
        <v>231</v>
      </c>
      <c r="D1586" s="2" t="s">
        <v>1542</v>
      </c>
      <c r="E1586" s="2" t="s">
        <v>5927</v>
      </c>
      <c r="F1586" s="2" t="s">
        <v>8417</v>
      </c>
      <c r="G1586" s="2" t="s">
        <v>8417</v>
      </c>
      <c r="H1586" s="2" t="s">
        <v>8417</v>
      </c>
      <c r="I1586" s="2" t="s">
        <v>8418</v>
      </c>
      <c r="J1586" s="2" t="s">
        <v>711</v>
      </c>
      <c r="K1586" s="2" t="s">
        <v>1843</v>
      </c>
      <c r="L1586" s="3">
        <v>61.9</v>
      </c>
      <c r="M1586" s="3">
        <v>65</v>
      </c>
      <c r="N1586" s="3">
        <v>129.9</v>
      </c>
      <c r="O1586" s="2" t="s">
        <v>212</v>
      </c>
      <c r="P1586" s="2" t="s">
        <v>205</v>
      </c>
      <c r="Q1586" s="2" t="s">
        <v>206</v>
      </c>
      <c r="R1586" s="2" t="s">
        <v>200</v>
      </c>
      <c r="S1586" s="2" t="s">
        <v>200</v>
      </c>
      <c r="T1586" s="2" t="s">
        <v>200</v>
      </c>
      <c r="U1586" s="2" t="s">
        <v>270</v>
      </c>
      <c r="V1586" s="2" t="s">
        <v>313</v>
      </c>
      <c r="W1586" s="2" t="s">
        <v>313</v>
      </c>
      <c r="X1586" s="2" t="s">
        <v>241</v>
      </c>
      <c r="Y1586" s="2" t="s">
        <v>8419</v>
      </c>
      <c r="Z1586" s="4">
        <v>35</v>
      </c>
      <c r="AA1586" s="4">
        <f>=ROUNDDOWN(8.75,0)</f>
      </c>
      <c r="AB1586" s="5">
        <v>4</v>
      </c>
      <c r="AC1586" s="2" t="s">
        <v>126</v>
      </c>
      <c r="AD1586" s="4">
        <v>100</v>
      </c>
      <c r="AE1586" s="4">
        <v>100</v>
      </c>
      <c r="AF1586" s="6">
        <v>63</v>
      </c>
      <c r="AG1586" s="6"/>
      <c r="AH1586" s="7">
        <v>1</v>
      </c>
      <c r="AI1586" s="4"/>
      <c r="AJ1586" s="4">
        <f>=ROUNDDOWN({0},0)</f>
      </c>
      <c r="AK1586" s="5"/>
      <c r="AL1586" s="2" t="s">
        <v>200</v>
      </c>
      <c r="AM1586" s="4"/>
      <c r="AN1586" s="4"/>
      <c r="AO1586" s="7"/>
      <c r="AP1586" s="4"/>
      <c r="AQ1586" s="8"/>
      <c r="AR1586" s="4"/>
      <c r="AS1586" s="8"/>
      <c r="AT1586" s="7"/>
      <c r="AU1586" s="7"/>
      <c r="AV1586" s="4"/>
      <c r="AW1586" s="8"/>
      <c r="AX1586" s="4"/>
      <c r="AY1586" s="8"/>
      <c r="AZ1586" s="7"/>
      <c r="BA1586" s="7"/>
      <c r="BB1586" s="7"/>
      <c r="BC1586" s="4"/>
      <c r="BD1586" s="8"/>
      <c r="BE1586" s="4"/>
      <c r="BF1586" s="8"/>
      <c r="BG1586" s="7"/>
      <c r="BH1586" s="7"/>
      <c r="BI1586" s="7"/>
      <c r="BJ1586" s="4">
        <v>11</v>
      </c>
      <c r="BK1586" s="8">
        <v>744.83</v>
      </c>
      <c r="BL1586" s="2" t="s">
        <v>8420</v>
      </c>
      <c r="BM1586" s="7"/>
      <c r="BN1586" s="7"/>
      <c r="BO1586" s="4"/>
      <c r="BP1586" s="8"/>
      <c r="BQ1586" s="4"/>
      <c r="BR1586" s="8"/>
      <c r="BS1586" s="7"/>
      <c r="BT1586" s="7"/>
      <c r="BU1586" s="2" t="s">
        <v>8421</v>
      </c>
      <c r="BV1586" s="2" t="s">
        <v>200</v>
      </c>
      <c r="BW1586" s="2" t="s">
        <v>200</v>
      </c>
      <c r="BX1586" s="2" t="s">
        <v>264</v>
      </c>
      <c r="BY1586" s="2" t="s">
        <v>247</v>
      </c>
      <c r="BZ1586" s="2" t="s">
        <v>212</v>
      </c>
      <c r="CA1586" s="2" t="s">
        <v>384</v>
      </c>
      <c r="CB1586" s="2" t="s">
        <v>1458</v>
      </c>
      <c r="CC1586" s="2" t="s">
        <v>213</v>
      </c>
      <c r="CD1586" s="2" t="s">
        <v>200</v>
      </c>
      <c r="CE1586" s="4"/>
      <c r="CF1586" s="4">
        <v>35</v>
      </c>
      <c r="CG1586" s="4"/>
      <c r="CH1586" s="4"/>
      <c r="CI1586" s="4"/>
      <c r="CJ1586" s="4"/>
      <c r="CK1586" s="4"/>
      <c r="CL1586" s="4"/>
      <c r="CM1586" s="4"/>
      <c r="CN1586" s="4"/>
      <c r="CO1586" s="4"/>
      <c r="CP1586" s="4"/>
      <c r="CQ1586" s="4"/>
      <c r="CR1586" s="4"/>
      <c r="CS1586" s="4"/>
      <c r="CT1586" s="4"/>
      <c r="CU1586" s="4"/>
      <c r="CV1586" s="4"/>
      <c r="CW1586" s="4"/>
      <c r="CX1586" s="4"/>
      <c r="CY1586" s="4"/>
      <c r="CZ1586" s="4"/>
      <c r="DA1586" s="4"/>
      <c r="DB1586" s="4"/>
      <c r="DC1586" s="4"/>
      <c r="DD1586" s="4"/>
      <c r="DE1586" s="4"/>
      <c r="DF1586" s="4"/>
      <c r="DG1586" s="4"/>
      <c r="DH1586" s="4"/>
      <c r="DI1586" s="4"/>
      <c r="DJ1586" s="4"/>
      <c r="DK1586" s="4"/>
      <c r="DL1586" s="4"/>
      <c r="DM1586" s="4">
        <v>100</v>
      </c>
      <c r="DN1586" s="4"/>
      <c r="DO1586" s="4"/>
      <c r="DP1586" s="4"/>
      <c r="DQ1586" s="4"/>
      <c r="DR1586" s="4"/>
      <c r="DS1586" s="4"/>
      <c r="DT1586" s="4"/>
      <c r="DU1586" s="4"/>
      <c r="DV1586" s="4"/>
      <c r="DW1586" s="4"/>
      <c r="DX1586" s="4"/>
      <c r="DY1586" s="4"/>
      <c r="DZ1586" s="4"/>
      <c r="EA1586" s="4"/>
      <c r="EB1586" s="4"/>
      <c r="EC1586" s="4"/>
      <c r="ED1586" s="4"/>
      <c r="EE1586" s="4"/>
      <c r="EF1586" s="4"/>
      <c r="EG1586" s="4"/>
      <c r="EH1586" s="4"/>
      <c r="EI1586" s="4"/>
      <c r="EJ1586" s="4"/>
      <c r="EK1586" s="4"/>
      <c r="EL1586" s="4"/>
      <c r="EM1586" s="4"/>
      <c r="EN1586" s="4"/>
      <c r="EO1586" s="4"/>
      <c r="EP1586" s="4"/>
      <c r="EQ1586" s="4"/>
      <c r="ER1586" s="4"/>
      <c r="ES1586" s="4"/>
      <c r="ET1586" s="4"/>
      <c r="EU1586" s="4"/>
      <c r="EV1586" s="4"/>
      <c r="EW1586" s="4"/>
      <c r="EX1586" s="4"/>
      <c r="EY1586" s="4"/>
      <c r="EZ1586" s="4"/>
      <c r="FA1586" s="4"/>
      <c r="FB1586" s="4"/>
      <c r="FC1586" s="4"/>
      <c r="FD1586" s="4"/>
      <c r="FE1586" s="4"/>
      <c r="FF1586" s="4"/>
      <c r="FG1586" s="4"/>
      <c r="FH1586" s="4"/>
      <c r="FI1586" s="4"/>
      <c r="FJ1586" s="4"/>
      <c r="FK1586" s="4"/>
      <c r="FL1586" s="4"/>
      <c r="FM1586" s="4"/>
      <c r="FN1586" s="4"/>
      <c r="FO1586" s="4"/>
      <c r="FP1586" s="4"/>
      <c r="FQ1586" s="4"/>
      <c r="FR1586" s="4"/>
      <c r="FS1586" s="4"/>
      <c r="FT1586" s="4"/>
      <c r="FU1586" s="4"/>
      <c r="FV1586" s="4"/>
      <c r="FW1586" s="4"/>
      <c r="FX1586" s="4"/>
      <c r="FY1586" s="4"/>
      <c r="FZ1586" s="4"/>
      <c r="GA1586" s="4"/>
      <c r="GB1586" s="4"/>
      <c r="GC1586" s="4"/>
      <c r="GD1586" s="4"/>
      <c r="GE1586" s="4"/>
      <c r="GF1586" s="4"/>
      <c r="GG1586" s="4"/>
      <c r="GH1586" s="4"/>
    </row>
    <row r="1587">
      <c r="A1587" s="2" t="s">
        <v>8422</v>
      </c>
      <c r="B1587" s="2" t="s">
        <v>827</v>
      </c>
      <c r="C1587" s="2" t="s">
        <v>1252</v>
      </c>
      <c r="D1587" s="2" t="s">
        <v>828</v>
      </c>
      <c r="E1587" s="2" t="s">
        <v>1011</v>
      </c>
      <c r="F1587" s="2" t="s">
        <v>8423</v>
      </c>
      <c r="G1587" s="2" t="s">
        <v>8423</v>
      </c>
      <c r="H1587" s="2" t="s">
        <v>8423</v>
      </c>
      <c r="I1587" s="2" t="s">
        <v>8423</v>
      </c>
      <c r="J1587" s="2" t="s">
        <v>3045</v>
      </c>
      <c r="K1587" s="2" t="s">
        <v>1928</v>
      </c>
      <c r="L1587" s="3">
        <v>14.49</v>
      </c>
      <c r="M1587" s="3">
        <v>15.21</v>
      </c>
      <c r="N1587" s="3">
        <v>24.99</v>
      </c>
      <c r="O1587" s="2" t="s">
        <v>417</v>
      </c>
      <c r="P1587" s="2" t="s">
        <v>1258</v>
      </c>
      <c r="Q1587" s="2" t="s">
        <v>206</v>
      </c>
      <c r="R1587" s="2" t="s">
        <v>1259</v>
      </c>
      <c r="S1587" s="2" t="s">
        <v>200</v>
      </c>
      <c r="T1587" s="2" t="s">
        <v>378</v>
      </c>
      <c r="U1587" s="2" t="s">
        <v>677</v>
      </c>
      <c r="V1587" s="2" t="s">
        <v>208</v>
      </c>
      <c r="W1587" s="2" t="s">
        <v>200</v>
      </c>
      <c r="X1587" s="2" t="s">
        <v>200</v>
      </c>
      <c r="Y1587" s="2" t="s">
        <v>8424</v>
      </c>
      <c r="Z1587" s="4">
        <v>74</v>
      </c>
      <c r="AA1587" s="4">
        <f>=ROUNDDOWN(37,0)</f>
      </c>
      <c r="AB1587" s="5">
        <v>2</v>
      </c>
      <c r="AC1587" s="2" t="s">
        <v>200</v>
      </c>
      <c r="AD1587" s="4"/>
      <c r="AE1587" s="4"/>
      <c r="AF1587" s="6">
        <v>64</v>
      </c>
      <c r="AG1587" s="6"/>
      <c r="AH1587" s="7">
        <v>1</v>
      </c>
      <c r="AI1587" s="4"/>
      <c r="AJ1587" s="4">
        <f>=ROUNDDOWN({0},0)</f>
      </c>
      <c r="AK1587" s="5"/>
      <c r="AL1587" s="2" t="s">
        <v>200</v>
      </c>
      <c r="AM1587" s="4"/>
      <c r="AN1587" s="4"/>
      <c r="AO1587" s="7"/>
      <c r="AP1587" s="4"/>
      <c r="AQ1587" s="8"/>
      <c r="AR1587" s="4"/>
      <c r="AS1587" s="8"/>
      <c r="AT1587" s="7"/>
      <c r="AU1587" s="7"/>
      <c r="AV1587" s="4"/>
      <c r="AW1587" s="8"/>
      <c r="AX1587" s="4"/>
      <c r="AY1587" s="8"/>
      <c r="AZ1587" s="7"/>
      <c r="BA1587" s="7"/>
      <c r="BB1587" s="7"/>
      <c r="BC1587" s="4"/>
      <c r="BD1587" s="8"/>
      <c r="BE1587" s="4"/>
      <c r="BF1587" s="8"/>
      <c r="BG1587" s="7"/>
      <c r="BH1587" s="7"/>
      <c r="BI1587" s="7"/>
      <c r="BJ1587" s="4">
        <v>25</v>
      </c>
      <c r="BK1587" s="8">
        <v>181</v>
      </c>
      <c r="BL1587" s="2" t="s">
        <v>1029</v>
      </c>
      <c r="BM1587" s="7"/>
      <c r="BN1587" s="7"/>
      <c r="BO1587" s="4"/>
      <c r="BP1587" s="8"/>
      <c r="BQ1587" s="4"/>
      <c r="BR1587" s="8"/>
      <c r="BS1587" s="7"/>
      <c r="BT1587" s="7"/>
      <c r="BU1587" s="2" t="s">
        <v>8425</v>
      </c>
      <c r="BV1587" s="2" t="s">
        <v>200</v>
      </c>
      <c r="BW1587" s="2" t="s">
        <v>200</v>
      </c>
      <c r="BX1587" s="2" t="s">
        <v>264</v>
      </c>
      <c r="BY1587" s="2" t="s">
        <v>247</v>
      </c>
      <c r="BZ1587" s="2" t="s">
        <v>212</v>
      </c>
      <c r="CA1587" s="2" t="s">
        <v>3273</v>
      </c>
      <c r="CB1587" s="2" t="s">
        <v>200</v>
      </c>
      <c r="CC1587" s="2" t="s">
        <v>213</v>
      </c>
      <c r="CD1587" s="2" t="s">
        <v>200</v>
      </c>
      <c r="CE1587" s="4">
        <v>74</v>
      </c>
      <c r="CF1587" s="4"/>
      <c r="CG1587" s="4"/>
      <c r="CH1587" s="4"/>
      <c r="CI1587" s="4"/>
      <c r="CJ1587" s="4"/>
      <c r="CK1587" s="4"/>
      <c r="CL1587" s="4"/>
      <c r="CM1587" s="4"/>
      <c r="CN1587" s="4"/>
      <c r="CO1587" s="4"/>
      <c r="CP1587" s="4"/>
      <c r="CQ1587" s="4"/>
      <c r="CR1587" s="4"/>
      <c r="CS1587" s="4"/>
      <c r="CT1587" s="4"/>
      <c r="CU1587" s="4"/>
      <c r="CV1587" s="4"/>
      <c r="CW1587" s="4"/>
      <c r="CX1587" s="4"/>
      <c r="CY1587" s="4"/>
      <c r="CZ1587" s="4"/>
      <c r="DA1587" s="4"/>
      <c r="DB1587" s="4"/>
      <c r="DC1587" s="4"/>
      <c r="DD1587" s="4"/>
      <c r="DE1587" s="4"/>
      <c r="DF1587" s="4"/>
      <c r="DG1587" s="4"/>
      <c r="DH1587" s="4"/>
      <c r="DI1587" s="4"/>
      <c r="DJ1587" s="4"/>
      <c r="DK1587" s="4"/>
      <c r="DL1587" s="4"/>
      <c r="DM1587" s="4"/>
      <c r="DN1587" s="4"/>
      <c r="DO1587" s="4"/>
      <c r="DP1587" s="4"/>
      <c r="DQ1587" s="4"/>
      <c r="DR1587" s="4"/>
      <c r="DS1587" s="4"/>
      <c r="DT1587" s="4"/>
      <c r="DU1587" s="4"/>
      <c r="DV1587" s="4"/>
      <c r="DW1587" s="4"/>
      <c r="DX1587" s="4"/>
      <c r="DY1587" s="4"/>
      <c r="DZ1587" s="4"/>
      <c r="EA1587" s="4"/>
      <c r="EB1587" s="4"/>
      <c r="EC1587" s="4"/>
      <c r="ED1587" s="4"/>
      <c r="EE1587" s="4"/>
      <c r="EF1587" s="4"/>
      <c r="EG1587" s="4"/>
      <c r="EH1587" s="4"/>
      <c r="EI1587" s="4"/>
      <c r="EJ1587" s="4"/>
      <c r="EK1587" s="4"/>
      <c r="EL1587" s="4"/>
      <c r="EM1587" s="4"/>
      <c r="EN1587" s="4"/>
      <c r="EO1587" s="4"/>
      <c r="EP1587" s="4"/>
      <c r="EQ1587" s="4"/>
      <c r="ER1587" s="4"/>
      <c r="ES1587" s="4"/>
      <c r="ET1587" s="4"/>
      <c r="EU1587" s="4"/>
      <c r="EV1587" s="4"/>
      <c r="EW1587" s="4"/>
      <c r="EX1587" s="4"/>
      <c r="EY1587" s="4"/>
      <c r="EZ1587" s="4"/>
      <c r="FA1587" s="4"/>
      <c r="FB1587" s="4"/>
      <c r="FC1587" s="4"/>
      <c r="FD1587" s="4"/>
      <c r="FE1587" s="4"/>
      <c r="FF1587" s="4"/>
      <c r="FG1587" s="4"/>
      <c r="FH1587" s="4"/>
      <c r="FI1587" s="4"/>
      <c r="FJ1587" s="4"/>
      <c r="FK1587" s="4"/>
      <c r="FL1587" s="4"/>
      <c r="FM1587" s="4"/>
      <c r="FN1587" s="4"/>
      <c r="FO1587" s="4"/>
      <c r="FP1587" s="4"/>
      <c r="FQ1587" s="4"/>
      <c r="FR1587" s="4"/>
      <c r="FS1587" s="4"/>
      <c r="FT1587" s="4"/>
      <c r="FU1587" s="4"/>
      <c r="FV1587" s="4"/>
      <c r="FW1587" s="4"/>
      <c r="FX1587" s="4"/>
      <c r="FY1587" s="4"/>
      <c r="FZ1587" s="4"/>
      <c r="GA1587" s="4"/>
      <c r="GB1587" s="4"/>
      <c r="GC1587" s="4"/>
      <c r="GD1587" s="4"/>
      <c r="GE1587" s="4"/>
      <c r="GF1587" s="4"/>
      <c r="GG1587" s="4"/>
      <c r="GH1587" s="4"/>
    </row>
    <row r="1588">
      <c r="A1588" s="2" t="s">
        <v>8426</v>
      </c>
      <c r="B1588" s="2" t="s">
        <v>230</v>
      </c>
      <c r="C1588" s="2" t="s">
        <v>3397</v>
      </c>
      <c r="D1588" s="2" t="s">
        <v>232</v>
      </c>
      <c r="E1588" s="2" t="s">
        <v>233</v>
      </c>
      <c r="F1588" s="2" t="s">
        <v>8427</v>
      </c>
      <c r="G1588" s="2" t="s">
        <v>8427</v>
      </c>
      <c r="H1588" s="2" t="s">
        <v>8427</v>
      </c>
      <c r="I1588" s="2" t="s">
        <v>8428</v>
      </c>
      <c r="J1588" s="2" t="s">
        <v>302</v>
      </c>
      <c r="K1588" s="2" t="s">
        <v>660</v>
      </c>
      <c r="L1588" s="3">
        <v>34.5</v>
      </c>
      <c r="M1588" s="3">
        <v>36.22</v>
      </c>
      <c r="N1588" s="3">
        <v>74.99</v>
      </c>
      <c r="O1588" s="2" t="s">
        <v>212</v>
      </c>
      <c r="P1588" s="2" t="s">
        <v>258</v>
      </c>
      <c r="Q1588" s="2" t="s">
        <v>206</v>
      </c>
      <c r="R1588" s="2" t="s">
        <v>200</v>
      </c>
      <c r="S1588" s="2" t="s">
        <v>8429</v>
      </c>
      <c r="T1588" s="2" t="s">
        <v>2604</v>
      </c>
      <c r="U1588" s="2" t="s">
        <v>240</v>
      </c>
      <c r="V1588" s="2" t="s">
        <v>208</v>
      </c>
      <c r="W1588" s="2" t="s">
        <v>241</v>
      </c>
      <c r="X1588" s="2" t="s">
        <v>200</v>
      </c>
      <c r="Y1588" s="2" t="s">
        <v>261</v>
      </c>
      <c r="Z1588" s="4">
        <v>12</v>
      </c>
      <c r="AA1588" s="4">
        <f>=ROUNDDOWN(0.5,0)</f>
      </c>
      <c r="AB1588" s="5">
        <v>24</v>
      </c>
      <c r="AC1588" s="2" t="s">
        <v>200</v>
      </c>
      <c r="AD1588" s="4"/>
      <c r="AE1588" s="4"/>
      <c r="AF1588" s="6">
        <v>65</v>
      </c>
      <c r="AG1588" s="6"/>
      <c r="AH1588" s="7">
        <v>1</v>
      </c>
      <c r="AI1588" s="4"/>
      <c r="AJ1588" s="4">
        <f>=ROUNDDOWN({0},0)</f>
      </c>
      <c r="AK1588" s="5"/>
      <c r="AL1588" s="2" t="s">
        <v>200</v>
      </c>
      <c r="AM1588" s="4"/>
      <c r="AN1588" s="4"/>
      <c r="AO1588" s="7"/>
      <c r="AP1588" s="4"/>
      <c r="AQ1588" s="8"/>
      <c r="AR1588" s="4"/>
      <c r="AS1588" s="8"/>
      <c r="AT1588" s="7"/>
      <c r="AU1588" s="7"/>
      <c r="AV1588" s="4"/>
      <c r="AW1588" s="8"/>
      <c r="AX1588" s="4"/>
      <c r="AY1588" s="8"/>
      <c r="AZ1588" s="7"/>
      <c r="BA1588" s="7"/>
      <c r="BB1588" s="7"/>
      <c r="BC1588" s="4" t="s">
        <v>200</v>
      </c>
      <c r="BD1588" s="8" t="s">
        <v>200</v>
      </c>
      <c r="BE1588" s="4" t="s">
        <v>200</v>
      </c>
      <c r="BF1588" s="8" t="s">
        <v>200</v>
      </c>
      <c r="BG1588" s="7" t="s">
        <v>200</v>
      </c>
      <c r="BH1588" s="7" t="s">
        <v>200</v>
      </c>
      <c r="BI1588" s="7"/>
      <c r="BJ1588" s="4">
        <v>529</v>
      </c>
      <c r="BK1588" s="8">
        <v>19751.19</v>
      </c>
      <c r="BL1588" s="2" t="s">
        <v>8430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8431</v>
      </c>
      <c r="BV1588" s="2" t="s">
        <v>200</v>
      </c>
      <c r="BW1588" s="2" t="s">
        <v>200</v>
      </c>
      <c r="BX1588" s="2" t="s">
        <v>264</v>
      </c>
      <c r="BY1588" s="2" t="s">
        <v>247</v>
      </c>
      <c r="BZ1588" s="2" t="s">
        <v>212</v>
      </c>
      <c r="CA1588" s="2" t="s">
        <v>265</v>
      </c>
      <c r="CB1588" s="2" t="s">
        <v>8432</v>
      </c>
      <c r="CC1588" s="2" t="s">
        <v>213</v>
      </c>
      <c r="CD1588" s="2" t="s">
        <v>200</v>
      </c>
      <c r="CE1588" s="4"/>
      <c r="CF1588" s="4">
        <v>12</v>
      </c>
      <c r="CG1588" s="4"/>
      <c r="CH1588" s="4"/>
      <c r="CI1588" s="4"/>
      <c r="CJ1588" s="4"/>
      <c r="CK1588" s="4"/>
      <c r="CL1588" s="4"/>
      <c r="CM1588" s="4"/>
      <c r="CN1588" s="4"/>
      <c r="CO1588" s="4"/>
      <c r="CP1588" s="4"/>
      <c r="CQ1588" s="4"/>
      <c r="CR1588" s="4"/>
      <c r="CS1588" s="4"/>
      <c r="CT1588" s="4"/>
      <c r="CU1588" s="4"/>
      <c r="CV1588" s="4"/>
      <c r="CW1588" s="4"/>
      <c r="CX1588" s="4"/>
      <c r="CY1588" s="4"/>
      <c r="CZ1588" s="4"/>
      <c r="DA1588" s="4"/>
      <c r="DB1588" s="4"/>
      <c r="DC1588" s="4"/>
      <c r="DD1588" s="4"/>
      <c r="DE1588" s="4"/>
      <c r="DF1588" s="4"/>
      <c r="DG1588" s="4"/>
      <c r="DH1588" s="4"/>
      <c r="DI1588" s="4"/>
      <c r="DJ1588" s="4"/>
      <c r="DK1588" s="4"/>
      <c r="DL1588" s="4"/>
      <c r="DM1588" s="4"/>
      <c r="DN1588" s="4"/>
      <c r="DO1588" s="4"/>
      <c r="DP1588" s="4"/>
      <c r="DQ1588" s="4"/>
      <c r="DR1588" s="4"/>
      <c r="DS1588" s="4"/>
      <c r="DT1588" s="4"/>
      <c r="DU1588" s="4"/>
      <c r="DV1588" s="4"/>
      <c r="DW1588" s="4"/>
      <c r="DX1588" s="4"/>
      <c r="DY1588" s="4"/>
      <c r="DZ1588" s="4"/>
      <c r="EA1588" s="4"/>
      <c r="EB1588" s="4"/>
      <c r="EC1588" s="4"/>
      <c r="ED1588" s="4"/>
      <c r="EE1588" s="4"/>
      <c r="EF1588" s="4"/>
      <c r="EG1588" s="4"/>
      <c r="EH1588" s="4"/>
      <c r="EI1588" s="4"/>
      <c r="EJ1588" s="4"/>
      <c r="EK1588" s="4"/>
      <c r="EL1588" s="4"/>
      <c r="EM1588" s="4"/>
      <c r="EN1588" s="4"/>
      <c r="EO1588" s="4"/>
      <c r="EP1588" s="4"/>
      <c r="EQ1588" s="4"/>
      <c r="ER1588" s="4"/>
      <c r="ES1588" s="4"/>
      <c r="ET1588" s="4"/>
      <c r="EU1588" s="4"/>
      <c r="EV1588" s="4"/>
      <c r="EW1588" s="4"/>
      <c r="EX1588" s="4"/>
      <c r="EY1588" s="4"/>
      <c r="EZ1588" s="4"/>
      <c r="FA1588" s="4"/>
      <c r="FB1588" s="4"/>
      <c r="FC1588" s="4"/>
      <c r="FD1588" s="4"/>
      <c r="FE1588" s="4"/>
      <c r="FF1588" s="4"/>
      <c r="FG1588" s="4"/>
      <c r="FH1588" s="4"/>
      <c r="FI1588" s="4"/>
      <c r="FJ1588" s="4"/>
      <c r="FK1588" s="4"/>
      <c r="FL1588" s="4"/>
      <c r="FM1588" s="4"/>
      <c r="FN1588" s="4"/>
      <c r="FO1588" s="4"/>
      <c r="FP1588" s="4"/>
      <c r="FQ1588" s="4"/>
      <c r="FR1588" s="4"/>
      <c r="FS1588" s="4"/>
      <c r="FT1588" s="4"/>
      <c r="FU1588" s="4"/>
      <c r="FV1588" s="4"/>
      <c r="FW1588" s="4"/>
      <c r="FX1588" s="4"/>
      <c r="FY1588" s="4"/>
      <c r="FZ1588" s="4"/>
      <c r="GA1588" s="4"/>
      <c r="GB1588" s="4"/>
      <c r="GC1588" s="4"/>
      <c r="GD1588" s="4"/>
      <c r="GE1588" s="4"/>
      <c r="GF1588" s="4"/>
      <c r="GG1588" s="4"/>
      <c r="GH1588" s="4"/>
    </row>
    <row r="1589">
      <c r="A1589" s="2" t="s">
        <v>8433</v>
      </c>
      <c r="B1589" s="2" t="s">
        <v>230</v>
      </c>
      <c r="C1589" s="2" t="s">
        <v>3397</v>
      </c>
      <c r="D1589" s="2" t="s">
        <v>232</v>
      </c>
      <c r="E1589" s="2" t="s">
        <v>233</v>
      </c>
      <c r="F1589" s="2" t="s">
        <v>8427</v>
      </c>
      <c r="G1589" s="2" t="s">
        <v>8427</v>
      </c>
      <c r="H1589" s="2" t="s">
        <v>8427</v>
      </c>
      <c r="I1589" s="2" t="s">
        <v>8428</v>
      </c>
      <c r="J1589" s="2" t="s">
        <v>256</v>
      </c>
      <c r="K1589" s="2" t="s">
        <v>1174</v>
      </c>
      <c r="L1589" s="3">
        <v>19.78</v>
      </c>
      <c r="M1589" s="3">
        <v>20.77</v>
      </c>
      <c r="N1589" s="3">
        <v>42.99</v>
      </c>
      <c r="O1589" s="2" t="s">
        <v>212</v>
      </c>
      <c r="P1589" s="2" t="s">
        <v>258</v>
      </c>
      <c r="Q1589" s="2" t="s">
        <v>206</v>
      </c>
      <c r="R1589" s="2" t="s">
        <v>200</v>
      </c>
      <c r="S1589" s="2" t="s">
        <v>8434</v>
      </c>
      <c r="T1589" s="2" t="s">
        <v>2604</v>
      </c>
      <c r="U1589" s="2" t="s">
        <v>454</v>
      </c>
      <c r="V1589" s="2" t="s">
        <v>208</v>
      </c>
      <c r="W1589" s="2" t="s">
        <v>241</v>
      </c>
      <c r="X1589" s="2" t="s">
        <v>200</v>
      </c>
      <c r="Y1589" s="2" t="s">
        <v>261</v>
      </c>
      <c r="Z1589" s="4">
        <v>198</v>
      </c>
      <c r="AA1589" s="4">
        <f>=ROUNDDOWN(16.5,0)</f>
      </c>
      <c r="AB1589" s="5">
        <v>12</v>
      </c>
      <c r="AC1589" s="2" t="s">
        <v>200</v>
      </c>
      <c r="AD1589" s="4"/>
      <c r="AE1589" s="4"/>
      <c r="AF1589" s="6">
        <v>65</v>
      </c>
      <c r="AG1589" s="6"/>
      <c r="AH1589" s="7">
        <v>1</v>
      </c>
      <c r="AI1589" s="4"/>
      <c r="AJ1589" s="4">
        <f>=ROUNDDOWN({0},0)</f>
      </c>
      <c r="AK1589" s="5"/>
      <c r="AL1589" s="2" t="s">
        <v>200</v>
      </c>
      <c r="AM1589" s="4"/>
      <c r="AN1589" s="4"/>
      <c r="AO1589" s="7"/>
      <c r="AP1589" s="4"/>
      <c r="AQ1589" s="8"/>
      <c r="AR1589" s="4"/>
      <c r="AS1589" s="8"/>
      <c r="AT1589" s="7"/>
      <c r="AU1589" s="7"/>
      <c r="AV1589" s="4"/>
      <c r="AW1589" s="8"/>
      <c r="AX1589" s="4"/>
      <c r="AY1589" s="8"/>
      <c r="AZ1589" s="7"/>
      <c r="BA1589" s="7"/>
      <c r="BB1589" s="7"/>
      <c r="BC1589" s="4" t="s">
        <v>200</v>
      </c>
      <c r="BD1589" s="8" t="s">
        <v>200</v>
      </c>
      <c r="BE1589" s="4" t="s">
        <v>200</v>
      </c>
      <c r="BF1589" s="8" t="s">
        <v>200</v>
      </c>
      <c r="BG1589" s="7" t="s">
        <v>200</v>
      </c>
      <c r="BH1589" s="7" t="s">
        <v>200</v>
      </c>
      <c r="BI1589" s="7"/>
      <c r="BJ1589" s="4">
        <v>100</v>
      </c>
      <c r="BK1589" s="8">
        <v>2170.22</v>
      </c>
      <c r="BL1589" s="2" t="s">
        <v>7055</v>
      </c>
      <c r="BM1589" s="7"/>
      <c r="BN1589" s="7"/>
      <c r="BO1589" s="4"/>
      <c r="BP1589" s="8"/>
      <c r="BQ1589" s="4"/>
      <c r="BR1589" s="8"/>
      <c r="BS1589" s="7"/>
      <c r="BT1589" s="7"/>
      <c r="BU1589" s="2" t="s">
        <v>8435</v>
      </c>
      <c r="BV1589" s="2" t="s">
        <v>200</v>
      </c>
      <c r="BW1589" s="2" t="s">
        <v>200</v>
      </c>
      <c r="BX1589" s="2" t="s">
        <v>264</v>
      </c>
      <c r="BY1589" s="2" t="s">
        <v>247</v>
      </c>
      <c r="BZ1589" s="2" t="s">
        <v>212</v>
      </c>
      <c r="CA1589" s="2" t="s">
        <v>265</v>
      </c>
      <c r="CB1589" s="2" t="s">
        <v>1235</v>
      </c>
      <c r="CC1589" s="2" t="s">
        <v>213</v>
      </c>
      <c r="CD1589" s="2" t="s">
        <v>200</v>
      </c>
      <c r="CE1589" s="4"/>
      <c r="CF1589" s="4">
        <v>198</v>
      </c>
      <c r="CG1589" s="4"/>
      <c r="CH1589" s="4"/>
      <c r="CI1589" s="4"/>
      <c r="CJ1589" s="4"/>
      <c r="CK1589" s="4"/>
      <c r="CL1589" s="4"/>
      <c r="CM1589" s="4"/>
      <c r="CN1589" s="4"/>
      <c r="CO1589" s="4"/>
      <c r="CP1589" s="4"/>
      <c r="CQ1589" s="4"/>
      <c r="CR1589" s="4"/>
      <c r="CS1589" s="4"/>
      <c r="CT1589" s="4"/>
      <c r="CU1589" s="4"/>
      <c r="CV1589" s="4"/>
      <c r="CW1589" s="4"/>
      <c r="CX1589" s="4"/>
      <c r="CY1589" s="4"/>
      <c r="CZ1589" s="4"/>
      <c r="DA1589" s="4"/>
      <c r="DB1589" s="4"/>
      <c r="DC1589" s="4"/>
      <c r="DD1589" s="4"/>
      <c r="DE1589" s="4"/>
      <c r="DF1589" s="4"/>
      <c r="DG1589" s="4"/>
      <c r="DH1589" s="4"/>
      <c r="DI1589" s="4"/>
      <c r="DJ1589" s="4"/>
      <c r="DK1589" s="4"/>
      <c r="DL1589" s="4"/>
      <c r="DM1589" s="4"/>
      <c r="DN1589" s="4"/>
      <c r="DO1589" s="4"/>
      <c r="DP1589" s="4"/>
      <c r="DQ1589" s="4"/>
      <c r="DR1589" s="4"/>
      <c r="DS1589" s="4"/>
      <c r="DT1589" s="4"/>
      <c r="DU1589" s="4"/>
      <c r="DV1589" s="4"/>
      <c r="DW1589" s="4"/>
      <c r="DX1589" s="4"/>
      <c r="DY1589" s="4"/>
      <c r="DZ1589" s="4"/>
      <c r="EA1589" s="4"/>
      <c r="EB1589" s="4"/>
      <c r="EC1589" s="4"/>
      <c r="ED1589" s="4"/>
      <c r="EE1589" s="4"/>
      <c r="EF1589" s="4"/>
      <c r="EG1589" s="4"/>
      <c r="EH1589" s="4"/>
      <c r="EI1589" s="4"/>
      <c r="EJ1589" s="4"/>
      <c r="EK1589" s="4"/>
      <c r="EL1589" s="4"/>
      <c r="EM1589" s="4"/>
      <c r="EN1589" s="4"/>
      <c r="EO1589" s="4"/>
      <c r="EP1589" s="4"/>
      <c r="EQ1589" s="4"/>
      <c r="ER1589" s="4"/>
      <c r="ES1589" s="4"/>
      <c r="ET1589" s="4"/>
      <c r="EU1589" s="4"/>
      <c r="EV1589" s="4"/>
      <c r="EW1589" s="4"/>
      <c r="EX1589" s="4"/>
      <c r="EY1589" s="4"/>
      <c r="EZ1589" s="4"/>
      <c r="FA1589" s="4"/>
      <c r="FB1589" s="4"/>
      <c r="FC1589" s="4"/>
      <c r="FD1589" s="4"/>
      <c r="FE1589" s="4"/>
      <c r="FF1589" s="4"/>
      <c r="FG1589" s="4"/>
      <c r="FH1589" s="4"/>
      <c r="FI1589" s="4"/>
      <c r="FJ1589" s="4"/>
      <c r="FK1589" s="4"/>
      <c r="FL1589" s="4"/>
      <c r="FM1589" s="4"/>
      <c r="FN1589" s="4"/>
      <c r="FO1589" s="4"/>
      <c r="FP1589" s="4"/>
      <c r="FQ1589" s="4"/>
      <c r="FR1589" s="4"/>
      <c r="FS1589" s="4"/>
      <c r="FT1589" s="4"/>
      <c r="FU1589" s="4"/>
      <c r="FV1589" s="4"/>
      <c r="FW1589" s="4"/>
      <c r="FX1589" s="4"/>
      <c r="FY1589" s="4"/>
      <c r="FZ1589" s="4"/>
      <c r="GA1589" s="4"/>
      <c r="GB1589" s="4"/>
      <c r="GC1589" s="4"/>
      <c r="GD1589" s="4"/>
      <c r="GE1589" s="4"/>
      <c r="GF1589" s="4"/>
      <c r="GG1589" s="4"/>
      <c r="GH1589" s="4"/>
    </row>
    <row r="1590">
      <c r="A1590" s="2" t="s">
        <v>8436</v>
      </c>
      <c r="B1590" s="2" t="s">
        <v>230</v>
      </c>
      <c r="C1590" s="2" t="s">
        <v>3397</v>
      </c>
      <c r="D1590" s="2" t="s">
        <v>232</v>
      </c>
      <c r="E1590" s="2" t="s">
        <v>233</v>
      </c>
      <c r="F1590" s="2" t="s">
        <v>8427</v>
      </c>
      <c r="G1590" s="2" t="s">
        <v>8427</v>
      </c>
      <c r="H1590" s="2" t="s">
        <v>8427</v>
      </c>
      <c r="I1590" s="2" t="s">
        <v>8428</v>
      </c>
      <c r="J1590" s="2" t="s">
        <v>256</v>
      </c>
      <c r="K1590" s="2" t="s">
        <v>1442</v>
      </c>
      <c r="L1590" s="3">
        <v>19.78</v>
      </c>
      <c r="M1590" s="3">
        <v>20.77</v>
      </c>
      <c r="N1590" s="3">
        <v>42.99</v>
      </c>
      <c r="O1590" s="2" t="s">
        <v>212</v>
      </c>
      <c r="P1590" s="2" t="s">
        <v>205</v>
      </c>
      <c r="Q1590" s="2" t="s">
        <v>206</v>
      </c>
      <c r="R1590" s="2" t="s">
        <v>200</v>
      </c>
      <c r="S1590" s="2" t="s">
        <v>8437</v>
      </c>
      <c r="T1590" s="2" t="s">
        <v>2604</v>
      </c>
      <c r="U1590" s="2" t="s">
        <v>454</v>
      </c>
      <c r="V1590" s="2" t="s">
        <v>208</v>
      </c>
      <c r="W1590" s="2" t="s">
        <v>241</v>
      </c>
      <c r="X1590" s="2" t="s">
        <v>200</v>
      </c>
      <c r="Y1590" s="2" t="s">
        <v>3448</v>
      </c>
      <c r="Z1590" s="4">
        <v>1005</v>
      </c>
      <c r="AA1590" s="4">
        <f>=ROUNDDOWN(111.666666666667,0)</f>
      </c>
      <c r="AB1590" s="5">
        <v>9</v>
      </c>
      <c r="AC1590" s="2" t="s">
        <v>200</v>
      </c>
      <c r="AD1590" s="4"/>
      <c r="AE1590" s="4"/>
      <c r="AF1590" s="6">
        <v>65</v>
      </c>
      <c r="AG1590" s="6"/>
      <c r="AH1590" s="7">
        <v>1</v>
      </c>
      <c r="AI1590" s="4"/>
      <c r="AJ1590" s="4">
        <f>=ROUNDDOWN({0},0)</f>
      </c>
      <c r="AK1590" s="5"/>
      <c r="AL1590" s="2" t="s">
        <v>200</v>
      </c>
      <c r="AM1590" s="4"/>
      <c r="AN1590" s="4"/>
      <c r="AO1590" s="7"/>
      <c r="AP1590" s="4"/>
      <c r="AQ1590" s="8"/>
      <c r="AR1590" s="4"/>
      <c r="AS1590" s="8"/>
      <c r="AT1590" s="7"/>
      <c r="AU1590" s="7"/>
      <c r="AV1590" s="4" t="s">
        <v>200</v>
      </c>
      <c r="AW1590" s="8" t="s">
        <v>200</v>
      </c>
      <c r="AX1590" s="4" t="s">
        <v>200</v>
      </c>
      <c r="AY1590" s="8" t="s">
        <v>200</v>
      </c>
      <c r="AZ1590" s="7" t="s">
        <v>200</v>
      </c>
      <c r="BA1590" s="7" t="s">
        <v>200</v>
      </c>
      <c r="BB1590" s="7"/>
      <c r="BC1590" s="4" t="s">
        <v>200</v>
      </c>
      <c r="BD1590" s="8" t="s">
        <v>200</v>
      </c>
      <c r="BE1590" s="4" t="s">
        <v>200</v>
      </c>
      <c r="BF1590" s="8" t="s">
        <v>200</v>
      </c>
      <c r="BG1590" s="7" t="s">
        <v>200</v>
      </c>
      <c r="BH1590" s="7" t="s">
        <v>200</v>
      </c>
      <c r="BI1590" s="7"/>
      <c r="BJ1590" s="4">
        <v>218</v>
      </c>
      <c r="BK1590" s="8">
        <v>4913.48</v>
      </c>
      <c r="BL1590" s="2" t="s">
        <v>3358</v>
      </c>
      <c r="BM1590" s="7"/>
      <c r="BN1590" s="7"/>
      <c r="BO1590" s="4"/>
      <c r="BP1590" s="8"/>
      <c r="BQ1590" s="4"/>
      <c r="BR1590" s="8"/>
      <c r="BS1590" s="7"/>
      <c r="BT1590" s="7"/>
      <c r="BU1590" s="2" t="s">
        <v>8438</v>
      </c>
      <c r="BV1590" s="2" t="s">
        <v>200</v>
      </c>
      <c r="BW1590" s="2" t="s">
        <v>200</v>
      </c>
      <c r="BX1590" s="2" t="s">
        <v>264</v>
      </c>
      <c r="BY1590" s="2" t="s">
        <v>247</v>
      </c>
      <c r="BZ1590" s="2" t="s">
        <v>212</v>
      </c>
      <c r="CA1590" s="2" t="s">
        <v>8439</v>
      </c>
      <c r="CB1590" s="2" t="s">
        <v>200</v>
      </c>
      <c r="CC1590" s="2" t="s">
        <v>213</v>
      </c>
      <c r="CD1590" s="2" t="s">
        <v>200</v>
      </c>
      <c r="CE1590" s="4">
        <v>714</v>
      </c>
      <c r="CF1590" s="4">
        <v>291</v>
      </c>
      <c r="CG1590" s="4"/>
      <c r="CH1590" s="4"/>
      <c r="CI1590" s="4"/>
      <c r="CJ1590" s="4"/>
      <c r="CK1590" s="4"/>
      <c r="CL1590" s="4"/>
      <c r="CM1590" s="4"/>
      <c r="CN1590" s="4"/>
      <c r="CO1590" s="4"/>
      <c r="CP1590" s="4"/>
      <c r="CQ1590" s="4"/>
      <c r="CR1590" s="4"/>
      <c r="CS1590" s="4"/>
      <c r="CT1590" s="4"/>
      <c r="CU1590" s="4"/>
      <c r="CV1590" s="4"/>
      <c r="CW1590" s="4"/>
      <c r="CX1590" s="4"/>
      <c r="CY1590" s="4"/>
      <c r="CZ1590" s="4"/>
      <c r="DA1590" s="4"/>
      <c r="DB1590" s="4"/>
      <c r="DC1590" s="4"/>
      <c r="DD1590" s="4"/>
      <c r="DE1590" s="4"/>
      <c r="DF1590" s="4"/>
      <c r="DG1590" s="4"/>
      <c r="DH1590" s="4"/>
      <c r="DI1590" s="4"/>
      <c r="DJ1590" s="4"/>
      <c r="DK1590" s="4"/>
      <c r="DL1590" s="4"/>
      <c r="DM1590" s="4"/>
      <c r="DN1590" s="4"/>
      <c r="DO1590" s="4"/>
      <c r="DP1590" s="4"/>
      <c r="DQ1590" s="4"/>
      <c r="DR1590" s="4"/>
      <c r="DS1590" s="4"/>
      <c r="DT1590" s="4"/>
      <c r="DU1590" s="4"/>
      <c r="DV1590" s="4"/>
      <c r="DW1590" s="4"/>
      <c r="DX1590" s="4"/>
      <c r="DY1590" s="4"/>
      <c r="DZ1590" s="4"/>
      <c r="EA1590" s="4"/>
      <c r="EB1590" s="4"/>
      <c r="EC1590" s="4"/>
      <c r="ED1590" s="4"/>
      <c r="EE1590" s="4"/>
      <c r="EF1590" s="4"/>
      <c r="EG1590" s="4"/>
      <c r="EH1590" s="4"/>
      <c r="EI1590" s="4"/>
      <c r="EJ1590" s="4"/>
      <c r="EK1590" s="4"/>
      <c r="EL1590" s="4"/>
      <c r="EM1590" s="4"/>
      <c r="EN1590" s="4"/>
      <c r="EO1590" s="4"/>
      <c r="EP1590" s="4"/>
      <c r="EQ1590" s="4"/>
      <c r="ER1590" s="4"/>
      <c r="ES1590" s="4"/>
      <c r="ET1590" s="4"/>
      <c r="EU1590" s="4"/>
      <c r="EV1590" s="4"/>
      <c r="EW1590" s="4"/>
      <c r="EX1590" s="4"/>
      <c r="EY1590" s="4"/>
      <c r="EZ1590" s="4"/>
      <c r="FA1590" s="4"/>
      <c r="FB1590" s="4"/>
      <c r="FC1590" s="4"/>
      <c r="FD1590" s="4"/>
      <c r="FE1590" s="4"/>
      <c r="FF1590" s="4"/>
      <c r="FG1590" s="4"/>
      <c r="FH1590" s="4"/>
      <c r="FI1590" s="4"/>
      <c r="FJ1590" s="4"/>
      <c r="FK1590" s="4"/>
      <c r="FL1590" s="4"/>
      <c r="FM1590" s="4"/>
      <c r="FN1590" s="4"/>
      <c r="FO1590" s="4"/>
      <c r="FP1590" s="4"/>
      <c r="FQ1590" s="4"/>
      <c r="FR1590" s="4"/>
      <c r="FS1590" s="4"/>
      <c r="FT1590" s="4"/>
      <c r="FU1590" s="4"/>
      <c r="FV1590" s="4"/>
      <c r="FW1590" s="4"/>
      <c r="FX1590" s="4"/>
      <c r="FY1590" s="4"/>
      <c r="FZ1590" s="4"/>
      <c r="GA1590" s="4"/>
      <c r="GB1590" s="4"/>
      <c r="GC1590" s="4"/>
      <c r="GD1590" s="4"/>
      <c r="GE1590" s="4"/>
      <c r="GF1590" s="4"/>
      <c r="GG1590" s="4"/>
      <c r="GH1590" s="4"/>
    </row>
    <row r="1591">
      <c r="A1591" s="2" t="s">
        <v>8440</v>
      </c>
      <c r="B1591" s="2" t="s">
        <v>230</v>
      </c>
      <c r="C1591" s="2" t="s">
        <v>3397</v>
      </c>
      <c r="D1591" s="2" t="s">
        <v>232</v>
      </c>
      <c r="E1591" s="2" t="s">
        <v>233</v>
      </c>
      <c r="F1591" s="2" t="s">
        <v>8427</v>
      </c>
      <c r="G1591" s="2" t="s">
        <v>8427</v>
      </c>
      <c r="H1591" s="2" t="s">
        <v>8427</v>
      </c>
      <c r="I1591" s="2" t="s">
        <v>8428</v>
      </c>
      <c r="J1591" s="2" t="s">
        <v>277</v>
      </c>
      <c r="K1591" s="2" t="s">
        <v>1442</v>
      </c>
      <c r="L1591" s="3">
        <v>25.3</v>
      </c>
      <c r="M1591" s="3">
        <v>26.57</v>
      </c>
      <c r="N1591" s="3">
        <v>54.99</v>
      </c>
      <c r="O1591" s="2" t="s">
        <v>212</v>
      </c>
      <c r="P1591" s="2" t="s">
        <v>205</v>
      </c>
      <c r="Q1591" s="2" t="s">
        <v>206</v>
      </c>
      <c r="R1591" s="2" t="s">
        <v>200</v>
      </c>
      <c r="S1591" s="2" t="s">
        <v>8437</v>
      </c>
      <c r="T1591" s="2" t="s">
        <v>2604</v>
      </c>
      <c r="U1591" s="2" t="s">
        <v>240</v>
      </c>
      <c r="V1591" s="2" t="s">
        <v>208</v>
      </c>
      <c r="W1591" s="2" t="s">
        <v>241</v>
      </c>
      <c r="X1591" s="2" t="s">
        <v>200</v>
      </c>
      <c r="Y1591" s="2" t="s">
        <v>3448</v>
      </c>
      <c r="Z1591" s="4">
        <v>483</v>
      </c>
      <c r="AA1591" s="4">
        <f>=ROUNDDOWN(37.1538461538462,0)</f>
      </c>
      <c r="AB1591" s="5">
        <v>13</v>
      </c>
      <c r="AC1591" s="2" t="s">
        <v>200</v>
      </c>
      <c r="AD1591" s="4"/>
      <c r="AE1591" s="4"/>
      <c r="AF1591" s="6">
        <v>65</v>
      </c>
      <c r="AG1591" s="6"/>
      <c r="AH1591" s="7">
        <v>1</v>
      </c>
      <c r="AI1591" s="4"/>
      <c r="AJ1591" s="4">
        <f>=ROUNDDOWN({0},0)</f>
      </c>
      <c r="AK1591" s="5"/>
      <c r="AL1591" s="2" t="s">
        <v>200</v>
      </c>
      <c r="AM1591" s="4"/>
      <c r="AN1591" s="4"/>
      <c r="AO1591" s="7"/>
      <c r="AP1591" s="4"/>
      <c r="AQ1591" s="8"/>
      <c r="AR1591" s="4"/>
      <c r="AS1591" s="8"/>
      <c r="AT1591" s="7"/>
      <c r="AU1591" s="7"/>
      <c r="AV1591" s="4" t="s">
        <v>200</v>
      </c>
      <c r="AW1591" s="8" t="s">
        <v>200</v>
      </c>
      <c r="AX1591" s="4" t="s">
        <v>200</v>
      </c>
      <c r="AY1591" s="8" t="s">
        <v>200</v>
      </c>
      <c r="AZ1591" s="7" t="s">
        <v>200</v>
      </c>
      <c r="BA1591" s="7" t="s">
        <v>200</v>
      </c>
      <c r="BB1591" s="7"/>
      <c r="BC1591" s="4" t="s">
        <v>200</v>
      </c>
      <c r="BD1591" s="8" t="s">
        <v>200</v>
      </c>
      <c r="BE1591" s="4" t="s">
        <v>200</v>
      </c>
      <c r="BF1591" s="8" t="s">
        <v>200</v>
      </c>
      <c r="BG1591" s="7" t="s">
        <v>200</v>
      </c>
      <c r="BH1591" s="7" t="s">
        <v>200</v>
      </c>
      <c r="BI1591" s="7"/>
      <c r="BJ1591" s="4">
        <v>126</v>
      </c>
      <c r="BK1591" s="8">
        <v>3624.14</v>
      </c>
      <c r="BL1591" s="2" t="s">
        <v>3358</v>
      </c>
      <c r="BM1591" s="7"/>
      <c r="BN1591" s="7"/>
      <c r="BO1591" s="4"/>
      <c r="BP1591" s="8"/>
      <c r="BQ1591" s="4"/>
      <c r="BR1591" s="8"/>
      <c r="BS1591" s="7"/>
      <c r="BT1591" s="7"/>
      <c r="BU1591" s="2" t="s">
        <v>8441</v>
      </c>
      <c r="BV1591" s="2" t="s">
        <v>200</v>
      </c>
      <c r="BW1591" s="2" t="s">
        <v>200</v>
      </c>
      <c r="BX1591" s="2" t="s">
        <v>264</v>
      </c>
      <c r="BY1591" s="2" t="s">
        <v>247</v>
      </c>
      <c r="BZ1591" s="2" t="s">
        <v>212</v>
      </c>
      <c r="CA1591" s="2" t="s">
        <v>8439</v>
      </c>
      <c r="CB1591" s="2" t="s">
        <v>1458</v>
      </c>
      <c r="CC1591" s="2" t="s">
        <v>213</v>
      </c>
      <c r="CD1591" s="2" t="s">
        <v>200</v>
      </c>
      <c r="CE1591" s="4">
        <v>359</v>
      </c>
      <c r="CF1591" s="4">
        <v>124</v>
      </c>
      <c r="CG1591" s="4"/>
      <c r="CH1591" s="4"/>
      <c r="CI1591" s="4"/>
      <c r="CJ1591" s="4"/>
      <c r="CK1591" s="4"/>
      <c r="CL1591" s="4"/>
      <c r="CM1591" s="4"/>
      <c r="CN1591" s="4"/>
      <c r="CO1591" s="4"/>
      <c r="CP1591" s="4"/>
      <c r="CQ1591" s="4"/>
      <c r="CR1591" s="4"/>
      <c r="CS1591" s="4"/>
      <c r="CT1591" s="4"/>
      <c r="CU1591" s="4"/>
      <c r="CV1591" s="4"/>
      <c r="CW1591" s="4"/>
      <c r="CX1591" s="4"/>
      <c r="CY1591" s="4"/>
      <c r="CZ1591" s="4"/>
      <c r="DA1591" s="4"/>
      <c r="DB1591" s="4"/>
      <c r="DC1591" s="4"/>
      <c r="DD1591" s="4"/>
      <c r="DE1591" s="4"/>
      <c r="DF1591" s="4"/>
      <c r="DG1591" s="4"/>
      <c r="DH1591" s="4"/>
      <c r="DI1591" s="4"/>
      <c r="DJ1591" s="4"/>
      <c r="DK1591" s="4"/>
      <c r="DL1591" s="4"/>
      <c r="DM1591" s="4"/>
      <c r="DN1591" s="4"/>
      <c r="DO1591" s="4"/>
      <c r="DP1591" s="4"/>
      <c r="DQ1591" s="4"/>
      <c r="DR1591" s="4"/>
      <c r="DS1591" s="4"/>
      <c r="DT1591" s="4"/>
      <c r="DU1591" s="4"/>
      <c r="DV1591" s="4"/>
      <c r="DW1591" s="4"/>
      <c r="DX1591" s="4"/>
      <c r="DY1591" s="4"/>
      <c r="DZ1591" s="4"/>
      <c r="EA1591" s="4"/>
      <c r="EB1591" s="4"/>
      <c r="EC1591" s="4"/>
      <c r="ED1591" s="4"/>
      <c r="EE1591" s="4"/>
      <c r="EF1591" s="4"/>
      <c r="EG1591" s="4"/>
      <c r="EH1591" s="4"/>
      <c r="EI1591" s="4"/>
      <c r="EJ1591" s="4"/>
      <c r="EK1591" s="4"/>
      <c r="EL1591" s="4"/>
      <c r="EM1591" s="4"/>
      <c r="EN1591" s="4"/>
      <c r="EO1591" s="4"/>
      <c r="EP1591" s="4"/>
      <c r="EQ1591" s="4"/>
      <c r="ER1591" s="4"/>
      <c r="ES1591" s="4"/>
      <c r="ET1591" s="4"/>
      <c r="EU1591" s="4"/>
      <c r="EV1591" s="4"/>
      <c r="EW1591" s="4"/>
      <c r="EX1591" s="4"/>
      <c r="EY1591" s="4"/>
      <c r="EZ1591" s="4"/>
      <c r="FA1591" s="4"/>
      <c r="FB1591" s="4"/>
      <c r="FC1591" s="4"/>
      <c r="FD1591" s="4"/>
      <c r="FE1591" s="4"/>
      <c r="FF1591" s="4"/>
      <c r="FG1591" s="4"/>
      <c r="FH1591" s="4"/>
      <c r="FI1591" s="4"/>
      <c r="FJ1591" s="4"/>
      <c r="FK1591" s="4"/>
      <c r="FL1591" s="4"/>
      <c r="FM1591" s="4"/>
      <c r="FN1591" s="4"/>
      <c r="FO1591" s="4"/>
      <c r="FP1591" s="4"/>
      <c r="FQ1591" s="4"/>
      <c r="FR1591" s="4"/>
      <c r="FS1591" s="4"/>
      <c r="FT1591" s="4"/>
      <c r="FU1591" s="4"/>
      <c r="FV1591" s="4"/>
      <c r="FW1591" s="4"/>
      <c r="FX1591" s="4"/>
      <c r="FY1591" s="4"/>
      <c r="FZ1591" s="4"/>
      <c r="GA1591" s="4"/>
      <c r="GB1591" s="4"/>
      <c r="GC1591" s="4"/>
      <c r="GD1591" s="4"/>
      <c r="GE1591" s="4"/>
      <c r="GF1591" s="4"/>
      <c r="GG1591" s="4"/>
      <c r="GH1591" s="4"/>
    </row>
    <row r="1592">
      <c r="A1592" s="2" t="s">
        <v>8442</v>
      </c>
      <c r="B1592" s="2" t="s">
        <v>230</v>
      </c>
      <c r="C1592" s="2" t="s">
        <v>3397</v>
      </c>
      <c r="D1592" s="2" t="s">
        <v>232</v>
      </c>
      <c r="E1592" s="2" t="s">
        <v>233</v>
      </c>
      <c r="F1592" s="2" t="s">
        <v>8427</v>
      </c>
      <c r="G1592" s="2" t="s">
        <v>8427</v>
      </c>
      <c r="H1592" s="2" t="s">
        <v>8427</v>
      </c>
      <c r="I1592" s="2" t="s">
        <v>8428</v>
      </c>
      <c r="J1592" s="2" t="s">
        <v>256</v>
      </c>
      <c r="K1592" s="2" t="s">
        <v>221</v>
      </c>
      <c r="L1592" s="3">
        <v>19.78</v>
      </c>
      <c r="M1592" s="3">
        <v>20.77</v>
      </c>
      <c r="N1592" s="3">
        <v>42.99</v>
      </c>
      <c r="O1592" s="2" t="s">
        <v>212</v>
      </c>
      <c r="P1592" s="2" t="s">
        <v>3519</v>
      </c>
      <c r="Q1592" s="2" t="s">
        <v>206</v>
      </c>
      <c r="R1592" s="2" t="s">
        <v>200</v>
      </c>
      <c r="S1592" s="2" t="s">
        <v>8443</v>
      </c>
      <c r="T1592" s="2" t="s">
        <v>2604</v>
      </c>
      <c r="U1592" s="2" t="s">
        <v>454</v>
      </c>
      <c r="V1592" s="2" t="s">
        <v>208</v>
      </c>
      <c r="W1592" s="2" t="s">
        <v>241</v>
      </c>
      <c r="X1592" s="2" t="s">
        <v>200</v>
      </c>
      <c r="Y1592" s="2" t="s">
        <v>261</v>
      </c>
      <c r="Z1592" s="4">
        <v>435</v>
      </c>
      <c r="AA1592" s="4">
        <f>=ROUNDDOWN(13.59375,0)</f>
      </c>
      <c r="AB1592" s="5">
        <v>32</v>
      </c>
      <c r="AC1592" s="2" t="s">
        <v>200</v>
      </c>
      <c r="AD1592" s="4"/>
      <c r="AE1592" s="4"/>
      <c r="AF1592" s="6">
        <v>65</v>
      </c>
      <c r="AG1592" s="6"/>
      <c r="AH1592" s="7">
        <v>1</v>
      </c>
      <c r="AI1592" s="4"/>
      <c r="AJ1592" s="4">
        <f>=ROUNDDOWN({0},0)</f>
      </c>
      <c r="AK1592" s="5"/>
      <c r="AL1592" s="2" t="s">
        <v>200</v>
      </c>
      <c r="AM1592" s="4"/>
      <c r="AN1592" s="4"/>
      <c r="AO1592" s="7"/>
      <c r="AP1592" s="4"/>
      <c r="AQ1592" s="8"/>
      <c r="AR1592" s="4"/>
      <c r="AS1592" s="8"/>
      <c r="AT1592" s="7"/>
      <c r="AU1592" s="7"/>
      <c r="AV1592" s="4"/>
      <c r="AW1592" s="8"/>
      <c r="AX1592" s="4"/>
      <c r="AY1592" s="8"/>
      <c r="AZ1592" s="7"/>
      <c r="BA1592" s="7"/>
      <c r="BB1592" s="7"/>
      <c r="BC1592" s="4" t="s">
        <v>200</v>
      </c>
      <c r="BD1592" s="8" t="s">
        <v>200</v>
      </c>
      <c r="BE1592" s="4" t="s">
        <v>200</v>
      </c>
      <c r="BF1592" s="8" t="s">
        <v>200</v>
      </c>
      <c r="BG1592" s="7" t="s">
        <v>200</v>
      </c>
      <c r="BH1592" s="7" t="s">
        <v>200</v>
      </c>
      <c r="BI1592" s="7"/>
      <c r="BJ1592" s="4">
        <v>508</v>
      </c>
      <c r="BK1592" s="8">
        <v>11017.23</v>
      </c>
      <c r="BL1592" s="2" t="s">
        <v>8444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8445</v>
      </c>
      <c r="BV1592" s="2" t="s">
        <v>200</v>
      </c>
      <c r="BW1592" s="2" t="s">
        <v>200</v>
      </c>
      <c r="BX1592" s="2" t="s">
        <v>264</v>
      </c>
      <c r="BY1592" s="2" t="s">
        <v>247</v>
      </c>
      <c r="BZ1592" s="2" t="s">
        <v>212</v>
      </c>
      <c r="CA1592" s="2" t="s">
        <v>8446</v>
      </c>
      <c r="CB1592" s="2" t="s">
        <v>7504</v>
      </c>
      <c r="CC1592" s="2" t="s">
        <v>213</v>
      </c>
      <c r="CD1592" s="2" t="s">
        <v>200</v>
      </c>
      <c r="CE1592" s="4">
        <v>51</v>
      </c>
      <c r="CF1592" s="4">
        <v>384</v>
      </c>
      <c r="CG1592" s="4"/>
      <c r="CH1592" s="4"/>
      <c r="CI1592" s="4"/>
      <c r="CJ1592" s="4"/>
      <c r="CK1592" s="4"/>
      <c r="CL1592" s="4"/>
      <c r="CM1592" s="4"/>
      <c r="CN1592" s="4"/>
      <c r="CO1592" s="4"/>
      <c r="CP1592" s="4"/>
      <c r="CQ1592" s="4"/>
      <c r="CR1592" s="4"/>
      <c r="CS1592" s="4"/>
      <c r="CT1592" s="4"/>
      <c r="CU1592" s="4"/>
      <c r="CV1592" s="4"/>
      <c r="CW1592" s="4"/>
      <c r="CX1592" s="4"/>
      <c r="CY1592" s="4"/>
      <c r="CZ1592" s="4"/>
      <c r="DA1592" s="4"/>
      <c r="DB1592" s="4"/>
      <c r="DC1592" s="4"/>
      <c r="DD1592" s="4"/>
      <c r="DE1592" s="4"/>
      <c r="DF1592" s="4"/>
      <c r="DG1592" s="4"/>
      <c r="DH1592" s="4"/>
      <c r="DI1592" s="4"/>
      <c r="DJ1592" s="4"/>
      <c r="DK1592" s="4"/>
      <c r="DL1592" s="4"/>
      <c r="DM1592" s="4"/>
      <c r="DN1592" s="4"/>
      <c r="DO1592" s="4"/>
      <c r="DP1592" s="4"/>
      <c r="DQ1592" s="4"/>
      <c r="DR1592" s="4"/>
      <c r="DS1592" s="4"/>
      <c r="DT1592" s="4"/>
      <c r="DU1592" s="4"/>
      <c r="DV1592" s="4"/>
      <c r="DW1592" s="4"/>
      <c r="DX1592" s="4"/>
      <c r="DY1592" s="4"/>
      <c r="DZ1592" s="4"/>
      <c r="EA1592" s="4"/>
      <c r="EB1592" s="4"/>
      <c r="EC1592" s="4"/>
      <c r="ED1592" s="4"/>
      <c r="EE1592" s="4"/>
      <c r="EF1592" s="4"/>
      <c r="EG1592" s="4"/>
      <c r="EH1592" s="4"/>
      <c r="EI1592" s="4"/>
      <c r="EJ1592" s="4"/>
      <c r="EK1592" s="4"/>
      <c r="EL1592" s="4"/>
      <c r="EM1592" s="4"/>
      <c r="EN1592" s="4"/>
      <c r="EO1592" s="4"/>
      <c r="EP1592" s="4"/>
      <c r="EQ1592" s="4"/>
      <c r="ER1592" s="4"/>
      <c r="ES1592" s="4"/>
      <c r="ET1592" s="4"/>
      <c r="EU1592" s="4"/>
      <c r="EV1592" s="4"/>
      <c r="EW1592" s="4"/>
      <c r="EX1592" s="4"/>
      <c r="EY1592" s="4"/>
      <c r="EZ1592" s="4"/>
      <c r="FA1592" s="4"/>
      <c r="FB1592" s="4"/>
      <c r="FC1592" s="4"/>
      <c r="FD1592" s="4"/>
      <c r="FE1592" s="4"/>
      <c r="FF1592" s="4"/>
      <c r="FG1592" s="4"/>
      <c r="FH1592" s="4"/>
      <c r="FI1592" s="4"/>
      <c r="FJ1592" s="4"/>
      <c r="FK1592" s="4"/>
      <c r="FL1592" s="4"/>
      <c r="FM1592" s="4"/>
      <c r="FN1592" s="4"/>
      <c r="FO1592" s="4"/>
      <c r="FP1592" s="4"/>
      <c r="FQ1592" s="4"/>
      <c r="FR1592" s="4"/>
      <c r="FS1592" s="4"/>
      <c r="FT1592" s="4"/>
      <c r="FU1592" s="4"/>
      <c r="FV1592" s="4"/>
      <c r="FW1592" s="4"/>
      <c r="FX1592" s="4"/>
      <c r="FY1592" s="4"/>
      <c r="FZ1592" s="4"/>
      <c r="GA1592" s="4"/>
      <c r="GB1592" s="4"/>
      <c r="GC1592" s="4"/>
      <c r="GD1592" s="4"/>
      <c r="GE1592" s="4"/>
      <c r="GF1592" s="4"/>
      <c r="GG1592" s="4"/>
      <c r="GH1592" s="4"/>
    </row>
    <row r="1593">
      <c r="A1593" s="2" t="s">
        <v>8447</v>
      </c>
      <c r="B1593" s="2" t="s">
        <v>230</v>
      </c>
      <c r="C1593" s="2" t="s">
        <v>3397</v>
      </c>
      <c r="D1593" s="2" t="s">
        <v>232</v>
      </c>
      <c r="E1593" s="2" t="s">
        <v>233</v>
      </c>
      <c r="F1593" s="2" t="s">
        <v>8427</v>
      </c>
      <c r="G1593" s="2" t="s">
        <v>8427</v>
      </c>
      <c r="H1593" s="2" t="s">
        <v>8427</v>
      </c>
      <c r="I1593" s="2" t="s">
        <v>8428</v>
      </c>
      <c r="J1593" s="2" t="s">
        <v>256</v>
      </c>
      <c r="K1593" s="2" t="s">
        <v>1700</v>
      </c>
      <c r="L1593" s="3">
        <v>19.78</v>
      </c>
      <c r="M1593" s="3">
        <v>20.77</v>
      </c>
      <c r="N1593" s="3">
        <v>42.99</v>
      </c>
      <c r="O1593" s="2" t="s">
        <v>212</v>
      </c>
      <c r="P1593" s="2" t="s">
        <v>205</v>
      </c>
      <c r="Q1593" s="2" t="s">
        <v>206</v>
      </c>
      <c r="R1593" s="2" t="s">
        <v>200</v>
      </c>
      <c r="S1593" s="2" t="s">
        <v>8448</v>
      </c>
      <c r="T1593" s="2" t="s">
        <v>2604</v>
      </c>
      <c r="U1593" s="2" t="s">
        <v>454</v>
      </c>
      <c r="V1593" s="2" t="s">
        <v>208</v>
      </c>
      <c r="W1593" s="2" t="s">
        <v>241</v>
      </c>
      <c r="X1593" s="2" t="s">
        <v>200</v>
      </c>
      <c r="Y1593" s="2" t="s">
        <v>3448</v>
      </c>
      <c r="Z1593" s="4">
        <v>88</v>
      </c>
      <c r="AA1593" s="4">
        <f>=ROUNDDOWN(6.76923076923077,0)</f>
      </c>
      <c r="AB1593" s="5">
        <v>13</v>
      </c>
      <c r="AC1593" s="2" t="s">
        <v>200</v>
      </c>
      <c r="AD1593" s="4"/>
      <c r="AE1593" s="4"/>
      <c r="AF1593" s="6">
        <v>65</v>
      </c>
      <c r="AG1593" s="6"/>
      <c r="AH1593" s="7">
        <v>1</v>
      </c>
      <c r="AI1593" s="4"/>
      <c r="AJ1593" s="4">
        <f>=ROUNDDOWN({0},0)</f>
      </c>
      <c r="AK1593" s="5"/>
      <c r="AL1593" s="2" t="s">
        <v>200</v>
      </c>
      <c r="AM1593" s="4"/>
      <c r="AN1593" s="4"/>
      <c r="AO1593" s="7"/>
      <c r="AP1593" s="4"/>
      <c r="AQ1593" s="8"/>
      <c r="AR1593" s="4"/>
      <c r="AS1593" s="8"/>
      <c r="AT1593" s="7"/>
      <c r="AU1593" s="7"/>
      <c r="AV1593" s="4" t="s">
        <v>200</v>
      </c>
      <c r="AW1593" s="8" t="s">
        <v>200</v>
      </c>
      <c r="AX1593" s="4" t="s">
        <v>200</v>
      </c>
      <c r="AY1593" s="8" t="s">
        <v>200</v>
      </c>
      <c r="AZ1593" s="7" t="s">
        <v>200</v>
      </c>
      <c r="BA1593" s="7" t="s">
        <v>200</v>
      </c>
      <c r="BB1593" s="7"/>
      <c r="BC1593" s="4" t="s">
        <v>200</v>
      </c>
      <c r="BD1593" s="8" t="s">
        <v>200</v>
      </c>
      <c r="BE1593" s="4" t="s">
        <v>200</v>
      </c>
      <c r="BF1593" s="8" t="s">
        <v>200</v>
      </c>
      <c r="BG1593" s="7" t="s">
        <v>200</v>
      </c>
      <c r="BH1593" s="7" t="s">
        <v>200</v>
      </c>
      <c r="BI1593" s="7"/>
      <c r="BJ1593" s="4">
        <v>156</v>
      </c>
      <c r="BK1593" s="8">
        <v>3516.4</v>
      </c>
      <c r="BL1593" s="2" t="s">
        <v>3355</v>
      </c>
      <c r="BM1593" s="7"/>
      <c r="BN1593" s="7"/>
      <c r="BO1593" s="4"/>
      <c r="BP1593" s="8"/>
      <c r="BQ1593" s="4"/>
      <c r="BR1593" s="8"/>
      <c r="BS1593" s="7"/>
      <c r="BT1593" s="7"/>
      <c r="BU1593" s="2" t="s">
        <v>8449</v>
      </c>
      <c r="BV1593" s="2" t="s">
        <v>200</v>
      </c>
      <c r="BW1593" s="2" t="s">
        <v>200</v>
      </c>
      <c r="BX1593" s="2" t="s">
        <v>264</v>
      </c>
      <c r="BY1593" s="2" t="s">
        <v>247</v>
      </c>
      <c r="BZ1593" s="2" t="s">
        <v>212</v>
      </c>
      <c r="CA1593" s="2" t="s">
        <v>8439</v>
      </c>
      <c r="CB1593" s="2" t="s">
        <v>200</v>
      </c>
      <c r="CC1593" s="2" t="s">
        <v>213</v>
      </c>
      <c r="CD1593" s="2" t="s">
        <v>200</v>
      </c>
      <c r="CE1593" s="4">
        <v>47</v>
      </c>
      <c r="CF1593" s="4">
        <v>41</v>
      </c>
      <c r="CG1593" s="4"/>
      <c r="CH1593" s="4"/>
      <c r="CI1593" s="4"/>
      <c r="CJ1593" s="4"/>
      <c r="CK1593" s="4"/>
      <c r="CL1593" s="4"/>
      <c r="CM1593" s="4"/>
      <c r="CN1593" s="4"/>
      <c r="CO1593" s="4"/>
      <c r="CP1593" s="4"/>
      <c r="CQ1593" s="4"/>
      <c r="CR1593" s="4"/>
      <c r="CS1593" s="4"/>
      <c r="CT1593" s="4"/>
      <c r="CU1593" s="4"/>
      <c r="CV1593" s="4"/>
      <c r="CW1593" s="4"/>
      <c r="CX1593" s="4"/>
      <c r="CY1593" s="4"/>
      <c r="CZ1593" s="4"/>
      <c r="DA1593" s="4"/>
      <c r="DB1593" s="4"/>
      <c r="DC1593" s="4"/>
      <c r="DD1593" s="4"/>
      <c r="DE1593" s="4"/>
      <c r="DF1593" s="4"/>
      <c r="DG1593" s="4"/>
      <c r="DH1593" s="4"/>
      <c r="DI1593" s="4"/>
      <c r="DJ1593" s="4"/>
      <c r="DK1593" s="4"/>
      <c r="DL1593" s="4"/>
      <c r="DM1593" s="4"/>
      <c r="DN1593" s="4"/>
      <c r="DO1593" s="4"/>
      <c r="DP1593" s="4"/>
      <c r="DQ1593" s="4"/>
      <c r="DR1593" s="4"/>
      <c r="DS1593" s="4"/>
      <c r="DT1593" s="4"/>
      <c r="DU1593" s="4"/>
      <c r="DV1593" s="4"/>
      <c r="DW1593" s="4"/>
      <c r="DX1593" s="4"/>
      <c r="DY1593" s="4"/>
      <c r="DZ1593" s="4"/>
      <c r="EA1593" s="4"/>
      <c r="EB1593" s="4"/>
      <c r="EC1593" s="4"/>
      <c r="ED1593" s="4"/>
      <c r="EE1593" s="4"/>
      <c r="EF1593" s="4"/>
      <c r="EG1593" s="4"/>
      <c r="EH1593" s="4"/>
      <c r="EI1593" s="4"/>
      <c r="EJ1593" s="4"/>
      <c r="EK1593" s="4"/>
      <c r="EL1593" s="4"/>
      <c r="EM1593" s="4"/>
      <c r="EN1593" s="4"/>
      <c r="EO1593" s="4"/>
      <c r="EP1593" s="4"/>
      <c r="EQ1593" s="4"/>
      <c r="ER1593" s="4"/>
      <c r="ES1593" s="4"/>
      <c r="ET1593" s="4"/>
      <c r="EU1593" s="4"/>
      <c r="EV1593" s="4"/>
      <c r="EW1593" s="4"/>
      <c r="EX1593" s="4"/>
      <c r="EY1593" s="4"/>
      <c r="EZ1593" s="4"/>
      <c r="FA1593" s="4"/>
      <c r="FB1593" s="4"/>
      <c r="FC1593" s="4"/>
      <c r="FD1593" s="4"/>
      <c r="FE1593" s="4"/>
      <c r="FF1593" s="4"/>
      <c r="FG1593" s="4"/>
      <c r="FH1593" s="4"/>
      <c r="FI1593" s="4"/>
      <c r="FJ1593" s="4"/>
      <c r="FK1593" s="4"/>
      <c r="FL1593" s="4"/>
      <c r="FM1593" s="4"/>
      <c r="FN1593" s="4"/>
      <c r="FO1593" s="4"/>
      <c r="FP1593" s="4"/>
      <c r="FQ1593" s="4"/>
      <c r="FR1593" s="4"/>
      <c r="FS1593" s="4"/>
      <c r="FT1593" s="4"/>
      <c r="FU1593" s="4"/>
      <c r="FV1593" s="4"/>
      <c r="FW1593" s="4"/>
      <c r="FX1593" s="4"/>
      <c r="FY1593" s="4"/>
      <c r="FZ1593" s="4"/>
      <c r="GA1593" s="4"/>
      <c r="GB1593" s="4"/>
      <c r="GC1593" s="4"/>
      <c r="GD1593" s="4"/>
      <c r="GE1593" s="4"/>
      <c r="GF1593" s="4"/>
      <c r="GG1593" s="4"/>
      <c r="GH1593" s="4"/>
    </row>
    <row r="1594">
      <c r="A1594" s="2" t="s">
        <v>8450</v>
      </c>
      <c r="B1594" s="2" t="s">
        <v>230</v>
      </c>
      <c r="C1594" s="2" t="s">
        <v>3397</v>
      </c>
      <c r="D1594" s="2" t="s">
        <v>232</v>
      </c>
      <c r="E1594" s="2" t="s">
        <v>233</v>
      </c>
      <c r="F1594" s="2" t="s">
        <v>8427</v>
      </c>
      <c r="G1594" s="2" t="s">
        <v>8427</v>
      </c>
      <c r="H1594" s="2" t="s">
        <v>8427</v>
      </c>
      <c r="I1594" s="2" t="s">
        <v>8428</v>
      </c>
      <c r="J1594" s="2" t="s">
        <v>277</v>
      </c>
      <c r="K1594" s="2" t="s">
        <v>1700</v>
      </c>
      <c r="L1594" s="3">
        <v>25.3</v>
      </c>
      <c r="M1594" s="3">
        <v>26.57</v>
      </c>
      <c r="N1594" s="3">
        <v>54.99</v>
      </c>
      <c r="O1594" s="2" t="s">
        <v>212</v>
      </c>
      <c r="P1594" s="2" t="s">
        <v>205</v>
      </c>
      <c r="Q1594" s="2" t="s">
        <v>206</v>
      </c>
      <c r="R1594" s="2" t="s">
        <v>200</v>
      </c>
      <c r="S1594" s="2" t="s">
        <v>8448</v>
      </c>
      <c r="T1594" s="2" t="s">
        <v>2604</v>
      </c>
      <c r="U1594" s="2" t="s">
        <v>240</v>
      </c>
      <c r="V1594" s="2" t="s">
        <v>208</v>
      </c>
      <c r="W1594" s="2" t="s">
        <v>241</v>
      </c>
      <c r="X1594" s="2" t="s">
        <v>200</v>
      </c>
      <c r="Y1594" s="2" t="s">
        <v>3448</v>
      </c>
      <c r="Z1594" s="4">
        <v>168</v>
      </c>
      <c r="AA1594" s="4">
        <f>=ROUNDDOWN(12.9230769230769,0)</f>
      </c>
      <c r="AB1594" s="5">
        <v>13</v>
      </c>
      <c r="AC1594" s="2" t="s">
        <v>200</v>
      </c>
      <c r="AD1594" s="4"/>
      <c r="AE1594" s="4"/>
      <c r="AF1594" s="6">
        <v>65</v>
      </c>
      <c r="AG1594" s="6"/>
      <c r="AH1594" s="7">
        <v>1</v>
      </c>
      <c r="AI1594" s="4"/>
      <c r="AJ1594" s="4">
        <f>=ROUNDDOWN({0},0)</f>
      </c>
      <c r="AK1594" s="5"/>
      <c r="AL1594" s="2" t="s">
        <v>200</v>
      </c>
      <c r="AM1594" s="4"/>
      <c r="AN1594" s="4"/>
      <c r="AO1594" s="7"/>
      <c r="AP1594" s="4"/>
      <c r="AQ1594" s="8"/>
      <c r="AR1594" s="4"/>
      <c r="AS1594" s="8"/>
      <c r="AT1594" s="7"/>
      <c r="AU1594" s="7"/>
      <c r="AV1594" s="4" t="s">
        <v>200</v>
      </c>
      <c r="AW1594" s="8" t="s">
        <v>200</v>
      </c>
      <c r="AX1594" s="4" t="s">
        <v>200</v>
      </c>
      <c r="AY1594" s="8" t="s">
        <v>200</v>
      </c>
      <c r="AZ1594" s="7" t="s">
        <v>200</v>
      </c>
      <c r="BA1594" s="7" t="s">
        <v>200</v>
      </c>
      <c r="BB1594" s="7"/>
      <c r="BC1594" s="4" t="s">
        <v>200</v>
      </c>
      <c r="BD1594" s="8" t="s">
        <v>200</v>
      </c>
      <c r="BE1594" s="4" t="s">
        <v>200</v>
      </c>
      <c r="BF1594" s="8" t="s">
        <v>200</v>
      </c>
      <c r="BG1594" s="7" t="s">
        <v>200</v>
      </c>
      <c r="BH1594" s="7" t="s">
        <v>200</v>
      </c>
      <c r="BI1594" s="7"/>
      <c r="BJ1594" s="4">
        <v>145</v>
      </c>
      <c r="BK1594" s="8">
        <v>4156.4</v>
      </c>
      <c r="BL1594" s="2" t="s">
        <v>3355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8451</v>
      </c>
      <c r="BV1594" s="2" t="s">
        <v>200</v>
      </c>
      <c r="BW1594" s="2" t="s">
        <v>200</v>
      </c>
      <c r="BX1594" s="2" t="s">
        <v>264</v>
      </c>
      <c r="BY1594" s="2" t="s">
        <v>247</v>
      </c>
      <c r="BZ1594" s="2" t="s">
        <v>212</v>
      </c>
      <c r="CA1594" s="2" t="s">
        <v>1971</v>
      </c>
      <c r="CB1594" s="2" t="s">
        <v>200</v>
      </c>
      <c r="CC1594" s="2" t="s">
        <v>213</v>
      </c>
      <c r="CD1594" s="2" t="s">
        <v>200</v>
      </c>
      <c r="CE1594" s="4">
        <v>111</v>
      </c>
      <c r="CF1594" s="4">
        <v>57</v>
      </c>
      <c r="CG1594" s="4"/>
      <c r="CH1594" s="4"/>
      <c r="CI1594" s="4"/>
      <c r="CJ1594" s="4"/>
      <c r="CK1594" s="4"/>
      <c r="CL1594" s="4"/>
      <c r="CM1594" s="4"/>
      <c r="CN1594" s="4"/>
      <c r="CO1594" s="4"/>
      <c r="CP1594" s="4"/>
      <c r="CQ1594" s="4"/>
      <c r="CR1594" s="4"/>
      <c r="CS1594" s="4"/>
      <c r="CT1594" s="4"/>
      <c r="CU1594" s="4"/>
      <c r="CV1594" s="4"/>
      <c r="CW1594" s="4"/>
      <c r="CX1594" s="4"/>
      <c r="CY1594" s="4"/>
      <c r="CZ1594" s="4"/>
      <c r="DA1594" s="4"/>
      <c r="DB1594" s="4"/>
      <c r="DC1594" s="4"/>
      <c r="DD1594" s="4"/>
      <c r="DE1594" s="4"/>
      <c r="DF1594" s="4"/>
      <c r="DG1594" s="4"/>
      <c r="DH1594" s="4"/>
      <c r="DI1594" s="4"/>
      <c r="DJ1594" s="4"/>
      <c r="DK1594" s="4"/>
      <c r="DL1594" s="4"/>
      <c r="DM1594" s="4"/>
      <c r="DN1594" s="4"/>
      <c r="DO1594" s="4"/>
      <c r="DP1594" s="4"/>
      <c r="DQ1594" s="4"/>
      <c r="DR1594" s="4"/>
      <c r="DS1594" s="4"/>
      <c r="DT1594" s="4"/>
      <c r="DU1594" s="4"/>
      <c r="DV1594" s="4"/>
      <c r="DW1594" s="4"/>
      <c r="DX1594" s="4"/>
      <c r="DY1594" s="4"/>
      <c r="DZ1594" s="4"/>
      <c r="EA1594" s="4"/>
      <c r="EB1594" s="4"/>
      <c r="EC1594" s="4"/>
      <c r="ED1594" s="4"/>
      <c r="EE1594" s="4"/>
      <c r="EF1594" s="4"/>
      <c r="EG1594" s="4"/>
      <c r="EH1594" s="4"/>
      <c r="EI1594" s="4"/>
      <c r="EJ1594" s="4"/>
      <c r="EK1594" s="4"/>
      <c r="EL1594" s="4"/>
      <c r="EM1594" s="4"/>
      <c r="EN1594" s="4"/>
      <c r="EO1594" s="4"/>
      <c r="EP1594" s="4"/>
      <c r="EQ1594" s="4"/>
      <c r="ER1594" s="4"/>
      <c r="ES1594" s="4"/>
      <c r="ET1594" s="4"/>
      <c r="EU1594" s="4"/>
      <c r="EV1594" s="4"/>
      <c r="EW1594" s="4"/>
      <c r="EX1594" s="4"/>
      <c r="EY1594" s="4"/>
      <c r="EZ1594" s="4"/>
      <c r="FA1594" s="4"/>
      <c r="FB1594" s="4"/>
      <c r="FC1594" s="4"/>
      <c r="FD1594" s="4"/>
      <c r="FE1594" s="4"/>
      <c r="FF1594" s="4"/>
      <c r="FG1594" s="4"/>
      <c r="FH1594" s="4"/>
      <c r="FI1594" s="4"/>
      <c r="FJ1594" s="4"/>
      <c r="FK1594" s="4"/>
      <c r="FL1594" s="4"/>
      <c r="FM1594" s="4"/>
      <c r="FN1594" s="4"/>
      <c r="FO1594" s="4"/>
      <c r="FP1594" s="4"/>
      <c r="FQ1594" s="4"/>
      <c r="FR1594" s="4"/>
      <c r="FS1594" s="4"/>
      <c r="FT1594" s="4"/>
      <c r="FU1594" s="4"/>
      <c r="FV1594" s="4"/>
      <c r="FW1594" s="4"/>
      <c r="FX1594" s="4"/>
      <c r="FY1594" s="4"/>
      <c r="FZ1594" s="4"/>
      <c r="GA1594" s="4"/>
      <c r="GB1594" s="4"/>
      <c r="GC1594" s="4"/>
      <c r="GD1594" s="4"/>
      <c r="GE1594" s="4"/>
      <c r="GF1594" s="4"/>
      <c r="GG1594" s="4"/>
      <c r="GH1594" s="4"/>
    </row>
    <row r="1595">
      <c r="A1595" s="2" t="s">
        <v>8452</v>
      </c>
      <c r="B1595" s="2" t="s">
        <v>230</v>
      </c>
      <c r="C1595" s="2" t="s">
        <v>3397</v>
      </c>
      <c r="D1595" s="2" t="s">
        <v>232</v>
      </c>
      <c r="E1595" s="2" t="s">
        <v>233</v>
      </c>
      <c r="F1595" s="2" t="s">
        <v>8427</v>
      </c>
      <c r="G1595" s="2" t="s">
        <v>8427</v>
      </c>
      <c r="H1595" s="2" t="s">
        <v>8427</v>
      </c>
      <c r="I1595" s="2" t="s">
        <v>8428</v>
      </c>
      <c r="J1595" s="2" t="s">
        <v>297</v>
      </c>
      <c r="K1595" s="2" t="s">
        <v>1700</v>
      </c>
      <c r="L1595" s="3">
        <v>28.35</v>
      </c>
      <c r="M1595" s="3">
        <v>29.77</v>
      </c>
      <c r="N1595" s="3">
        <v>62.99</v>
      </c>
      <c r="O1595" s="2" t="s">
        <v>212</v>
      </c>
      <c r="P1595" s="2" t="s">
        <v>205</v>
      </c>
      <c r="Q1595" s="2" t="s">
        <v>206</v>
      </c>
      <c r="R1595" s="2" t="s">
        <v>200</v>
      </c>
      <c r="S1595" s="2" t="s">
        <v>8448</v>
      </c>
      <c r="T1595" s="2" t="s">
        <v>2604</v>
      </c>
      <c r="U1595" s="2" t="s">
        <v>240</v>
      </c>
      <c r="V1595" s="2" t="s">
        <v>208</v>
      </c>
      <c r="W1595" s="2" t="s">
        <v>241</v>
      </c>
      <c r="X1595" s="2" t="s">
        <v>200</v>
      </c>
      <c r="Y1595" s="2" t="s">
        <v>3448</v>
      </c>
      <c r="Z1595" s="4">
        <v>1133</v>
      </c>
      <c r="AA1595" s="4">
        <f>=ROUNDDOWN(45.32,0)</f>
      </c>
      <c r="AB1595" s="5">
        <v>25</v>
      </c>
      <c r="AC1595" s="2" t="s">
        <v>200</v>
      </c>
      <c r="AD1595" s="4"/>
      <c r="AE1595" s="4"/>
      <c r="AF1595" s="6">
        <v>65</v>
      </c>
      <c r="AG1595" s="6"/>
      <c r="AH1595" s="7">
        <v>1</v>
      </c>
      <c r="AI1595" s="4"/>
      <c r="AJ1595" s="4">
        <f>=ROUNDDOWN({0},0)</f>
      </c>
      <c r="AK1595" s="5"/>
      <c r="AL1595" s="2" t="s">
        <v>200</v>
      </c>
      <c r="AM1595" s="4"/>
      <c r="AN1595" s="4"/>
      <c r="AO1595" s="7"/>
      <c r="AP1595" s="4"/>
      <c r="AQ1595" s="8"/>
      <c r="AR1595" s="4"/>
      <c r="AS1595" s="8"/>
      <c r="AT1595" s="7"/>
      <c r="AU1595" s="7"/>
      <c r="AV1595" s="4" t="s">
        <v>200</v>
      </c>
      <c r="AW1595" s="8" t="s">
        <v>200</v>
      </c>
      <c r="AX1595" s="4" t="s">
        <v>200</v>
      </c>
      <c r="AY1595" s="8" t="s">
        <v>200</v>
      </c>
      <c r="AZ1595" s="7" t="s">
        <v>200</v>
      </c>
      <c r="BA1595" s="7" t="s">
        <v>200</v>
      </c>
      <c r="BB1595" s="7"/>
      <c r="BC1595" s="4" t="s">
        <v>200</v>
      </c>
      <c r="BD1595" s="8" t="s">
        <v>200</v>
      </c>
      <c r="BE1595" s="4" t="s">
        <v>200</v>
      </c>
      <c r="BF1595" s="8" t="s">
        <v>200</v>
      </c>
      <c r="BG1595" s="7" t="s">
        <v>200</v>
      </c>
      <c r="BH1595" s="7" t="s">
        <v>200</v>
      </c>
      <c r="BI1595" s="7"/>
      <c r="BJ1595" s="4">
        <v>522</v>
      </c>
      <c r="BK1595" s="8">
        <v>16737.64</v>
      </c>
      <c r="BL1595" s="2" t="s">
        <v>3355</v>
      </c>
      <c r="BM1595" s="7"/>
      <c r="BN1595" s="7"/>
      <c r="BO1595" s="4"/>
      <c r="BP1595" s="8"/>
      <c r="BQ1595" s="4"/>
      <c r="BR1595" s="8"/>
      <c r="BS1595" s="7"/>
      <c r="BT1595" s="7"/>
      <c r="BU1595" s="2" t="s">
        <v>8453</v>
      </c>
      <c r="BV1595" s="2" t="s">
        <v>200</v>
      </c>
      <c r="BW1595" s="2" t="s">
        <v>200</v>
      </c>
      <c r="BX1595" s="2" t="s">
        <v>264</v>
      </c>
      <c r="BY1595" s="2" t="s">
        <v>247</v>
      </c>
      <c r="BZ1595" s="2" t="s">
        <v>212</v>
      </c>
      <c r="CA1595" s="2" t="s">
        <v>1971</v>
      </c>
      <c r="CB1595" s="2" t="s">
        <v>3141</v>
      </c>
      <c r="CC1595" s="2" t="s">
        <v>213</v>
      </c>
      <c r="CD1595" s="2" t="s">
        <v>200</v>
      </c>
      <c r="CE1595" s="4">
        <v>738</v>
      </c>
      <c r="CF1595" s="4">
        <v>395</v>
      </c>
      <c r="CG1595" s="4"/>
      <c r="CH1595" s="4"/>
      <c r="CI1595" s="4"/>
      <c r="CJ1595" s="4"/>
      <c r="CK1595" s="4"/>
      <c r="CL1595" s="4"/>
      <c r="CM1595" s="4"/>
      <c r="CN1595" s="4"/>
      <c r="CO1595" s="4"/>
      <c r="CP1595" s="4"/>
      <c r="CQ1595" s="4"/>
      <c r="CR1595" s="4"/>
      <c r="CS1595" s="4"/>
      <c r="CT1595" s="4"/>
      <c r="CU1595" s="4"/>
      <c r="CV1595" s="4"/>
      <c r="CW1595" s="4"/>
      <c r="CX1595" s="4"/>
      <c r="CY1595" s="4"/>
      <c r="CZ1595" s="4"/>
      <c r="DA1595" s="4"/>
      <c r="DB1595" s="4"/>
      <c r="DC1595" s="4"/>
      <c r="DD1595" s="4"/>
      <c r="DE1595" s="4"/>
      <c r="DF1595" s="4"/>
      <c r="DG1595" s="4"/>
      <c r="DH1595" s="4"/>
      <c r="DI1595" s="4"/>
      <c r="DJ1595" s="4"/>
      <c r="DK1595" s="4"/>
      <c r="DL1595" s="4"/>
      <c r="DM1595" s="4"/>
      <c r="DN1595" s="4"/>
      <c r="DO1595" s="4"/>
      <c r="DP1595" s="4"/>
      <c r="DQ1595" s="4"/>
      <c r="DR1595" s="4"/>
      <c r="DS1595" s="4"/>
      <c r="DT1595" s="4"/>
      <c r="DU1595" s="4"/>
      <c r="DV1595" s="4"/>
      <c r="DW1595" s="4"/>
      <c r="DX1595" s="4"/>
      <c r="DY1595" s="4"/>
      <c r="DZ1595" s="4"/>
      <c r="EA1595" s="4"/>
      <c r="EB1595" s="4"/>
      <c r="EC1595" s="4"/>
      <c r="ED1595" s="4"/>
      <c r="EE1595" s="4"/>
      <c r="EF1595" s="4"/>
      <c r="EG1595" s="4"/>
      <c r="EH1595" s="4"/>
      <c r="EI1595" s="4"/>
      <c r="EJ1595" s="4"/>
      <c r="EK1595" s="4"/>
      <c r="EL1595" s="4"/>
      <c r="EM1595" s="4"/>
      <c r="EN1595" s="4"/>
      <c r="EO1595" s="4"/>
      <c r="EP1595" s="4"/>
      <c r="EQ1595" s="4"/>
      <c r="ER1595" s="4"/>
      <c r="ES1595" s="4"/>
      <c r="ET1595" s="4"/>
      <c r="EU1595" s="4"/>
      <c r="EV1595" s="4"/>
      <c r="EW1595" s="4"/>
      <c r="EX1595" s="4"/>
      <c r="EY1595" s="4"/>
      <c r="EZ1595" s="4"/>
      <c r="FA1595" s="4"/>
      <c r="FB1595" s="4"/>
      <c r="FC1595" s="4"/>
      <c r="FD1595" s="4"/>
      <c r="FE1595" s="4"/>
      <c r="FF1595" s="4"/>
      <c r="FG1595" s="4"/>
      <c r="FH1595" s="4"/>
      <c r="FI1595" s="4"/>
      <c r="FJ1595" s="4"/>
      <c r="FK1595" s="4"/>
      <c r="FL1595" s="4"/>
      <c r="FM1595" s="4"/>
      <c r="FN1595" s="4"/>
      <c r="FO1595" s="4"/>
      <c r="FP1595" s="4"/>
      <c r="FQ1595" s="4"/>
      <c r="FR1595" s="4"/>
      <c r="FS1595" s="4"/>
      <c r="FT1595" s="4"/>
      <c r="FU1595" s="4"/>
      <c r="FV1595" s="4"/>
      <c r="FW1595" s="4"/>
      <c r="FX1595" s="4"/>
      <c r="FY1595" s="4"/>
      <c r="FZ1595" s="4"/>
      <c r="GA1595" s="4"/>
      <c r="GB1595" s="4"/>
      <c r="GC1595" s="4"/>
      <c r="GD1595" s="4"/>
      <c r="GE1595" s="4"/>
      <c r="GF1595" s="4"/>
      <c r="GG1595" s="4"/>
      <c r="GH1595" s="4"/>
    </row>
    <row r="1596">
      <c r="A1596" s="2" t="s">
        <v>8454</v>
      </c>
      <c r="B1596" s="2" t="s">
        <v>744</v>
      </c>
      <c r="C1596" s="2" t="s">
        <v>745</v>
      </c>
      <c r="D1596" s="2" t="s">
        <v>1275</v>
      </c>
      <c r="E1596" s="2" t="s">
        <v>1276</v>
      </c>
      <c r="F1596" s="2" t="s">
        <v>8455</v>
      </c>
      <c r="G1596" s="2" t="s">
        <v>8455</v>
      </c>
      <c r="H1596" s="2" t="s">
        <v>8455</v>
      </c>
      <c r="I1596" s="2" t="s">
        <v>2093</v>
      </c>
      <c r="J1596" s="2" t="s">
        <v>711</v>
      </c>
      <c r="K1596" s="2" t="s">
        <v>8456</v>
      </c>
      <c r="L1596" s="3">
        <v>263.5</v>
      </c>
      <c r="M1596" s="3">
        <v>276.68</v>
      </c>
      <c r="N1596" s="3">
        <v>549</v>
      </c>
      <c r="O1596" s="2" t="s">
        <v>212</v>
      </c>
      <c r="P1596" s="2" t="s">
        <v>258</v>
      </c>
      <c r="Q1596" s="2" t="s">
        <v>206</v>
      </c>
      <c r="R1596" s="2" t="s">
        <v>200</v>
      </c>
      <c r="S1596" s="2" t="s">
        <v>200</v>
      </c>
      <c r="T1596" s="2" t="s">
        <v>200</v>
      </c>
      <c r="U1596" s="2" t="s">
        <v>200</v>
      </c>
      <c r="V1596" s="2" t="s">
        <v>208</v>
      </c>
      <c r="W1596" s="2" t="s">
        <v>712</v>
      </c>
      <c r="X1596" s="2" t="s">
        <v>200</v>
      </c>
      <c r="Y1596" s="2" t="s">
        <v>8167</v>
      </c>
      <c r="Z1596" s="4">
        <v>99</v>
      </c>
      <c r="AA1596" s="4">
        <f>=ROUNDDOWN(19.8,0)</f>
      </c>
      <c r="AB1596" s="5">
        <v>5</v>
      </c>
      <c r="AC1596" s="2" t="s">
        <v>6698</v>
      </c>
      <c r="AD1596" s="4">
        <v>100</v>
      </c>
      <c r="AE1596" s="4">
        <v>100</v>
      </c>
      <c r="AF1596" s="6">
        <v>66</v>
      </c>
      <c r="AG1596" s="6"/>
      <c r="AH1596" s="7">
        <v>1</v>
      </c>
      <c r="AI1596" s="4"/>
      <c r="AJ1596" s="4">
        <f>=ROUNDDOWN({0},0)</f>
      </c>
      <c r="AK1596" s="5"/>
      <c r="AL1596" s="2" t="s">
        <v>200</v>
      </c>
      <c r="AM1596" s="4"/>
      <c r="AN1596" s="4"/>
      <c r="AO1596" s="7"/>
      <c r="AP1596" s="4"/>
      <c r="AQ1596" s="8"/>
      <c r="AR1596" s="4"/>
      <c r="AS1596" s="8"/>
      <c r="AT1596" s="7"/>
      <c r="AU1596" s="7"/>
      <c r="AV1596" s="4"/>
      <c r="AW1596" s="8"/>
      <c r="AX1596" s="4"/>
      <c r="AY1596" s="8"/>
      <c r="AZ1596" s="7"/>
      <c r="BA1596" s="7"/>
      <c r="BB1596" s="7"/>
      <c r="BC1596" s="4"/>
      <c r="BD1596" s="8"/>
      <c r="BE1596" s="4"/>
      <c r="BF1596" s="8"/>
      <c r="BG1596" s="7"/>
      <c r="BH1596" s="7"/>
      <c r="BI1596" s="7"/>
      <c r="BJ1596" s="4">
        <v>24</v>
      </c>
      <c r="BK1596" s="8">
        <v>5706.87</v>
      </c>
      <c r="BL1596" s="2" t="s">
        <v>7251</v>
      </c>
      <c r="BM1596" s="7"/>
      <c r="BN1596" s="7"/>
      <c r="BO1596" s="4"/>
      <c r="BP1596" s="8"/>
      <c r="BQ1596" s="4"/>
      <c r="BR1596" s="8"/>
      <c r="BS1596" s="7"/>
      <c r="BT1596" s="7"/>
      <c r="BU1596" s="2" t="s">
        <v>8457</v>
      </c>
      <c r="BV1596" s="2" t="s">
        <v>200</v>
      </c>
      <c r="BW1596" s="2" t="s">
        <v>200</v>
      </c>
      <c r="BX1596" s="2" t="s">
        <v>264</v>
      </c>
      <c r="BY1596" s="2" t="s">
        <v>247</v>
      </c>
      <c r="BZ1596" s="2" t="s">
        <v>212</v>
      </c>
      <c r="CA1596" s="2" t="s">
        <v>8458</v>
      </c>
      <c r="CB1596" s="2" t="s">
        <v>8459</v>
      </c>
      <c r="CC1596" s="2" t="s">
        <v>213</v>
      </c>
      <c r="CD1596" s="2" t="s">
        <v>200</v>
      </c>
      <c r="CE1596" s="4"/>
      <c r="CF1596" s="4">
        <v>99</v>
      </c>
      <c r="CG1596" s="4"/>
      <c r="CH1596" s="4"/>
      <c r="CI1596" s="4"/>
      <c r="CJ1596" s="4"/>
      <c r="CK1596" s="4"/>
      <c r="CL1596" s="4"/>
      <c r="CM1596" s="4"/>
      <c r="CN1596" s="4"/>
      <c r="CO1596" s="4"/>
      <c r="CP1596" s="4"/>
      <c r="CQ1596" s="4"/>
      <c r="CR1596" s="4"/>
      <c r="CS1596" s="4"/>
      <c r="CT1596" s="4"/>
      <c r="CU1596" s="4"/>
      <c r="CV1596" s="4"/>
      <c r="CW1596" s="4"/>
      <c r="CX1596" s="4"/>
      <c r="CY1596" s="4"/>
      <c r="CZ1596" s="4"/>
      <c r="DA1596" s="4"/>
      <c r="DB1596" s="4"/>
      <c r="DC1596" s="4"/>
      <c r="DD1596" s="4"/>
      <c r="DE1596" s="4"/>
      <c r="DF1596" s="4"/>
      <c r="DG1596" s="4"/>
      <c r="DH1596" s="4"/>
      <c r="DI1596" s="4"/>
      <c r="DJ1596" s="4"/>
      <c r="DK1596" s="4"/>
      <c r="DL1596" s="4"/>
      <c r="DM1596" s="4"/>
      <c r="DN1596" s="4"/>
      <c r="DO1596" s="4"/>
      <c r="DP1596" s="4"/>
      <c r="DQ1596" s="4"/>
      <c r="DR1596" s="4"/>
      <c r="DS1596" s="4"/>
      <c r="DT1596" s="4"/>
      <c r="DU1596" s="4"/>
      <c r="DV1596" s="4"/>
      <c r="DW1596" s="4"/>
      <c r="DX1596" s="4"/>
      <c r="DY1596" s="4"/>
      <c r="DZ1596" s="4"/>
      <c r="EA1596" s="4"/>
      <c r="EB1596" s="4"/>
      <c r="EC1596" s="4"/>
      <c r="ED1596" s="4">
        <v>100</v>
      </c>
      <c r="EE1596" s="4"/>
      <c r="EF1596" s="4"/>
      <c r="EG1596" s="4"/>
      <c r="EH1596" s="4"/>
      <c r="EI1596" s="4"/>
      <c r="EJ1596" s="4"/>
      <c r="EK1596" s="4"/>
      <c r="EL1596" s="4"/>
      <c r="EM1596" s="4"/>
      <c r="EN1596" s="4"/>
      <c r="EO1596" s="4"/>
      <c r="EP1596" s="4"/>
      <c r="EQ1596" s="4"/>
      <c r="ER1596" s="4"/>
      <c r="ES1596" s="4"/>
      <c r="ET1596" s="4"/>
      <c r="EU1596" s="4"/>
      <c r="EV1596" s="4"/>
      <c r="EW1596" s="4"/>
      <c r="EX1596" s="4"/>
      <c r="EY1596" s="4"/>
      <c r="EZ1596" s="4"/>
      <c r="FA1596" s="4"/>
      <c r="FB1596" s="4"/>
      <c r="FC1596" s="4"/>
      <c r="FD1596" s="4"/>
      <c r="FE1596" s="4"/>
      <c r="FF1596" s="4"/>
      <c r="FG1596" s="4"/>
      <c r="FH1596" s="4"/>
      <c r="FI1596" s="4"/>
      <c r="FJ1596" s="4"/>
      <c r="FK1596" s="4"/>
      <c r="FL1596" s="4"/>
      <c r="FM1596" s="4"/>
      <c r="FN1596" s="4"/>
      <c r="FO1596" s="4"/>
      <c r="FP1596" s="4"/>
      <c r="FQ1596" s="4"/>
      <c r="FR1596" s="4"/>
      <c r="FS1596" s="4"/>
      <c r="FT1596" s="4"/>
      <c r="FU1596" s="4"/>
      <c r="FV1596" s="4"/>
      <c r="FW1596" s="4"/>
      <c r="FX1596" s="4"/>
      <c r="FY1596" s="4"/>
      <c r="FZ1596" s="4"/>
      <c r="GA1596" s="4"/>
      <c r="GB1596" s="4"/>
      <c r="GC1596" s="4"/>
      <c r="GD1596" s="4"/>
      <c r="GE1596" s="4"/>
      <c r="GF1596" s="4"/>
      <c r="GG1596" s="4"/>
      <c r="GH1596" s="4"/>
    </row>
    <row r="1597">
      <c r="A1597" s="2" t="s">
        <v>8460</v>
      </c>
      <c r="B1597" s="2" t="s">
        <v>744</v>
      </c>
      <c r="C1597" s="2" t="s">
        <v>745</v>
      </c>
      <c r="D1597" s="2" t="s">
        <v>1462</v>
      </c>
      <c r="E1597" s="2" t="s">
        <v>8461</v>
      </c>
      <c r="F1597" s="2" t="s">
        <v>8462</v>
      </c>
      <c r="G1597" s="2" t="s">
        <v>8462</v>
      </c>
      <c r="H1597" s="2" t="s">
        <v>8462</v>
      </c>
      <c r="I1597" s="2" t="s">
        <v>8463</v>
      </c>
      <c r="J1597" s="2" t="s">
        <v>711</v>
      </c>
      <c r="K1597" s="2" t="s">
        <v>1135</v>
      </c>
      <c r="L1597" s="3">
        <v>759.5</v>
      </c>
      <c r="M1597" s="3">
        <v>797.48</v>
      </c>
      <c r="N1597" s="3">
        <v>1599</v>
      </c>
      <c r="O1597" s="2" t="s">
        <v>212</v>
      </c>
      <c r="P1597" s="2" t="s">
        <v>802</v>
      </c>
      <c r="Q1597" s="2" t="s">
        <v>206</v>
      </c>
      <c r="R1597" s="2" t="s">
        <v>16</v>
      </c>
      <c r="S1597" s="2" t="s">
        <v>200</v>
      </c>
      <c r="T1597" s="2" t="s">
        <v>200</v>
      </c>
      <c r="U1597" s="2" t="s">
        <v>1067</v>
      </c>
      <c r="V1597" s="2" t="s">
        <v>208</v>
      </c>
      <c r="W1597" s="2" t="s">
        <v>2095</v>
      </c>
      <c r="X1597" s="2" t="s">
        <v>200</v>
      </c>
      <c r="Y1597" s="2" t="s">
        <v>1024</v>
      </c>
      <c r="Z1597" s="4">
        <v>10</v>
      </c>
      <c r="AA1597" s="4">
        <f>=ROUNDDOWN({0},0)</f>
      </c>
      <c r="AB1597" s="5"/>
      <c r="AC1597" s="2" t="s">
        <v>200</v>
      </c>
      <c r="AD1597" s="4"/>
      <c r="AE1597" s="4"/>
      <c r="AF1597" s="6"/>
      <c r="AG1597" s="6"/>
      <c r="AH1597" s="7">
        <v>0.8333</v>
      </c>
      <c r="AI1597" s="4"/>
      <c r="AJ1597" s="4">
        <f>=ROUNDDOWN({0},0)</f>
      </c>
      <c r="AK1597" s="5"/>
      <c r="AL1597" s="2" t="s">
        <v>200</v>
      </c>
      <c r="AM1597" s="4"/>
      <c r="AN1597" s="4"/>
      <c r="AO1597" s="7"/>
      <c r="AP1597" s="4"/>
      <c r="AQ1597" s="8"/>
      <c r="AR1597" s="4"/>
      <c r="AS1597" s="8"/>
      <c r="AT1597" s="7"/>
      <c r="AU1597" s="7"/>
      <c r="AV1597" s="4" t="s">
        <v>200</v>
      </c>
      <c r="AW1597" s="8" t="s">
        <v>200</v>
      </c>
      <c r="AX1597" s="4" t="s">
        <v>200</v>
      </c>
      <c r="AY1597" s="8" t="s">
        <v>200</v>
      </c>
      <c r="AZ1597" s="7" t="s">
        <v>200</v>
      </c>
      <c r="BA1597" s="7" t="s">
        <v>200</v>
      </c>
      <c r="BB1597" s="7" t="s">
        <v>200</v>
      </c>
      <c r="BC1597" s="4" t="s">
        <v>200</v>
      </c>
      <c r="BD1597" s="8" t="s">
        <v>200</v>
      </c>
      <c r="BE1597" s="4" t="s">
        <v>200</v>
      </c>
      <c r="BF1597" s="8" t="s">
        <v>200</v>
      </c>
      <c r="BG1597" s="7" t="s">
        <v>200</v>
      </c>
      <c r="BH1597" s="7" t="s">
        <v>200</v>
      </c>
      <c r="BI1597" s="7"/>
      <c r="BJ1597" s="4"/>
      <c r="BK1597" s="8"/>
      <c r="BL1597" s="2" t="s">
        <v>200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8464</v>
      </c>
      <c r="BV1597" s="2" t="s">
        <v>200</v>
      </c>
      <c r="BW1597" s="2" t="s">
        <v>200</v>
      </c>
      <c r="BX1597" s="2" t="s">
        <v>264</v>
      </c>
      <c r="BY1597" s="2" t="s">
        <v>247</v>
      </c>
      <c r="BZ1597" s="2" t="s">
        <v>212</v>
      </c>
      <c r="CA1597" s="2" t="s">
        <v>952</v>
      </c>
      <c r="CB1597" s="2" t="s">
        <v>200</v>
      </c>
      <c r="CC1597" s="2" t="s">
        <v>213</v>
      </c>
      <c r="CD1597" s="2" t="s">
        <v>200</v>
      </c>
      <c r="CE1597" s="4"/>
      <c r="CF1597" s="4">
        <v>10</v>
      </c>
      <c r="CG1597" s="4"/>
      <c r="CH1597" s="4"/>
      <c r="CI1597" s="4"/>
      <c r="CJ1597" s="4"/>
      <c r="CK1597" s="4"/>
      <c r="CL1597" s="4"/>
      <c r="CM1597" s="4"/>
      <c r="CN1597" s="4"/>
      <c r="CO1597" s="4"/>
      <c r="CP1597" s="4"/>
      <c r="CQ1597" s="4"/>
      <c r="CR1597" s="4"/>
      <c r="CS1597" s="4"/>
      <c r="CT1597" s="4"/>
      <c r="CU1597" s="4"/>
      <c r="CV1597" s="4"/>
      <c r="CW1597" s="4"/>
      <c r="CX1597" s="4"/>
      <c r="CY1597" s="4"/>
      <c r="CZ1597" s="4"/>
      <c r="DA1597" s="4"/>
      <c r="DB1597" s="4"/>
      <c r="DC1597" s="4"/>
      <c r="DD1597" s="4"/>
      <c r="DE1597" s="4"/>
      <c r="DF1597" s="4"/>
      <c r="DG1597" s="4"/>
      <c r="DH1597" s="4"/>
      <c r="DI1597" s="4"/>
      <c r="DJ1597" s="4"/>
      <c r="DK1597" s="4"/>
      <c r="DL1597" s="4"/>
      <c r="DM1597" s="4"/>
      <c r="DN1597" s="4"/>
      <c r="DO1597" s="4"/>
      <c r="DP1597" s="4"/>
      <c r="DQ1597" s="4"/>
      <c r="DR1597" s="4"/>
      <c r="DS1597" s="4"/>
      <c r="DT1597" s="4"/>
      <c r="DU1597" s="4"/>
      <c r="DV1597" s="4"/>
      <c r="DW1597" s="4"/>
      <c r="DX1597" s="4"/>
      <c r="DY1597" s="4"/>
      <c r="DZ1597" s="4"/>
      <c r="EA1597" s="4"/>
      <c r="EB1597" s="4"/>
      <c r="EC1597" s="4"/>
      <c r="ED1597" s="4"/>
      <c r="EE1597" s="4"/>
      <c r="EF1597" s="4"/>
      <c r="EG1597" s="4"/>
      <c r="EH1597" s="4"/>
      <c r="EI1597" s="4"/>
      <c r="EJ1597" s="4"/>
      <c r="EK1597" s="4"/>
      <c r="EL1597" s="4"/>
      <c r="EM1597" s="4"/>
      <c r="EN1597" s="4"/>
      <c r="EO1597" s="4"/>
      <c r="EP1597" s="4"/>
      <c r="EQ1597" s="4"/>
      <c r="ER1597" s="4"/>
      <c r="ES1597" s="4"/>
      <c r="ET1597" s="4"/>
      <c r="EU1597" s="4"/>
      <c r="EV1597" s="4"/>
      <c r="EW1597" s="4"/>
      <c r="EX1597" s="4"/>
      <c r="EY1597" s="4"/>
      <c r="EZ1597" s="4"/>
      <c r="FA1597" s="4"/>
      <c r="FB1597" s="4"/>
      <c r="FC1597" s="4"/>
      <c r="FD1597" s="4"/>
      <c r="FE1597" s="4"/>
      <c r="FF1597" s="4"/>
      <c r="FG1597" s="4"/>
      <c r="FH1597" s="4"/>
      <c r="FI1597" s="4"/>
      <c r="FJ1597" s="4"/>
      <c r="FK1597" s="4"/>
      <c r="FL1597" s="4"/>
      <c r="FM1597" s="4"/>
      <c r="FN1597" s="4"/>
      <c r="FO1597" s="4"/>
      <c r="FP1597" s="4"/>
      <c r="FQ1597" s="4"/>
      <c r="FR1597" s="4"/>
      <c r="FS1597" s="4"/>
      <c r="FT1597" s="4"/>
      <c r="FU1597" s="4"/>
      <c r="FV1597" s="4"/>
      <c r="FW1597" s="4"/>
      <c r="FX1597" s="4"/>
      <c r="FY1597" s="4"/>
      <c r="FZ1597" s="4"/>
      <c r="GA1597" s="4"/>
      <c r="GB1597" s="4"/>
      <c r="GC1597" s="4"/>
      <c r="GD1597" s="4"/>
      <c r="GE1597" s="4"/>
      <c r="GF1597" s="4"/>
      <c r="GG1597" s="4"/>
      <c r="GH1597" s="4"/>
    </row>
    <row r="1598">
      <c r="A1598" s="2" t="s">
        <v>8465</v>
      </c>
      <c r="B1598" s="2" t="s">
        <v>744</v>
      </c>
      <c r="C1598" s="2" t="s">
        <v>745</v>
      </c>
      <c r="D1598" s="2" t="s">
        <v>2839</v>
      </c>
      <c r="E1598" s="2" t="s">
        <v>2840</v>
      </c>
      <c r="F1598" s="2" t="s">
        <v>8462</v>
      </c>
      <c r="G1598" s="2" t="s">
        <v>8462</v>
      </c>
      <c r="H1598" s="2" t="s">
        <v>8462</v>
      </c>
      <c r="I1598" s="2" t="s">
        <v>8466</v>
      </c>
      <c r="J1598" s="2" t="s">
        <v>711</v>
      </c>
      <c r="K1598" s="2" t="s">
        <v>1135</v>
      </c>
      <c r="L1598" s="3">
        <v>285.2</v>
      </c>
      <c r="M1598" s="3">
        <v>299.46</v>
      </c>
      <c r="N1598" s="3">
        <v>599</v>
      </c>
      <c r="O1598" s="2" t="s">
        <v>212</v>
      </c>
      <c r="P1598" s="2" t="s">
        <v>258</v>
      </c>
      <c r="Q1598" s="2" t="s">
        <v>206</v>
      </c>
      <c r="R1598" s="2" t="s">
        <v>200</v>
      </c>
      <c r="S1598" s="2" t="s">
        <v>200</v>
      </c>
      <c r="T1598" s="2" t="s">
        <v>200</v>
      </c>
      <c r="U1598" s="2" t="s">
        <v>200</v>
      </c>
      <c r="V1598" s="2" t="s">
        <v>208</v>
      </c>
      <c r="W1598" s="2" t="s">
        <v>2095</v>
      </c>
      <c r="X1598" s="2" t="s">
        <v>200</v>
      </c>
      <c r="Y1598" s="2" t="s">
        <v>8276</v>
      </c>
      <c r="Z1598" s="4">
        <v>138</v>
      </c>
      <c r="AA1598" s="4">
        <f>=ROUNDDOWN(38.3333333333333,0)</f>
      </c>
      <c r="AB1598" s="5">
        <v>3.6</v>
      </c>
      <c r="AC1598" s="2" t="s">
        <v>1105</v>
      </c>
      <c r="AD1598" s="4">
        <v>52</v>
      </c>
      <c r="AE1598" s="4">
        <v>195</v>
      </c>
      <c r="AF1598" s="6">
        <v>74</v>
      </c>
      <c r="AG1598" s="6">
        <v>60</v>
      </c>
      <c r="AH1598" s="7">
        <v>1</v>
      </c>
      <c r="AI1598" s="4"/>
      <c r="AJ1598" s="4">
        <f>=ROUNDDOWN({0},0)</f>
      </c>
      <c r="AK1598" s="5">
        <v>11.9</v>
      </c>
      <c r="AL1598" s="2" t="s">
        <v>200</v>
      </c>
      <c r="AM1598" s="4"/>
      <c r="AN1598" s="4"/>
      <c r="AO1598" s="7">
        <v>1</v>
      </c>
      <c r="AP1598" s="4"/>
      <c r="AQ1598" s="8"/>
      <c r="AR1598" s="4"/>
      <c r="AS1598" s="8"/>
      <c r="AT1598" s="7"/>
      <c r="AU1598" s="7"/>
      <c r="AV1598" s="4" t="s">
        <v>200</v>
      </c>
      <c r="AW1598" s="8" t="s">
        <v>200</v>
      </c>
      <c r="AX1598" s="4" t="s">
        <v>200</v>
      </c>
      <c r="AY1598" s="8" t="s">
        <v>200</v>
      </c>
      <c r="AZ1598" s="7" t="s">
        <v>200</v>
      </c>
      <c r="BA1598" s="7" t="s">
        <v>200</v>
      </c>
      <c r="BB1598" s="7" t="s">
        <v>200</v>
      </c>
      <c r="BC1598" s="4" t="s">
        <v>200</v>
      </c>
      <c r="BD1598" s="8" t="s">
        <v>200</v>
      </c>
      <c r="BE1598" s="4" t="s">
        <v>200</v>
      </c>
      <c r="BF1598" s="8" t="s">
        <v>200</v>
      </c>
      <c r="BG1598" s="7" t="s">
        <v>200</v>
      </c>
      <c r="BH1598" s="7" t="s">
        <v>200</v>
      </c>
      <c r="BI1598" s="7"/>
      <c r="BJ1598" s="4">
        <v>79</v>
      </c>
      <c r="BK1598" s="8">
        <v>20258.59</v>
      </c>
      <c r="BL1598" s="2" t="s">
        <v>8467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8468</v>
      </c>
      <c r="BV1598" s="2" t="s">
        <v>200</v>
      </c>
      <c r="BW1598" s="2" t="s">
        <v>200</v>
      </c>
      <c r="BX1598" s="2" t="s">
        <v>264</v>
      </c>
      <c r="BY1598" s="2" t="s">
        <v>247</v>
      </c>
      <c r="BZ1598" s="2" t="s">
        <v>212</v>
      </c>
      <c r="CA1598" s="2" t="s">
        <v>7909</v>
      </c>
      <c r="CB1598" s="2" t="s">
        <v>8469</v>
      </c>
      <c r="CC1598" s="2" t="s">
        <v>213</v>
      </c>
      <c r="CD1598" s="2" t="s">
        <v>200</v>
      </c>
      <c r="CE1598" s="4"/>
      <c r="CF1598" s="4">
        <v>138</v>
      </c>
      <c r="CG1598" s="4"/>
      <c r="CH1598" s="4"/>
      <c r="CI1598" s="4"/>
      <c r="CJ1598" s="4"/>
      <c r="CK1598" s="4"/>
      <c r="CL1598" s="4"/>
      <c r="CM1598" s="4"/>
      <c r="CN1598" s="4"/>
      <c r="CO1598" s="4"/>
      <c r="CP1598" s="4"/>
      <c r="CQ1598" s="4"/>
      <c r="CR1598" s="4"/>
      <c r="CS1598" s="4"/>
      <c r="CT1598" s="4"/>
      <c r="CU1598" s="4"/>
      <c r="CV1598" s="4"/>
      <c r="CW1598" s="4">
        <v>52</v>
      </c>
      <c r="CX1598" s="4"/>
      <c r="CY1598" s="4"/>
      <c r="CZ1598" s="4"/>
      <c r="DA1598" s="4"/>
      <c r="DB1598" s="4"/>
      <c r="DC1598" s="4"/>
      <c r="DD1598" s="4"/>
      <c r="DE1598" s="4"/>
      <c r="DF1598" s="4"/>
      <c r="DG1598" s="4"/>
      <c r="DH1598" s="4"/>
      <c r="DI1598" s="4"/>
      <c r="DJ1598" s="4"/>
      <c r="DK1598" s="4">
        <v>13</v>
      </c>
      <c r="DL1598" s="4"/>
      <c r="DM1598" s="4"/>
      <c r="DN1598" s="4"/>
      <c r="DO1598" s="4"/>
      <c r="DP1598" s="4"/>
      <c r="DQ1598" s="4"/>
      <c r="DR1598" s="4"/>
      <c r="DS1598" s="4"/>
      <c r="DT1598" s="4"/>
      <c r="DU1598" s="4"/>
      <c r="DV1598" s="4"/>
      <c r="DW1598" s="4"/>
      <c r="DX1598" s="4"/>
      <c r="DY1598" s="4"/>
      <c r="DZ1598" s="4"/>
      <c r="EA1598" s="4"/>
      <c r="EB1598" s="4"/>
      <c r="EC1598" s="4"/>
      <c r="ED1598" s="4"/>
      <c r="EE1598" s="4"/>
      <c r="EF1598" s="4"/>
      <c r="EG1598" s="4"/>
      <c r="EH1598" s="4"/>
      <c r="EI1598" s="4"/>
      <c r="EJ1598" s="4"/>
      <c r="EK1598" s="4"/>
      <c r="EL1598" s="4"/>
      <c r="EM1598" s="4"/>
      <c r="EN1598" s="4"/>
      <c r="EO1598" s="4"/>
      <c r="EP1598" s="4"/>
      <c r="EQ1598" s="4"/>
      <c r="ER1598" s="4"/>
      <c r="ES1598" s="4"/>
      <c r="ET1598" s="4"/>
      <c r="EU1598" s="4"/>
      <c r="EV1598" s="4"/>
      <c r="EW1598" s="4"/>
      <c r="EX1598" s="4"/>
      <c r="EY1598" s="4"/>
      <c r="EZ1598" s="4"/>
      <c r="FA1598" s="4"/>
      <c r="FB1598" s="4"/>
      <c r="FC1598" s="4"/>
      <c r="FD1598" s="4"/>
      <c r="FE1598" s="4"/>
      <c r="FF1598" s="4"/>
      <c r="FG1598" s="4"/>
      <c r="FH1598" s="4"/>
      <c r="FI1598" s="4"/>
      <c r="FJ1598" s="4"/>
      <c r="FK1598" s="4"/>
      <c r="FL1598" s="4"/>
      <c r="FM1598" s="4">
        <v>130</v>
      </c>
      <c r="FN1598" s="4"/>
      <c r="FO1598" s="4"/>
      <c r="FP1598" s="4"/>
      <c r="FQ1598" s="4"/>
      <c r="FR1598" s="4"/>
      <c r="FS1598" s="4"/>
      <c r="FT1598" s="4"/>
      <c r="FU1598" s="4"/>
      <c r="FV1598" s="4"/>
      <c r="FW1598" s="4"/>
      <c r="FX1598" s="4"/>
      <c r="FY1598" s="4"/>
      <c r="FZ1598" s="4"/>
      <c r="GA1598" s="4"/>
      <c r="GB1598" s="4"/>
      <c r="GC1598" s="4"/>
      <c r="GD1598" s="4"/>
      <c r="GE1598" s="4"/>
      <c r="GF1598" s="4"/>
      <c r="GG1598" s="4"/>
      <c r="GH1598" s="4"/>
    </row>
    <row r="1599">
      <c r="A1599" s="2" t="s">
        <v>8470</v>
      </c>
      <c r="B1599" s="2" t="s">
        <v>744</v>
      </c>
      <c r="C1599" s="2" t="s">
        <v>745</v>
      </c>
      <c r="D1599" s="2" t="s">
        <v>1462</v>
      </c>
      <c r="E1599" s="2" t="s">
        <v>8461</v>
      </c>
      <c r="F1599" s="2" t="s">
        <v>8462</v>
      </c>
      <c r="G1599" s="2" t="s">
        <v>8462</v>
      </c>
      <c r="H1599" s="2" t="s">
        <v>8462</v>
      </c>
      <c r="I1599" s="2" t="s">
        <v>8471</v>
      </c>
      <c r="J1599" s="2" t="s">
        <v>711</v>
      </c>
      <c r="K1599" s="2" t="s">
        <v>7593</v>
      </c>
      <c r="L1599" s="3">
        <v>759.5</v>
      </c>
      <c r="M1599" s="3">
        <v>797.48</v>
      </c>
      <c r="N1599" s="3">
        <v>1599</v>
      </c>
      <c r="O1599" s="2" t="s">
        <v>212</v>
      </c>
      <c r="P1599" s="2" t="s">
        <v>802</v>
      </c>
      <c r="Q1599" s="2" t="s">
        <v>206</v>
      </c>
      <c r="R1599" s="2" t="s">
        <v>16</v>
      </c>
      <c r="S1599" s="2" t="s">
        <v>200</v>
      </c>
      <c r="T1599" s="2" t="s">
        <v>200</v>
      </c>
      <c r="U1599" s="2" t="s">
        <v>1067</v>
      </c>
      <c r="V1599" s="2" t="s">
        <v>208</v>
      </c>
      <c r="W1599" s="2" t="s">
        <v>2095</v>
      </c>
      <c r="X1599" s="2" t="s">
        <v>379</v>
      </c>
      <c r="Y1599" s="2" t="s">
        <v>8472</v>
      </c>
      <c r="Z1599" s="4"/>
      <c r="AA1599" s="4">
        <f>=ROUNDDOWN({0},0)</f>
      </c>
      <c r="AB1599" s="5"/>
      <c r="AC1599" s="2" t="s">
        <v>200</v>
      </c>
      <c r="AD1599" s="4"/>
      <c r="AE1599" s="4"/>
      <c r="AF1599" s="6"/>
      <c r="AG1599" s="6"/>
      <c r="AH1599" s="7">
        <v>0.6</v>
      </c>
      <c r="AI1599" s="4"/>
      <c r="AJ1599" s="4">
        <f>=ROUNDDOWN({0},0)</f>
      </c>
      <c r="AK1599" s="5"/>
      <c r="AL1599" s="2" t="s">
        <v>200</v>
      </c>
      <c r="AM1599" s="4"/>
      <c r="AN1599" s="4"/>
      <c r="AO1599" s="7"/>
      <c r="AP1599" s="4"/>
      <c r="AQ1599" s="8"/>
      <c r="AR1599" s="4"/>
      <c r="AS1599" s="8"/>
      <c r="AT1599" s="7"/>
      <c r="AU1599" s="7"/>
      <c r="AV1599" s="4"/>
      <c r="AW1599" s="8"/>
      <c r="AX1599" s="4"/>
      <c r="AY1599" s="8"/>
      <c r="AZ1599" s="7"/>
      <c r="BA1599" s="7"/>
      <c r="BB1599" s="7"/>
      <c r="BC1599" s="4" t="s">
        <v>200</v>
      </c>
      <c r="BD1599" s="8" t="s">
        <v>200</v>
      </c>
      <c r="BE1599" s="4" t="s">
        <v>200</v>
      </c>
      <c r="BF1599" s="8" t="s">
        <v>200</v>
      </c>
      <c r="BG1599" s="7" t="s">
        <v>200</v>
      </c>
      <c r="BH1599" s="7" t="s">
        <v>200</v>
      </c>
      <c r="BI1599" s="7"/>
      <c r="BJ1599" s="4"/>
      <c r="BK1599" s="8"/>
      <c r="BL1599" s="2" t="s">
        <v>200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8473</v>
      </c>
      <c r="BV1599" s="2" t="s">
        <v>200</v>
      </c>
      <c r="BW1599" s="2" t="s">
        <v>200</v>
      </c>
      <c r="BX1599" s="2" t="s">
        <v>264</v>
      </c>
      <c r="BY1599" s="2" t="s">
        <v>247</v>
      </c>
      <c r="BZ1599" s="2" t="s">
        <v>212</v>
      </c>
      <c r="CA1599" s="2" t="s">
        <v>952</v>
      </c>
      <c r="CB1599" s="2" t="s">
        <v>200</v>
      </c>
      <c r="CC1599" s="2" t="s">
        <v>213</v>
      </c>
      <c r="CD1599" s="2" t="s">
        <v>200</v>
      </c>
      <c r="CE1599" s="4"/>
      <c r="CF1599" s="4"/>
      <c r="CG1599" s="4"/>
      <c r="CH1599" s="4"/>
      <c r="CI1599" s="4"/>
      <c r="CJ1599" s="4"/>
      <c r="CK1599" s="4"/>
      <c r="CL1599" s="4"/>
      <c r="CM1599" s="4"/>
      <c r="CN1599" s="4"/>
      <c r="CO1599" s="4"/>
      <c r="CP1599" s="4"/>
      <c r="CQ1599" s="4"/>
      <c r="CR1599" s="4"/>
      <c r="CS1599" s="4"/>
      <c r="CT1599" s="4"/>
      <c r="CU1599" s="4"/>
      <c r="CV1599" s="4"/>
      <c r="CW1599" s="4"/>
      <c r="CX1599" s="4"/>
      <c r="CY1599" s="4"/>
      <c r="CZ1599" s="4"/>
      <c r="DA1599" s="4"/>
      <c r="DB1599" s="4"/>
      <c r="DC1599" s="4"/>
      <c r="DD1599" s="4"/>
      <c r="DE1599" s="4"/>
      <c r="DF1599" s="4"/>
      <c r="DG1599" s="4"/>
      <c r="DH1599" s="4"/>
      <c r="DI1599" s="4"/>
      <c r="DJ1599" s="4"/>
      <c r="DK1599" s="4"/>
      <c r="DL1599" s="4"/>
      <c r="DM1599" s="4"/>
      <c r="DN1599" s="4"/>
      <c r="DO1599" s="4"/>
      <c r="DP1599" s="4"/>
      <c r="DQ1599" s="4"/>
      <c r="DR1599" s="4"/>
      <c r="DS1599" s="4"/>
      <c r="DT1599" s="4"/>
      <c r="DU1599" s="4"/>
      <c r="DV1599" s="4"/>
      <c r="DW1599" s="4"/>
      <c r="DX1599" s="4"/>
      <c r="DY1599" s="4"/>
      <c r="DZ1599" s="4"/>
      <c r="EA1599" s="4"/>
      <c r="EB1599" s="4"/>
      <c r="EC1599" s="4"/>
      <c r="ED1599" s="4"/>
      <c r="EE1599" s="4"/>
      <c r="EF1599" s="4"/>
      <c r="EG1599" s="4"/>
      <c r="EH1599" s="4"/>
      <c r="EI1599" s="4"/>
      <c r="EJ1599" s="4"/>
      <c r="EK1599" s="4"/>
      <c r="EL1599" s="4"/>
      <c r="EM1599" s="4"/>
      <c r="EN1599" s="4"/>
      <c r="EO1599" s="4"/>
      <c r="EP1599" s="4"/>
      <c r="EQ1599" s="4"/>
      <c r="ER1599" s="4"/>
      <c r="ES1599" s="4"/>
      <c r="ET1599" s="4"/>
      <c r="EU1599" s="4"/>
      <c r="EV1599" s="4"/>
      <c r="EW1599" s="4"/>
      <c r="EX1599" s="4"/>
      <c r="EY1599" s="4"/>
      <c r="EZ1599" s="4"/>
      <c r="FA1599" s="4"/>
      <c r="FB1599" s="4"/>
      <c r="FC1599" s="4"/>
      <c r="FD1599" s="4"/>
      <c r="FE1599" s="4"/>
      <c r="FF1599" s="4"/>
      <c r="FG1599" s="4"/>
      <c r="FH1599" s="4"/>
      <c r="FI1599" s="4"/>
      <c r="FJ1599" s="4"/>
      <c r="FK1599" s="4"/>
      <c r="FL1599" s="4"/>
      <c r="FM1599" s="4"/>
      <c r="FN1599" s="4"/>
      <c r="FO1599" s="4"/>
      <c r="FP1599" s="4"/>
      <c r="FQ1599" s="4"/>
      <c r="FR1599" s="4"/>
      <c r="FS1599" s="4"/>
      <c r="FT1599" s="4"/>
      <c r="FU1599" s="4"/>
      <c r="FV1599" s="4"/>
      <c r="FW1599" s="4"/>
      <c r="FX1599" s="4"/>
      <c r="FY1599" s="4"/>
      <c r="FZ1599" s="4"/>
      <c r="GA1599" s="4"/>
      <c r="GB1599" s="4"/>
      <c r="GC1599" s="4"/>
      <c r="GD1599" s="4"/>
      <c r="GE1599" s="4"/>
      <c r="GF1599" s="4"/>
      <c r="GG1599" s="4"/>
      <c r="GH1599" s="4"/>
    </row>
    <row r="1600">
      <c r="A1600" s="2" t="s">
        <v>8474</v>
      </c>
      <c r="B1600" s="2" t="s">
        <v>744</v>
      </c>
      <c r="C1600" s="2" t="s">
        <v>745</v>
      </c>
      <c r="D1600" s="2" t="s">
        <v>1462</v>
      </c>
      <c r="E1600" s="2" t="s">
        <v>8461</v>
      </c>
      <c r="F1600" s="2" t="s">
        <v>8462</v>
      </c>
      <c r="G1600" s="2" t="s">
        <v>8462</v>
      </c>
      <c r="H1600" s="2" t="s">
        <v>8462</v>
      </c>
      <c r="I1600" s="2" t="s">
        <v>8475</v>
      </c>
      <c r="J1600" s="2" t="s">
        <v>711</v>
      </c>
      <c r="K1600" s="2" t="s">
        <v>5783</v>
      </c>
      <c r="L1600" s="3">
        <v>730.65</v>
      </c>
      <c r="M1600" s="3">
        <v>767.18</v>
      </c>
      <c r="N1600" s="3">
        <v>1549</v>
      </c>
      <c r="O1600" s="2" t="s">
        <v>212</v>
      </c>
      <c r="P1600" s="2" t="s">
        <v>802</v>
      </c>
      <c r="Q1600" s="2" t="s">
        <v>206</v>
      </c>
      <c r="R1600" s="2" t="s">
        <v>16</v>
      </c>
      <c r="S1600" s="2" t="s">
        <v>200</v>
      </c>
      <c r="T1600" s="2" t="s">
        <v>200</v>
      </c>
      <c r="U1600" s="2" t="s">
        <v>662</v>
      </c>
      <c r="V1600" s="2" t="s">
        <v>208</v>
      </c>
      <c r="W1600" s="2" t="s">
        <v>2095</v>
      </c>
      <c r="X1600" s="2" t="s">
        <v>379</v>
      </c>
      <c r="Y1600" s="2" t="s">
        <v>8476</v>
      </c>
      <c r="Z1600" s="4"/>
      <c r="AA1600" s="4">
        <f>=ROUNDDOWN({0},0)</f>
      </c>
      <c r="AB1600" s="5"/>
      <c r="AC1600" s="2" t="s">
        <v>200</v>
      </c>
      <c r="AD1600" s="4"/>
      <c r="AE1600" s="4"/>
      <c r="AF1600" s="6"/>
      <c r="AG1600" s="6"/>
      <c r="AH1600" s="7">
        <v>0.6333</v>
      </c>
      <c r="AI1600" s="4"/>
      <c r="AJ1600" s="4">
        <f>=ROUNDDOWN({0},0)</f>
      </c>
      <c r="AK1600" s="5"/>
      <c r="AL1600" s="2" t="s">
        <v>200</v>
      </c>
      <c r="AM1600" s="4"/>
      <c r="AN1600" s="4"/>
      <c r="AO1600" s="7"/>
      <c r="AP1600" s="4"/>
      <c r="AQ1600" s="8"/>
      <c r="AR1600" s="4"/>
      <c r="AS1600" s="8"/>
      <c r="AT1600" s="7"/>
      <c r="AU1600" s="7"/>
      <c r="AV1600" s="4"/>
      <c r="AW1600" s="8"/>
      <c r="AX1600" s="4"/>
      <c r="AY1600" s="8"/>
      <c r="AZ1600" s="7"/>
      <c r="BA1600" s="7"/>
      <c r="BB1600" s="7"/>
      <c r="BC1600" s="4" t="s">
        <v>200</v>
      </c>
      <c r="BD1600" s="8" t="s">
        <v>200</v>
      </c>
      <c r="BE1600" s="4" t="s">
        <v>200</v>
      </c>
      <c r="BF1600" s="8" t="s">
        <v>200</v>
      </c>
      <c r="BG1600" s="7" t="s">
        <v>200</v>
      </c>
      <c r="BH1600" s="7" t="s">
        <v>200</v>
      </c>
      <c r="BI1600" s="7"/>
      <c r="BJ1600" s="4"/>
      <c r="BK1600" s="8"/>
      <c r="BL1600" s="2" t="s">
        <v>200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8477</v>
      </c>
      <c r="BV1600" s="2" t="s">
        <v>200</v>
      </c>
      <c r="BW1600" s="2" t="s">
        <v>200</v>
      </c>
      <c r="BX1600" s="2" t="s">
        <v>264</v>
      </c>
      <c r="BY1600" s="2" t="s">
        <v>247</v>
      </c>
      <c r="BZ1600" s="2" t="s">
        <v>212</v>
      </c>
      <c r="CA1600" s="2" t="s">
        <v>952</v>
      </c>
      <c r="CB1600" s="2" t="s">
        <v>200</v>
      </c>
      <c r="CC1600" s="2" t="s">
        <v>213</v>
      </c>
      <c r="CD1600" s="2" t="s">
        <v>200</v>
      </c>
      <c r="CE1600" s="4"/>
      <c r="CF1600" s="4"/>
      <c r="CG1600" s="4"/>
      <c r="CH1600" s="4"/>
      <c r="CI1600" s="4"/>
      <c r="CJ1600" s="4"/>
      <c r="CK1600" s="4"/>
      <c r="CL1600" s="4"/>
      <c r="CM1600" s="4"/>
      <c r="CN1600" s="4"/>
      <c r="CO1600" s="4"/>
      <c r="CP1600" s="4"/>
      <c r="CQ1600" s="4"/>
      <c r="CR1600" s="4"/>
      <c r="CS1600" s="4"/>
      <c r="CT1600" s="4"/>
      <c r="CU1600" s="4"/>
      <c r="CV1600" s="4"/>
      <c r="CW1600" s="4"/>
      <c r="CX1600" s="4"/>
      <c r="CY1600" s="4"/>
      <c r="CZ1600" s="4"/>
      <c r="DA1600" s="4"/>
      <c r="DB1600" s="4"/>
      <c r="DC1600" s="4"/>
      <c r="DD1600" s="4"/>
      <c r="DE1600" s="4"/>
      <c r="DF1600" s="4"/>
      <c r="DG1600" s="4"/>
      <c r="DH1600" s="4"/>
      <c r="DI1600" s="4"/>
      <c r="DJ1600" s="4"/>
      <c r="DK1600" s="4"/>
      <c r="DL1600" s="4"/>
      <c r="DM1600" s="4"/>
      <c r="DN1600" s="4"/>
      <c r="DO1600" s="4"/>
      <c r="DP1600" s="4"/>
      <c r="DQ1600" s="4"/>
      <c r="DR1600" s="4"/>
      <c r="DS1600" s="4"/>
      <c r="DT1600" s="4"/>
      <c r="DU1600" s="4"/>
      <c r="DV1600" s="4"/>
      <c r="DW1600" s="4"/>
      <c r="DX1600" s="4"/>
      <c r="DY1600" s="4"/>
      <c r="DZ1600" s="4"/>
      <c r="EA1600" s="4"/>
      <c r="EB1600" s="4"/>
      <c r="EC1600" s="4"/>
      <c r="ED1600" s="4"/>
      <c r="EE1600" s="4"/>
      <c r="EF1600" s="4"/>
      <c r="EG1600" s="4"/>
      <c r="EH1600" s="4"/>
      <c r="EI1600" s="4"/>
      <c r="EJ1600" s="4"/>
      <c r="EK1600" s="4"/>
      <c r="EL1600" s="4"/>
      <c r="EM1600" s="4"/>
      <c r="EN1600" s="4"/>
      <c r="EO1600" s="4"/>
      <c r="EP1600" s="4"/>
      <c r="EQ1600" s="4"/>
      <c r="ER1600" s="4"/>
      <c r="ES1600" s="4"/>
      <c r="ET1600" s="4"/>
      <c r="EU1600" s="4"/>
      <c r="EV1600" s="4"/>
      <c r="EW1600" s="4"/>
      <c r="EX1600" s="4"/>
      <c r="EY1600" s="4"/>
      <c r="EZ1600" s="4"/>
      <c r="FA1600" s="4"/>
      <c r="FB1600" s="4"/>
      <c r="FC1600" s="4"/>
      <c r="FD1600" s="4"/>
      <c r="FE1600" s="4"/>
      <c r="FF1600" s="4"/>
      <c r="FG1600" s="4"/>
      <c r="FH1600" s="4"/>
      <c r="FI1600" s="4"/>
      <c r="FJ1600" s="4"/>
      <c r="FK1600" s="4"/>
      <c r="FL1600" s="4"/>
      <c r="FM1600" s="4"/>
      <c r="FN1600" s="4"/>
      <c r="FO1600" s="4"/>
      <c r="FP1600" s="4"/>
      <c r="FQ1600" s="4"/>
      <c r="FR1600" s="4"/>
      <c r="FS1600" s="4"/>
      <c r="FT1600" s="4"/>
      <c r="FU1600" s="4"/>
      <c r="FV1600" s="4"/>
      <c r="FW1600" s="4"/>
      <c r="FX1600" s="4"/>
      <c r="FY1600" s="4"/>
      <c r="FZ1600" s="4"/>
      <c r="GA1600" s="4"/>
      <c r="GB1600" s="4"/>
      <c r="GC1600" s="4"/>
      <c r="GD1600" s="4"/>
      <c r="GE1600" s="4"/>
      <c r="GF1600" s="4"/>
      <c r="GG1600" s="4"/>
      <c r="GH1600" s="4"/>
    </row>
    <row r="1601">
      <c r="A1601" s="2" t="s">
        <v>8478</v>
      </c>
      <c r="B1601" s="2" t="s">
        <v>992</v>
      </c>
      <c r="C1601" s="2" t="s">
        <v>231</v>
      </c>
      <c r="D1601" s="2" t="s">
        <v>992</v>
      </c>
      <c r="E1601" s="2" t="s">
        <v>992</v>
      </c>
      <c r="F1601" s="2" t="s">
        <v>8479</v>
      </c>
      <c r="G1601" s="2" t="s">
        <v>8479</v>
      </c>
      <c r="H1601" s="2" t="s">
        <v>8479</v>
      </c>
      <c r="I1601" s="2" t="s">
        <v>8480</v>
      </c>
      <c r="J1601" s="2" t="s">
        <v>997</v>
      </c>
      <c r="K1601" s="2" t="s">
        <v>857</v>
      </c>
      <c r="L1601" s="3">
        <v>89.7</v>
      </c>
      <c r="M1601" s="3">
        <v>94.19</v>
      </c>
      <c r="N1601" s="3">
        <v>199.99</v>
      </c>
      <c r="O1601" s="2" t="s">
        <v>460</v>
      </c>
      <c r="P1601" s="2" t="s">
        <v>285</v>
      </c>
      <c r="Q1601" s="2" t="s">
        <v>206</v>
      </c>
      <c r="R1601" s="2" t="s">
        <v>200</v>
      </c>
      <c r="S1601" s="2" t="s">
        <v>200</v>
      </c>
      <c r="T1601" s="2" t="s">
        <v>200</v>
      </c>
      <c r="U1601" s="2" t="s">
        <v>270</v>
      </c>
      <c r="V1601" s="2" t="s">
        <v>208</v>
      </c>
      <c r="W1601" s="2" t="s">
        <v>419</v>
      </c>
      <c r="X1601" s="2" t="s">
        <v>200</v>
      </c>
      <c r="Y1601" s="2" t="s">
        <v>7070</v>
      </c>
      <c r="Z1601" s="4">
        <v>173</v>
      </c>
      <c r="AA1601" s="4">
        <f>=ROUNDDOWN(69.2,0)</f>
      </c>
      <c r="AB1601" s="5">
        <v>2.5</v>
      </c>
      <c r="AC1601" s="2" t="s">
        <v>200</v>
      </c>
      <c r="AD1601" s="4"/>
      <c r="AE1601" s="4"/>
      <c r="AF1601" s="6">
        <v>63</v>
      </c>
      <c r="AG1601" s="6"/>
      <c r="AH1601" s="7">
        <v>1</v>
      </c>
      <c r="AI1601" s="4"/>
      <c r="AJ1601" s="4">
        <f>=ROUNDDOWN({0},0)</f>
      </c>
      <c r="AK1601" s="5"/>
      <c r="AL1601" s="2" t="s">
        <v>200</v>
      </c>
      <c r="AM1601" s="4"/>
      <c r="AN1601" s="4"/>
      <c r="AO1601" s="7"/>
      <c r="AP1601" s="4"/>
      <c r="AQ1601" s="8"/>
      <c r="AR1601" s="4"/>
      <c r="AS1601" s="8"/>
      <c r="AT1601" s="7"/>
      <c r="AU1601" s="7"/>
      <c r="AV1601" s="4" t="s">
        <v>200</v>
      </c>
      <c r="AW1601" s="8" t="s">
        <v>200</v>
      </c>
      <c r="AX1601" s="4" t="s">
        <v>200</v>
      </c>
      <c r="AY1601" s="8" t="s">
        <v>200</v>
      </c>
      <c r="AZ1601" s="7" t="s">
        <v>200</v>
      </c>
      <c r="BA1601" s="7" t="s">
        <v>200</v>
      </c>
      <c r="BB1601" s="7"/>
      <c r="BC1601" s="4" t="s">
        <v>200</v>
      </c>
      <c r="BD1601" s="8" t="s">
        <v>200</v>
      </c>
      <c r="BE1601" s="4" t="s">
        <v>200</v>
      </c>
      <c r="BF1601" s="8" t="s">
        <v>200</v>
      </c>
      <c r="BG1601" s="7" t="s">
        <v>200</v>
      </c>
      <c r="BH1601" s="7" t="s">
        <v>200</v>
      </c>
      <c r="BI1601" s="7"/>
      <c r="BJ1601" s="4"/>
      <c r="BK1601" s="8"/>
      <c r="BL1601" s="2" t="s">
        <v>1675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8481</v>
      </c>
      <c r="BV1601" s="2" t="s">
        <v>200</v>
      </c>
      <c r="BW1601" s="2" t="s">
        <v>200</v>
      </c>
      <c r="BX1601" s="2" t="s">
        <v>289</v>
      </c>
      <c r="BY1601" s="2" t="s">
        <v>247</v>
      </c>
      <c r="BZ1601" s="2" t="s">
        <v>212</v>
      </c>
      <c r="CA1601" s="2" t="s">
        <v>8482</v>
      </c>
      <c r="CB1601" s="2" t="s">
        <v>473</v>
      </c>
      <c r="CC1601" s="2" t="s">
        <v>213</v>
      </c>
      <c r="CD1601" s="2" t="s">
        <v>200</v>
      </c>
      <c r="CE1601" s="4"/>
      <c r="CF1601" s="4">
        <v>173</v>
      </c>
      <c r="CG1601" s="4"/>
      <c r="CH1601" s="4"/>
      <c r="CI1601" s="4"/>
      <c r="CJ1601" s="4"/>
      <c r="CK1601" s="4"/>
      <c r="CL1601" s="4"/>
      <c r="CM1601" s="4"/>
      <c r="CN1601" s="4"/>
      <c r="CO1601" s="4"/>
      <c r="CP1601" s="4"/>
      <c r="CQ1601" s="4"/>
      <c r="CR1601" s="4"/>
      <c r="CS1601" s="4"/>
      <c r="CT1601" s="4"/>
      <c r="CU1601" s="4"/>
      <c r="CV1601" s="4"/>
      <c r="CW1601" s="4"/>
      <c r="CX1601" s="4"/>
      <c r="CY1601" s="4"/>
      <c r="CZ1601" s="4"/>
      <c r="DA1601" s="4"/>
      <c r="DB1601" s="4"/>
      <c r="DC1601" s="4"/>
      <c r="DD1601" s="4"/>
      <c r="DE1601" s="4"/>
      <c r="DF1601" s="4"/>
      <c r="DG1601" s="4"/>
      <c r="DH1601" s="4"/>
      <c r="DI1601" s="4"/>
      <c r="DJ1601" s="4"/>
      <c r="DK1601" s="4"/>
      <c r="DL1601" s="4"/>
      <c r="DM1601" s="4"/>
      <c r="DN1601" s="4"/>
      <c r="DO1601" s="4"/>
      <c r="DP1601" s="4"/>
      <c r="DQ1601" s="4"/>
      <c r="DR1601" s="4"/>
      <c r="DS1601" s="4"/>
      <c r="DT1601" s="4"/>
      <c r="DU1601" s="4"/>
      <c r="DV1601" s="4"/>
      <c r="DW1601" s="4"/>
      <c r="DX1601" s="4"/>
      <c r="DY1601" s="4"/>
      <c r="DZ1601" s="4"/>
      <c r="EA1601" s="4"/>
      <c r="EB1601" s="4"/>
      <c r="EC1601" s="4"/>
      <c r="ED1601" s="4"/>
      <c r="EE1601" s="4"/>
      <c r="EF1601" s="4"/>
      <c r="EG1601" s="4"/>
      <c r="EH1601" s="4"/>
      <c r="EI1601" s="4"/>
      <c r="EJ1601" s="4"/>
      <c r="EK1601" s="4"/>
      <c r="EL1601" s="4"/>
      <c r="EM1601" s="4"/>
      <c r="EN1601" s="4"/>
      <c r="EO1601" s="4"/>
      <c r="EP1601" s="4"/>
      <c r="EQ1601" s="4"/>
      <c r="ER1601" s="4"/>
      <c r="ES1601" s="4"/>
      <c r="ET1601" s="4"/>
      <c r="EU1601" s="4"/>
      <c r="EV1601" s="4"/>
      <c r="EW1601" s="4"/>
      <c r="EX1601" s="4"/>
      <c r="EY1601" s="4"/>
      <c r="EZ1601" s="4"/>
      <c r="FA1601" s="4"/>
      <c r="FB1601" s="4"/>
      <c r="FC1601" s="4"/>
      <c r="FD1601" s="4"/>
      <c r="FE1601" s="4"/>
      <c r="FF1601" s="4"/>
      <c r="FG1601" s="4"/>
      <c r="FH1601" s="4"/>
      <c r="FI1601" s="4"/>
      <c r="FJ1601" s="4"/>
      <c r="FK1601" s="4"/>
      <c r="FL1601" s="4"/>
      <c r="FM1601" s="4"/>
      <c r="FN1601" s="4"/>
      <c r="FO1601" s="4"/>
      <c r="FP1601" s="4"/>
      <c r="FQ1601" s="4"/>
      <c r="FR1601" s="4"/>
      <c r="FS1601" s="4"/>
      <c r="FT1601" s="4"/>
      <c r="FU1601" s="4"/>
      <c r="FV1601" s="4"/>
      <c r="FW1601" s="4"/>
      <c r="FX1601" s="4"/>
      <c r="FY1601" s="4"/>
      <c r="FZ1601" s="4"/>
      <c r="GA1601" s="4"/>
      <c r="GB1601" s="4"/>
      <c r="GC1601" s="4"/>
      <c r="GD1601" s="4"/>
      <c r="GE1601" s="4"/>
      <c r="GF1601" s="4"/>
      <c r="GG1601" s="4"/>
      <c r="GH1601" s="4"/>
    </row>
    <row r="1602">
      <c r="A1602" s="2" t="s">
        <v>8483</v>
      </c>
      <c r="B1602" s="2" t="s">
        <v>992</v>
      </c>
      <c r="C1602" s="2" t="s">
        <v>231</v>
      </c>
      <c r="D1602" s="2" t="s">
        <v>992</v>
      </c>
      <c r="E1602" s="2" t="s">
        <v>992</v>
      </c>
      <c r="F1602" s="2" t="s">
        <v>8479</v>
      </c>
      <c r="G1602" s="2" t="s">
        <v>8479</v>
      </c>
      <c r="H1602" s="2" t="s">
        <v>8479</v>
      </c>
      <c r="I1602" s="2" t="s">
        <v>8480</v>
      </c>
      <c r="J1602" s="2" t="s">
        <v>1585</v>
      </c>
      <c r="K1602" s="2" t="s">
        <v>857</v>
      </c>
      <c r="L1602" s="3">
        <v>211.98</v>
      </c>
      <c r="M1602" s="3">
        <v>222.58</v>
      </c>
      <c r="N1602" s="3">
        <v>474.99</v>
      </c>
      <c r="O1602" s="2" t="s">
        <v>460</v>
      </c>
      <c r="P1602" s="2" t="s">
        <v>285</v>
      </c>
      <c r="Q1602" s="2" t="s">
        <v>206</v>
      </c>
      <c r="R1602" s="2" t="s">
        <v>200</v>
      </c>
      <c r="S1602" s="2" t="s">
        <v>200</v>
      </c>
      <c r="T1602" s="2" t="s">
        <v>200</v>
      </c>
      <c r="U1602" s="2" t="s">
        <v>270</v>
      </c>
      <c r="V1602" s="2" t="s">
        <v>208</v>
      </c>
      <c r="W1602" s="2" t="s">
        <v>419</v>
      </c>
      <c r="X1602" s="2" t="s">
        <v>200</v>
      </c>
      <c r="Y1602" s="2" t="s">
        <v>7070</v>
      </c>
      <c r="Z1602" s="4">
        <v>80</v>
      </c>
      <c r="AA1602" s="4">
        <f>=ROUNDDOWN(88.8888888888889,0)</f>
      </c>
      <c r="AB1602" s="5">
        <v>0.9</v>
      </c>
      <c r="AC1602" s="2" t="s">
        <v>200</v>
      </c>
      <c r="AD1602" s="4"/>
      <c r="AE1602" s="4"/>
      <c r="AF1602" s="6">
        <v>63</v>
      </c>
      <c r="AG1602" s="6"/>
      <c r="AH1602" s="7">
        <v>1</v>
      </c>
      <c r="AI1602" s="4"/>
      <c r="AJ1602" s="4">
        <f>=ROUNDDOWN({0},0)</f>
      </c>
      <c r="AK1602" s="5"/>
      <c r="AL1602" s="2" t="s">
        <v>200</v>
      </c>
      <c r="AM1602" s="4"/>
      <c r="AN1602" s="4"/>
      <c r="AO1602" s="7"/>
      <c r="AP1602" s="4"/>
      <c r="AQ1602" s="8"/>
      <c r="AR1602" s="4"/>
      <c r="AS1602" s="8"/>
      <c r="AT1602" s="7"/>
      <c r="AU1602" s="7"/>
      <c r="AV1602" s="4" t="s">
        <v>200</v>
      </c>
      <c r="AW1602" s="8" t="s">
        <v>200</v>
      </c>
      <c r="AX1602" s="4" t="s">
        <v>200</v>
      </c>
      <c r="AY1602" s="8" t="s">
        <v>200</v>
      </c>
      <c r="AZ1602" s="7" t="s">
        <v>200</v>
      </c>
      <c r="BA1602" s="7" t="s">
        <v>200</v>
      </c>
      <c r="BB1602" s="7"/>
      <c r="BC1602" s="4" t="s">
        <v>200</v>
      </c>
      <c r="BD1602" s="8" t="s">
        <v>200</v>
      </c>
      <c r="BE1602" s="4" t="s">
        <v>200</v>
      </c>
      <c r="BF1602" s="8" t="s">
        <v>200</v>
      </c>
      <c r="BG1602" s="7" t="s">
        <v>200</v>
      </c>
      <c r="BH1602" s="7" t="s">
        <v>200</v>
      </c>
      <c r="BI1602" s="7"/>
      <c r="BJ1602" s="4">
        <v>3</v>
      </c>
      <c r="BK1602" s="8"/>
      <c r="BL1602" s="2" t="s">
        <v>1675</v>
      </c>
      <c r="BM1602" s="7"/>
      <c r="BN1602" s="7"/>
      <c r="BO1602" s="4"/>
      <c r="BP1602" s="8"/>
      <c r="BQ1602" s="4"/>
      <c r="BR1602" s="8"/>
      <c r="BS1602" s="7"/>
      <c r="BT1602" s="7"/>
      <c r="BU1602" s="2" t="s">
        <v>8484</v>
      </c>
      <c r="BV1602" s="2" t="s">
        <v>200</v>
      </c>
      <c r="BW1602" s="2" t="s">
        <v>200</v>
      </c>
      <c r="BX1602" s="2" t="s">
        <v>289</v>
      </c>
      <c r="BY1602" s="2" t="s">
        <v>247</v>
      </c>
      <c r="BZ1602" s="2" t="s">
        <v>212</v>
      </c>
      <c r="CA1602" s="2" t="s">
        <v>8482</v>
      </c>
      <c r="CB1602" s="2" t="s">
        <v>5085</v>
      </c>
      <c r="CC1602" s="2" t="s">
        <v>213</v>
      </c>
      <c r="CD1602" s="2" t="s">
        <v>200</v>
      </c>
      <c r="CE1602" s="4"/>
      <c r="CF1602" s="4">
        <v>80</v>
      </c>
      <c r="CG1602" s="4"/>
      <c r="CH1602" s="4"/>
      <c r="CI1602" s="4"/>
      <c r="CJ1602" s="4"/>
      <c r="CK1602" s="4"/>
      <c r="CL1602" s="4"/>
      <c r="CM1602" s="4"/>
      <c r="CN1602" s="4"/>
      <c r="CO1602" s="4"/>
      <c r="CP1602" s="4"/>
      <c r="CQ1602" s="4"/>
      <c r="CR1602" s="4"/>
      <c r="CS1602" s="4"/>
      <c r="CT1602" s="4"/>
      <c r="CU1602" s="4"/>
      <c r="CV1602" s="4"/>
      <c r="CW1602" s="4"/>
      <c r="CX1602" s="4"/>
      <c r="CY1602" s="4"/>
      <c r="CZ1602" s="4"/>
      <c r="DA1602" s="4"/>
      <c r="DB1602" s="4"/>
      <c r="DC1602" s="4"/>
      <c r="DD1602" s="4"/>
      <c r="DE1602" s="4"/>
      <c r="DF1602" s="4"/>
      <c r="DG1602" s="4"/>
      <c r="DH1602" s="4"/>
      <c r="DI1602" s="4"/>
      <c r="DJ1602" s="4"/>
      <c r="DK1602" s="4"/>
      <c r="DL1602" s="4"/>
      <c r="DM1602" s="4"/>
      <c r="DN1602" s="4"/>
      <c r="DO1602" s="4"/>
      <c r="DP1602" s="4"/>
      <c r="DQ1602" s="4"/>
      <c r="DR1602" s="4"/>
      <c r="DS1602" s="4"/>
      <c r="DT1602" s="4"/>
      <c r="DU1602" s="4"/>
      <c r="DV1602" s="4"/>
      <c r="DW1602" s="4"/>
      <c r="DX1602" s="4"/>
      <c r="DY1602" s="4"/>
      <c r="DZ1602" s="4"/>
      <c r="EA1602" s="4"/>
      <c r="EB1602" s="4"/>
      <c r="EC1602" s="4"/>
      <c r="ED1602" s="4"/>
      <c r="EE1602" s="4"/>
      <c r="EF1602" s="4"/>
      <c r="EG1602" s="4"/>
      <c r="EH1602" s="4"/>
      <c r="EI1602" s="4"/>
      <c r="EJ1602" s="4"/>
      <c r="EK1602" s="4"/>
      <c r="EL1602" s="4"/>
      <c r="EM1602" s="4"/>
      <c r="EN1602" s="4"/>
      <c r="EO1602" s="4"/>
      <c r="EP1602" s="4"/>
      <c r="EQ1602" s="4"/>
      <c r="ER1602" s="4"/>
      <c r="ES1602" s="4"/>
      <c r="ET1602" s="4"/>
      <c r="EU1602" s="4"/>
      <c r="EV1602" s="4"/>
      <c r="EW1602" s="4"/>
      <c r="EX1602" s="4"/>
      <c r="EY1602" s="4"/>
      <c r="EZ1602" s="4"/>
      <c r="FA1602" s="4"/>
      <c r="FB1602" s="4"/>
      <c r="FC1602" s="4"/>
      <c r="FD1602" s="4"/>
      <c r="FE1602" s="4"/>
      <c r="FF1602" s="4"/>
      <c r="FG1602" s="4"/>
      <c r="FH1602" s="4"/>
      <c r="FI1602" s="4"/>
      <c r="FJ1602" s="4"/>
      <c r="FK1602" s="4"/>
      <c r="FL1602" s="4"/>
      <c r="FM1602" s="4"/>
      <c r="FN1602" s="4"/>
      <c r="FO1602" s="4"/>
      <c r="FP1602" s="4"/>
      <c r="FQ1602" s="4"/>
      <c r="FR1602" s="4"/>
      <c r="FS1602" s="4"/>
      <c r="FT1602" s="4"/>
      <c r="FU1602" s="4"/>
      <c r="FV1602" s="4"/>
      <c r="FW1602" s="4"/>
      <c r="FX1602" s="4"/>
      <c r="FY1602" s="4"/>
      <c r="FZ1602" s="4"/>
      <c r="GA1602" s="4"/>
      <c r="GB1602" s="4"/>
      <c r="GC1602" s="4"/>
      <c r="GD1602" s="4"/>
      <c r="GE1602" s="4"/>
      <c r="GF1602" s="4"/>
      <c r="GG1602" s="4"/>
      <c r="GH1602" s="4"/>
    </row>
    <row r="1603">
      <c r="A1603" s="2" t="s">
        <v>8485</v>
      </c>
      <c r="B1603" s="2" t="s">
        <v>827</v>
      </c>
      <c r="C1603" s="2" t="s">
        <v>877</v>
      </c>
      <c r="D1603" s="2" t="s">
        <v>828</v>
      </c>
      <c r="E1603" s="2" t="s">
        <v>1011</v>
      </c>
      <c r="F1603" s="2" t="s">
        <v>3187</v>
      </c>
      <c r="G1603" s="2" t="s">
        <v>5862</v>
      </c>
      <c r="H1603" s="2" t="s">
        <v>1355</v>
      </c>
      <c r="I1603" s="2" t="s">
        <v>8486</v>
      </c>
      <c r="J1603" s="2" t="s">
        <v>4001</v>
      </c>
      <c r="K1603" s="2" t="s">
        <v>237</v>
      </c>
      <c r="L1603" s="3">
        <v>12.3</v>
      </c>
      <c r="M1603" s="3">
        <v>12.92</v>
      </c>
      <c r="N1603" s="3">
        <v>29.99</v>
      </c>
      <c r="O1603" s="2" t="s">
        <v>212</v>
      </c>
      <c r="P1603" s="2" t="s">
        <v>258</v>
      </c>
      <c r="Q1603" s="2" t="s">
        <v>206</v>
      </c>
      <c r="R1603" s="2" t="s">
        <v>200</v>
      </c>
      <c r="S1603" s="2" t="s">
        <v>8487</v>
      </c>
      <c r="T1603" s="2" t="s">
        <v>200</v>
      </c>
      <c r="U1603" s="2" t="s">
        <v>270</v>
      </c>
      <c r="V1603" s="2" t="s">
        <v>3191</v>
      </c>
      <c r="W1603" s="2" t="s">
        <v>241</v>
      </c>
      <c r="X1603" s="2" t="s">
        <v>1078</v>
      </c>
      <c r="Y1603" s="2" t="s">
        <v>8488</v>
      </c>
      <c r="Z1603" s="4">
        <v>187</v>
      </c>
      <c r="AA1603" s="4">
        <f>=ROUNDDOWN(26.7142857142857,0)</f>
      </c>
      <c r="AB1603" s="5">
        <v>7</v>
      </c>
      <c r="AC1603" s="2" t="s">
        <v>112</v>
      </c>
      <c r="AD1603" s="4">
        <v>124</v>
      </c>
      <c r="AE1603" s="4">
        <v>424</v>
      </c>
      <c r="AF1603" s="6">
        <v>65</v>
      </c>
      <c r="AG1603" s="6"/>
      <c r="AH1603" s="7">
        <v>0.4667</v>
      </c>
      <c r="AI1603" s="4"/>
      <c r="AJ1603" s="4">
        <f>=ROUNDDOWN({0},0)</f>
      </c>
      <c r="AK1603" s="5"/>
      <c r="AL1603" s="2" t="s">
        <v>200</v>
      </c>
      <c r="AM1603" s="4"/>
      <c r="AN1603" s="4"/>
      <c r="AO1603" s="7"/>
      <c r="AP1603" s="4"/>
      <c r="AQ1603" s="8"/>
      <c r="AR1603" s="4"/>
      <c r="AS1603" s="8"/>
      <c r="AT1603" s="7"/>
      <c r="AU1603" s="7"/>
      <c r="AV1603" s="4" t="s">
        <v>200</v>
      </c>
      <c r="AW1603" s="8" t="s">
        <v>200</v>
      </c>
      <c r="AX1603" s="4" t="s">
        <v>200</v>
      </c>
      <c r="AY1603" s="8" t="s">
        <v>200</v>
      </c>
      <c r="AZ1603" s="7" t="s">
        <v>200</v>
      </c>
      <c r="BA1603" s="7" t="s">
        <v>200</v>
      </c>
      <c r="BB1603" s="7"/>
      <c r="BC1603" s="4" t="s">
        <v>200</v>
      </c>
      <c r="BD1603" s="8" t="s">
        <v>200</v>
      </c>
      <c r="BE1603" s="4" t="s">
        <v>200</v>
      </c>
      <c r="BF1603" s="8" t="s">
        <v>200</v>
      </c>
      <c r="BG1603" s="7" t="s">
        <v>200</v>
      </c>
      <c r="BH1603" s="7" t="s">
        <v>200</v>
      </c>
      <c r="BI1603" s="7"/>
      <c r="BJ1603" s="4">
        <v>4</v>
      </c>
      <c r="BK1603" s="8">
        <v>54.56</v>
      </c>
      <c r="BL1603" s="2" t="s">
        <v>8489</v>
      </c>
      <c r="BM1603" s="7"/>
      <c r="BN1603" s="7"/>
      <c r="BO1603" s="4"/>
      <c r="BP1603" s="8"/>
      <c r="BQ1603" s="4"/>
      <c r="BR1603" s="8"/>
      <c r="BS1603" s="7"/>
      <c r="BT1603" s="7"/>
      <c r="BU1603" s="2" t="s">
        <v>8490</v>
      </c>
      <c r="BV1603" s="2" t="s">
        <v>200</v>
      </c>
      <c r="BW1603" s="2" t="s">
        <v>200</v>
      </c>
      <c r="BX1603" s="2" t="s">
        <v>264</v>
      </c>
      <c r="BY1603" s="2" t="s">
        <v>247</v>
      </c>
      <c r="BZ1603" s="2" t="s">
        <v>212</v>
      </c>
      <c r="CA1603" s="2" t="s">
        <v>4676</v>
      </c>
      <c r="CB1603" s="2" t="s">
        <v>8491</v>
      </c>
      <c r="CC1603" s="2" t="s">
        <v>213</v>
      </c>
      <c r="CD1603" s="2" t="s">
        <v>200</v>
      </c>
      <c r="CE1603" s="4">
        <v>187</v>
      </c>
      <c r="CF1603" s="4"/>
      <c r="CG1603" s="4"/>
      <c r="CH1603" s="4"/>
      <c r="CI1603" s="4"/>
      <c r="CJ1603" s="4"/>
      <c r="CK1603" s="4"/>
      <c r="CL1603" s="4"/>
      <c r="CM1603" s="4"/>
      <c r="CN1603" s="4"/>
      <c r="CO1603" s="4"/>
      <c r="CP1603" s="4"/>
      <c r="CQ1603" s="4"/>
      <c r="CR1603" s="4"/>
      <c r="CS1603" s="4"/>
      <c r="CT1603" s="4"/>
      <c r="CU1603" s="4"/>
      <c r="CV1603" s="4"/>
      <c r="CW1603" s="4"/>
      <c r="CX1603" s="4"/>
      <c r="CY1603" s="4">
        <v>124</v>
      </c>
      <c r="CZ1603" s="4"/>
      <c r="DA1603" s="4"/>
      <c r="DB1603" s="4"/>
      <c r="DC1603" s="4"/>
      <c r="DD1603" s="4"/>
      <c r="DE1603" s="4"/>
      <c r="DF1603" s="4"/>
      <c r="DG1603" s="4"/>
      <c r="DH1603" s="4"/>
      <c r="DI1603" s="4"/>
      <c r="DJ1603" s="4"/>
      <c r="DK1603" s="4"/>
      <c r="DL1603" s="4"/>
      <c r="DM1603" s="4"/>
      <c r="DN1603" s="4"/>
      <c r="DO1603" s="4"/>
      <c r="DP1603" s="4"/>
      <c r="DQ1603" s="4"/>
      <c r="DR1603" s="4">
        <v>160</v>
      </c>
      <c r="DS1603" s="4"/>
      <c r="DT1603" s="4"/>
      <c r="DU1603" s="4"/>
      <c r="DV1603" s="4"/>
      <c r="DW1603" s="4"/>
      <c r="DX1603" s="4"/>
      <c r="DY1603" s="4"/>
      <c r="DZ1603" s="4"/>
      <c r="EA1603" s="4"/>
      <c r="EB1603" s="4"/>
      <c r="EC1603" s="4"/>
      <c r="ED1603" s="4"/>
      <c r="EE1603" s="4"/>
      <c r="EF1603" s="4"/>
      <c r="EG1603" s="4"/>
      <c r="EH1603" s="4"/>
      <c r="EI1603" s="4"/>
      <c r="EJ1603" s="4"/>
      <c r="EK1603" s="4"/>
      <c r="EL1603" s="4"/>
      <c r="EM1603" s="4"/>
      <c r="EN1603" s="4"/>
      <c r="EO1603" s="4"/>
      <c r="EP1603" s="4"/>
      <c r="EQ1603" s="4"/>
      <c r="ER1603" s="4"/>
      <c r="ES1603" s="4"/>
      <c r="ET1603" s="4"/>
      <c r="EU1603" s="4"/>
      <c r="EV1603" s="4"/>
      <c r="EW1603" s="4"/>
      <c r="EX1603" s="4"/>
      <c r="EY1603" s="4"/>
      <c r="EZ1603" s="4"/>
      <c r="FA1603" s="4"/>
      <c r="FB1603" s="4"/>
      <c r="FC1603" s="4"/>
      <c r="FD1603" s="4"/>
      <c r="FE1603" s="4"/>
      <c r="FF1603" s="4"/>
      <c r="FG1603" s="4"/>
      <c r="FH1603" s="4"/>
      <c r="FI1603" s="4"/>
      <c r="FJ1603" s="4"/>
      <c r="FK1603" s="4"/>
      <c r="FL1603" s="4"/>
      <c r="FM1603" s="4">
        <v>140</v>
      </c>
      <c r="FN1603" s="4"/>
      <c r="FO1603" s="4"/>
      <c r="FP1603" s="4"/>
      <c r="FQ1603" s="4"/>
      <c r="FR1603" s="4"/>
      <c r="FS1603" s="4"/>
      <c r="FT1603" s="4"/>
      <c r="FU1603" s="4"/>
      <c r="FV1603" s="4"/>
      <c r="FW1603" s="4"/>
      <c r="FX1603" s="4"/>
      <c r="FY1603" s="4"/>
      <c r="FZ1603" s="4"/>
      <c r="GA1603" s="4"/>
      <c r="GB1603" s="4"/>
      <c r="GC1603" s="4"/>
      <c r="GD1603" s="4"/>
      <c r="GE1603" s="4"/>
      <c r="GF1603" s="4"/>
      <c r="GG1603" s="4"/>
      <c r="GH1603" s="4"/>
    </row>
    <row r="1604">
      <c r="A1604" s="2" t="s">
        <v>8492</v>
      </c>
      <c r="B1604" s="2" t="s">
        <v>827</v>
      </c>
      <c r="C1604" s="2" t="s">
        <v>877</v>
      </c>
      <c r="D1604" s="2" t="s">
        <v>828</v>
      </c>
      <c r="E1604" s="2" t="s">
        <v>1011</v>
      </c>
      <c r="F1604" s="2" t="s">
        <v>3187</v>
      </c>
      <c r="G1604" s="2" t="s">
        <v>5862</v>
      </c>
      <c r="H1604" s="2" t="s">
        <v>1355</v>
      </c>
      <c r="I1604" s="2" t="s">
        <v>8486</v>
      </c>
      <c r="J1604" s="2" t="s">
        <v>1016</v>
      </c>
      <c r="K1604" s="2" t="s">
        <v>237</v>
      </c>
      <c r="L1604" s="3">
        <v>14</v>
      </c>
      <c r="M1604" s="3">
        <v>14.7</v>
      </c>
      <c r="N1604" s="3">
        <v>34.99</v>
      </c>
      <c r="O1604" s="2" t="s">
        <v>212</v>
      </c>
      <c r="P1604" s="2" t="s">
        <v>258</v>
      </c>
      <c r="Q1604" s="2" t="s">
        <v>206</v>
      </c>
      <c r="R1604" s="2" t="s">
        <v>200</v>
      </c>
      <c r="S1604" s="2" t="s">
        <v>8487</v>
      </c>
      <c r="T1604" s="2" t="s">
        <v>200</v>
      </c>
      <c r="U1604" s="2" t="s">
        <v>270</v>
      </c>
      <c r="V1604" s="2" t="s">
        <v>3191</v>
      </c>
      <c r="W1604" s="2" t="s">
        <v>241</v>
      </c>
      <c r="X1604" s="2" t="s">
        <v>1078</v>
      </c>
      <c r="Y1604" s="2" t="s">
        <v>8488</v>
      </c>
      <c r="Z1604" s="4">
        <v>274</v>
      </c>
      <c r="AA1604" s="4">
        <f>=ROUNDDOWN(22.8333333333333,0)</f>
      </c>
      <c r="AB1604" s="5">
        <v>12</v>
      </c>
      <c r="AC1604" s="2" t="s">
        <v>112</v>
      </c>
      <c r="AD1604" s="4">
        <v>448</v>
      </c>
      <c r="AE1604" s="4">
        <v>948</v>
      </c>
      <c r="AF1604" s="6">
        <v>65</v>
      </c>
      <c r="AG1604" s="6"/>
      <c r="AH1604" s="7">
        <v>1</v>
      </c>
      <c r="AI1604" s="4"/>
      <c r="AJ1604" s="4">
        <f>=ROUNDDOWN({0},0)</f>
      </c>
      <c r="AK1604" s="5"/>
      <c r="AL1604" s="2" t="s">
        <v>200</v>
      </c>
      <c r="AM1604" s="4"/>
      <c r="AN1604" s="4"/>
      <c r="AO1604" s="7"/>
      <c r="AP1604" s="4"/>
      <c r="AQ1604" s="8"/>
      <c r="AR1604" s="4"/>
      <c r="AS1604" s="8"/>
      <c r="AT1604" s="7"/>
      <c r="AU1604" s="7"/>
      <c r="AV1604" s="4" t="s">
        <v>200</v>
      </c>
      <c r="AW1604" s="8" t="s">
        <v>200</v>
      </c>
      <c r="AX1604" s="4" t="s">
        <v>200</v>
      </c>
      <c r="AY1604" s="8" t="s">
        <v>200</v>
      </c>
      <c r="AZ1604" s="7" t="s">
        <v>200</v>
      </c>
      <c r="BA1604" s="7" t="s">
        <v>200</v>
      </c>
      <c r="BB1604" s="7"/>
      <c r="BC1604" s="4" t="s">
        <v>200</v>
      </c>
      <c r="BD1604" s="8" t="s">
        <v>200</v>
      </c>
      <c r="BE1604" s="4" t="s">
        <v>200</v>
      </c>
      <c r="BF1604" s="8" t="s">
        <v>200</v>
      </c>
      <c r="BG1604" s="7" t="s">
        <v>200</v>
      </c>
      <c r="BH1604" s="7" t="s">
        <v>200</v>
      </c>
      <c r="BI1604" s="7"/>
      <c r="BJ1604" s="4">
        <v>24</v>
      </c>
      <c r="BK1604" s="8">
        <v>372</v>
      </c>
      <c r="BL1604" s="2" t="s">
        <v>8493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8494</v>
      </c>
      <c r="BV1604" s="2" t="s">
        <v>200</v>
      </c>
      <c r="BW1604" s="2" t="s">
        <v>200</v>
      </c>
      <c r="BX1604" s="2" t="s">
        <v>264</v>
      </c>
      <c r="BY1604" s="2" t="s">
        <v>247</v>
      </c>
      <c r="BZ1604" s="2" t="s">
        <v>212</v>
      </c>
      <c r="CA1604" s="2" t="s">
        <v>4676</v>
      </c>
      <c r="CB1604" s="2" t="s">
        <v>8495</v>
      </c>
      <c r="CC1604" s="2" t="s">
        <v>213</v>
      </c>
      <c r="CD1604" s="2" t="s">
        <v>200</v>
      </c>
      <c r="CE1604" s="4">
        <v>274</v>
      </c>
      <c r="CF1604" s="4"/>
      <c r="CG1604" s="4"/>
      <c r="CH1604" s="4"/>
      <c r="CI1604" s="4"/>
      <c r="CJ1604" s="4"/>
      <c r="CK1604" s="4"/>
      <c r="CL1604" s="4"/>
      <c r="CM1604" s="4"/>
      <c r="CN1604" s="4"/>
      <c r="CO1604" s="4"/>
      <c r="CP1604" s="4"/>
      <c r="CQ1604" s="4"/>
      <c r="CR1604" s="4"/>
      <c r="CS1604" s="4"/>
      <c r="CT1604" s="4"/>
      <c r="CU1604" s="4"/>
      <c r="CV1604" s="4"/>
      <c r="CW1604" s="4"/>
      <c r="CX1604" s="4"/>
      <c r="CY1604" s="4">
        <v>448</v>
      </c>
      <c r="CZ1604" s="4"/>
      <c r="DA1604" s="4"/>
      <c r="DB1604" s="4"/>
      <c r="DC1604" s="4"/>
      <c r="DD1604" s="4"/>
      <c r="DE1604" s="4"/>
      <c r="DF1604" s="4"/>
      <c r="DG1604" s="4"/>
      <c r="DH1604" s="4"/>
      <c r="DI1604" s="4"/>
      <c r="DJ1604" s="4"/>
      <c r="DK1604" s="4"/>
      <c r="DL1604" s="4"/>
      <c r="DM1604" s="4"/>
      <c r="DN1604" s="4"/>
      <c r="DO1604" s="4"/>
      <c r="DP1604" s="4"/>
      <c r="DQ1604" s="4"/>
      <c r="DR1604" s="4">
        <v>260</v>
      </c>
      <c r="DS1604" s="4"/>
      <c r="DT1604" s="4"/>
      <c r="DU1604" s="4"/>
      <c r="DV1604" s="4"/>
      <c r="DW1604" s="4"/>
      <c r="DX1604" s="4"/>
      <c r="DY1604" s="4"/>
      <c r="DZ1604" s="4"/>
      <c r="EA1604" s="4"/>
      <c r="EB1604" s="4"/>
      <c r="EC1604" s="4"/>
      <c r="ED1604" s="4"/>
      <c r="EE1604" s="4"/>
      <c r="EF1604" s="4"/>
      <c r="EG1604" s="4"/>
      <c r="EH1604" s="4"/>
      <c r="EI1604" s="4"/>
      <c r="EJ1604" s="4"/>
      <c r="EK1604" s="4"/>
      <c r="EL1604" s="4"/>
      <c r="EM1604" s="4"/>
      <c r="EN1604" s="4"/>
      <c r="EO1604" s="4"/>
      <c r="EP1604" s="4"/>
      <c r="EQ1604" s="4"/>
      <c r="ER1604" s="4"/>
      <c r="ES1604" s="4"/>
      <c r="ET1604" s="4"/>
      <c r="EU1604" s="4"/>
      <c r="EV1604" s="4"/>
      <c r="EW1604" s="4"/>
      <c r="EX1604" s="4"/>
      <c r="EY1604" s="4"/>
      <c r="EZ1604" s="4"/>
      <c r="FA1604" s="4"/>
      <c r="FB1604" s="4"/>
      <c r="FC1604" s="4"/>
      <c r="FD1604" s="4"/>
      <c r="FE1604" s="4"/>
      <c r="FF1604" s="4"/>
      <c r="FG1604" s="4"/>
      <c r="FH1604" s="4"/>
      <c r="FI1604" s="4"/>
      <c r="FJ1604" s="4"/>
      <c r="FK1604" s="4"/>
      <c r="FL1604" s="4"/>
      <c r="FM1604" s="4">
        <v>240</v>
      </c>
      <c r="FN1604" s="4"/>
      <c r="FO1604" s="4"/>
      <c r="FP1604" s="4"/>
      <c r="FQ1604" s="4"/>
      <c r="FR1604" s="4"/>
      <c r="FS1604" s="4"/>
      <c r="FT1604" s="4"/>
      <c r="FU1604" s="4"/>
      <c r="FV1604" s="4"/>
      <c r="FW1604" s="4"/>
      <c r="FX1604" s="4"/>
      <c r="FY1604" s="4"/>
      <c r="FZ1604" s="4"/>
      <c r="GA1604" s="4"/>
      <c r="GB1604" s="4"/>
      <c r="GC1604" s="4"/>
      <c r="GD1604" s="4"/>
      <c r="GE1604" s="4"/>
      <c r="GF1604" s="4"/>
      <c r="GG1604" s="4"/>
      <c r="GH1604" s="4"/>
    </row>
    <row r="1605">
      <c r="A1605" s="2" t="s">
        <v>8496</v>
      </c>
      <c r="B1605" s="2" t="s">
        <v>827</v>
      </c>
      <c r="C1605" s="2" t="s">
        <v>877</v>
      </c>
      <c r="D1605" s="2" t="s">
        <v>828</v>
      </c>
      <c r="E1605" s="2" t="s">
        <v>1011</v>
      </c>
      <c r="F1605" s="2" t="s">
        <v>3187</v>
      </c>
      <c r="G1605" s="2" t="s">
        <v>5862</v>
      </c>
      <c r="H1605" s="2" t="s">
        <v>1355</v>
      </c>
      <c r="I1605" s="2" t="s">
        <v>8486</v>
      </c>
      <c r="J1605" s="2" t="s">
        <v>4001</v>
      </c>
      <c r="K1605" s="2" t="s">
        <v>499</v>
      </c>
      <c r="L1605" s="3">
        <v>12.3</v>
      </c>
      <c r="M1605" s="3">
        <v>12.92</v>
      </c>
      <c r="N1605" s="3">
        <v>29.99</v>
      </c>
      <c r="O1605" s="2" t="s">
        <v>212</v>
      </c>
      <c r="P1605" s="2" t="s">
        <v>760</v>
      </c>
      <c r="Q1605" s="2" t="s">
        <v>206</v>
      </c>
      <c r="R1605" s="2" t="s">
        <v>200</v>
      </c>
      <c r="S1605" s="2" t="s">
        <v>8497</v>
      </c>
      <c r="T1605" s="2" t="s">
        <v>1176</v>
      </c>
      <c r="U1605" s="2" t="s">
        <v>270</v>
      </c>
      <c r="V1605" s="2" t="s">
        <v>3191</v>
      </c>
      <c r="W1605" s="2" t="s">
        <v>241</v>
      </c>
      <c r="X1605" s="2" t="s">
        <v>200</v>
      </c>
      <c r="Y1605" s="2" t="s">
        <v>4050</v>
      </c>
      <c r="Z1605" s="4">
        <v>2</v>
      </c>
      <c r="AA1605" s="4">
        <f>=ROUNDDOWN(0.222222222222222,0)</f>
      </c>
      <c r="AB1605" s="5">
        <v>9</v>
      </c>
      <c r="AC1605" s="2" t="s">
        <v>200</v>
      </c>
      <c r="AD1605" s="4"/>
      <c r="AE1605" s="4"/>
      <c r="AF1605" s="6">
        <v>65</v>
      </c>
      <c r="AG1605" s="6"/>
      <c r="AH1605" s="7">
        <v>1</v>
      </c>
      <c r="AI1605" s="4"/>
      <c r="AJ1605" s="4">
        <f>=ROUNDDOWN({0},0)</f>
      </c>
      <c r="AK1605" s="5"/>
      <c r="AL1605" s="2" t="s">
        <v>200</v>
      </c>
      <c r="AM1605" s="4"/>
      <c r="AN1605" s="4"/>
      <c r="AO1605" s="7"/>
      <c r="AP1605" s="4"/>
      <c r="AQ1605" s="8"/>
      <c r="AR1605" s="4"/>
      <c r="AS1605" s="8"/>
      <c r="AT1605" s="7"/>
      <c r="AU1605" s="7"/>
      <c r="AV1605" s="4" t="s">
        <v>200</v>
      </c>
      <c r="AW1605" s="8" t="s">
        <v>200</v>
      </c>
      <c r="AX1605" s="4" t="s">
        <v>200</v>
      </c>
      <c r="AY1605" s="8" t="s">
        <v>200</v>
      </c>
      <c r="AZ1605" s="7" t="s">
        <v>200</v>
      </c>
      <c r="BA1605" s="7" t="s">
        <v>200</v>
      </c>
      <c r="BB1605" s="7"/>
      <c r="BC1605" s="4" t="s">
        <v>200</v>
      </c>
      <c r="BD1605" s="8" t="s">
        <v>200</v>
      </c>
      <c r="BE1605" s="4" t="s">
        <v>200</v>
      </c>
      <c r="BF1605" s="8" t="s">
        <v>200</v>
      </c>
      <c r="BG1605" s="7" t="s">
        <v>200</v>
      </c>
      <c r="BH1605" s="7" t="s">
        <v>200</v>
      </c>
      <c r="BI1605" s="7"/>
      <c r="BJ1605" s="4">
        <v>23</v>
      </c>
      <c r="BK1605" s="8">
        <v>289.16</v>
      </c>
      <c r="BL1605" s="2" t="s">
        <v>8489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8498</v>
      </c>
      <c r="BV1605" s="2" t="s">
        <v>200</v>
      </c>
      <c r="BW1605" s="2" t="s">
        <v>200</v>
      </c>
      <c r="BX1605" s="2" t="s">
        <v>289</v>
      </c>
      <c r="BY1605" s="2" t="s">
        <v>247</v>
      </c>
      <c r="BZ1605" s="2" t="s">
        <v>212</v>
      </c>
      <c r="CA1605" s="2" t="s">
        <v>4050</v>
      </c>
      <c r="CB1605" s="2" t="s">
        <v>1049</v>
      </c>
      <c r="CC1605" s="2" t="s">
        <v>213</v>
      </c>
      <c r="CD1605" s="2" t="s">
        <v>200</v>
      </c>
      <c r="CE1605" s="4">
        <v>2</v>
      </c>
      <c r="CF1605" s="4"/>
      <c r="CG1605" s="4"/>
      <c r="CH1605" s="4"/>
      <c r="CI1605" s="4"/>
      <c r="CJ1605" s="4"/>
      <c r="CK1605" s="4"/>
      <c r="CL1605" s="4"/>
      <c r="CM1605" s="4"/>
      <c r="CN1605" s="4"/>
      <c r="CO1605" s="4"/>
      <c r="CP1605" s="4"/>
      <c r="CQ1605" s="4"/>
      <c r="CR1605" s="4"/>
      <c r="CS1605" s="4"/>
      <c r="CT1605" s="4"/>
      <c r="CU1605" s="4"/>
      <c r="CV1605" s="4"/>
      <c r="CW1605" s="4"/>
      <c r="CX1605" s="4"/>
      <c r="CY1605" s="4"/>
      <c r="CZ1605" s="4"/>
      <c r="DA1605" s="4"/>
      <c r="DB1605" s="4"/>
      <c r="DC1605" s="4"/>
      <c r="DD1605" s="4"/>
      <c r="DE1605" s="4"/>
      <c r="DF1605" s="4"/>
      <c r="DG1605" s="4"/>
      <c r="DH1605" s="4"/>
      <c r="DI1605" s="4"/>
      <c r="DJ1605" s="4"/>
      <c r="DK1605" s="4"/>
      <c r="DL1605" s="4"/>
      <c r="DM1605" s="4"/>
      <c r="DN1605" s="4"/>
      <c r="DO1605" s="4"/>
      <c r="DP1605" s="4"/>
      <c r="DQ1605" s="4"/>
      <c r="DR1605" s="4"/>
      <c r="DS1605" s="4"/>
      <c r="DT1605" s="4"/>
      <c r="DU1605" s="4"/>
      <c r="DV1605" s="4"/>
      <c r="DW1605" s="4"/>
      <c r="DX1605" s="4"/>
      <c r="DY1605" s="4"/>
      <c r="DZ1605" s="4"/>
      <c r="EA1605" s="4"/>
      <c r="EB1605" s="4"/>
      <c r="EC1605" s="4"/>
      <c r="ED1605" s="4"/>
      <c r="EE1605" s="4"/>
      <c r="EF1605" s="4"/>
      <c r="EG1605" s="4"/>
      <c r="EH1605" s="4"/>
      <c r="EI1605" s="4"/>
      <c r="EJ1605" s="4"/>
      <c r="EK1605" s="4"/>
      <c r="EL1605" s="4"/>
      <c r="EM1605" s="4"/>
      <c r="EN1605" s="4"/>
      <c r="EO1605" s="4"/>
      <c r="EP1605" s="4"/>
      <c r="EQ1605" s="4"/>
      <c r="ER1605" s="4"/>
      <c r="ES1605" s="4"/>
      <c r="ET1605" s="4"/>
      <c r="EU1605" s="4"/>
      <c r="EV1605" s="4"/>
      <c r="EW1605" s="4"/>
      <c r="EX1605" s="4"/>
      <c r="EY1605" s="4"/>
      <c r="EZ1605" s="4"/>
      <c r="FA1605" s="4"/>
      <c r="FB1605" s="4"/>
      <c r="FC1605" s="4"/>
      <c r="FD1605" s="4"/>
      <c r="FE1605" s="4"/>
      <c r="FF1605" s="4"/>
      <c r="FG1605" s="4"/>
      <c r="FH1605" s="4"/>
      <c r="FI1605" s="4"/>
      <c r="FJ1605" s="4"/>
      <c r="FK1605" s="4"/>
      <c r="FL1605" s="4"/>
      <c r="FM1605" s="4"/>
      <c r="FN1605" s="4"/>
      <c r="FO1605" s="4"/>
      <c r="FP1605" s="4"/>
      <c r="FQ1605" s="4"/>
      <c r="FR1605" s="4"/>
      <c r="FS1605" s="4"/>
      <c r="FT1605" s="4"/>
      <c r="FU1605" s="4"/>
      <c r="FV1605" s="4"/>
      <c r="FW1605" s="4"/>
      <c r="FX1605" s="4"/>
      <c r="FY1605" s="4"/>
      <c r="FZ1605" s="4"/>
      <c r="GA1605" s="4"/>
      <c r="GB1605" s="4"/>
      <c r="GC1605" s="4"/>
      <c r="GD1605" s="4"/>
      <c r="GE1605" s="4"/>
      <c r="GF1605" s="4"/>
      <c r="GG1605" s="4"/>
      <c r="GH1605" s="4"/>
    </row>
    <row r="1606">
      <c r="A1606" s="2" t="s">
        <v>8499</v>
      </c>
      <c r="B1606" s="2" t="s">
        <v>827</v>
      </c>
      <c r="C1606" s="2" t="s">
        <v>877</v>
      </c>
      <c r="D1606" s="2" t="s">
        <v>828</v>
      </c>
      <c r="E1606" s="2" t="s">
        <v>1011</v>
      </c>
      <c r="F1606" s="2" t="s">
        <v>3187</v>
      </c>
      <c r="G1606" s="2" t="s">
        <v>5862</v>
      </c>
      <c r="H1606" s="2" t="s">
        <v>1355</v>
      </c>
      <c r="I1606" s="2" t="s">
        <v>8486</v>
      </c>
      <c r="J1606" s="2" t="s">
        <v>1016</v>
      </c>
      <c r="K1606" s="2" t="s">
        <v>499</v>
      </c>
      <c r="L1606" s="3">
        <v>14</v>
      </c>
      <c r="M1606" s="3">
        <v>14.7</v>
      </c>
      <c r="N1606" s="3">
        <v>34.99</v>
      </c>
      <c r="O1606" s="2" t="s">
        <v>212</v>
      </c>
      <c r="P1606" s="2" t="s">
        <v>760</v>
      </c>
      <c r="Q1606" s="2" t="s">
        <v>206</v>
      </c>
      <c r="R1606" s="2" t="s">
        <v>200</v>
      </c>
      <c r="S1606" s="2" t="s">
        <v>8497</v>
      </c>
      <c r="T1606" s="2" t="s">
        <v>1176</v>
      </c>
      <c r="U1606" s="2" t="s">
        <v>270</v>
      </c>
      <c r="V1606" s="2" t="s">
        <v>3191</v>
      </c>
      <c r="W1606" s="2" t="s">
        <v>241</v>
      </c>
      <c r="X1606" s="2" t="s">
        <v>200</v>
      </c>
      <c r="Y1606" s="2" t="s">
        <v>4050</v>
      </c>
      <c r="Z1606" s="4">
        <v>1</v>
      </c>
      <c r="AA1606" s="4">
        <f>=ROUNDDOWN(0.0625,0)</f>
      </c>
      <c r="AB1606" s="5">
        <v>16</v>
      </c>
      <c r="AC1606" s="2" t="s">
        <v>200</v>
      </c>
      <c r="AD1606" s="4"/>
      <c r="AE1606" s="4"/>
      <c r="AF1606" s="6">
        <v>65</v>
      </c>
      <c r="AG1606" s="6"/>
      <c r="AH1606" s="7">
        <v>1</v>
      </c>
      <c r="AI1606" s="4"/>
      <c r="AJ1606" s="4">
        <f>=ROUNDDOWN({0},0)</f>
      </c>
      <c r="AK1606" s="5"/>
      <c r="AL1606" s="2" t="s">
        <v>200</v>
      </c>
      <c r="AM1606" s="4"/>
      <c r="AN1606" s="4"/>
      <c r="AO1606" s="7"/>
      <c r="AP1606" s="4"/>
      <c r="AQ1606" s="8"/>
      <c r="AR1606" s="4"/>
      <c r="AS1606" s="8"/>
      <c r="AT1606" s="7"/>
      <c r="AU1606" s="7"/>
      <c r="AV1606" s="4" t="s">
        <v>200</v>
      </c>
      <c r="AW1606" s="8" t="s">
        <v>200</v>
      </c>
      <c r="AX1606" s="4" t="s">
        <v>200</v>
      </c>
      <c r="AY1606" s="8" t="s">
        <v>200</v>
      </c>
      <c r="AZ1606" s="7" t="s">
        <v>200</v>
      </c>
      <c r="BA1606" s="7" t="s">
        <v>200</v>
      </c>
      <c r="BB1606" s="7"/>
      <c r="BC1606" s="4" t="s">
        <v>200</v>
      </c>
      <c r="BD1606" s="8" t="s">
        <v>200</v>
      </c>
      <c r="BE1606" s="4" t="s">
        <v>200</v>
      </c>
      <c r="BF1606" s="8" t="s">
        <v>200</v>
      </c>
      <c r="BG1606" s="7" t="s">
        <v>200</v>
      </c>
      <c r="BH1606" s="7" t="s">
        <v>200</v>
      </c>
      <c r="BI1606" s="7"/>
      <c r="BJ1606" s="4">
        <v>14</v>
      </c>
      <c r="BK1606" s="8">
        <v>176.1</v>
      </c>
      <c r="BL1606" s="2" t="s">
        <v>8500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8501</v>
      </c>
      <c r="BV1606" s="2" t="s">
        <v>200</v>
      </c>
      <c r="BW1606" s="2" t="s">
        <v>200</v>
      </c>
      <c r="BX1606" s="2" t="s">
        <v>289</v>
      </c>
      <c r="BY1606" s="2" t="s">
        <v>247</v>
      </c>
      <c r="BZ1606" s="2" t="s">
        <v>212</v>
      </c>
      <c r="CA1606" s="2" t="s">
        <v>4050</v>
      </c>
      <c r="CB1606" s="2" t="s">
        <v>1559</v>
      </c>
      <c r="CC1606" s="2" t="s">
        <v>213</v>
      </c>
      <c r="CD1606" s="2" t="s">
        <v>200</v>
      </c>
      <c r="CE1606" s="4">
        <v>1</v>
      </c>
      <c r="CF1606" s="4"/>
      <c r="CG1606" s="4"/>
      <c r="CH1606" s="4"/>
      <c r="CI1606" s="4"/>
      <c r="CJ1606" s="4"/>
      <c r="CK1606" s="4"/>
      <c r="CL1606" s="4"/>
      <c r="CM1606" s="4"/>
      <c r="CN1606" s="4"/>
      <c r="CO1606" s="4"/>
      <c r="CP1606" s="4"/>
      <c r="CQ1606" s="4"/>
      <c r="CR1606" s="4"/>
      <c r="CS1606" s="4"/>
      <c r="CT1606" s="4"/>
      <c r="CU1606" s="4"/>
      <c r="CV1606" s="4"/>
      <c r="CW1606" s="4"/>
      <c r="CX1606" s="4"/>
      <c r="CY1606" s="4"/>
      <c r="CZ1606" s="4"/>
      <c r="DA1606" s="4"/>
      <c r="DB1606" s="4"/>
      <c r="DC1606" s="4"/>
      <c r="DD1606" s="4"/>
      <c r="DE1606" s="4"/>
      <c r="DF1606" s="4"/>
      <c r="DG1606" s="4"/>
      <c r="DH1606" s="4"/>
      <c r="DI1606" s="4"/>
      <c r="DJ1606" s="4"/>
      <c r="DK1606" s="4"/>
      <c r="DL1606" s="4"/>
      <c r="DM1606" s="4"/>
      <c r="DN1606" s="4"/>
      <c r="DO1606" s="4"/>
      <c r="DP1606" s="4"/>
      <c r="DQ1606" s="4"/>
      <c r="DR1606" s="4"/>
      <c r="DS1606" s="4"/>
      <c r="DT1606" s="4"/>
      <c r="DU1606" s="4"/>
      <c r="DV1606" s="4"/>
      <c r="DW1606" s="4"/>
      <c r="DX1606" s="4"/>
      <c r="DY1606" s="4"/>
      <c r="DZ1606" s="4"/>
      <c r="EA1606" s="4"/>
      <c r="EB1606" s="4"/>
      <c r="EC1606" s="4"/>
      <c r="ED1606" s="4"/>
      <c r="EE1606" s="4"/>
      <c r="EF1606" s="4"/>
      <c r="EG1606" s="4"/>
      <c r="EH1606" s="4"/>
      <c r="EI1606" s="4"/>
      <c r="EJ1606" s="4"/>
      <c r="EK1606" s="4"/>
      <c r="EL1606" s="4"/>
      <c r="EM1606" s="4"/>
      <c r="EN1606" s="4"/>
      <c r="EO1606" s="4"/>
      <c r="EP1606" s="4"/>
      <c r="EQ1606" s="4"/>
      <c r="ER1606" s="4"/>
      <c r="ES1606" s="4"/>
      <c r="ET1606" s="4"/>
      <c r="EU1606" s="4"/>
      <c r="EV1606" s="4"/>
      <c r="EW1606" s="4"/>
      <c r="EX1606" s="4"/>
      <c r="EY1606" s="4"/>
      <c r="EZ1606" s="4"/>
      <c r="FA1606" s="4"/>
      <c r="FB1606" s="4"/>
      <c r="FC1606" s="4"/>
      <c r="FD1606" s="4"/>
      <c r="FE1606" s="4"/>
      <c r="FF1606" s="4"/>
      <c r="FG1606" s="4"/>
      <c r="FH1606" s="4"/>
      <c r="FI1606" s="4"/>
      <c r="FJ1606" s="4"/>
      <c r="FK1606" s="4"/>
      <c r="FL1606" s="4"/>
      <c r="FM1606" s="4"/>
      <c r="FN1606" s="4"/>
      <c r="FO1606" s="4"/>
      <c r="FP1606" s="4"/>
      <c r="FQ1606" s="4"/>
      <c r="FR1606" s="4"/>
      <c r="FS1606" s="4"/>
      <c r="FT1606" s="4"/>
      <c r="FU1606" s="4"/>
      <c r="FV1606" s="4"/>
      <c r="FW1606" s="4"/>
      <c r="FX1606" s="4"/>
      <c r="FY1606" s="4"/>
      <c r="FZ1606" s="4"/>
      <c r="GA1606" s="4"/>
      <c r="GB1606" s="4"/>
      <c r="GC1606" s="4"/>
      <c r="GD1606" s="4"/>
      <c r="GE1606" s="4"/>
      <c r="GF1606" s="4"/>
      <c r="GG1606" s="4"/>
      <c r="GH1606" s="4"/>
    </row>
    <row r="1607">
      <c r="A1607" s="2" t="s">
        <v>8502</v>
      </c>
      <c r="B1607" s="2" t="s">
        <v>992</v>
      </c>
      <c r="C1607" s="2" t="s">
        <v>231</v>
      </c>
      <c r="D1607" s="2" t="s">
        <v>992</v>
      </c>
      <c r="E1607" s="2" t="s">
        <v>992</v>
      </c>
      <c r="F1607" s="2" t="s">
        <v>3187</v>
      </c>
      <c r="G1607" s="2" t="s">
        <v>3187</v>
      </c>
      <c r="H1607" s="2" t="s">
        <v>3187</v>
      </c>
      <c r="I1607" s="2" t="s">
        <v>8480</v>
      </c>
      <c r="J1607" s="2" t="s">
        <v>5468</v>
      </c>
      <c r="K1607" s="2" t="s">
        <v>857</v>
      </c>
      <c r="L1607" s="3">
        <v>29</v>
      </c>
      <c r="M1607" s="3">
        <v>30.45</v>
      </c>
      <c r="N1607" s="3">
        <v>59.99</v>
      </c>
      <c r="O1607" s="2" t="s">
        <v>460</v>
      </c>
      <c r="P1607" s="2" t="s">
        <v>285</v>
      </c>
      <c r="Q1607" s="2" t="s">
        <v>206</v>
      </c>
      <c r="R1607" s="2" t="s">
        <v>200</v>
      </c>
      <c r="S1607" s="2" t="s">
        <v>8503</v>
      </c>
      <c r="T1607" s="2" t="s">
        <v>200</v>
      </c>
      <c r="U1607" s="2" t="s">
        <v>270</v>
      </c>
      <c r="V1607" s="2" t="s">
        <v>885</v>
      </c>
      <c r="W1607" s="2" t="s">
        <v>419</v>
      </c>
      <c r="X1607" s="2" t="s">
        <v>200</v>
      </c>
      <c r="Y1607" s="2" t="s">
        <v>1580</v>
      </c>
      <c r="Z1607" s="4">
        <v>34</v>
      </c>
      <c r="AA1607" s="4">
        <f>=ROUNDDOWN(10.3030303030303,0)</f>
      </c>
      <c r="AB1607" s="5">
        <v>3.3</v>
      </c>
      <c r="AC1607" s="2" t="s">
        <v>200</v>
      </c>
      <c r="AD1607" s="4"/>
      <c r="AE1607" s="4"/>
      <c r="AF1607" s="6">
        <v>63</v>
      </c>
      <c r="AG1607" s="6"/>
      <c r="AH1607" s="7">
        <v>0.9</v>
      </c>
      <c r="AI1607" s="4"/>
      <c r="AJ1607" s="4">
        <f>=ROUNDDOWN({0},0)</f>
      </c>
      <c r="AK1607" s="5"/>
      <c r="AL1607" s="2" t="s">
        <v>200</v>
      </c>
      <c r="AM1607" s="4"/>
      <c r="AN1607" s="4"/>
      <c r="AO1607" s="7"/>
      <c r="AP1607" s="4"/>
      <c r="AQ1607" s="8"/>
      <c r="AR1607" s="4"/>
      <c r="AS1607" s="8"/>
      <c r="AT1607" s="7"/>
      <c r="AU1607" s="7"/>
      <c r="AV1607" s="4" t="s">
        <v>200</v>
      </c>
      <c r="AW1607" s="8" t="s">
        <v>200</v>
      </c>
      <c r="AX1607" s="4" t="s">
        <v>200</v>
      </c>
      <c r="AY1607" s="8" t="s">
        <v>200</v>
      </c>
      <c r="AZ1607" s="7" t="s">
        <v>200</v>
      </c>
      <c r="BA1607" s="7" t="s">
        <v>200</v>
      </c>
      <c r="BB1607" s="7"/>
      <c r="BC1607" s="4" t="s">
        <v>200</v>
      </c>
      <c r="BD1607" s="8" t="s">
        <v>200</v>
      </c>
      <c r="BE1607" s="4" t="s">
        <v>200</v>
      </c>
      <c r="BF1607" s="8" t="s">
        <v>200</v>
      </c>
      <c r="BG1607" s="7" t="s">
        <v>200</v>
      </c>
      <c r="BH1607" s="7" t="s">
        <v>200</v>
      </c>
      <c r="BI1607" s="7"/>
      <c r="BJ1607" s="4"/>
      <c r="BK1607" s="8"/>
      <c r="BL1607" s="2" t="s">
        <v>8504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8505</v>
      </c>
      <c r="BV1607" s="2" t="s">
        <v>200</v>
      </c>
      <c r="BW1607" s="2" t="s">
        <v>200</v>
      </c>
      <c r="BX1607" s="2" t="s">
        <v>289</v>
      </c>
      <c r="BY1607" s="2" t="s">
        <v>247</v>
      </c>
      <c r="BZ1607" s="2" t="s">
        <v>212</v>
      </c>
      <c r="CA1607" s="2" t="s">
        <v>4438</v>
      </c>
      <c r="CB1607" s="2" t="s">
        <v>200</v>
      </c>
      <c r="CC1607" s="2" t="s">
        <v>213</v>
      </c>
      <c r="CD1607" s="2" t="s">
        <v>200</v>
      </c>
      <c r="CE1607" s="4"/>
      <c r="CF1607" s="4">
        <v>34</v>
      </c>
      <c r="CG1607" s="4"/>
      <c r="CH1607" s="4"/>
      <c r="CI1607" s="4"/>
      <c r="CJ1607" s="4"/>
      <c r="CK1607" s="4"/>
      <c r="CL1607" s="4"/>
      <c r="CM1607" s="4"/>
      <c r="CN1607" s="4"/>
      <c r="CO1607" s="4"/>
      <c r="CP1607" s="4"/>
      <c r="CQ1607" s="4"/>
      <c r="CR1607" s="4"/>
      <c r="CS1607" s="4"/>
      <c r="CT1607" s="4"/>
      <c r="CU1607" s="4"/>
      <c r="CV1607" s="4"/>
      <c r="CW1607" s="4"/>
      <c r="CX1607" s="4"/>
      <c r="CY1607" s="4"/>
      <c r="CZ1607" s="4"/>
      <c r="DA1607" s="4"/>
      <c r="DB1607" s="4"/>
      <c r="DC1607" s="4"/>
      <c r="DD1607" s="4"/>
      <c r="DE1607" s="4"/>
      <c r="DF1607" s="4"/>
      <c r="DG1607" s="4"/>
      <c r="DH1607" s="4"/>
      <c r="DI1607" s="4"/>
      <c r="DJ1607" s="4"/>
      <c r="DK1607" s="4"/>
      <c r="DL1607" s="4"/>
      <c r="DM1607" s="4"/>
      <c r="DN1607" s="4"/>
      <c r="DO1607" s="4"/>
      <c r="DP1607" s="4"/>
      <c r="DQ1607" s="4"/>
      <c r="DR1607" s="4"/>
      <c r="DS1607" s="4"/>
      <c r="DT1607" s="4"/>
      <c r="DU1607" s="4"/>
      <c r="DV1607" s="4"/>
      <c r="DW1607" s="4"/>
      <c r="DX1607" s="4"/>
      <c r="DY1607" s="4"/>
      <c r="DZ1607" s="4"/>
      <c r="EA1607" s="4"/>
      <c r="EB1607" s="4"/>
      <c r="EC1607" s="4"/>
      <c r="ED1607" s="4"/>
      <c r="EE1607" s="4"/>
      <c r="EF1607" s="4"/>
      <c r="EG1607" s="4"/>
      <c r="EH1607" s="4"/>
      <c r="EI1607" s="4"/>
      <c r="EJ1607" s="4"/>
      <c r="EK1607" s="4"/>
      <c r="EL1607" s="4"/>
      <c r="EM1607" s="4"/>
      <c r="EN1607" s="4"/>
      <c r="EO1607" s="4"/>
      <c r="EP1607" s="4"/>
      <c r="EQ1607" s="4"/>
      <c r="ER1607" s="4"/>
      <c r="ES1607" s="4"/>
      <c r="ET1607" s="4"/>
      <c r="EU1607" s="4"/>
      <c r="EV1607" s="4"/>
      <c r="EW1607" s="4"/>
      <c r="EX1607" s="4"/>
      <c r="EY1607" s="4"/>
      <c r="EZ1607" s="4"/>
      <c r="FA1607" s="4"/>
      <c r="FB1607" s="4"/>
      <c r="FC1607" s="4"/>
      <c r="FD1607" s="4"/>
      <c r="FE1607" s="4"/>
      <c r="FF1607" s="4"/>
      <c r="FG1607" s="4"/>
      <c r="FH1607" s="4"/>
      <c r="FI1607" s="4"/>
      <c r="FJ1607" s="4"/>
      <c r="FK1607" s="4"/>
      <c r="FL1607" s="4"/>
      <c r="FM1607" s="4"/>
      <c r="FN1607" s="4"/>
      <c r="FO1607" s="4"/>
      <c r="FP1607" s="4"/>
      <c r="FQ1607" s="4"/>
      <c r="FR1607" s="4"/>
      <c r="FS1607" s="4"/>
      <c r="FT1607" s="4"/>
      <c r="FU1607" s="4"/>
      <c r="FV1607" s="4"/>
      <c r="FW1607" s="4"/>
      <c r="FX1607" s="4"/>
      <c r="FY1607" s="4"/>
      <c r="FZ1607" s="4"/>
      <c r="GA1607" s="4"/>
      <c r="GB1607" s="4"/>
      <c r="GC1607" s="4"/>
      <c r="GD1607" s="4"/>
      <c r="GE1607" s="4"/>
      <c r="GF1607" s="4"/>
      <c r="GG1607" s="4"/>
      <c r="GH1607" s="4"/>
    </row>
    <row r="1608">
      <c r="A1608" s="2" t="s">
        <v>8506</v>
      </c>
      <c r="B1608" s="2" t="s">
        <v>992</v>
      </c>
      <c r="C1608" s="2" t="s">
        <v>231</v>
      </c>
      <c r="D1608" s="2" t="s">
        <v>992</v>
      </c>
      <c r="E1608" s="2" t="s">
        <v>992</v>
      </c>
      <c r="F1608" s="2" t="s">
        <v>3187</v>
      </c>
      <c r="G1608" s="2" t="s">
        <v>3187</v>
      </c>
      <c r="H1608" s="2" t="s">
        <v>3187</v>
      </c>
      <c r="I1608" s="2" t="s">
        <v>8480</v>
      </c>
      <c r="J1608" s="2" t="s">
        <v>1005</v>
      </c>
      <c r="K1608" s="2" t="s">
        <v>857</v>
      </c>
      <c r="L1608" s="3">
        <v>134.55</v>
      </c>
      <c r="M1608" s="3">
        <v>141.28</v>
      </c>
      <c r="N1608" s="3">
        <v>280.49</v>
      </c>
      <c r="O1608" s="2" t="s">
        <v>460</v>
      </c>
      <c r="P1608" s="2" t="s">
        <v>285</v>
      </c>
      <c r="Q1608" s="2" t="s">
        <v>206</v>
      </c>
      <c r="R1608" s="2" t="s">
        <v>200</v>
      </c>
      <c r="S1608" s="2" t="s">
        <v>8503</v>
      </c>
      <c r="T1608" s="2" t="s">
        <v>200</v>
      </c>
      <c r="U1608" s="2" t="s">
        <v>270</v>
      </c>
      <c r="V1608" s="2" t="s">
        <v>885</v>
      </c>
      <c r="W1608" s="2" t="s">
        <v>419</v>
      </c>
      <c r="X1608" s="2" t="s">
        <v>200</v>
      </c>
      <c r="Y1608" s="2" t="s">
        <v>1580</v>
      </c>
      <c r="Z1608" s="4">
        <v>25</v>
      </c>
      <c r="AA1608" s="4">
        <f>=ROUNDDOWN(15.625,0)</f>
      </c>
      <c r="AB1608" s="5">
        <v>1.6</v>
      </c>
      <c r="AC1608" s="2" t="s">
        <v>200</v>
      </c>
      <c r="AD1608" s="4"/>
      <c r="AE1608" s="4"/>
      <c r="AF1608" s="6">
        <v>63</v>
      </c>
      <c r="AG1608" s="6"/>
      <c r="AH1608" s="7">
        <v>1</v>
      </c>
      <c r="AI1608" s="4"/>
      <c r="AJ1608" s="4">
        <f>=ROUNDDOWN({0},0)</f>
      </c>
      <c r="AK1608" s="5"/>
      <c r="AL1608" s="2" t="s">
        <v>200</v>
      </c>
      <c r="AM1608" s="4"/>
      <c r="AN1608" s="4"/>
      <c r="AO1608" s="7"/>
      <c r="AP1608" s="4"/>
      <c r="AQ1608" s="8"/>
      <c r="AR1608" s="4"/>
      <c r="AS1608" s="8"/>
      <c r="AT1608" s="7"/>
      <c r="AU1608" s="7"/>
      <c r="AV1608" s="4" t="s">
        <v>200</v>
      </c>
      <c r="AW1608" s="8" t="s">
        <v>200</v>
      </c>
      <c r="AX1608" s="4" t="s">
        <v>200</v>
      </c>
      <c r="AY1608" s="8" t="s">
        <v>200</v>
      </c>
      <c r="AZ1608" s="7" t="s">
        <v>200</v>
      </c>
      <c r="BA1608" s="7" t="s">
        <v>200</v>
      </c>
      <c r="BB1608" s="7"/>
      <c r="BC1608" s="4" t="s">
        <v>200</v>
      </c>
      <c r="BD1608" s="8" t="s">
        <v>200</v>
      </c>
      <c r="BE1608" s="4" t="s">
        <v>200</v>
      </c>
      <c r="BF1608" s="8" t="s">
        <v>200</v>
      </c>
      <c r="BG1608" s="7" t="s">
        <v>200</v>
      </c>
      <c r="BH1608" s="7" t="s">
        <v>200</v>
      </c>
      <c r="BI1608" s="7"/>
      <c r="BJ1608" s="4">
        <v>1</v>
      </c>
      <c r="BK1608" s="8">
        <v>81.24</v>
      </c>
      <c r="BL1608" s="2" t="s">
        <v>1292</v>
      </c>
      <c r="BM1608" s="7"/>
      <c r="BN1608" s="7"/>
      <c r="BO1608" s="4"/>
      <c r="BP1608" s="8"/>
      <c r="BQ1608" s="4"/>
      <c r="BR1608" s="8"/>
      <c r="BS1608" s="7"/>
      <c r="BT1608" s="7"/>
      <c r="BU1608" s="2" t="s">
        <v>8507</v>
      </c>
      <c r="BV1608" s="2" t="s">
        <v>200</v>
      </c>
      <c r="BW1608" s="2" t="s">
        <v>200</v>
      </c>
      <c r="BX1608" s="2" t="s">
        <v>289</v>
      </c>
      <c r="BY1608" s="2" t="s">
        <v>247</v>
      </c>
      <c r="BZ1608" s="2" t="s">
        <v>212</v>
      </c>
      <c r="CA1608" s="2" t="s">
        <v>4438</v>
      </c>
      <c r="CB1608" s="2" t="s">
        <v>8508</v>
      </c>
      <c r="CC1608" s="2" t="s">
        <v>213</v>
      </c>
      <c r="CD1608" s="2" t="s">
        <v>200</v>
      </c>
      <c r="CE1608" s="4"/>
      <c r="CF1608" s="4">
        <v>25</v>
      </c>
      <c r="CG1608" s="4"/>
      <c r="CH1608" s="4"/>
      <c r="CI1608" s="4"/>
      <c r="CJ1608" s="4"/>
      <c r="CK1608" s="4"/>
      <c r="CL1608" s="4"/>
      <c r="CM1608" s="4"/>
      <c r="CN1608" s="4"/>
      <c r="CO1608" s="4"/>
      <c r="CP1608" s="4"/>
      <c r="CQ1608" s="4"/>
      <c r="CR1608" s="4"/>
      <c r="CS1608" s="4"/>
      <c r="CT1608" s="4"/>
      <c r="CU1608" s="4"/>
      <c r="CV1608" s="4"/>
      <c r="CW1608" s="4"/>
      <c r="CX1608" s="4"/>
      <c r="CY1608" s="4"/>
      <c r="CZ1608" s="4"/>
      <c r="DA1608" s="4"/>
      <c r="DB1608" s="4"/>
      <c r="DC1608" s="4"/>
      <c r="DD1608" s="4"/>
      <c r="DE1608" s="4"/>
      <c r="DF1608" s="4"/>
      <c r="DG1608" s="4"/>
      <c r="DH1608" s="4"/>
      <c r="DI1608" s="4"/>
      <c r="DJ1608" s="4"/>
      <c r="DK1608" s="4"/>
      <c r="DL1608" s="4"/>
      <c r="DM1608" s="4"/>
      <c r="DN1608" s="4"/>
      <c r="DO1608" s="4"/>
      <c r="DP1608" s="4"/>
      <c r="DQ1608" s="4"/>
      <c r="DR1608" s="4"/>
      <c r="DS1608" s="4"/>
      <c r="DT1608" s="4"/>
      <c r="DU1608" s="4"/>
      <c r="DV1608" s="4"/>
      <c r="DW1608" s="4"/>
      <c r="DX1608" s="4"/>
      <c r="DY1608" s="4"/>
      <c r="DZ1608" s="4"/>
      <c r="EA1608" s="4"/>
      <c r="EB1608" s="4"/>
      <c r="EC1608" s="4"/>
      <c r="ED1608" s="4"/>
      <c r="EE1608" s="4"/>
      <c r="EF1608" s="4"/>
      <c r="EG1608" s="4"/>
      <c r="EH1608" s="4"/>
      <c r="EI1608" s="4"/>
      <c r="EJ1608" s="4"/>
      <c r="EK1608" s="4"/>
      <c r="EL1608" s="4"/>
      <c r="EM1608" s="4"/>
      <c r="EN1608" s="4"/>
      <c r="EO1608" s="4"/>
      <c r="EP1608" s="4"/>
      <c r="EQ1608" s="4"/>
      <c r="ER1608" s="4"/>
      <c r="ES1608" s="4"/>
      <c r="ET1608" s="4"/>
      <c r="EU1608" s="4"/>
      <c r="EV1608" s="4"/>
      <c r="EW1608" s="4"/>
      <c r="EX1608" s="4"/>
      <c r="EY1608" s="4"/>
      <c r="EZ1608" s="4"/>
      <c r="FA1608" s="4"/>
      <c r="FB1608" s="4"/>
      <c r="FC1608" s="4"/>
      <c r="FD1608" s="4"/>
      <c r="FE1608" s="4"/>
      <c r="FF1608" s="4"/>
      <c r="FG1608" s="4"/>
      <c r="FH1608" s="4"/>
      <c r="FI1608" s="4"/>
      <c r="FJ1608" s="4"/>
      <c r="FK1608" s="4"/>
      <c r="FL1608" s="4"/>
      <c r="FM1608" s="4"/>
      <c r="FN1608" s="4"/>
      <c r="FO1608" s="4"/>
      <c r="FP1608" s="4"/>
      <c r="FQ1608" s="4"/>
      <c r="FR1608" s="4"/>
      <c r="FS1608" s="4"/>
      <c r="FT1608" s="4"/>
      <c r="FU1608" s="4"/>
      <c r="FV1608" s="4"/>
      <c r="FW1608" s="4"/>
      <c r="FX1608" s="4"/>
      <c r="FY1608" s="4"/>
      <c r="FZ1608" s="4"/>
      <c r="GA1608" s="4"/>
      <c r="GB1608" s="4"/>
      <c r="GC1608" s="4"/>
      <c r="GD1608" s="4"/>
      <c r="GE1608" s="4"/>
      <c r="GF1608" s="4"/>
      <c r="GG1608" s="4"/>
      <c r="GH1608" s="4"/>
    </row>
    <row r="1609">
      <c r="A1609" s="2" t="s">
        <v>8509</v>
      </c>
      <c r="B1609" s="2" t="s">
        <v>992</v>
      </c>
      <c r="C1609" s="2" t="s">
        <v>231</v>
      </c>
      <c r="D1609" s="2" t="s">
        <v>992</v>
      </c>
      <c r="E1609" s="2" t="s">
        <v>992</v>
      </c>
      <c r="F1609" s="2" t="s">
        <v>3187</v>
      </c>
      <c r="G1609" s="2" t="s">
        <v>3187</v>
      </c>
      <c r="H1609" s="2" t="s">
        <v>3187</v>
      </c>
      <c r="I1609" s="2" t="s">
        <v>8510</v>
      </c>
      <c r="J1609" s="2" t="s">
        <v>997</v>
      </c>
      <c r="K1609" s="2" t="s">
        <v>4927</v>
      </c>
      <c r="L1609" s="3">
        <v>89.7</v>
      </c>
      <c r="M1609" s="3">
        <v>94.19</v>
      </c>
      <c r="N1609" s="3">
        <v>199.99</v>
      </c>
      <c r="O1609" s="2" t="s">
        <v>460</v>
      </c>
      <c r="P1609" s="2" t="s">
        <v>285</v>
      </c>
      <c r="Q1609" s="2" t="s">
        <v>206</v>
      </c>
      <c r="R1609" s="2" t="s">
        <v>200</v>
      </c>
      <c r="S1609" s="2" t="s">
        <v>8511</v>
      </c>
      <c r="T1609" s="2" t="s">
        <v>200</v>
      </c>
      <c r="U1609" s="2" t="s">
        <v>270</v>
      </c>
      <c r="V1609" s="2" t="s">
        <v>885</v>
      </c>
      <c r="W1609" s="2" t="s">
        <v>419</v>
      </c>
      <c r="X1609" s="2" t="s">
        <v>200</v>
      </c>
      <c r="Y1609" s="2" t="s">
        <v>1580</v>
      </c>
      <c r="Z1609" s="4">
        <v>116</v>
      </c>
      <c r="AA1609" s="4">
        <f>=ROUNDDOWN(290,0)</f>
      </c>
      <c r="AB1609" s="5">
        <v>0.4</v>
      </c>
      <c r="AC1609" s="2" t="s">
        <v>200</v>
      </c>
      <c r="AD1609" s="4"/>
      <c r="AE1609" s="4"/>
      <c r="AF1609" s="6">
        <v>63</v>
      </c>
      <c r="AG1609" s="6"/>
      <c r="AH1609" s="7">
        <v>1</v>
      </c>
      <c r="AI1609" s="4"/>
      <c r="AJ1609" s="4">
        <f>=ROUNDDOWN({0},0)</f>
      </c>
      <c r="AK1609" s="5"/>
      <c r="AL1609" s="2" t="s">
        <v>200</v>
      </c>
      <c r="AM1609" s="4"/>
      <c r="AN1609" s="4"/>
      <c r="AO1609" s="7"/>
      <c r="AP1609" s="4"/>
      <c r="AQ1609" s="8"/>
      <c r="AR1609" s="4"/>
      <c r="AS1609" s="8"/>
      <c r="AT1609" s="7"/>
      <c r="AU1609" s="7"/>
      <c r="AV1609" s="4" t="s">
        <v>200</v>
      </c>
      <c r="AW1609" s="8" t="s">
        <v>200</v>
      </c>
      <c r="AX1609" s="4" t="s">
        <v>200</v>
      </c>
      <c r="AY1609" s="8" t="s">
        <v>200</v>
      </c>
      <c r="AZ1609" s="7" t="s">
        <v>200</v>
      </c>
      <c r="BA1609" s="7" t="s">
        <v>200</v>
      </c>
      <c r="BB1609" s="7"/>
      <c r="BC1609" s="4" t="s">
        <v>200</v>
      </c>
      <c r="BD1609" s="8" t="s">
        <v>200</v>
      </c>
      <c r="BE1609" s="4" t="s">
        <v>200</v>
      </c>
      <c r="BF1609" s="8" t="s">
        <v>200</v>
      </c>
      <c r="BG1609" s="7" t="s">
        <v>200</v>
      </c>
      <c r="BH1609" s="7" t="s">
        <v>200</v>
      </c>
      <c r="BI1609" s="7"/>
      <c r="BJ1609" s="4"/>
      <c r="BK1609" s="8"/>
      <c r="BL1609" s="2" t="s">
        <v>791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8512</v>
      </c>
      <c r="BV1609" s="2" t="s">
        <v>200</v>
      </c>
      <c r="BW1609" s="2" t="s">
        <v>200</v>
      </c>
      <c r="BX1609" s="2" t="s">
        <v>289</v>
      </c>
      <c r="BY1609" s="2" t="s">
        <v>247</v>
      </c>
      <c r="BZ1609" s="2" t="s">
        <v>212</v>
      </c>
      <c r="CA1609" s="2" t="s">
        <v>4438</v>
      </c>
      <c r="CB1609" s="2" t="s">
        <v>8297</v>
      </c>
      <c r="CC1609" s="2" t="s">
        <v>213</v>
      </c>
      <c r="CD1609" s="2" t="s">
        <v>200</v>
      </c>
      <c r="CE1609" s="4"/>
      <c r="CF1609" s="4">
        <v>116</v>
      </c>
      <c r="CG1609" s="4"/>
      <c r="CH1609" s="4"/>
      <c r="CI1609" s="4"/>
      <c r="CJ1609" s="4"/>
      <c r="CK1609" s="4"/>
      <c r="CL1609" s="4"/>
      <c r="CM1609" s="4"/>
      <c r="CN1609" s="4"/>
      <c r="CO1609" s="4"/>
      <c r="CP1609" s="4"/>
      <c r="CQ1609" s="4"/>
      <c r="CR1609" s="4"/>
      <c r="CS1609" s="4"/>
      <c r="CT1609" s="4"/>
      <c r="CU1609" s="4"/>
      <c r="CV1609" s="4"/>
      <c r="CW1609" s="4"/>
      <c r="CX1609" s="4"/>
      <c r="CY1609" s="4"/>
      <c r="CZ1609" s="4"/>
      <c r="DA1609" s="4"/>
      <c r="DB1609" s="4"/>
      <c r="DC1609" s="4"/>
      <c r="DD1609" s="4"/>
      <c r="DE1609" s="4"/>
      <c r="DF1609" s="4"/>
      <c r="DG1609" s="4"/>
      <c r="DH1609" s="4"/>
      <c r="DI1609" s="4"/>
      <c r="DJ1609" s="4"/>
      <c r="DK1609" s="4"/>
      <c r="DL1609" s="4"/>
      <c r="DM1609" s="4"/>
      <c r="DN1609" s="4"/>
      <c r="DO1609" s="4"/>
      <c r="DP1609" s="4"/>
      <c r="DQ1609" s="4"/>
      <c r="DR1609" s="4"/>
      <c r="DS1609" s="4"/>
      <c r="DT1609" s="4"/>
      <c r="DU1609" s="4"/>
      <c r="DV1609" s="4"/>
      <c r="DW1609" s="4"/>
      <c r="DX1609" s="4"/>
      <c r="DY1609" s="4"/>
      <c r="DZ1609" s="4"/>
      <c r="EA1609" s="4"/>
      <c r="EB1609" s="4"/>
      <c r="EC1609" s="4"/>
      <c r="ED1609" s="4"/>
      <c r="EE1609" s="4"/>
      <c r="EF1609" s="4"/>
      <c r="EG1609" s="4"/>
      <c r="EH1609" s="4"/>
      <c r="EI1609" s="4"/>
      <c r="EJ1609" s="4"/>
      <c r="EK1609" s="4"/>
      <c r="EL1609" s="4"/>
      <c r="EM1609" s="4"/>
      <c r="EN1609" s="4"/>
      <c r="EO1609" s="4"/>
      <c r="EP1609" s="4"/>
      <c r="EQ1609" s="4"/>
      <c r="ER1609" s="4"/>
      <c r="ES1609" s="4"/>
      <c r="ET1609" s="4"/>
      <c r="EU1609" s="4"/>
      <c r="EV1609" s="4"/>
      <c r="EW1609" s="4"/>
      <c r="EX1609" s="4"/>
      <c r="EY1609" s="4"/>
      <c r="EZ1609" s="4"/>
      <c r="FA1609" s="4"/>
      <c r="FB1609" s="4"/>
      <c r="FC1609" s="4"/>
      <c r="FD1609" s="4"/>
      <c r="FE1609" s="4"/>
      <c r="FF1609" s="4"/>
      <c r="FG1609" s="4"/>
      <c r="FH1609" s="4"/>
      <c r="FI1609" s="4"/>
      <c r="FJ1609" s="4"/>
      <c r="FK1609" s="4"/>
      <c r="FL1609" s="4"/>
      <c r="FM1609" s="4"/>
      <c r="FN1609" s="4"/>
      <c r="FO1609" s="4"/>
      <c r="FP1609" s="4"/>
      <c r="FQ1609" s="4"/>
      <c r="FR1609" s="4"/>
      <c r="FS1609" s="4"/>
      <c r="FT1609" s="4"/>
      <c r="FU1609" s="4"/>
      <c r="FV1609" s="4"/>
      <c r="FW1609" s="4"/>
      <c r="FX1609" s="4"/>
      <c r="FY1609" s="4"/>
      <c r="FZ1609" s="4"/>
      <c r="GA1609" s="4"/>
      <c r="GB1609" s="4"/>
      <c r="GC1609" s="4"/>
      <c r="GD1609" s="4"/>
      <c r="GE1609" s="4"/>
      <c r="GF1609" s="4"/>
      <c r="GG1609" s="4"/>
      <c r="GH1609" s="4"/>
    </row>
    <row r="1610">
      <c r="A1610" s="2" t="s">
        <v>8513</v>
      </c>
      <c r="B1610" s="2" t="s">
        <v>992</v>
      </c>
      <c r="C1610" s="2" t="s">
        <v>231</v>
      </c>
      <c r="D1610" s="2" t="s">
        <v>992</v>
      </c>
      <c r="E1610" s="2" t="s">
        <v>992</v>
      </c>
      <c r="F1610" s="2" t="s">
        <v>3187</v>
      </c>
      <c r="G1610" s="2" t="s">
        <v>3187</v>
      </c>
      <c r="H1610" s="2" t="s">
        <v>3187</v>
      </c>
      <c r="I1610" s="2" t="s">
        <v>8510</v>
      </c>
      <c r="J1610" s="2" t="s">
        <v>1585</v>
      </c>
      <c r="K1610" s="2" t="s">
        <v>4927</v>
      </c>
      <c r="L1610" s="3">
        <v>211.98</v>
      </c>
      <c r="M1610" s="3">
        <v>222.58</v>
      </c>
      <c r="N1610" s="3">
        <v>474.99</v>
      </c>
      <c r="O1610" s="2" t="s">
        <v>460</v>
      </c>
      <c r="P1610" s="2" t="s">
        <v>285</v>
      </c>
      <c r="Q1610" s="2" t="s">
        <v>206</v>
      </c>
      <c r="R1610" s="2" t="s">
        <v>200</v>
      </c>
      <c r="S1610" s="2" t="s">
        <v>8511</v>
      </c>
      <c r="T1610" s="2" t="s">
        <v>200</v>
      </c>
      <c r="U1610" s="2" t="s">
        <v>270</v>
      </c>
      <c r="V1610" s="2" t="s">
        <v>885</v>
      </c>
      <c r="W1610" s="2" t="s">
        <v>419</v>
      </c>
      <c r="X1610" s="2" t="s">
        <v>200</v>
      </c>
      <c r="Y1610" s="2" t="s">
        <v>1580</v>
      </c>
      <c r="Z1610" s="4">
        <v>92</v>
      </c>
      <c r="AA1610" s="4">
        <f>=ROUNDDOWN(65.7142857142857,0)</f>
      </c>
      <c r="AB1610" s="5">
        <v>1.4</v>
      </c>
      <c r="AC1610" s="2" t="s">
        <v>200</v>
      </c>
      <c r="AD1610" s="4"/>
      <c r="AE1610" s="4"/>
      <c r="AF1610" s="6">
        <v>63</v>
      </c>
      <c r="AG1610" s="6"/>
      <c r="AH1610" s="7">
        <v>1</v>
      </c>
      <c r="AI1610" s="4"/>
      <c r="AJ1610" s="4">
        <f>=ROUNDDOWN({0},0)</f>
      </c>
      <c r="AK1610" s="5"/>
      <c r="AL1610" s="2" t="s">
        <v>200</v>
      </c>
      <c r="AM1610" s="4"/>
      <c r="AN1610" s="4"/>
      <c r="AO1610" s="7"/>
      <c r="AP1610" s="4"/>
      <c r="AQ1610" s="8"/>
      <c r="AR1610" s="4"/>
      <c r="AS1610" s="8"/>
      <c r="AT1610" s="7"/>
      <c r="AU1610" s="7"/>
      <c r="AV1610" s="4" t="s">
        <v>200</v>
      </c>
      <c r="AW1610" s="8" t="s">
        <v>200</v>
      </c>
      <c r="AX1610" s="4" t="s">
        <v>200</v>
      </c>
      <c r="AY1610" s="8" t="s">
        <v>200</v>
      </c>
      <c r="AZ1610" s="7" t="s">
        <v>200</v>
      </c>
      <c r="BA1610" s="7" t="s">
        <v>200</v>
      </c>
      <c r="BB1610" s="7"/>
      <c r="BC1610" s="4" t="s">
        <v>200</v>
      </c>
      <c r="BD1610" s="8" t="s">
        <v>200</v>
      </c>
      <c r="BE1610" s="4" t="s">
        <v>200</v>
      </c>
      <c r="BF1610" s="8" t="s">
        <v>200</v>
      </c>
      <c r="BG1610" s="7" t="s">
        <v>200</v>
      </c>
      <c r="BH1610" s="7" t="s">
        <v>200</v>
      </c>
      <c r="BI1610" s="7"/>
      <c r="BJ1610" s="4">
        <v>2</v>
      </c>
      <c r="BK1610" s="8">
        <v>255.98</v>
      </c>
      <c r="BL1610" s="2" t="s">
        <v>791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8514</v>
      </c>
      <c r="BV1610" s="2" t="s">
        <v>200</v>
      </c>
      <c r="BW1610" s="2" t="s">
        <v>200</v>
      </c>
      <c r="BX1610" s="2" t="s">
        <v>289</v>
      </c>
      <c r="BY1610" s="2" t="s">
        <v>247</v>
      </c>
      <c r="BZ1610" s="2" t="s">
        <v>212</v>
      </c>
      <c r="CA1610" s="2" t="s">
        <v>4438</v>
      </c>
      <c r="CB1610" s="2" t="s">
        <v>1458</v>
      </c>
      <c r="CC1610" s="2" t="s">
        <v>213</v>
      </c>
      <c r="CD1610" s="2" t="s">
        <v>200</v>
      </c>
      <c r="CE1610" s="4"/>
      <c r="CF1610" s="4">
        <v>92</v>
      </c>
      <c r="CG1610" s="4"/>
      <c r="CH1610" s="4"/>
      <c r="CI1610" s="4"/>
      <c r="CJ1610" s="4"/>
      <c r="CK1610" s="4"/>
      <c r="CL1610" s="4"/>
      <c r="CM1610" s="4"/>
      <c r="CN1610" s="4"/>
      <c r="CO1610" s="4"/>
      <c r="CP1610" s="4"/>
      <c r="CQ1610" s="4"/>
      <c r="CR1610" s="4"/>
      <c r="CS1610" s="4"/>
      <c r="CT1610" s="4"/>
      <c r="CU1610" s="4"/>
      <c r="CV1610" s="4"/>
      <c r="CW1610" s="4"/>
      <c r="CX1610" s="4"/>
      <c r="CY1610" s="4"/>
      <c r="CZ1610" s="4"/>
      <c r="DA1610" s="4"/>
      <c r="DB1610" s="4"/>
      <c r="DC1610" s="4"/>
      <c r="DD1610" s="4"/>
      <c r="DE1610" s="4"/>
      <c r="DF1610" s="4"/>
      <c r="DG1610" s="4"/>
      <c r="DH1610" s="4"/>
      <c r="DI1610" s="4"/>
      <c r="DJ1610" s="4"/>
      <c r="DK1610" s="4"/>
      <c r="DL1610" s="4"/>
      <c r="DM1610" s="4"/>
      <c r="DN1610" s="4"/>
      <c r="DO1610" s="4"/>
      <c r="DP1610" s="4"/>
      <c r="DQ1610" s="4"/>
      <c r="DR1610" s="4"/>
      <c r="DS1610" s="4"/>
      <c r="DT1610" s="4"/>
      <c r="DU1610" s="4"/>
      <c r="DV1610" s="4"/>
      <c r="DW1610" s="4"/>
      <c r="DX1610" s="4"/>
      <c r="DY1610" s="4"/>
      <c r="DZ1610" s="4"/>
      <c r="EA1610" s="4"/>
      <c r="EB1610" s="4"/>
      <c r="EC1610" s="4"/>
      <c r="ED1610" s="4"/>
      <c r="EE1610" s="4"/>
      <c r="EF1610" s="4"/>
      <c r="EG1610" s="4"/>
      <c r="EH1610" s="4"/>
      <c r="EI1610" s="4"/>
      <c r="EJ1610" s="4"/>
      <c r="EK1610" s="4"/>
      <c r="EL1610" s="4"/>
      <c r="EM1610" s="4"/>
      <c r="EN1610" s="4"/>
      <c r="EO1610" s="4"/>
      <c r="EP1610" s="4"/>
      <c r="EQ1610" s="4"/>
      <c r="ER1610" s="4"/>
      <c r="ES1610" s="4"/>
      <c r="ET1610" s="4"/>
      <c r="EU1610" s="4"/>
      <c r="EV1610" s="4"/>
      <c r="EW1610" s="4"/>
      <c r="EX1610" s="4"/>
      <c r="EY1610" s="4"/>
      <c r="EZ1610" s="4"/>
      <c r="FA1610" s="4"/>
      <c r="FB1610" s="4"/>
      <c r="FC1610" s="4"/>
      <c r="FD1610" s="4"/>
      <c r="FE1610" s="4"/>
      <c r="FF1610" s="4"/>
      <c r="FG1610" s="4"/>
      <c r="FH1610" s="4"/>
      <c r="FI1610" s="4"/>
      <c r="FJ1610" s="4"/>
      <c r="FK1610" s="4"/>
      <c r="FL1610" s="4"/>
      <c r="FM1610" s="4"/>
      <c r="FN1610" s="4"/>
      <c r="FO1610" s="4"/>
      <c r="FP1610" s="4"/>
      <c r="FQ1610" s="4"/>
      <c r="FR1610" s="4"/>
      <c r="FS1610" s="4"/>
      <c r="FT1610" s="4"/>
      <c r="FU1610" s="4"/>
      <c r="FV1610" s="4"/>
      <c r="FW1610" s="4"/>
      <c r="FX1610" s="4"/>
      <c r="FY1610" s="4"/>
      <c r="FZ1610" s="4"/>
      <c r="GA1610" s="4"/>
      <c r="GB1610" s="4"/>
      <c r="GC1610" s="4"/>
      <c r="GD1610" s="4"/>
      <c r="GE1610" s="4"/>
      <c r="GF1610" s="4"/>
      <c r="GG1610" s="4"/>
      <c r="GH1610" s="4"/>
    </row>
    <row r="1611">
      <c r="A1611" s="2" t="s">
        <v>8515</v>
      </c>
      <c r="B1611" s="2" t="s">
        <v>1099</v>
      </c>
      <c r="C1611" s="2" t="s">
        <v>231</v>
      </c>
      <c r="D1611" s="2" t="s">
        <v>1159</v>
      </c>
      <c r="E1611" s="2" t="s">
        <v>1160</v>
      </c>
      <c r="F1611" s="2" t="s">
        <v>8516</v>
      </c>
      <c r="G1611" s="2" t="s">
        <v>8516</v>
      </c>
      <c r="H1611" s="2" t="s">
        <v>8516</v>
      </c>
      <c r="I1611" s="2" t="s">
        <v>8517</v>
      </c>
      <c r="J1611" s="2" t="s">
        <v>8518</v>
      </c>
      <c r="K1611" s="2" t="s">
        <v>1214</v>
      </c>
      <c r="L1611" s="3">
        <v>19.01</v>
      </c>
      <c r="M1611" s="3">
        <v>19.96</v>
      </c>
      <c r="N1611" s="3">
        <v>42.99</v>
      </c>
      <c r="O1611" s="2" t="s">
        <v>212</v>
      </c>
      <c r="P1611" s="2" t="s">
        <v>205</v>
      </c>
      <c r="Q1611" s="2" t="s">
        <v>206</v>
      </c>
      <c r="R1611" s="2" t="s">
        <v>200</v>
      </c>
      <c r="S1611" s="2" t="s">
        <v>200</v>
      </c>
      <c r="T1611" s="2" t="s">
        <v>200</v>
      </c>
      <c r="U1611" s="2" t="s">
        <v>270</v>
      </c>
      <c r="V1611" s="2" t="s">
        <v>339</v>
      </c>
      <c r="W1611" s="2" t="s">
        <v>241</v>
      </c>
      <c r="X1611" s="2" t="s">
        <v>200</v>
      </c>
      <c r="Y1611" s="2" t="s">
        <v>200</v>
      </c>
      <c r="Z1611" s="4"/>
      <c r="AA1611" s="4">
        <f>=ROUNDDOWN({0},0)</f>
      </c>
      <c r="AB1611" s="5"/>
      <c r="AC1611" s="2" t="s">
        <v>1141</v>
      </c>
      <c r="AD1611" s="4">
        <v>180</v>
      </c>
      <c r="AE1611" s="4">
        <v>180</v>
      </c>
      <c r="AF1611" s="6">
        <v>65</v>
      </c>
      <c r="AG1611" s="6"/>
      <c r="AH1611" s="7"/>
      <c r="AI1611" s="4"/>
      <c r="AJ1611" s="4">
        <f>=ROUNDDOWN({0},0)</f>
      </c>
      <c r="AK1611" s="5"/>
      <c r="AL1611" s="2" t="s">
        <v>200</v>
      </c>
      <c r="AM1611" s="4"/>
      <c r="AN1611" s="4"/>
      <c r="AO1611" s="7"/>
      <c r="AP1611" s="4"/>
      <c r="AQ1611" s="8"/>
      <c r="AR1611" s="4"/>
      <c r="AS1611" s="8"/>
      <c r="AT1611" s="7"/>
      <c r="AU1611" s="7"/>
      <c r="AV1611" s="4" t="s">
        <v>200</v>
      </c>
      <c r="AW1611" s="8" t="s">
        <v>200</v>
      </c>
      <c r="AX1611" s="4" t="s">
        <v>200</v>
      </c>
      <c r="AY1611" s="8" t="s">
        <v>200</v>
      </c>
      <c r="AZ1611" s="7" t="s">
        <v>200</v>
      </c>
      <c r="BA1611" s="7" t="s">
        <v>200</v>
      </c>
      <c r="BB1611" s="7"/>
      <c r="BC1611" s="4" t="s">
        <v>200</v>
      </c>
      <c r="BD1611" s="8" t="s">
        <v>200</v>
      </c>
      <c r="BE1611" s="4" t="s">
        <v>200</v>
      </c>
      <c r="BF1611" s="8" t="s">
        <v>200</v>
      </c>
      <c r="BG1611" s="7" t="s">
        <v>200</v>
      </c>
      <c r="BH1611" s="7" t="s">
        <v>200</v>
      </c>
      <c r="BI1611" s="7"/>
      <c r="BJ1611" s="4"/>
      <c r="BK1611" s="8"/>
      <c r="BL1611" s="2" t="s">
        <v>200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210</v>
      </c>
      <c r="BV1611" s="2" t="s">
        <v>200</v>
      </c>
      <c r="BW1611" s="2" t="s">
        <v>200</v>
      </c>
      <c r="BX1611" s="2" t="s">
        <v>3140</v>
      </c>
      <c r="BY1611" s="2" t="s">
        <v>211</v>
      </c>
      <c r="BZ1611" s="2" t="s">
        <v>212</v>
      </c>
      <c r="CA1611" s="2" t="s">
        <v>200</v>
      </c>
      <c r="CB1611" s="2" t="s">
        <v>200</v>
      </c>
      <c r="CC1611" s="2" t="s">
        <v>213</v>
      </c>
      <c r="CD1611" s="2" t="s">
        <v>200</v>
      </c>
      <c r="CE1611" s="4"/>
      <c r="CF1611" s="4"/>
      <c r="CG1611" s="4"/>
      <c r="CH1611" s="4"/>
      <c r="CI1611" s="4"/>
      <c r="CJ1611" s="4"/>
      <c r="CK1611" s="4"/>
      <c r="CL1611" s="4"/>
      <c r="CM1611" s="4"/>
      <c r="CN1611" s="4"/>
      <c r="CO1611" s="4"/>
      <c r="CP1611" s="4"/>
      <c r="CQ1611" s="4"/>
      <c r="CR1611" s="4"/>
      <c r="CS1611" s="4"/>
      <c r="CT1611" s="4"/>
      <c r="CU1611" s="4"/>
      <c r="CV1611" s="4"/>
      <c r="CW1611" s="4"/>
      <c r="CX1611" s="4"/>
      <c r="CY1611" s="4"/>
      <c r="CZ1611" s="4"/>
      <c r="DA1611" s="4"/>
      <c r="DB1611" s="4"/>
      <c r="DC1611" s="4"/>
      <c r="DD1611" s="4"/>
      <c r="DE1611" s="4"/>
      <c r="DF1611" s="4"/>
      <c r="DG1611" s="4"/>
      <c r="DH1611" s="4"/>
      <c r="DI1611" s="4"/>
      <c r="DJ1611" s="4"/>
      <c r="DK1611" s="4"/>
      <c r="DL1611" s="4"/>
      <c r="DM1611" s="4"/>
      <c r="DN1611" s="4"/>
      <c r="DO1611" s="4"/>
      <c r="DP1611" s="4"/>
      <c r="DQ1611" s="4"/>
      <c r="DR1611" s="4"/>
      <c r="DS1611" s="4"/>
      <c r="DT1611" s="4"/>
      <c r="DU1611" s="4">
        <v>180</v>
      </c>
      <c r="DV1611" s="4"/>
      <c r="DW1611" s="4"/>
      <c r="DX1611" s="4"/>
      <c r="DY1611" s="4"/>
      <c r="DZ1611" s="4"/>
      <c r="EA1611" s="4"/>
      <c r="EB1611" s="4"/>
      <c r="EC1611" s="4"/>
      <c r="ED1611" s="4"/>
      <c r="EE1611" s="4"/>
      <c r="EF1611" s="4"/>
      <c r="EG1611" s="4"/>
      <c r="EH1611" s="4"/>
      <c r="EI1611" s="4"/>
      <c r="EJ1611" s="4"/>
      <c r="EK1611" s="4"/>
      <c r="EL1611" s="4"/>
      <c r="EM1611" s="4"/>
      <c r="EN1611" s="4"/>
      <c r="EO1611" s="4"/>
      <c r="EP1611" s="4"/>
      <c r="EQ1611" s="4"/>
      <c r="ER1611" s="4"/>
      <c r="ES1611" s="4"/>
      <c r="ET1611" s="4"/>
      <c r="EU1611" s="4"/>
      <c r="EV1611" s="4"/>
      <c r="EW1611" s="4"/>
      <c r="EX1611" s="4"/>
      <c r="EY1611" s="4"/>
      <c r="EZ1611" s="4"/>
      <c r="FA1611" s="4"/>
      <c r="FB1611" s="4"/>
      <c r="FC1611" s="4"/>
      <c r="FD1611" s="4"/>
      <c r="FE1611" s="4"/>
      <c r="FF1611" s="4"/>
      <c r="FG1611" s="4"/>
      <c r="FH1611" s="4"/>
      <c r="FI1611" s="4"/>
      <c r="FJ1611" s="4"/>
      <c r="FK1611" s="4"/>
      <c r="FL1611" s="4"/>
      <c r="FM1611" s="4"/>
      <c r="FN1611" s="4"/>
      <c r="FO1611" s="4"/>
      <c r="FP1611" s="4"/>
      <c r="FQ1611" s="4"/>
      <c r="FR1611" s="4"/>
      <c r="FS1611" s="4"/>
      <c r="FT1611" s="4"/>
      <c r="FU1611" s="4"/>
      <c r="FV1611" s="4"/>
      <c r="FW1611" s="4"/>
      <c r="FX1611" s="4"/>
      <c r="FY1611" s="4"/>
      <c r="FZ1611" s="4"/>
      <c r="GA1611" s="4"/>
      <c r="GB1611" s="4"/>
      <c r="GC1611" s="4"/>
      <c r="GD1611" s="4"/>
      <c r="GE1611" s="4"/>
      <c r="GF1611" s="4"/>
      <c r="GG1611" s="4"/>
      <c r="GH1611" s="4"/>
    </row>
    <row r="1612">
      <c r="A1612" s="2" t="s">
        <v>8519</v>
      </c>
      <c r="B1612" s="2" t="s">
        <v>1099</v>
      </c>
      <c r="C1612" s="2" t="s">
        <v>231</v>
      </c>
      <c r="D1612" s="2" t="s">
        <v>1159</v>
      </c>
      <c r="E1612" s="2" t="s">
        <v>1160</v>
      </c>
      <c r="F1612" s="2" t="s">
        <v>8516</v>
      </c>
      <c r="G1612" s="2" t="s">
        <v>8516</v>
      </c>
      <c r="H1612" s="2" t="s">
        <v>8516</v>
      </c>
      <c r="I1612" s="2" t="s">
        <v>8517</v>
      </c>
      <c r="J1612" s="2" t="s">
        <v>8520</v>
      </c>
      <c r="K1612" s="2" t="s">
        <v>1214</v>
      </c>
      <c r="L1612" s="3">
        <v>9.8</v>
      </c>
      <c r="M1612" s="3">
        <v>10.29</v>
      </c>
      <c r="N1612" s="3">
        <v>21.99</v>
      </c>
      <c r="O1612" s="2" t="s">
        <v>212</v>
      </c>
      <c r="P1612" s="2" t="s">
        <v>205</v>
      </c>
      <c r="Q1612" s="2" t="s">
        <v>206</v>
      </c>
      <c r="R1612" s="2" t="s">
        <v>200</v>
      </c>
      <c r="S1612" s="2" t="s">
        <v>200</v>
      </c>
      <c r="T1612" s="2" t="s">
        <v>200</v>
      </c>
      <c r="U1612" s="2" t="s">
        <v>270</v>
      </c>
      <c r="V1612" s="2" t="s">
        <v>339</v>
      </c>
      <c r="W1612" s="2" t="s">
        <v>241</v>
      </c>
      <c r="X1612" s="2" t="s">
        <v>200</v>
      </c>
      <c r="Y1612" s="2" t="s">
        <v>200</v>
      </c>
      <c r="Z1612" s="4"/>
      <c r="AA1612" s="4">
        <f>=ROUNDDOWN({0},0)</f>
      </c>
      <c r="AB1612" s="5"/>
      <c r="AC1612" s="2" t="s">
        <v>1141</v>
      </c>
      <c r="AD1612" s="4">
        <v>1020</v>
      </c>
      <c r="AE1612" s="4">
        <v>1020</v>
      </c>
      <c r="AF1612" s="6">
        <v>65</v>
      </c>
      <c r="AG1612" s="6"/>
      <c r="AH1612" s="7"/>
      <c r="AI1612" s="4"/>
      <c r="AJ1612" s="4">
        <f>=ROUNDDOWN({0},0)</f>
      </c>
      <c r="AK1612" s="5"/>
      <c r="AL1612" s="2" t="s">
        <v>200</v>
      </c>
      <c r="AM1612" s="4"/>
      <c r="AN1612" s="4"/>
      <c r="AO1612" s="7"/>
      <c r="AP1612" s="4"/>
      <c r="AQ1612" s="8"/>
      <c r="AR1612" s="4"/>
      <c r="AS1612" s="8"/>
      <c r="AT1612" s="7"/>
      <c r="AU1612" s="7"/>
      <c r="AV1612" s="4" t="s">
        <v>200</v>
      </c>
      <c r="AW1612" s="8" t="s">
        <v>200</v>
      </c>
      <c r="AX1612" s="4" t="s">
        <v>200</v>
      </c>
      <c r="AY1612" s="8" t="s">
        <v>200</v>
      </c>
      <c r="AZ1612" s="7" t="s">
        <v>200</v>
      </c>
      <c r="BA1612" s="7" t="s">
        <v>200</v>
      </c>
      <c r="BB1612" s="7"/>
      <c r="BC1612" s="4" t="s">
        <v>200</v>
      </c>
      <c r="BD1612" s="8" t="s">
        <v>200</v>
      </c>
      <c r="BE1612" s="4" t="s">
        <v>200</v>
      </c>
      <c r="BF1612" s="8" t="s">
        <v>200</v>
      </c>
      <c r="BG1612" s="7" t="s">
        <v>200</v>
      </c>
      <c r="BH1612" s="7" t="s">
        <v>200</v>
      </c>
      <c r="BI1612" s="7"/>
      <c r="BJ1612" s="4"/>
      <c r="BK1612" s="8"/>
      <c r="BL1612" s="2" t="s">
        <v>200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210</v>
      </c>
      <c r="BV1612" s="2" t="s">
        <v>200</v>
      </c>
      <c r="BW1612" s="2" t="s">
        <v>200</v>
      </c>
      <c r="BX1612" s="2" t="s">
        <v>3140</v>
      </c>
      <c r="BY1612" s="2" t="s">
        <v>211</v>
      </c>
      <c r="BZ1612" s="2" t="s">
        <v>212</v>
      </c>
      <c r="CA1612" s="2" t="s">
        <v>200</v>
      </c>
      <c r="CB1612" s="2" t="s">
        <v>200</v>
      </c>
      <c r="CC1612" s="2" t="s">
        <v>213</v>
      </c>
      <c r="CD1612" s="2" t="s">
        <v>200</v>
      </c>
      <c r="CE1612" s="4"/>
      <c r="CF1612" s="4"/>
      <c r="CG1612" s="4"/>
      <c r="CH1612" s="4"/>
      <c r="CI1612" s="4"/>
      <c r="CJ1612" s="4"/>
      <c r="CK1612" s="4"/>
      <c r="CL1612" s="4"/>
      <c r="CM1612" s="4"/>
      <c r="CN1612" s="4"/>
      <c r="CO1612" s="4"/>
      <c r="CP1612" s="4"/>
      <c r="CQ1612" s="4"/>
      <c r="CR1612" s="4"/>
      <c r="CS1612" s="4"/>
      <c r="CT1612" s="4"/>
      <c r="CU1612" s="4"/>
      <c r="CV1612" s="4"/>
      <c r="CW1612" s="4"/>
      <c r="CX1612" s="4"/>
      <c r="CY1612" s="4"/>
      <c r="CZ1612" s="4"/>
      <c r="DA1612" s="4"/>
      <c r="DB1612" s="4"/>
      <c r="DC1612" s="4"/>
      <c r="DD1612" s="4"/>
      <c r="DE1612" s="4"/>
      <c r="DF1612" s="4"/>
      <c r="DG1612" s="4"/>
      <c r="DH1612" s="4"/>
      <c r="DI1612" s="4"/>
      <c r="DJ1612" s="4"/>
      <c r="DK1612" s="4"/>
      <c r="DL1612" s="4"/>
      <c r="DM1612" s="4"/>
      <c r="DN1612" s="4"/>
      <c r="DO1612" s="4"/>
      <c r="DP1612" s="4"/>
      <c r="DQ1612" s="4"/>
      <c r="DR1612" s="4"/>
      <c r="DS1612" s="4"/>
      <c r="DT1612" s="4"/>
      <c r="DU1612" s="4">
        <v>1020</v>
      </c>
      <c r="DV1612" s="4"/>
      <c r="DW1612" s="4"/>
      <c r="DX1612" s="4"/>
      <c r="DY1612" s="4"/>
      <c r="DZ1612" s="4"/>
      <c r="EA1612" s="4"/>
      <c r="EB1612" s="4"/>
      <c r="EC1612" s="4"/>
      <c r="ED1612" s="4"/>
      <c r="EE1612" s="4"/>
      <c r="EF1612" s="4"/>
      <c r="EG1612" s="4"/>
      <c r="EH1612" s="4"/>
      <c r="EI1612" s="4"/>
      <c r="EJ1612" s="4"/>
      <c r="EK1612" s="4"/>
      <c r="EL1612" s="4"/>
      <c r="EM1612" s="4"/>
      <c r="EN1612" s="4"/>
      <c r="EO1612" s="4"/>
      <c r="EP1612" s="4"/>
      <c r="EQ1612" s="4"/>
      <c r="ER1612" s="4"/>
      <c r="ES1612" s="4"/>
      <c r="ET1612" s="4"/>
      <c r="EU1612" s="4"/>
      <c r="EV1612" s="4"/>
      <c r="EW1612" s="4"/>
      <c r="EX1612" s="4"/>
      <c r="EY1612" s="4"/>
      <c r="EZ1612" s="4"/>
      <c r="FA1612" s="4"/>
      <c r="FB1612" s="4"/>
      <c r="FC1612" s="4"/>
      <c r="FD1612" s="4"/>
      <c r="FE1612" s="4"/>
      <c r="FF1612" s="4"/>
      <c r="FG1612" s="4"/>
      <c r="FH1612" s="4"/>
      <c r="FI1612" s="4"/>
      <c r="FJ1612" s="4"/>
      <c r="FK1612" s="4"/>
      <c r="FL1612" s="4"/>
      <c r="FM1612" s="4"/>
      <c r="FN1612" s="4"/>
      <c r="FO1612" s="4"/>
      <c r="FP1612" s="4"/>
      <c r="FQ1612" s="4"/>
      <c r="FR1612" s="4"/>
      <c r="FS1612" s="4"/>
      <c r="FT1612" s="4"/>
      <c r="FU1612" s="4"/>
      <c r="FV1612" s="4"/>
      <c r="FW1612" s="4"/>
      <c r="FX1612" s="4"/>
      <c r="FY1612" s="4"/>
      <c r="FZ1612" s="4"/>
      <c r="GA1612" s="4"/>
      <c r="GB1612" s="4"/>
      <c r="GC1612" s="4"/>
      <c r="GD1612" s="4"/>
      <c r="GE1612" s="4"/>
      <c r="GF1612" s="4"/>
      <c r="GG1612" s="4"/>
      <c r="GH1612" s="4"/>
    </row>
    <row r="1613">
      <c r="A1613" s="2" t="s">
        <v>8521</v>
      </c>
      <c r="B1613" s="2" t="s">
        <v>1099</v>
      </c>
      <c r="C1613" s="2" t="s">
        <v>231</v>
      </c>
      <c r="D1613" s="2" t="s">
        <v>1159</v>
      </c>
      <c r="E1613" s="2" t="s">
        <v>1160</v>
      </c>
      <c r="F1613" s="2" t="s">
        <v>8516</v>
      </c>
      <c r="G1613" s="2" t="s">
        <v>8516</v>
      </c>
      <c r="H1613" s="2" t="s">
        <v>8516</v>
      </c>
      <c r="I1613" s="2" t="s">
        <v>8517</v>
      </c>
      <c r="J1613" s="2" t="s">
        <v>8522</v>
      </c>
      <c r="K1613" s="2" t="s">
        <v>1214</v>
      </c>
      <c r="L1613" s="3">
        <v>14.85</v>
      </c>
      <c r="M1613" s="3">
        <v>15.59</v>
      </c>
      <c r="N1613" s="3">
        <v>32.99</v>
      </c>
      <c r="O1613" s="2" t="s">
        <v>212</v>
      </c>
      <c r="P1613" s="2" t="s">
        <v>205</v>
      </c>
      <c r="Q1613" s="2" t="s">
        <v>206</v>
      </c>
      <c r="R1613" s="2" t="s">
        <v>200</v>
      </c>
      <c r="S1613" s="2" t="s">
        <v>200</v>
      </c>
      <c r="T1613" s="2" t="s">
        <v>200</v>
      </c>
      <c r="U1613" s="2" t="s">
        <v>270</v>
      </c>
      <c r="V1613" s="2" t="s">
        <v>339</v>
      </c>
      <c r="W1613" s="2" t="s">
        <v>241</v>
      </c>
      <c r="X1613" s="2" t="s">
        <v>200</v>
      </c>
      <c r="Y1613" s="2" t="s">
        <v>200</v>
      </c>
      <c r="Z1613" s="4"/>
      <c r="AA1613" s="4">
        <f>=ROUNDDOWN({0},0)</f>
      </c>
      <c r="AB1613" s="5"/>
      <c r="AC1613" s="2" t="s">
        <v>1141</v>
      </c>
      <c r="AD1613" s="4">
        <v>660</v>
      </c>
      <c r="AE1613" s="4">
        <v>660</v>
      </c>
      <c r="AF1613" s="6">
        <v>65</v>
      </c>
      <c r="AG1613" s="6"/>
      <c r="AH1613" s="7"/>
      <c r="AI1613" s="4"/>
      <c r="AJ1613" s="4">
        <f>=ROUNDDOWN({0},0)</f>
      </c>
      <c r="AK1613" s="5"/>
      <c r="AL1613" s="2" t="s">
        <v>200</v>
      </c>
      <c r="AM1613" s="4"/>
      <c r="AN1613" s="4"/>
      <c r="AO1613" s="7"/>
      <c r="AP1613" s="4"/>
      <c r="AQ1613" s="8"/>
      <c r="AR1613" s="4"/>
      <c r="AS1613" s="8"/>
      <c r="AT1613" s="7"/>
      <c r="AU1613" s="7"/>
      <c r="AV1613" s="4" t="s">
        <v>200</v>
      </c>
      <c r="AW1613" s="8" t="s">
        <v>200</v>
      </c>
      <c r="AX1613" s="4" t="s">
        <v>200</v>
      </c>
      <c r="AY1613" s="8" t="s">
        <v>200</v>
      </c>
      <c r="AZ1613" s="7" t="s">
        <v>200</v>
      </c>
      <c r="BA1613" s="7" t="s">
        <v>200</v>
      </c>
      <c r="BB1613" s="7"/>
      <c r="BC1613" s="4" t="s">
        <v>200</v>
      </c>
      <c r="BD1613" s="8" t="s">
        <v>200</v>
      </c>
      <c r="BE1613" s="4" t="s">
        <v>200</v>
      </c>
      <c r="BF1613" s="8" t="s">
        <v>200</v>
      </c>
      <c r="BG1613" s="7" t="s">
        <v>200</v>
      </c>
      <c r="BH1613" s="7" t="s">
        <v>200</v>
      </c>
      <c r="BI1613" s="7"/>
      <c r="BJ1613" s="4"/>
      <c r="BK1613" s="8"/>
      <c r="BL1613" s="2" t="s">
        <v>200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210</v>
      </c>
      <c r="BV1613" s="2" t="s">
        <v>200</v>
      </c>
      <c r="BW1613" s="2" t="s">
        <v>200</v>
      </c>
      <c r="BX1613" s="2" t="s">
        <v>3140</v>
      </c>
      <c r="BY1613" s="2" t="s">
        <v>211</v>
      </c>
      <c r="BZ1613" s="2" t="s">
        <v>212</v>
      </c>
      <c r="CA1613" s="2" t="s">
        <v>200</v>
      </c>
      <c r="CB1613" s="2" t="s">
        <v>200</v>
      </c>
      <c r="CC1613" s="2" t="s">
        <v>213</v>
      </c>
      <c r="CD1613" s="2" t="s">
        <v>200</v>
      </c>
      <c r="CE1613" s="4"/>
      <c r="CF1613" s="4"/>
      <c r="CG1613" s="4"/>
      <c r="CH1613" s="4"/>
      <c r="CI1613" s="4"/>
      <c r="CJ1613" s="4"/>
      <c r="CK1613" s="4"/>
      <c r="CL1613" s="4"/>
      <c r="CM1613" s="4"/>
      <c r="CN1613" s="4"/>
      <c r="CO1613" s="4"/>
      <c r="CP1613" s="4"/>
      <c r="CQ1613" s="4"/>
      <c r="CR1613" s="4"/>
      <c r="CS1613" s="4"/>
      <c r="CT1613" s="4"/>
      <c r="CU1613" s="4"/>
      <c r="CV1613" s="4"/>
      <c r="CW1613" s="4"/>
      <c r="CX1613" s="4"/>
      <c r="CY1613" s="4"/>
      <c r="CZ1613" s="4"/>
      <c r="DA1613" s="4"/>
      <c r="DB1613" s="4"/>
      <c r="DC1613" s="4"/>
      <c r="DD1613" s="4"/>
      <c r="DE1613" s="4"/>
      <c r="DF1613" s="4"/>
      <c r="DG1613" s="4"/>
      <c r="DH1613" s="4"/>
      <c r="DI1613" s="4"/>
      <c r="DJ1613" s="4"/>
      <c r="DK1613" s="4"/>
      <c r="DL1613" s="4"/>
      <c r="DM1613" s="4"/>
      <c r="DN1613" s="4"/>
      <c r="DO1613" s="4"/>
      <c r="DP1613" s="4"/>
      <c r="DQ1613" s="4"/>
      <c r="DR1613" s="4"/>
      <c r="DS1613" s="4"/>
      <c r="DT1613" s="4"/>
      <c r="DU1613" s="4">
        <v>660</v>
      </c>
      <c r="DV1613" s="4"/>
      <c r="DW1613" s="4"/>
      <c r="DX1613" s="4"/>
      <c r="DY1613" s="4"/>
      <c r="DZ1613" s="4"/>
      <c r="EA1613" s="4"/>
      <c r="EB1613" s="4"/>
      <c r="EC1613" s="4"/>
      <c r="ED1613" s="4"/>
      <c r="EE1613" s="4"/>
      <c r="EF1613" s="4"/>
      <c r="EG1613" s="4"/>
      <c r="EH1613" s="4"/>
      <c r="EI1613" s="4"/>
      <c r="EJ1613" s="4"/>
      <c r="EK1613" s="4"/>
      <c r="EL1613" s="4"/>
      <c r="EM1613" s="4"/>
      <c r="EN1613" s="4"/>
      <c r="EO1613" s="4"/>
      <c r="EP1613" s="4"/>
      <c r="EQ1613" s="4"/>
      <c r="ER1613" s="4"/>
      <c r="ES1613" s="4"/>
      <c r="ET1613" s="4"/>
      <c r="EU1613" s="4"/>
      <c r="EV1613" s="4"/>
      <c r="EW1613" s="4"/>
      <c r="EX1613" s="4"/>
      <c r="EY1613" s="4"/>
      <c r="EZ1613" s="4"/>
      <c r="FA1613" s="4"/>
      <c r="FB1613" s="4"/>
      <c r="FC1613" s="4"/>
      <c r="FD1613" s="4"/>
      <c r="FE1613" s="4"/>
      <c r="FF1613" s="4"/>
      <c r="FG1613" s="4"/>
      <c r="FH1613" s="4"/>
      <c r="FI1613" s="4"/>
      <c r="FJ1613" s="4"/>
      <c r="FK1613" s="4"/>
      <c r="FL1613" s="4"/>
      <c r="FM1613" s="4"/>
      <c r="FN1613" s="4"/>
      <c r="FO1613" s="4"/>
      <c r="FP1613" s="4"/>
      <c r="FQ1613" s="4"/>
      <c r="FR1613" s="4"/>
      <c r="FS1613" s="4"/>
      <c r="FT1613" s="4"/>
      <c r="FU1613" s="4"/>
      <c r="FV1613" s="4"/>
      <c r="FW1613" s="4"/>
      <c r="FX1613" s="4"/>
      <c r="FY1613" s="4"/>
      <c r="FZ1613" s="4"/>
      <c r="GA1613" s="4"/>
      <c r="GB1613" s="4"/>
      <c r="GC1613" s="4"/>
      <c r="GD1613" s="4"/>
      <c r="GE1613" s="4"/>
      <c r="GF1613" s="4"/>
      <c r="GG1613" s="4"/>
      <c r="GH1613" s="4"/>
    </row>
    <row r="1614">
      <c r="A1614" s="2" t="s">
        <v>8523</v>
      </c>
      <c r="B1614" s="2" t="s">
        <v>1099</v>
      </c>
      <c r="C1614" s="2" t="s">
        <v>231</v>
      </c>
      <c r="D1614" s="2" t="s">
        <v>1159</v>
      </c>
      <c r="E1614" s="2" t="s">
        <v>1160</v>
      </c>
      <c r="F1614" s="2" t="s">
        <v>8516</v>
      </c>
      <c r="G1614" s="2" t="s">
        <v>8516</v>
      </c>
      <c r="H1614" s="2" t="s">
        <v>8516</v>
      </c>
      <c r="I1614" s="2" t="s">
        <v>8517</v>
      </c>
      <c r="J1614" s="2" t="s">
        <v>8524</v>
      </c>
      <c r="K1614" s="2" t="s">
        <v>857</v>
      </c>
      <c r="L1614" s="3">
        <v>15.84</v>
      </c>
      <c r="M1614" s="3">
        <v>16.63</v>
      </c>
      <c r="N1614" s="3">
        <v>34.99</v>
      </c>
      <c r="O1614" s="2" t="s">
        <v>212</v>
      </c>
      <c r="P1614" s="2" t="s">
        <v>205</v>
      </c>
      <c r="Q1614" s="2" t="s">
        <v>206</v>
      </c>
      <c r="R1614" s="2" t="s">
        <v>200</v>
      </c>
      <c r="S1614" s="2" t="s">
        <v>200</v>
      </c>
      <c r="T1614" s="2" t="s">
        <v>200</v>
      </c>
      <c r="U1614" s="2" t="s">
        <v>270</v>
      </c>
      <c r="V1614" s="2" t="s">
        <v>339</v>
      </c>
      <c r="W1614" s="2" t="s">
        <v>241</v>
      </c>
      <c r="X1614" s="2" t="s">
        <v>200</v>
      </c>
      <c r="Y1614" s="2" t="s">
        <v>107</v>
      </c>
      <c r="Z1614" s="4">
        <v>60</v>
      </c>
      <c r="AA1614" s="4">
        <f>=ROUNDDOWN({0},0)</f>
      </c>
      <c r="AB1614" s="5"/>
      <c r="AC1614" s="2" t="s">
        <v>118</v>
      </c>
      <c r="AD1614" s="4">
        <v>280</v>
      </c>
      <c r="AE1614" s="4">
        <v>280</v>
      </c>
      <c r="AF1614" s="6">
        <v>65</v>
      </c>
      <c r="AG1614" s="6"/>
      <c r="AH1614" s="7">
        <v>1</v>
      </c>
      <c r="AI1614" s="4"/>
      <c r="AJ1614" s="4">
        <f>=ROUNDDOWN({0},0)</f>
      </c>
      <c r="AK1614" s="5"/>
      <c r="AL1614" s="2" t="s">
        <v>200</v>
      </c>
      <c r="AM1614" s="4"/>
      <c r="AN1614" s="4"/>
      <c r="AO1614" s="7"/>
      <c r="AP1614" s="4"/>
      <c r="AQ1614" s="8"/>
      <c r="AR1614" s="4"/>
      <c r="AS1614" s="8"/>
      <c r="AT1614" s="7"/>
      <c r="AU1614" s="7"/>
      <c r="AV1614" s="4" t="s">
        <v>200</v>
      </c>
      <c r="AW1614" s="8" t="s">
        <v>200</v>
      </c>
      <c r="AX1614" s="4" t="s">
        <v>200</v>
      </c>
      <c r="AY1614" s="8" t="s">
        <v>200</v>
      </c>
      <c r="AZ1614" s="7" t="s">
        <v>200</v>
      </c>
      <c r="BA1614" s="7" t="s">
        <v>200</v>
      </c>
      <c r="BB1614" s="7"/>
      <c r="BC1614" s="4" t="s">
        <v>200</v>
      </c>
      <c r="BD1614" s="8" t="s">
        <v>200</v>
      </c>
      <c r="BE1614" s="4" t="s">
        <v>200</v>
      </c>
      <c r="BF1614" s="8" t="s">
        <v>200</v>
      </c>
      <c r="BG1614" s="7" t="s">
        <v>200</v>
      </c>
      <c r="BH1614" s="7" t="s">
        <v>200</v>
      </c>
      <c r="BI1614" s="7"/>
      <c r="BJ1614" s="4"/>
      <c r="BK1614" s="8"/>
      <c r="BL1614" s="2" t="s">
        <v>200</v>
      </c>
      <c r="BM1614" s="7"/>
      <c r="BN1614" s="7"/>
      <c r="BO1614" s="4"/>
      <c r="BP1614" s="8"/>
      <c r="BQ1614" s="4"/>
      <c r="BR1614" s="8"/>
      <c r="BS1614" s="7"/>
      <c r="BT1614" s="7"/>
      <c r="BU1614" s="2" t="s">
        <v>210</v>
      </c>
      <c r="BV1614" s="2" t="s">
        <v>200</v>
      </c>
      <c r="BW1614" s="2" t="s">
        <v>200</v>
      </c>
      <c r="BX1614" s="2" t="s">
        <v>3140</v>
      </c>
      <c r="BY1614" s="2" t="s">
        <v>3306</v>
      </c>
      <c r="BZ1614" s="2" t="s">
        <v>212</v>
      </c>
      <c r="CA1614" s="2" t="s">
        <v>200</v>
      </c>
      <c r="CB1614" s="2" t="s">
        <v>200</v>
      </c>
      <c r="CC1614" s="2" t="s">
        <v>213</v>
      </c>
      <c r="CD1614" s="2" t="s">
        <v>200</v>
      </c>
      <c r="CE1614" s="4"/>
      <c r="CF1614" s="4"/>
      <c r="CG1614" s="4"/>
      <c r="CH1614" s="4">
        <v>60</v>
      </c>
      <c r="CI1614" s="4"/>
      <c r="CJ1614" s="4"/>
      <c r="CK1614" s="4"/>
      <c r="CL1614" s="4"/>
      <c r="CM1614" s="4"/>
      <c r="CN1614" s="4"/>
      <c r="CO1614" s="4"/>
      <c r="CP1614" s="4"/>
      <c r="CQ1614" s="4"/>
      <c r="CR1614" s="4"/>
      <c r="CS1614" s="4"/>
      <c r="CT1614" s="4"/>
      <c r="CU1614" s="4"/>
      <c r="CV1614" s="4"/>
      <c r="CW1614" s="4"/>
      <c r="CX1614" s="4"/>
      <c r="CY1614" s="4"/>
      <c r="CZ1614" s="4"/>
      <c r="DA1614" s="4"/>
      <c r="DB1614" s="4"/>
      <c r="DC1614" s="4"/>
      <c r="DD1614" s="4"/>
      <c r="DE1614" s="4">
        <v>280</v>
      </c>
      <c r="DF1614" s="4"/>
      <c r="DG1614" s="4"/>
      <c r="DH1614" s="4"/>
      <c r="DI1614" s="4"/>
      <c r="DJ1614" s="4"/>
      <c r="DK1614" s="4"/>
      <c r="DL1614" s="4"/>
      <c r="DM1614" s="4"/>
      <c r="DN1614" s="4"/>
      <c r="DO1614" s="4"/>
      <c r="DP1614" s="4"/>
      <c r="DQ1614" s="4"/>
      <c r="DR1614" s="4"/>
      <c r="DS1614" s="4"/>
      <c r="DT1614" s="4"/>
      <c r="DU1614" s="4"/>
      <c r="DV1614" s="4"/>
      <c r="DW1614" s="4"/>
      <c r="DX1614" s="4"/>
      <c r="DY1614" s="4"/>
      <c r="DZ1614" s="4"/>
      <c r="EA1614" s="4"/>
      <c r="EB1614" s="4"/>
      <c r="EC1614" s="4"/>
      <c r="ED1614" s="4"/>
      <c r="EE1614" s="4"/>
      <c r="EF1614" s="4"/>
      <c r="EG1614" s="4"/>
      <c r="EH1614" s="4"/>
      <c r="EI1614" s="4"/>
      <c r="EJ1614" s="4"/>
      <c r="EK1614" s="4"/>
      <c r="EL1614" s="4"/>
      <c r="EM1614" s="4"/>
      <c r="EN1614" s="4"/>
      <c r="EO1614" s="4"/>
      <c r="EP1614" s="4"/>
      <c r="EQ1614" s="4"/>
      <c r="ER1614" s="4"/>
      <c r="ES1614" s="4"/>
      <c r="ET1614" s="4"/>
      <c r="EU1614" s="4"/>
      <c r="EV1614" s="4"/>
      <c r="EW1614" s="4"/>
      <c r="EX1614" s="4"/>
      <c r="EY1614" s="4"/>
      <c r="EZ1614" s="4"/>
      <c r="FA1614" s="4"/>
      <c r="FB1614" s="4"/>
      <c r="FC1614" s="4"/>
      <c r="FD1614" s="4"/>
      <c r="FE1614" s="4"/>
      <c r="FF1614" s="4"/>
      <c r="FG1614" s="4"/>
      <c r="FH1614" s="4"/>
      <c r="FI1614" s="4"/>
      <c r="FJ1614" s="4"/>
      <c r="FK1614" s="4"/>
      <c r="FL1614" s="4"/>
      <c r="FM1614" s="4"/>
      <c r="FN1614" s="4"/>
      <c r="FO1614" s="4"/>
      <c r="FP1614" s="4"/>
      <c r="FQ1614" s="4"/>
      <c r="FR1614" s="4"/>
      <c r="FS1614" s="4"/>
      <c r="FT1614" s="4"/>
      <c r="FU1614" s="4"/>
      <c r="FV1614" s="4"/>
      <c r="FW1614" s="4"/>
      <c r="FX1614" s="4"/>
      <c r="FY1614" s="4"/>
      <c r="FZ1614" s="4"/>
      <c r="GA1614" s="4"/>
      <c r="GB1614" s="4"/>
      <c r="GC1614" s="4"/>
      <c r="GD1614" s="4"/>
      <c r="GE1614" s="4"/>
      <c r="GF1614" s="4"/>
      <c r="GG1614" s="4"/>
      <c r="GH1614" s="4"/>
    </row>
    <row r="1615">
      <c r="A1615" s="2" t="s">
        <v>8525</v>
      </c>
      <c r="B1615" s="2" t="s">
        <v>1099</v>
      </c>
      <c r="C1615" s="2" t="s">
        <v>231</v>
      </c>
      <c r="D1615" s="2" t="s">
        <v>1159</v>
      </c>
      <c r="E1615" s="2" t="s">
        <v>1160</v>
      </c>
      <c r="F1615" s="2" t="s">
        <v>8516</v>
      </c>
      <c r="G1615" s="2" t="s">
        <v>8516</v>
      </c>
      <c r="H1615" s="2" t="s">
        <v>8516</v>
      </c>
      <c r="I1615" s="2" t="s">
        <v>8517</v>
      </c>
      <c r="J1615" s="2" t="s">
        <v>8518</v>
      </c>
      <c r="K1615" s="2" t="s">
        <v>857</v>
      </c>
      <c r="L1615" s="3">
        <v>19.01</v>
      </c>
      <c r="M1615" s="3">
        <v>19.96</v>
      </c>
      <c r="N1615" s="3">
        <v>42.99</v>
      </c>
      <c r="O1615" s="2" t="s">
        <v>212</v>
      </c>
      <c r="P1615" s="2" t="s">
        <v>205</v>
      </c>
      <c r="Q1615" s="2" t="s">
        <v>206</v>
      </c>
      <c r="R1615" s="2" t="s">
        <v>200</v>
      </c>
      <c r="S1615" s="2" t="s">
        <v>200</v>
      </c>
      <c r="T1615" s="2" t="s">
        <v>200</v>
      </c>
      <c r="U1615" s="2" t="s">
        <v>270</v>
      </c>
      <c r="V1615" s="2" t="s">
        <v>339</v>
      </c>
      <c r="W1615" s="2" t="s">
        <v>241</v>
      </c>
      <c r="X1615" s="2" t="s">
        <v>200</v>
      </c>
      <c r="Y1615" s="2" t="s">
        <v>107</v>
      </c>
      <c r="Z1615" s="4">
        <v>20</v>
      </c>
      <c r="AA1615" s="4">
        <f>=ROUNDDOWN({0},0)</f>
      </c>
      <c r="AB1615" s="5"/>
      <c r="AC1615" s="2" t="s">
        <v>118</v>
      </c>
      <c r="AD1615" s="4">
        <v>20</v>
      </c>
      <c r="AE1615" s="4">
        <v>20</v>
      </c>
      <c r="AF1615" s="6">
        <v>65</v>
      </c>
      <c r="AG1615" s="6"/>
      <c r="AH1615" s="7">
        <v>1</v>
      </c>
      <c r="AI1615" s="4"/>
      <c r="AJ1615" s="4">
        <f>=ROUNDDOWN({0},0)</f>
      </c>
      <c r="AK1615" s="5"/>
      <c r="AL1615" s="2" t="s">
        <v>200</v>
      </c>
      <c r="AM1615" s="4"/>
      <c r="AN1615" s="4"/>
      <c r="AO1615" s="7"/>
      <c r="AP1615" s="4"/>
      <c r="AQ1615" s="8"/>
      <c r="AR1615" s="4"/>
      <c r="AS1615" s="8"/>
      <c r="AT1615" s="7"/>
      <c r="AU1615" s="7"/>
      <c r="AV1615" s="4" t="s">
        <v>200</v>
      </c>
      <c r="AW1615" s="8" t="s">
        <v>200</v>
      </c>
      <c r="AX1615" s="4" t="s">
        <v>200</v>
      </c>
      <c r="AY1615" s="8" t="s">
        <v>200</v>
      </c>
      <c r="AZ1615" s="7" t="s">
        <v>200</v>
      </c>
      <c r="BA1615" s="7" t="s">
        <v>200</v>
      </c>
      <c r="BB1615" s="7"/>
      <c r="BC1615" s="4" t="s">
        <v>200</v>
      </c>
      <c r="BD1615" s="8" t="s">
        <v>200</v>
      </c>
      <c r="BE1615" s="4" t="s">
        <v>200</v>
      </c>
      <c r="BF1615" s="8" t="s">
        <v>200</v>
      </c>
      <c r="BG1615" s="7" t="s">
        <v>200</v>
      </c>
      <c r="BH1615" s="7" t="s">
        <v>200</v>
      </c>
      <c r="BI1615" s="7"/>
      <c r="BJ1615" s="4"/>
      <c r="BK1615" s="8"/>
      <c r="BL1615" s="2" t="s">
        <v>200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210</v>
      </c>
      <c r="BV1615" s="2" t="s">
        <v>200</v>
      </c>
      <c r="BW1615" s="2" t="s">
        <v>200</v>
      </c>
      <c r="BX1615" s="2" t="s">
        <v>3140</v>
      </c>
      <c r="BY1615" s="2" t="s">
        <v>211</v>
      </c>
      <c r="BZ1615" s="2" t="s">
        <v>212</v>
      </c>
      <c r="CA1615" s="2" t="s">
        <v>200</v>
      </c>
      <c r="CB1615" s="2" t="s">
        <v>200</v>
      </c>
      <c r="CC1615" s="2" t="s">
        <v>213</v>
      </c>
      <c r="CD1615" s="2" t="s">
        <v>200</v>
      </c>
      <c r="CE1615" s="4"/>
      <c r="CF1615" s="4"/>
      <c r="CG1615" s="4"/>
      <c r="CH1615" s="4">
        <v>20</v>
      </c>
      <c r="CI1615" s="4"/>
      <c r="CJ1615" s="4"/>
      <c r="CK1615" s="4"/>
      <c r="CL1615" s="4"/>
      <c r="CM1615" s="4"/>
      <c r="CN1615" s="4"/>
      <c r="CO1615" s="4"/>
      <c r="CP1615" s="4"/>
      <c r="CQ1615" s="4"/>
      <c r="CR1615" s="4"/>
      <c r="CS1615" s="4"/>
      <c r="CT1615" s="4"/>
      <c r="CU1615" s="4"/>
      <c r="CV1615" s="4"/>
      <c r="CW1615" s="4"/>
      <c r="CX1615" s="4"/>
      <c r="CY1615" s="4"/>
      <c r="CZ1615" s="4"/>
      <c r="DA1615" s="4"/>
      <c r="DB1615" s="4"/>
      <c r="DC1615" s="4"/>
      <c r="DD1615" s="4"/>
      <c r="DE1615" s="4">
        <v>20</v>
      </c>
      <c r="DF1615" s="4"/>
      <c r="DG1615" s="4"/>
      <c r="DH1615" s="4"/>
      <c r="DI1615" s="4"/>
      <c r="DJ1615" s="4"/>
      <c r="DK1615" s="4"/>
      <c r="DL1615" s="4"/>
      <c r="DM1615" s="4"/>
      <c r="DN1615" s="4"/>
      <c r="DO1615" s="4"/>
      <c r="DP1615" s="4"/>
      <c r="DQ1615" s="4"/>
      <c r="DR1615" s="4"/>
      <c r="DS1615" s="4"/>
      <c r="DT1615" s="4"/>
      <c r="DU1615" s="4"/>
      <c r="DV1615" s="4"/>
      <c r="DW1615" s="4"/>
      <c r="DX1615" s="4"/>
      <c r="DY1615" s="4"/>
      <c r="DZ1615" s="4"/>
      <c r="EA1615" s="4"/>
      <c r="EB1615" s="4"/>
      <c r="EC1615" s="4"/>
      <c r="ED1615" s="4"/>
      <c r="EE1615" s="4"/>
      <c r="EF1615" s="4"/>
      <c r="EG1615" s="4"/>
      <c r="EH1615" s="4"/>
      <c r="EI1615" s="4"/>
      <c r="EJ1615" s="4"/>
      <c r="EK1615" s="4"/>
      <c r="EL1615" s="4"/>
      <c r="EM1615" s="4"/>
      <c r="EN1615" s="4"/>
      <c r="EO1615" s="4"/>
      <c r="EP1615" s="4"/>
      <c r="EQ1615" s="4"/>
      <c r="ER1615" s="4"/>
      <c r="ES1615" s="4"/>
      <c r="ET1615" s="4"/>
      <c r="EU1615" s="4"/>
      <c r="EV1615" s="4"/>
      <c r="EW1615" s="4"/>
      <c r="EX1615" s="4"/>
      <c r="EY1615" s="4"/>
      <c r="EZ1615" s="4"/>
      <c r="FA1615" s="4"/>
      <c r="FB1615" s="4"/>
      <c r="FC1615" s="4"/>
      <c r="FD1615" s="4"/>
      <c r="FE1615" s="4"/>
      <c r="FF1615" s="4"/>
      <c r="FG1615" s="4"/>
      <c r="FH1615" s="4"/>
      <c r="FI1615" s="4"/>
      <c r="FJ1615" s="4"/>
      <c r="FK1615" s="4"/>
      <c r="FL1615" s="4"/>
      <c r="FM1615" s="4"/>
      <c r="FN1615" s="4"/>
      <c r="FO1615" s="4"/>
      <c r="FP1615" s="4"/>
      <c r="FQ1615" s="4"/>
      <c r="FR1615" s="4"/>
      <c r="FS1615" s="4"/>
      <c r="FT1615" s="4"/>
      <c r="FU1615" s="4"/>
      <c r="FV1615" s="4"/>
      <c r="FW1615" s="4"/>
      <c r="FX1615" s="4"/>
      <c r="FY1615" s="4"/>
      <c r="FZ1615" s="4"/>
      <c r="GA1615" s="4"/>
      <c r="GB1615" s="4"/>
      <c r="GC1615" s="4"/>
      <c r="GD1615" s="4"/>
      <c r="GE1615" s="4"/>
      <c r="GF1615" s="4"/>
      <c r="GG1615" s="4"/>
      <c r="GH1615" s="4"/>
    </row>
    <row r="1616">
      <c r="A1616" s="2" t="s">
        <v>8526</v>
      </c>
      <c r="B1616" s="2" t="s">
        <v>1099</v>
      </c>
      <c r="C1616" s="2" t="s">
        <v>231</v>
      </c>
      <c r="D1616" s="2" t="s">
        <v>1159</v>
      </c>
      <c r="E1616" s="2" t="s">
        <v>1160</v>
      </c>
      <c r="F1616" s="2" t="s">
        <v>8516</v>
      </c>
      <c r="G1616" s="2" t="s">
        <v>8516</v>
      </c>
      <c r="H1616" s="2" t="s">
        <v>8516</v>
      </c>
      <c r="I1616" s="2" t="s">
        <v>8517</v>
      </c>
      <c r="J1616" s="2" t="s">
        <v>1162</v>
      </c>
      <c r="K1616" s="2" t="s">
        <v>857</v>
      </c>
      <c r="L1616" s="3">
        <v>14.65</v>
      </c>
      <c r="M1616" s="3">
        <v>15.38</v>
      </c>
      <c r="N1616" s="3">
        <v>31.99</v>
      </c>
      <c r="O1616" s="2" t="s">
        <v>212</v>
      </c>
      <c r="P1616" s="2" t="s">
        <v>205</v>
      </c>
      <c r="Q1616" s="2" t="s">
        <v>206</v>
      </c>
      <c r="R1616" s="2" t="s">
        <v>200</v>
      </c>
      <c r="S1616" s="2" t="s">
        <v>200</v>
      </c>
      <c r="T1616" s="2" t="s">
        <v>200</v>
      </c>
      <c r="U1616" s="2" t="s">
        <v>270</v>
      </c>
      <c r="V1616" s="2" t="s">
        <v>339</v>
      </c>
      <c r="W1616" s="2" t="s">
        <v>241</v>
      </c>
      <c r="X1616" s="2" t="s">
        <v>200</v>
      </c>
      <c r="Y1616" s="2" t="s">
        <v>107</v>
      </c>
      <c r="Z1616" s="4">
        <v>460</v>
      </c>
      <c r="AA1616" s="4">
        <f>=ROUNDDOWN({0},0)</f>
      </c>
      <c r="AB1616" s="5"/>
      <c r="AC1616" s="2" t="s">
        <v>118</v>
      </c>
      <c r="AD1616" s="4">
        <v>2300</v>
      </c>
      <c r="AE1616" s="4">
        <v>2300</v>
      </c>
      <c r="AF1616" s="6">
        <v>65</v>
      </c>
      <c r="AG1616" s="6"/>
      <c r="AH1616" s="7">
        <v>1</v>
      </c>
      <c r="AI1616" s="4"/>
      <c r="AJ1616" s="4">
        <f>=ROUNDDOWN({0},0)</f>
      </c>
      <c r="AK1616" s="5"/>
      <c r="AL1616" s="2" t="s">
        <v>200</v>
      </c>
      <c r="AM1616" s="4"/>
      <c r="AN1616" s="4"/>
      <c r="AO1616" s="7"/>
      <c r="AP1616" s="4"/>
      <c r="AQ1616" s="8"/>
      <c r="AR1616" s="4"/>
      <c r="AS1616" s="8"/>
      <c r="AT1616" s="7"/>
      <c r="AU1616" s="7"/>
      <c r="AV1616" s="4" t="s">
        <v>200</v>
      </c>
      <c r="AW1616" s="8" t="s">
        <v>200</v>
      </c>
      <c r="AX1616" s="4" t="s">
        <v>200</v>
      </c>
      <c r="AY1616" s="8" t="s">
        <v>200</v>
      </c>
      <c r="AZ1616" s="7" t="s">
        <v>200</v>
      </c>
      <c r="BA1616" s="7" t="s">
        <v>200</v>
      </c>
      <c r="BB1616" s="7"/>
      <c r="BC1616" s="4" t="s">
        <v>200</v>
      </c>
      <c r="BD1616" s="8" t="s">
        <v>200</v>
      </c>
      <c r="BE1616" s="4" t="s">
        <v>200</v>
      </c>
      <c r="BF1616" s="8" t="s">
        <v>200</v>
      </c>
      <c r="BG1616" s="7" t="s">
        <v>200</v>
      </c>
      <c r="BH1616" s="7" t="s">
        <v>200</v>
      </c>
      <c r="BI1616" s="7"/>
      <c r="BJ1616" s="4"/>
      <c r="BK1616" s="8"/>
      <c r="BL1616" s="2" t="s">
        <v>200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210</v>
      </c>
      <c r="BV1616" s="2" t="s">
        <v>200</v>
      </c>
      <c r="BW1616" s="2" t="s">
        <v>200</v>
      </c>
      <c r="BX1616" s="2" t="s">
        <v>3140</v>
      </c>
      <c r="BY1616" s="2" t="s">
        <v>3306</v>
      </c>
      <c r="BZ1616" s="2" t="s">
        <v>212</v>
      </c>
      <c r="CA1616" s="2" t="s">
        <v>200</v>
      </c>
      <c r="CB1616" s="2" t="s">
        <v>200</v>
      </c>
      <c r="CC1616" s="2" t="s">
        <v>213</v>
      </c>
      <c r="CD1616" s="2" t="s">
        <v>200</v>
      </c>
      <c r="CE1616" s="4"/>
      <c r="CF1616" s="4"/>
      <c r="CG1616" s="4"/>
      <c r="CH1616" s="4">
        <v>460</v>
      </c>
      <c r="CI1616" s="4"/>
      <c r="CJ1616" s="4"/>
      <c r="CK1616" s="4"/>
      <c r="CL1616" s="4"/>
      <c r="CM1616" s="4"/>
      <c r="CN1616" s="4"/>
      <c r="CO1616" s="4"/>
      <c r="CP1616" s="4"/>
      <c r="CQ1616" s="4"/>
      <c r="CR1616" s="4"/>
      <c r="CS1616" s="4"/>
      <c r="CT1616" s="4"/>
      <c r="CU1616" s="4"/>
      <c r="CV1616" s="4"/>
      <c r="CW1616" s="4"/>
      <c r="CX1616" s="4"/>
      <c r="CY1616" s="4"/>
      <c r="CZ1616" s="4"/>
      <c r="DA1616" s="4"/>
      <c r="DB1616" s="4"/>
      <c r="DC1616" s="4"/>
      <c r="DD1616" s="4"/>
      <c r="DE1616" s="4">
        <v>2300</v>
      </c>
      <c r="DF1616" s="4"/>
      <c r="DG1616" s="4"/>
      <c r="DH1616" s="4"/>
      <c r="DI1616" s="4"/>
      <c r="DJ1616" s="4"/>
      <c r="DK1616" s="4"/>
      <c r="DL1616" s="4"/>
      <c r="DM1616" s="4"/>
      <c r="DN1616" s="4"/>
      <c r="DO1616" s="4"/>
      <c r="DP1616" s="4"/>
      <c r="DQ1616" s="4"/>
      <c r="DR1616" s="4"/>
      <c r="DS1616" s="4"/>
      <c r="DT1616" s="4"/>
      <c r="DU1616" s="4"/>
      <c r="DV1616" s="4"/>
      <c r="DW1616" s="4"/>
      <c r="DX1616" s="4"/>
      <c r="DY1616" s="4"/>
      <c r="DZ1616" s="4"/>
      <c r="EA1616" s="4"/>
      <c r="EB1616" s="4"/>
      <c r="EC1616" s="4"/>
      <c r="ED1616" s="4"/>
      <c r="EE1616" s="4"/>
      <c r="EF1616" s="4"/>
      <c r="EG1616" s="4"/>
      <c r="EH1616" s="4"/>
      <c r="EI1616" s="4"/>
      <c r="EJ1616" s="4"/>
      <c r="EK1616" s="4"/>
      <c r="EL1616" s="4"/>
      <c r="EM1616" s="4"/>
      <c r="EN1616" s="4"/>
      <c r="EO1616" s="4"/>
      <c r="EP1616" s="4"/>
      <c r="EQ1616" s="4"/>
      <c r="ER1616" s="4"/>
      <c r="ES1616" s="4"/>
      <c r="ET1616" s="4"/>
      <c r="EU1616" s="4"/>
      <c r="EV1616" s="4"/>
      <c r="EW1616" s="4"/>
      <c r="EX1616" s="4"/>
      <c r="EY1616" s="4"/>
      <c r="EZ1616" s="4"/>
      <c r="FA1616" s="4"/>
      <c r="FB1616" s="4"/>
      <c r="FC1616" s="4"/>
      <c r="FD1616" s="4"/>
      <c r="FE1616" s="4"/>
      <c r="FF1616" s="4"/>
      <c r="FG1616" s="4"/>
      <c r="FH1616" s="4"/>
      <c r="FI1616" s="4"/>
      <c r="FJ1616" s="4"/>
      <c r="FK1616" s="4"/>
      <c r="FL1616" s="4"/>
      <c r="FM1616" s="4"/>
      <c r="FN1616" s="4"/>
      <c r="FO1616" s="4"/>
      <c r="FP1616" s="4"/>
      <c r="FQ1616" s="4"/>
      <c r="FR1616" s="4"/>
      <c r="FS1616" s="4"/>
      <c r="FT1616" s="4"/>
      <c r="FU1616" s="4"/>
      <c r="FV1616" s="4"/>
      <c r="FW1616" s="4"/>
      <c r="FX1616" s="4"/>
      <c r="FY1616" s="4"/>
      <c r="FZ1616" s="4"/>
      <c r="GA1616" s="4"/>
      <c r="GB1616" s="4"/>
      <c r="GC1616" s="4"/>
      <c r="GD1616" s="4"/>
      <c r="GE1616" s="4"/>
      <c r="GF1616" s="4"/>
      <c r="GG1616" s="4"/>
      <c r="GH1616" s="4"/>
    </row>
    <row r="1617">
      <c r="A1617" s="2" t="s">
        <v>8527</v>
      </c>
      <c r="B1617" s="2" t="s">
        <v>1099</v>
      </c>
      <c r="C1617" s="2" t="s">
        <v>231</v>
      </c>
      <c r="D1617" s="2" t="s">
        <v>1159</v>
      </c>
      <c r="E1617" s="2" t="s">
        <v>1160</v>
      </c>
      <c r="F1617" s="2" t="s">
        <v>8516</v>
      </c>
      <c r="G1617" s="2" t="s">
        <v>8516</v>
      </c>
      <c r="H1617" s="2" t="s">
        <v>8516</v>
      </c>
      <c r="I1617" s="2" t="s">
        <v>8517</v>
      </c>
      <c r="J1617" s="2" t="s">
        <v>8520</v>
      </c>
      <c r="K1617" s="2" t="s">
        <v>857</v>
      </c>
      <c r="L1617" s="3">
        <v>9.8</v>
      </c>
      <c r="M1617" s="3">
        <v>10.29</v>
      </c>
      <c r="N1617" s="3">
        <v>21.99</v>
      </c>
      <c r="O1617" s="2" t="s">
        <v>212</v>
      </c>
      <c r="P1617" s="2" t="s">
        <v>205</v>
      </c>
      <c r="Q1617" s="2" t="s">
        <v>206</v>
      </c>
      <c r="R1617" s="2" t="s">
        <v>200</v>
      </c>
      <c r="S1617" s="2" t="s">
        <v>200</v>
      </c>
      <c r="T1617" s="2" t="s">
        <v>200</v>
      </c>
      <c r="U1617" s="2" t="s">
        <v>270</v>
      </c>
      <c r="V1617" s="2" t="s">
        <v>339</v>
      </c>
      <c r="W1617" s="2" t="s">
        <v>241</v>
      </c>
      <c r="X1617" s="2" t="s">
        <v>200</v>
      </c>
      <c r="Y1617" s="2" t="s">
        <v>107</v>
      </c>
      <c r="Z1617" s="4">
        <v>60</v>
      </c>
      <c r="AA1617" s="4">
        <f>=ROUNDDOWN({0},0)</f>
      </c>
      <c r="AB1617" s="5"/>
      <c r="AC1617" s="2" t="s">
        <v>118</v>
      </c>
      <c r="AD1617" s="4">
        <v>240</v>
      </c>
      <c r="AE1617" s="4">
        <v>240</v>
      </c>
      <c r="AF1617" s="6">
        <v>65</v>
      </c>
      <c r="AG1617" s="6"/>
      <c r="AH1617" s="7">
        <v>1</v>
      </c>
      <c r="AI1617" s="4"/>
      <c r="AJ1617" s="4">
        <f>=ROUNDDOWN({0},0)</f>
      </c>
      <c r="AK1617" s="5"/>
      <c r="AL1617" s="2" t="s">
        <v>200</v>
      </c>
      <c r="AM1617" s="4"/>
      <c r="AN1617" s="4"/>
      <c r="AO1617" s="7"/>
      <c r="AP1617" s="4"/>
      <c r="AQ1617" s="8"/>
      <c r="AR1617" s="4"/>
      <c r="AS1617" s="8"/>
      <c r="AT1617" s="7"/>
      <c r="AU1617" s="7"/>
      <c r="AV1617" s="4" t="s">
        <v>200</v>
      </c>
      <c r="AW1617" s="8" t="s">
        <v>200</v>
      </c>
      <c r="AX1617" s="4" t="s">
        <v>200</v>
      </c>
      <c r="AY1617" s="8" t="s">
        <v>200</v>
      </c>
      <c r="AZ1617" s="7" t="s">
        <v>200</v>
      </c>
      <c r="BA1617" s="7" t="s">
        <v>200</v>
      </c>
      <c r="BB1617" s="7"/>
      <c r="BC1617" s="4" t="s">
        <v>200</v>
      </c>
      <c r="BD1617" s="8" t="s">
        <v>200</v>
      </c>
      <c r="BE1617" s="4" t="s">
        <v>200</v>
      </c>
      <c r="BF1617" s="8" t="s">
        <v>200</v>
      </c>
      <c r="BG1617" s="7" t="s">
        <v>200</v>
      </c>
      <c r="BH1617" s="7" t="s">
        <v>200</v>
      </c>
      <c r="BI1617" s="7"/>
      <c r="BJ1617" s="4"/>
      <c r="BK1617" s="8"/>
      <c r="BL1617" s="2" t="s">
        <v>200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210</v>
      </c>
      <c r="BV1617" s="2" t="s">
        <v>200</v>
      </c>
      <c r="BW1617" s="2" t="s">
        <v>200</v>
      </c>
      <c r="BX1617" s="2" t="s">
        <v>3140</v>
      </c>
      <c r="BY1617" s="2" t="s">
        <v>3306</v>
      </c>
      <c r="BZ1617" s="2" t="s">
        <v>212</v>
      </c>
      <c r="CA1617" s="2" t="s">
        <v>200</v>
      </c>
      <c r="CB1617" s="2" t="s">
        <v>200</v>
      </c>
      <c r="CC1617" s="2" t="s">
        <v>213</v>
      </c>
      <c r="CD1617" s="2" t="s">
        <v>200</v>
      </c>
      <c r="CE1617" s="4"/>
      <c r="CF1617" s="4"/>
      <c r="CG1617" s="4"/>
      <c r="CH1617" s="4">
        <v>60</v>
      </c>
      <c r="CI1617" s="4"/>
      <c r="CJ1617" s="4"/>
      <c r="CK1617" s="4"/>
      <c r="CL1617" s="4"/>
      <c r="CM1617" s="4"/>
      <c r="CN1617" s="4"/>
      <c r="CO1617" s="4"/>
      <c r="CP1617" s="4"/>
      <c r="CQ1617" s="4"/>
      <c r="CR1617" s="4"/>
      <c r="CS1617" s="4"/>
      <c r="CT1617" s="4"/>
      <c r="CU1617" s="4"/>
      <c r="CV1617" s="4"/>
      <c r="CW1617" s="4"/>
      <c r="CX1617" s="4"/>
      <c r="CY1617" s="4"/>
      <c r="CZ1617" s="4"/>
      <c r="DA1617" s="4"/>
      <c r="DB1617" s="4"/>
      <c r="DC1617" s="4"/>
      <c r="DD1617" s="4"/>
      <c r="DE1617" s="4">
        <v>240</v>
      </c>
      <c r="DF1617" s="4"/>
      <c r="DG1617" s="4"/>
      <c r="DH1617" s="4"/>
      <c r="DI1617" s="4"/>
      <c r="DJ1617" s="4"/>
      <c r="DK1617" s="4"/>
      <c r="DL1617" s="4"/>
      <c r="DM1617" s="4"/>
      <c r="DN1617" s="4"/>
      <c r="DO1617" s="4"/>
      <c r="DP1617" s="4"/>
      <c r="DQ1617" s="4"/>
      <c r="DR1617" s="4"/>
      <c r="DS1617" s="4"/>
      <c r="DT1617" s="4"/>
      <c r="DU1617" s="4"/>
      <c r="DV1617" s="4"/>
      <c r="DW1617" s="4"/>
      <c r="DX1617" s="4"/>
      <c r="DY1617" s="4"/>
      <c r="DZ1617" s="4"/>
      <c r="EA1617" s="4"/>
      <c r="EB1617" s="4"/>
      <c r="EC1617" s="4"/>
      <c r="ED1617" s="4"/>
      <c r="EE1617" s="4"/>
      <c r="EF1617" s="4"/>
      <c r="EG1617" s="4"/>
      <c r="EH1617" s="4"/>
      <c r="EI1617" s="4"/>
      <c r="EJ1617" s="4"/>
      <c r="EK1617" s="4"/>
      <c r="EL1617" s="4"/>
      <c r="EM1617" s="4"/>
      <c r="EN1617" s="4"/>
      <c r="EO1617" s="4"/>
      <c r="EP1617" s="4"/>
      <c r="EQ1617" s="4"/>
      <c r="ER1617" s="4"/>
      <c r="ES1617" s="4"/>
      <c r="ET1617" s="4"/>
      <c r="EU1617" s="4"/>
      <c r="EV1617" s="4"/>
      <c r="EW1617" s="4"/>
      <c r="EX1617" s="4"/>
      <c r="EY1617" s="4"/>
      <c r="EZ1617" s="4"/>
      <c r="FA1617" s="4"/>
      <c r="FB1617" s="4"/>
      <c r="FC1617" s="4"/>
      <c r="FD1617" s="4"/>
      <c r="FE1617" s="4"/>
      <c r="FF1617" s="4"/>
      <c r="FG1617" s="4"/>
      <c r="FH1617" s="4"/>
      <c r="FI1617" s="4"/>
      <c r="FJ1617" s="4"/>
      <c r="FK1617" s="4"/>
      <c r="FL1617" s="4"/>
      <c r="FM1617" s="4"/>
      <c r="FN1617" s="4"/>
      <c r="FO1617" s="4"/>
      <c r="FP1617" s="4"/>
      <c r="FQ1617" s="4"/>
      <c r="FR1617" s="4"/>
      <c r="FS1617" s="4"/>
      <c r="FT1617" s="4"/>
      <c r="FU1617" s="4"/>
      <c r="FV1617" s="4"/>
      <c r="FW1617" s="4"/>
      <c r="FX1617" s="4"/>
      <c r="FY1617" s="4"/>
      <c r="FZ1617" s="4"/>
      <c r="GA1617" s="4"/>
      <c r="GB1617" s="4"/>
      <c r="GC1617" s="4"/>
      <c r="GD1617" s="4"/>
      <c r="GE1617" s="4"/>
      <c r="GF1617" s="4"/>
      <c r="GG1617" s="4"/>
      <c r="GH1617" s="4"/>
    </row>
    <row r="1618">
      <c r="A1618" s="2" t="s">
        <v>8528</v>
      </c>
      <c r="B1618" s="2" t="s">
        <v>1099</v>
      </c>
      <c r="C1618" s="2" t="s">
        <v>231</v>
      </c>
      <c r="D1618" s="2" t="s">
        <v>1159</v>
      </c>
      <c r="E1618" s="2" t="s">
        <v>1160</v>
      </c>
      <c r="F1618" s="2" t="s">
        <v>8516</v>
      </c>
      <c r="G1618" s="2" t="s">
        <v>8516</v>
      </c>
      <c r="H1618" s="2" t="s">
        <v>8516</v>
      </c>
      <c r="I1618" s="2" t="s">
        <v>8517</v>
      </c>
      <c r="J1618" s="2" t="s">
        <v>8522</v>
      </c>
      <c r="K1618" s="2" t="s">
        <v>857</v>
      </c>
      <c r="L1618" s="3">
        <v>14.85</v>
      </c>
      <c r="M1618" s="3">
        <v>15.59</v>
      </c>
      <c r="N1618" s="3">
        <v>32.99</v>
      </c>
      <c r="O1618" s="2" t="s">
        <v>212</v>
      </c>
      <c r="P1618" s="2" t="s">
        <v>205</v>
      </c>
      <c r="Q1618" s="2" t="s">
        <v>206</v>
      </c>
      <c r="R1618" s="2" t="s">
        <v>200</v>
      </c>
      <c r="S1618" s="2" t="s">
        <v>200</v>
      </c>
      <c r="T1618" s="2" t="s">
        <v>200</v>
      </c>
      <c r="U1618" s="2" t="s">
        <v>270</v>
      </c>
      <c r="V1618" s="2" t="s">
        <v>339</v>
      </c>
      <c r="W1618" s="2" t="s">
        <v>241</v>
      </c>
      <c r="X1618" s="2" t="s">
        <v>200</v>
      </c>
      <c r="Y1618" s="2" t="s">
        <v>107</v>
      </c>
      <c r="Z1618" s="4">
        <v>40</v>
      </c>
      <c r="AA1618" s="4">
        <f>=ROUNDDOWN({0},0)</f>
      </c>
      <c r="AB1618" s="5"/>
      <c r="AC1618" s="2" t="s">
        <v>118</v>
      </c>
      <c r="AD1618" s="4">
        <v>140</v>
      </c>
      <c r="AE1618" s="4">
        <v>140</v>
      </c>
      <c r="AF1618" s="6">
        <v>65</v>
      </c>
      <c r="AG1618" s="6"/>
      <c r="AH1618" s="7">
        <v>1</v>
      </c>
      <c r="AI1618" s="4"/>
      <c r="AJ1618" s="4">
        <f>=ROUNDDOWN({0},0)</f>
      </c>
      <c r="AK1618" s="5"/>
      <c r="AL1618" s="2" t="s">
        <v>200</v>
      </c>
      <c r="AM1618" s="4"/>
      <c r="AN1618" s="4"/>
      <c r="AO1618" s="7"/>
      <c r="AP1618" s="4"/>
      <c r="AQ1618" s="8"/>
      <c r="AR1618" s="4"/>
      <c r="AS1618" s="8"/>
      <c r="AT1618" s="7"/>
      <c r="AU1618" s="7"/>
      <c r="AV1618" s="4" t="s">
        <v>200</v>
      </c>
      <c r="AW1618" s="8" t="s">
        <v>200</v>
      </c>
      <c r="AX1618" s="4" t="s">
        <v>200</v>
      </c>
      <c r="AY1618" s="8" t="s">
        <v>200</v>
      </c>
      <c r="AZ1618" s="7" t="s">
        <v>200</v>
      </c>
      <c r="BA1618" s="7" t="s">
        <v>200</v>
      </c>
      <c r="BB1618" s="7"/>
      <c r="BC1618" s="4" t="s">
        <v>200</v>
      </c>
      <c r="BD1618" s="8" t="s">
        <v>200</v>
      </c>
      <c r="BE1618" s="4" t="s">
        <v>200</v>
      </c>
      <c r="BF1618" s="8" t="s">
        <v>200</v>
      </c>
      <c r="BG1618" s="7" t="s">
        <v>200</v>
      </c>
      <c r="BH1618" s="7" t="s">
        <v>200</v>
      </c>
      <c r="BI1618" s="7"/>
      <c r="BJ1618" s="4"/>
      <c r="BK1618" s="8"/>
      <c r="BL1618" s="2" t="s">
        <v>200</v>
      </c>
      <c r="BM1618" s="7"/>
      <c r="BN1618" s="7"/>
      <c r="BO1618" s="4"/>
      <c r="BP1618" s="8"/>
      <c r="BQ1618" s="4"/>
      <c r="BR1618" s="8"/>
      <c r="BS1618" s="7"/>
      <c r="BT1618" s="7"/>
      <c r="BU1618" s="2" t="s">
        <v>210</v>
      </c>
      <c r="BV1618" s="2" t="s">
        <v>200</v>
      </c>
      <c r="BW1618" s="2" t="s">
        <v>200</v>
      </c>
      <c r="BX1618" s="2" t="s">
        <v>3140</v>
      </c>
      <c r="BY1618" s="2" t="s">
        <v>3306</v>
      </c>
      <c r="BZ1618" s="2" t="s">
        <v>212</v>
      </c>
      <c r="CA1618" s="2" t="s">
        <v>200</v>
      </c>
      <c r="CB1618" s="2" t="s">
        <v>200</v>
      </c>
      <c r="CC1618" s="2" t="s">
        <v>213</v>
      </c>
      <c r="CD1618" s="2" t="s">
        <v>200</v>
      </c>
      <c r="CE1618" s="4"/>
      <c r="CF1618" s="4"/>
      <c r="CG1618" s="4"/>
      <c r="CH1618" s="4">
        <v>40</v>
      </c>
      <c r="CI1618" s="4"/>
      <c r="CJ1618" s="4"/>
      <c r="CK1618" s="4"/>
      <c r="CL1618" s="4"/>
      <c r="CM1618" s="4"/>
      <c r="CN1618" s="4"/>
      <c r="CO1618" s="4"/>
      <c r="CP1618" s="4"/>
      <c r="CQ1618" s="4"/>
      <c r="CR1618" s="4"/>
      <c r="CS1618" s="4"/>
      <c r="CT1618" s="4"/>
      <c r="CU1618" s="4"/>
      <c r="CV1618" s="4"/>
      <c r="CW1618" s="4"/>
      <c r="CX1618" s="4"/>
      <c r="CY1618" s="4"/>
      <c r="CZ1618" s="4"/>
      <c r="DA1618" s="4"/>
      <c r="DB1618" s="4"/>
      <c r="DC1618" s="4"/>
      <c r="DD1618" s="4"/>
      <c r="DE1618" s="4">
        <v>140</v>
      </c>
      <c r="DF1618" s="4"/>
      <c r="DG1618" s="4"/>
      <c r="DH1618" s="4"/>
      <c r="DI1618" s="4"/>
      <c r="DJ1618" s="4"/>
      <c r="DK1618" s="4"/>
      <c r="DL1618" s="4"/>
      <c r="DM1618" s="4"/>
      <c r="DN1618" s="4"/>
      <c r="DO1618" s="4"/>
      <c r="DP1618" s="4"/>
      <c r="DQ1618" s="4"/>
      <c r="DR1618" s="4"/>
      <c r="DS1618" s="4"/>
      <c r="DT1618" s="4"/>
      <c r="DU1618" s="4"/>
      <c r="DV1618" s="4"/>
      <c r="DW1618" s="4"/>
      <c r="DX1618" s="4"/>
      <c r="DY1618" s="4"/>
      <c r="DZ1618" s="4"/>
      <c r="EA1618" s="4"/>
      <c r="EB1618" s="4"/>
      <c r="EC1618" s="4"/>
      <c r="ED1618" s="4"/>
      <c r="EE1618" s="4"/>
      <c r="EF1618" s="4"/>
      <c r="EG1618" s="4"/>
      <c r="EH1618" s="4"/>
      <c r="EI1618" s="4"/>
      <c r="EJ1618" s="4"/>
      <c r="EK1618" s="4"/>
      <c r="EL1618" s="4"/>
      <c r="EM1618" s="4"/>
      <c r="EN1618" s="4"/>
      <c r="EO1618" s="4"/>
      <c r="EP1618" s="4"/>
      <c r="EQ1618" s="4"/>
      <c r="ER1618" s="4"/>
      <c r="ES1618" s="4"/>
      <c r="ET1618" s="4"/>
      <c r="EU1618" s="4"/>
      <c r="EV1618" s="4"/>
      <c r="EW1618" s="4"/>
      <c r="EX1618" s="4"/>
      <c r="EY1618" s="4"/>
      <c r="EZ1618" s="4"/>
      <c r="FA1618" s="4"/>
      <c r="FB1618" s="4"/>
      <c r="FC1618" s="4"/>
      <c r="FD1618" s="4"/>
      <c r="FE1618" s="4"/>
      <c r="FF1618" s="4"/>
      <c r="FG1618" s="4"/>
      <c r="FH1618" s="4"/>
      <c r="FI1618" s="4"/>
      <c r="FJ1618" s="4"/>
      <c r="FK1618" s="4"/>
      <c r="FL1618" s="4"/>
      <c r="FM1618" s="4"/>
      <c r="FN1618" s="4"/>
      <c r="FO1618" s="4"/>
      <c r="FP1618" s="4"/>
      <c r="FQ1618" s="4"/>
      <c r="FR1618" s="4"/>
      <c r="FS1618" s="4"/>
      <c r="FT1618" s="4"/>
      <c r="FU1618" s="4"/>
      <c r="FV1618" s="4"/>
      <c r="FW1618" s="4"/>
      <c r="FX1618" s="4"/>
      <c r="FY1618" s="4"/>
      <c r="FZ1618" s="4"/>
      <c r="GA1618" s="4"/>
      <c r="GB1618" s="4"/>
      <c r="GC1618" s="4"/>
      <c r="GD1618" s="4"/>
      <c r="GE1618" s="4"/>
      <c r="GF1618" s="4"/>
      <c r="GG1618" s="4"/>
      <c r="GH1618" s="4"/>
    </row>
    <row r="1619">
      <c r="A1619" s="2" t="s">
        <v>8529</v>
      </c>
      <c r="B1619" s="2" t="s">
        <v>1099</v>
      </c>
      <c r="C1619" s="2" t="s">
        <v>231</v>
      </c>
      <c r="D1619" s="2" t="s">
        <v>1159</v>
      </c>
      <c r="E1619" s="2" t="s">
        <v>1160</v>
      </c>
      <c r="F1619" s="2" t="s">
        <v>8516</v>
      </c>
      <c r="G1619" s="2" t="s">
        <v>8516</v>
      </c>
      <c r="H1619" s="2" t="s">
        <v>8516</v>
      </c>
      <c r="I1619" s="2" t="s">
        <v>8517</v>
      </c>
      <c r="J1619" s="2" t="s">
        <v>8524</v>
      </c>
      <c r="K1619" s="2" t="s">
        <v>2119</v>
      </c>
      <c r="L1619" s="3">
        <v>15.84</v>
      </c>
      <c r="M1619" s="3">
        <v>16.63</v>
      </c>
      <c r="N1619" s="3">
        <v>34.99</v>
      </c>
      <c r="O1619" s="2" t="s">
        <v>212</v>
      </c>
      <c r="P1619" s="2" t="s">
        <v>205</v>
      </c>
      <c r="Q1619" s="2" t="s">
        <v>206</v>
      </c>
      <c r="R1619" s="2" t="s">
        <v>200</v>
      </c>
      <c r="S1619" s="2" t="s">
        <v>8530</v>
      </c>
      <c r="T1619" s="2" t="s">
        <v>200</v>
      </c>
      <c r="U1619" s="2" t="s">
        <v>270</v>
      </c>
      <c r="V1619" s="2" t="s">
        <v>339</v>
      </c>
      <c r="W1619" s="2" t="s">
        <v>241</v>
      </c>
      <c r="X1619" s="2" t="s">
        <v>200</v>
      </c>
      <c r="Y1619" s="2" t="s">
        <v>6057</v>
      </c>
      <c r="Z1619" s="4"/>
      <c r="AA1619" s="4">
        <f>=ROUNDDOWN({0},0)</f>
      </c>
      <c r="AB1619" s="5">
        <v>32</v>
      </c>
      <c r="AC1619" s="2" t="s">
        <v>120</v>
      </c>
      <c r="AD1619" s="4">
        <v>720</v>
      </c>
      <c r="AE1619" s="4">
        <v>1620</v>
      </c>
      <c r="AF1619" s="6">
        <v>65</v>
      </c>
      <c r="AG1619" s="6"/>
      <c r="AH1619" s="7">
        <v>0</v>
      </c>
      <c r="AI1619" s="4"/>
      <c r="AJ1619" s="4">
        <f>=ROUNDDOWN({0},0)</f>
      </c>
      <c r="AK1619" s="5"/>
      <c r="AL1619" s="2" t="s">
        <v>200</v>
      </c>
      <c r="AM1619" s="4"/>
      <c r="AN1619" s="4"/>
      <c r="AO1619" s="7"/>
      <c r="AP1619" s="4"/>
      <c r="AQ1619" s="8"/>
      <c r="AR1619" s="4"/>
      <c r="AS1619" s="8"/>
      <c r="AT1619" s="7"/>
      <c r="AU1619" s="7"/>
      <c r="AV1619" s="4" t="s">
        <v>200</v>
      </c>
      <c r="AW1619" s="8" t="s">
        <v>200</v>
      </c>
      <c r="AX1619" s="4" t="s">
        <v>200</v>
      </c>
      <c r="AY1619" s="8" t="s">
        <v>200</v>
      </c>
      <c r="AZ1619" s="7" t="s">
        <v>200</v>
      </c>
      <c r="BA1619" s="7" t="s">
        <v>200</v>
      </c>
      <c r="BB1619" s="7"/>
      <c r="BC1619" s="4" t="s">
        <v>200</v>
      </c>
      <c r="BD1619" s="8" t="s">
        <v>200</v>
      </c>
      <c r="BE1619" s="4" t="s">
        <v>200</v>
      </c>
      <c r="BF1619" s="8" t="s">
        <v>200</v>
      </c>
      <c r="BG1619" s="7" t="s">
        <v>200</v>
      </c>
      <c r="BH1619" s="7" t="s">
        <v>200</v>
      </c>
      <c r="BI1619" s="7"/>
      <c r="BJ1619" s="4"/>
      <c r="BK1619" s="8"/>
      <c r="BL1619" s="2" t="s">
        <v>200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8531</v>
      </c>
      <c r="BV1619" s="2" t="s">
        <v>200</v>
      </c>
      <c r="BW1619" s="2" t="s">
        <v>200</v>
      </c>
      <c r="BX1619" s="2" t="s">
        <v>3140</v>
      </c>
      <c r="BY1619" s="2" t="s">
        <v>247</v>
      </c>
      <c r="BZ1619" s="2" t="s">
        <v>212</v>
      </c>
      <c r="CA1619" s="2" t="s">
        <v>332</v>
      </c>
      <c r="CB1619" s="2" t="s">
        <v>963</v>
      </c>
      <c r="CC1619" s="2" t="s">
        <v>213</v>
      </c>
      <c r="CD1619" s="2" t="s">
        <v>200</v>
      </c>
      <c r="CE1619" s="4"/>
      <c r="CF1619" s="4"/>
      <c r="CG1619" s="4"/>
      <c r="CH1619" s="4"/>
      <c r="CI1619" s="4"/>
      <c r="CJ1619" s="4"/>
      <c r="CK1619" s="4"/>
      <c r="CL1619" s="4"/>
      <c r="CM1619" s="4"/>
      <c r="CN1619" s="4"/>
      <c r="CO1619" s="4"/>
      <c r="CP1619" s="4"/>
      <c r="CQ1619" s="4"/>
      <c r="CR1619" s="4"/>
      <c r="CS1619" s="4"/>
      <c r="CT1619" s="4"/>
      <c r="CU1619" s="4"/>
      <c r="CV1619" s="4"/>
      <c r="CW1619" s="4"/>
      <c r="CX1619" s="4"/>
      <c r="CY1619" s="4"/>
      <c r="CZ1619" s="4"/>
      <c r="DA1619" s="4"/>
      <c r="DB1619" s="4"/>
      <c r="DC1619" s="4"/>
      <c r="DD1619" s="4"/>
      <c r="DE1619" s="4"/>
      <c r="DF1619" s="4"/>
      <c r="DG1619" s="4">
        <v>720</v>
      </c>
      <c r="DH1619" s="4"/>
      <c r="DI1619" s="4"/>
      <c r="DJ1619" s="4"/>
      <c r="DK1619" s="4"/>
      <c r="DL1619" s="4"/>
      <c r="DM1619" s="4"/>
      <c r="DN1619" s="4"/>
      <c r="DO1619" s="4"/>
      <c r="DP1619" s="4"/>
      <c r="DQ1619" s="4"/>
      <c r="DR1619" s="4"/>
      <c r="DS1619" s="4"/>
      <c r="DT1619" s="4"/>
      <c r="DU1619" s="4">
        <v>300</v>
      </c>
      <c r="DV1619" s="4"/>
      <c r="DW1619" s="4"/>
      <c r="DX1619" s="4"/>
      <c r="DY1619" s="4"/>
      <c r="DZ1619" s="4"/>
      <c r="EA1619" s="4"/>
      <c r="EB1619" s="4"/>
      <c r="EC1619" s="4"/>
      <c r="ED1619" s="4"/>
      <c r="EE1619" s="4"/>
      <c r="EF1619" s="4"/>
      <c r="EG1619" s="4"/>
      <c r="EH1619" s="4"/>
      <c r="EI1619" s="4"/>
      <c r="EJ1619" s="4"/>
      <c r="EK1619" s="4"/>
      <c r="EL1619" s="4"/>
      <c r="EM1619" s="4"/>
      <c r="EN1619" s="4"/>
      <c r="EO1619" s="4"/>
      <c r="EP1619" s="4"/>
      <c r="EQ1619" s="4"/>
      <c r="ER1619" s="4"/>
      <c r="ES1619" s="4"/>
      <c r="ET1619" s="4"/>
      <c r="EU1619" s="4"/>
      <c r="EV1619" s="4"/>
      <c r="EW1619" s="4"/>
      <c r="EX1619" s="4"/>
      <c r="EY1619" s="4"/>
      <c r="EZ1619" s="4"/>
      <c r="FA1619" s="4"/>
      <c r="FB1619" s="4"/>
      <c r="FC1619" s="4"/>
      <c r="FD1619" s="4"/>
      <c r="FE1619" s="4"/>
      <c r="FF1619" s="4"/>
      <c r="FG1619" s="4"/>
      <c r="FH1619" s="4"/>
      <c r="FI1619" s="4">
        <v>600</v>
      </c>
      <c r="FJ1619" s="4"/>
      <c r="FK1619" s="4"/>
      <c r="FL1619" s="4"/>
      <c r="FM1619" s="4"/>
      <c r="FN1619" s="4"/>
      <c r="FO1619" s="4"/>
      <c r="FP1619" s="4"/>
      <c r="FQ1619" s="4"/>
      <c r="FR1619" s="4"/>
      <c r="FS1619" s="4"/>
      <c r="FT1619" s="4"/>
      <c r="FU1619" s="4"/>
      <c r="FV1619" s="4"/>
      <c r="FW1619" s="4"/>
      <c r="FX1619" s="4"/>
      <c r="FY1619" s="4"/>
      <c r="FZ1619" s="4"/>
      <c r="GA1619" s="4"/>
      <c r="GB1619" s="4"/>
      <c r="GC1619" s="4"/>
      <c r="GD1619" s="4"/>
      <c r="GE1619" s="4"/>
      <c r="GF1619" s="4"/>
      <c r="GG1619" s="4"/>
      <c r="GH1619" s="4"/>
    </row>
    <row r="1620">
      <c r="A1620" s="2" t="s">
        <v>8532</v>
      </c>
      <c r="B1620" s="2" t="s">
        <v>1099</v>
      </c>
      <c r="C1620" s="2" t="s">
        <v>231</v>
      </c>
      <c r="D1620" s="2" t="s">
        <v>1159</v>
      </c>
      <c r="E1620" s="2" t="s">
        <v>1160</v>
      </c>
      <c r="F1620" s="2" t="s">
        <v>8516</v>
      </c>
      <c r="G1620" s="2" t="s">
        <v>8516</v>
      </c>
      <c r="H1620" s="2" t="s">
        <v>8516</v>
      </c>
      <c r="I1620" s="2" t="s">
        <v>8517</v>
      </c>
      <c r="J1620" s="2" t="s">
        <v>8518</v>
      </c>
      <c r="K1620" s="2" t="s">
        <v>2119</v>
      </c>
      <c r="L1620" s="3">
        <v>19.01</v>
      </c>
      <c r="M1620" s="3">
        <v>19.96</v>
      </c>
      <c r="N1620" s="3">
        <v>42.99</v>
      </c>
      <c r="O1620" s="2" t="s">
        <v>212</v>
      </c>
      <c r="P1620" s="2" t="s">
        <v>205</v>
      </c>
      <c r="Q1620" s="2" t="s">
        <v>206</v>
      </c>
      <c r="R1620" s="2" t="s">
        <v>200</v>
      </c>
      <c r="S1620" s="2" t="s">
        <v>200</v>
      </c>
      <c r="T1620" s="2" t="s">
        <v>200</v>
      </c>
      <c r="U1620" s="2" t="s">
        <v>270</v>
      </c>
      <c r="V1620" s="2" t="s">
        <v>339</v>
      </c>
      <c r="W1620" s="2" t="s">
        <v>241</v>
      </c>
      <c r="X1620" s="2" t="s">
        <v>200</v>
      </c>
      <c r="Y1620" s="2" t="s">
        <v>200</v>
      </c>
      <c r="Z1620" s="4"/>
      <c r="AA1620" s="4">
        <f>=ROUNDDOWN({0},0)</f>
      </c>
      <c r="AB1620" s="5"/>
      <c r="AC1620" s="2" t="s">
        <v>1141</v>
      </c>
      <c r="AD1620" s="4">
        <v>140</v>
      </c>
      <c r="AE1620" s="4">
        <v>140</v>
      </c>
      <c r="AF1620" s="6">
        <v>65</v>
      </c>
      <c r="AG1620" s="6"/>
      <c r="AH1620" s="7"/>
      <c r="AI1620" s="4"/>
      <c r="AJ1620" s="4">
        <f>=ROUNDDOWN({0},0)</f>
      </c>
      <c r="AK1620" s="5"/>
      <c r="AL1620" s="2" t="s">
        <v>200</v>
      </c>
      <c r="AM1620" s="4"/>
      <c r="AN1620" s="4"/>
      <c r="AO1620" s="7"/>
      <c r="AP1620" s="4"/>
      <c r="AQ1620" s="8"/>
      <c r="AR1620" s="4"/>
      <c r="AS1620" s="8"/>
      <c r="AT1620" s="7"/>
      <c r="AU1620" s="7"/>
      <c r="AV1620" s="4" t="s">
        <v>200</v>
      </c>
      <c r="AW1620" s="8" t="s">
        <v>200</v>
      </c>
      <c r="AX1620" s="4" t="s">
        <v>200</v>
      </c>
      <c r="AY1620" s="8" t="s">
        <v>200</v>
      </c>
      <c r="AZ1620" s="7" t="s">
        <v>200</v>
      </c>
      <c r="BA1620" s="7" t="s">
        <v>200</v>
      </c>
      <c r="BB1620" s="7"/>
      <c r="BC1620" s="4" t="s">
        <v>200</v>
      </c>
      <c r="BD1620" s="8" t="s">
        <v>200</v>
      </c>
      <c r="BE1620" s="4" t="s">
        <v>200</v>
      </c>
      <c r="BF1620" s="8" t="s">
        <v>200</v>
      </c>
      <c r="BG1620" s="7" t="s">
        <v>200</v>
      </c>
      <c r="BH1620" s="7" t="s">
        <v>200</v>
      </c>
      <c r="BI1620" s="7"/>
      <c r="BJ1620" s="4"/>
      <c r="BK1620" s="8"/>
      <c r="BL1620" s="2" t="s">
        <v>200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210</v>
      </c>
      <c r="BV1620" s="2" t="s">
        <v>200</v>
      </c>
      <c r="BW1620" s="2" t="s">
        <v>200</v>
      </c>
      <c r="BX1620" s="2" t="s">
        <v>3140</v>
      </c>
      <c r="BY1620" s="2" t="s">
        <v>211</v>
      </c>
      <c r="BZ1620" s="2" t="s">
        <v>212</v>
      </c>
      <c r="CA1620" s="2" t="s">
        <v>200</v>
      </c>
      <c r="CB1620" s="2" t="s">
        <v>200</v>
      </c>
      <c r="CC1620" s="2" t="s">
        <v>213</v>
      </c>
      <c r="CD1620" s="2" t="s">
        <v>200</v>
      </c>
      <c r="CE1620" s="4"/>
      <c r="CF1620" s="4"/>
      <c r="CG1620" s="4"/>
      <c r="CH1620" s="4"/>
      <c r="CI1620" s="4"/>
      <c r="CJ1620" s="4"/>
      <c r="CK1620" s="4"/>
      <c r="CL1620" s="4"/>
      <c r="CM1620" s="4"/>
      <c r="CN1620" s="4"/>
      <c r="CO1620" s="4"/>
      <c r="CP1620" s="4"/>
      <c r="CQ1620" s="4"/>
      <c r="CR1620" s="4"/>
      <c r="CS1620" s="4"/>
      <c r="CT1620" s="4"/>
      <c r="CU1620" s="4"/>
      <c r="CV1620" s="4"/>
      <c r="CW1620" s="4"/>
      <c r="CX1620" s="4"/>
      <c r="CY1620" s="4"/>
      <c r="CZ1620" s="4"/>
      <c r="DA1620" s="4"/>
      <c r="DB1620" s="4"/>
      <c r="DC1620" s="4"/>
      <c r="DD1620" s="4"/>
      <c r="DE1620" s="4"/>
      <c r="DF1620" s="4"/>
      <c r="DG1620" s="4"/>
      <c r="DH1620" s="4"/>
      <c r="DI1620" s="4"/>
      <c r="DJ1620" s="4"/>
      <c r="DK1620" s="4"/>
      <c r="DL1620" s="4"/>
      <c r="DM1620" s="4"/>
      <c r="DN1620" s="4"/>
      <c r="DO1620" s="4"/>
      <c r="DP1620" s="4"/>
      <c r="DQ1620" s="4"/>
      <c r="DR1620" s="4"/>
      <c r="DS1620" s="4"/>
      <c r="DT1620" s="4"/>
      <c r="DU1620" s="4">
        <v>140</v>
      </c>
      <c r="DV1620" s="4"/>
      <c r="DW1620" s="4"/>
      <c r="DX1620" s="4"/>
      <c r="DY1620" s="4"/>
      <c r="DZ1620" s="4"/>
      <c r="EA1620" s="4"/>
      <c r="EB1620" s="4"/>
      <c r="EC1620" s="4"/>
      <c r="ED1620" s="4"/>
      <c r="EE1620" s="4"/>
      <c r="EF1620" s="4"/>
      <c r="EG1620" s="4"/>
      <c r="EH1620" s="4"/>
      <c r="EI1620" s="4"/>
      <c r="EJ1620" s="4"/>
      <c r="EK1620" s="4"/>
      <c r="EL1620" s="4"/>
      <c r="EM1620" s="4"/>
      <c r="EN1620" s="4"/>
      <c r="EO1620" s="4"/>
      <c r="EP1620" s="4"/>
      <c r="EQ1620" s="4"/>
      <c r="ER1620" s="4"/>
      <c r="ES1620" s="4"/>
      <c r="ET1620" s="4"/>
      <c r="EU1620" s="4"/>
      <c r="EV1620" s="4"/>
      <c r="EW1620" s="4"/>
      <c r="EX1620" s="4"/>
      <c r="EY1620" s="4"/>
      <c r="EZ1620" s="4"/>
      <c r="FA1620" s="4"/>
      <c r="FB1620" s="4"/>
      <c r="FC1620" s="4"/>
      <c r="FD1620" s="4"/>
      <c r="FE1620" s="4"/>
      <c r="FF1620" s="4"/>
      <c r="FG1620" s="4"/>
      <c r="FH1620" s="4"/>
      <c r="FI1620" s="4"/>
      <c r="FJ1620" s="4"/>
      <c r="FK1620" s="4"/>
      <c r="FL1620" s="4"/>
      <c r="FM1620" s="4"/>
      <c r="FN1620" s="4"/>
      <c r="FO1620" s="4"/>
      <c r="FP1620" s="4"/>
      <c r="FQ1620" s="4"/>
      <c r="FR1620" s="4"/>
      <c r="FS1620" s="4"/>
      <c r="FT1620" s="4"/>
      <c r="FU1620" s="4"/>
      <c r="FV1620" s="4"/>
      <c r="FW1620" s="4"/>
      <c r="FX1620" s="4"/>
      <c r="FY1620" s="4"/>
      <c r="FZ1620" s="4"/>
      <c r="GA1620" s="4"/>
      <c r="GB1620" s="4"/>
      <c r="GC1620" s="4"/>
      <c r="GD1620" s="4"/>
      <c r="GE1620" s="4"/>
      <c r="GF1620" s="4"/>
      <c r="GG1620" s="4"/>
      <c r="GH1620" s="4"/>
    </row>
    <row r="1621">
      <c r="A1621" s="2" t="s">
        <v>8533</v>
      </c>
      <c r="B1621" s="2" t="s">
        <v>1099</v>
      </c>
      <c r="C1621" s="2" t="s">
        <v>231</v>
      </c>
      <c r="D1621" s="2" t="s">
        <v>1159</v>
      </c>
      <c r="E1621" s="2" t="s">
        <v>1160</v>
      </c>
      <c r="F1621" s="2" t="s">
        <v>8516</v>
      </c>
      <c r="G1621" s="2" t="s">
        <v>8516</v>
      </c>
      <c r="H1621" s="2" t="s">
        <v>8516</v>
      </c>
      <c r="I1621" s="2" t="s">
        <v>8517</v>
      </c>
      <c r="J1621" s="2" t="s">
        <v>8520</v>
      </c>
      <c r="K1621" s="2" t="s">
        <v>2119</v>
      </c>
      <c r="L1621" s="3">
        <v>9.8</v>
      </c>
      <c r="M1621" s="3">
        <v>10.29</v>
      </c>
      <c r="N1621" s="3">
        <v>21.99</v>
      </c>
      <c r="O1621" s="2" t="s">
        <v>212</v>
      </c>
      <c r="P1621" s="2" t="s">
        <v>205</v>
      </c>
      <c r="Q1621" s="2" t="s">
        <v>206</v>
      </c>
      <c r="R1621" s="2" t="s">
        <v>200</v>
      </c>
      <c r="S1621" s="2" t="s">
        <v>200</v>
      </c>
      <c r="T1621" s="2" t="s">
        <v>200</v>
      </c>
      <c r="U1621" s="2" t="s">
        <v>270</v>
      </c>
      <c r="V1621" s="2" t="s">
        <v>339</v>
      </c>
      <c r="W1621" s="2" t="s">
        <v>241</v>
      </c>
      <c r="X1621" s="2" t="s">
        <v>200</v>
      </c>
      <c r="Y1621" s="2" t="s">
        <v>200</v>
      </c>
      <c r="Z1621" s="4"/>
      <c r="AA1621" s="4">
        <f>=ROUNDDOWN({0},0)</f>
      </c>
      <c r="AB1621" s="5"/>
      <c r="AC1621" s="2" t="s">
        <v>1141</v>
      </c>
      <c r="AD1621" s="4">
        <v>760</v>
      </c>
      <c r="AE1621" s="4">
        <v>760</v>
      </c>
      <c r="AF1621" s="6">
        <v>65</v>
      </c>
      <c r="AG1621" s="6"/>
      <c r="AH1621" s="7"/>
      <c r="AI1621" s="4"/>
      <c r="AJ1621" s="4">
        <f>=ROUNDDOWN({0},0)</f>
      </c>
      <c r="AK1621" s="5"/>
      <c r="AL1621" s="2" t="s">
        <v>200</v>
      </c>
      <c r="AM1621" s="4"/>
      <c r="AN1621" s="4"/>
      <c r="AO1621" s="7"/>
      <c r="AP1621" s="4"/>
      <c r="AQ1621" s="8"/>
      <c r="AR1621" s="4"/>
      <c r="AS1621" s="8"/>
      <c r="AT1621" s="7"/>
      <c r="AU1621" s="7"/>
      <c r="AV1621" s="4" t="s">
        <v>200</v>
      </c>
      <c r="AW1621" s="8" t="s">
        <v>200</v>
      </c>
      <c r="AX1621" s="4" t="s">
        <v>200</v>
      </c>
      <c r="AY1621" s="8" t="s">
        <v>200</v>
      </c>
      <c r="AZ1621" s="7" t="s">
        <v>200</v>
      </c>
      <c r="BA1621" s="7" t="s">
        <v>200</v>
      </c>
      <c r="BB1621" s="7"/>
      <c r="BC1621" s="4" t="s">
        <v>200</v>
      </c>
      <c r="BD1621" s="8" t="s">
        <v>200</v>
      </c>
      <c r="BE1621" s="4" t="s">
        <v>200</v>
      </c>
      <c r="BF1621" s="8" t="s">
        <v>200</v>
      </c>
      <c r="BG1621" s="7" t="s">
        <v>200</v>
      </c>
      <c r="BH1621" s="7" t="s">
        <v>200</v>
      </c>
      <c r="BI1621" s="7"/>
      <c r="BJ1621" s="4"/>
      <c r="BK1621" s="8"/>
      <c r="BL1621" s="2" t="s">
        <v>200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210</v>
      </c>
      <c r="BV1621" s="2" t="s">
        <v>200</v>
      </c>
      <c r="BW1621" s="2" t="s">
        <v>200</v>
      </c>
      <c r="BX1621" s="2" t="s">
        <v>3140</v>
      </c>
      <c r="BY1621" s="2" t="s">
        <v>211</v>
      </c>
      <c r="BZ1621" s="2" t="s">
        <v>212</v>
      </c>
      <c r="CA1621" s="2" t="s">
        <v>200</v>
      </c>
      <c r="CB1621" s="2" t="s">
        <v>200</v>
      </c>
      <c r="CC1621" s="2" t="s">
        <v>213</v>
      </c>
      <c r="CD1621" s="2" t="s">
        <v>200</v>
      </c>
      <c r="CE1621" s="4"/>
      <c r="CF1621" s="4"/>
      <c r="CG1621" s="4"/>
      <c r="CH1621" s="4"/>
      <c r="CI1621" s="4"/>
      <c r="CJ1621" s="4"/>
      <c r="CK1621" s="4"/>
      <c r="CL1621" s="4"/>
      <c r="CM1621" s="4"/>
      <c r="CN1621" s="4"/>
      <c r="CO1621" s="4"/>
      <c r="CP1621" s="4"/>
      <c r="CQ1621" s="4"/>
      <c r="CR1621" s="4"/>
      <c r="CS1621" s="4"/>
      <c r="CT1621" s="4"/>
      <c r="CU1621" s="4"/>
      <c r="CV1621" s="4"/>
      <c r="CW1621" s="4"/>
      <c r="CX1621" s="4"/>
      <c r="CY1621" s="4"/>
      <c r="CZ1621" s="4"/>
      <c r="DA1621" s="4"/>
      <c r="DB1621" s="4"/>
      <c r="DC1621" s="4"/>
      <c r="DD1621" s="4"/>
      <c r="DE1621" s="4"/>
      <c r="DF1621" s="4"/>
      <c r="DG1621" s="4"/>
      <c r="DH1621" s="4"/>
      <c r="DI1621" s="4"/>
      <c r="DJ1621" s="4"/>
      <c r="DK1621" s="4"/>
      <c r="DL1621" s="4"/>
      <c r="DM1621" s="4"/>
      <c r="DN1621" s="4"/>
      <c r="DO1621" s="4"/>
      <c r="DP1621" s="4"/>
      <c r="DQ1621" s="4"/>
      <c r="DR1621" s="4"/>
      <c r="DS1621" s="4"/>
      <c r="DT1621" s="4"/>
      <c r="DU1621" s="4">
        <v>760</v>
      </c>
      <c r="DV1621" s="4"/>
      <c r="DW1621" s="4"/>
      <c r="DX1621" s="4"/>
      <c r="DY1621" s="4"/>
      <c r="DZ1621" s="4"/>
      <c r="EA1621" s="4"/>
      <c r="EB1621" s="4"/>
      <c r="EC1621" s="4"/>
      <c r="ED1621" s="4"/>
      <c r="EE1621" s="4"/>
      <c r="EF1621" s="4"/>
      <c r="EG1621" s="4"/>
      <c r="EH1621" s="4"/>
      <c r="EI1621" s="4"/>
      <c r="EJ1621" s="4"/>
      <c r="EK1621" s="4"/>
      <c r="EL1621" s="4"/>
      <c r="EM1621" s="4"/>
      <c r="EN1621" s="4"/>
      <c r="EO1621" s="4"/>
      <c r="EP1621" s="4"/>
      <c r="EQ1621" s="4"/>
      <c r="ER1621" s="4"/>
      <c r="ES1621" s="4"/>
      <c r="ET1621" s="4"/>
      <c r="EU1621" s="4"/>
      <c r="EV1621" s="4"/>
      <c r="EW1621" s="4"/>
      <c r="EX1621" s="4"/>
      <c r="EY1621" s="4"/>
      <c r="EZ1621" s="4"/>
      <c r="FA1621" s="4"/>
      <c r="FB1621" s="4"/>
      <c r="FC1621" s="4"/>
      <c r="FD1621" s="4"/>
      <c r="FE1621" s="4"/>
      <c r="FF1621" s="4"/>
      <c r="FG1621" s="4"/>
      <c r="FH1621" s="4"/>
      <c r="FI1621" s="4"/>
      <c r="FJ1621" s="4"/>
      <c r="FK1621" s="4"/>
      <c r="FL1621" s="4"/>
      <c r="FM1621" s="4"/>
      <c r="FN1621" s="4"/>
      <c r="FO1621" s="4"/>
      <c r="FP1621" s="4"/>
      <c r="FQ1621" s="4"/>
      <c r="FR1621" s="4"/>
      <c r="FS1621" s="4"/>
      <c r="FT1621" s="4"/>
      <c r="FU1621" s="4"/>
      <c r="FV1621" s="4"/>
      <c r="FW1621" s="4"/>
      <c r="FX1621" s="4"/>
      <c r="FY1621" s="4"/>
      <c r="FZ1621" s="4"/>
      <c r="GA1621" s="4"/>
      <c r="GB1621" s="4"/>
      <c r="GC1621" s="4"/>
      <c r="GD1621" s="4"/>
      <c r="GE1621" s="4"/>
      <c r="GF1621" s="4"/>
      <c r="GG1621" s="4"/>
      <c r="GH1621" s="4"/>
    </row>
    <row r="1622">
      <c r="A1622" s="2" t="s">
        <v>8534</v>
      </c>
      <c r="B1622" s="2" t="s">
        <v>1099</v>
      </c>
      <c r="C1622" s="2" t="s">
        <v>231</v>
      </c>
      <c r="D1622" s="2" t="s">
        <v>1159</v>
      </c>
      <c r="E1622" s="2" t="s">
        <v>1160</v>
      </c>
      <c r="F1622" s="2" t="s">
        <v>8516</v>
      </c>
      <c r="G1622" s="2" t="s">
        <v>8516</v>
      </c>
      <c r="H1622" s="2" t="s">
        <v>8516</v>
      </c>
      <c r="I1622" s="2" t="s">
        <v>8517</v>
      </c>
      <c r="J1622" s="2" t="s">
        <v>8522</v>
      </c>
      <c r="K1622" s="2" t="s">
        <v>2119</v>
      </c>
      <c r="L1622" s="3">
        <v>14.85</v>
      </c>
      <c r="M1622" s="3">
        <v>15.59</v>
      </c>
      <c r="N1622" s="3">
        <v>32.99</v>
      </c>
      <c r="O1622" s="2" t="s">
        <v>212</v>
      </c>
      <c r="P1622" s="2" t="s">
        <v>205</v>
      </c>
      <c r="Q1622" s="2" t="s">
        <v>206</v>
      </c>
      <c r="R1622" s="2" t="s">
        <v>200</v>
      </c>
      <c r="S1622" s="2" t="s">
        <v>200</v>
      </c>
      <c r="T1622" s="2" t="s">
        <v>200</v>
      </c>
      <c r="U1622" s="2" t="s">
        <v>270</v>
      </c>
      <c r="V1622" s="2" t="s">
        <v>339</v>
      </c>
      <c r="W1622" s="2" t="s">
        <v>241</v>
      </c>
      <c r="X1622" s="2" t="s">
        <v>200</v>
      </c>
      <c r="Y1622" s="2" t="s">
        <v>200</v>
      </c>
      <c r="Z1622" s="4"/>
      <c r="AA1622" s="4">
        <f>=ROUNDDOWN({0},0)</f>
      </c>
      <c r="AB1622" s="5"/>
      <c r="AC1622" s="2" t="s">
        <v>1141</v>
      </c>
      <c r="AD1622" s="4">
        <v>500</v>
      </c>
      <c r="AE1622" s="4">
        <v>500</v>
      </c>
      <c r="AF1622" s="6">
        <v>65</v>
      </c>
      <c r="AG1622" s="6"/>
      <c r="AH1622" s="7"/>
      <c r="AI1622" s="4"/>
      <c r="AJ1622" s="4">
        <f>=ROUNDDOWN({0},0)</f>
      </c>
      <c r="AK1622" s="5"/>
      <c r="AL1622" s="2" t="s">
        <v>200</v>
      </c>
      <c r="AM1622" s="4"/>
      <c r="AN1622" s="4"/>
      <c r="AO1622" s="7"/>
      <c r="AP1622" s="4"/>
      <c r="AQ1622" s="8"/>
      <c r="AR1622" s="4"/>
      <c r="AS1622" s="8"/>
      <c r="AT1622" s="7"/>
      <c r="AU1622" s="7"/>
      <c r="AV1622" s="4" t="s">
        <v>200</v>
      </c>
      <c r="AW1622" s="8" t="s">
        <v>200</v>
      </c>
      <c r="AX1622" s="4" t="s">
        <v>200</v>
      </c>
      <c r="AY1622" s="8" t="s">
        <v>200</v>
      </c>
      <c r="AZ1622" s="7" t="s">
        <v>200</v>
      </c>
      <c r="BA1622" s="7" t="s">
        <v>200</v>
      </c>
      <c r="BB1622" s="7"/>
      <c r="BC1622" s="4" t="s">
        <v>200</v>
      </c>
      <c r="BD1622" s="8" t="s">
        <v>200</v>
      </c>
      <c r="BE1622" s="4" t="s">
        <v>200</v>
      </c>
      <c r="BF1622" s="8" t="s">
        <v>200</v>
      </c>
      <c r="BG1622" s="7" t="s">
        <v>200</v>
      </c>
      <c r="BH1622" s="7" t="s">
        <v>200</v>
      </c>
      <c r="BI1622" s="7"/>
      <c r="BJ1622" s="4"/>
      <c r="BK1622" s="8"/>
      <c r="BL1622" s="2" t="s">
        <v>200</v>
      </c>
      <c r="BM1622" s="7"/>
      <c r="BN1622" s="7"/>
      <c r="BO1622" s="4"/>
      <c r="BP1622" s="8"/>
      <c r="BQ1622" s="4"/>
      <c r="BR1622" s="8"/>
      <c r="BS1622" s="7"/>
      <c r="BT1622" s="7"/>
      <c r="BU1622" s="2" t="s">
        <v>210</v>
      </c>
      <c r="BV1622" s="2" t="s">
        <v>200</v>
      </c>
      <c r="BW1622" s="2" t="s">
        <v>200</v>
      </c>
      <c r="BX1622" s="2" t="s">
        <v>3140</v>
      </c>
      <c r="BY1622" s="2" t="s">
        <v>211</v>
      </c>
      <c r="BZ1622" s="2" t="s">
        <v>212</v>
      </c>
      <c r="CA1622" s="2" t="s">
        <v>200</v>
      </c>
      <c r="CB1622" s="2" t="s">
        <v>200</v>
      </c>
      <c r="CC1622" s="2" t="s">
        <v>213</v>
      </c>
      <c r="CD1622" s="2" t="s">
        <v>200</v>
      </c>
      <c r="CE1622" s="4"/>
      <c r="CF1622" s="4"/>
      <c r="CG1622" s="4"/>
      <c r="CH1622" s="4"/>
      <c r="CI1622" s="4"/>
      <c r="CJ1622" s="4"/>
      <c r="CK1622" s="4"/>
      <c r="CL1622" s="4"/>
      <c r="CM1622" s="4"/>
      <c r="CN1622" s="4"/>
      <c r="CO1622" s="4"/>
      <c r="CP1622" s="4"/>
      <c r="CQ1622" s="4"/>
      <c r="CR1622" s="4"/>
      <c r="CS1622" s="4"/>
      <c r="CT1622" s="4"/>
      <c r="CU1622" s="4"/>
      <c r="CV1622" s="4"/>
      <c r="CW1622" s="4"/>
      <c r="CX1622" s="4"/>
      <c r="CY1622" s="4"/>
      <c r="CZ1622" s="4"/>
      <c r="DA1622" s="4"/>
      <c r="DB1622" s="4"/>
      <c r="DC1622" s="4"/>
      <c r="DD1622" s="4"/>
      <c r="DE1622" s="4"/>
      <c r="DF1622" s="4"/>
      <c r="DG1622" s="4"/>
      <c r="DH1622" s="4"/>
      <c r="DI1622" s="4"/>
      <c r="DJ1622" s="4"/>
      <c r="DK1622" s="4"/>
      <c r="DL1622" s="4"/>
      <c r="DM1622" s="4"/>
      <c r="DN1622" s="4"/>
      <c r="DO1622" s="4"/>
      <c r="DP1622" s="4"/>
      <c r="DQ1622" s="4"/>
      <c r="DR1622" s="4"/>
      <c r="DS1622" s="4"/>
      <c r="DT1622" s="4"/>
      <c r="DU1622" s="4">
        <v>500</v>
      </c>
      <c r="DV1622" s="4"/>
      <c r="DW1622" s="4"/>
      <c r="DX1622" s="4"/>
      <c r="DY1622" s="4"/>
      <c r="DZ1622" s="4"/>
      <c r="EA1622" s="4"/>
      <c r="EB1622" s="4"/>
      <c r="EC1622" s="4"/>
      <c r="ED1622" s="4"/>
      <c r="EE1622" s="4"/>
      <c r="EF1622" s="4"/>
      <c r="EG1622" s="4"/>
      <c r="EH1622" s="4"/>
      <c r="EI1622" s="4"/>
      <c r="EJ1622" s="4"/>
      <c r="EK1622" s="4"/>
      <c r="EL1622" s="4"/>
      <c r="EM1622" s="4"/>
      <c r="EN1622" s="4"/>
      <c r="EO1622" s="4"/>
      <c r="EP1622" s="4"/>
      <c r="EQ1622" s="4"/>
      <c r="ER1622" s="4"/>
      <c r="ES1622" s="4"/>
      <c r="ET1622" s="4"/>
      <c r="EU1622" s="4"/>
      <c r="EV1622" s="4"/>
      <c r="EW1622" s="4"/>
      <c r="EX1622" s="4"/>
      <c r="EY1622" s="4"/>
      <c r="EZ1622" s="4"/>
      <c r="FA1622" s="4"/>
      <c r="FB1622" s="4"/>
      <c r="FC1622" s="4"/>
      <c r="FD1622" s="4"/>
      <c r="FE1622" s="4"/>
      <c r="FF1622" s="4"/>
      <c r="FG1622" s="4"/>
      <c r="FH1622" s="4"/>
      <c r="FI1622" s="4"/>
      <c r="FJ1622" s="4"/>
      <c r="FK1622" s="4"/>
      <c r="FL1622" s="4"/>
      <c r="FM1622" s="4"/>
      <c r="FN1622" s="4"/>
      <c r="FO1622" s="4"/>
      <c r="FP1622" s="4"/>
      <c r="FQ1622" s="4"/>
      <c r="FR1622" s="4"/>
      <c r="FS1622" s="4"/>
      <c r="FT1622" s="4"/>
      <c r="FU1622" s="4"/>
      <c r="FV1622" s="4"/>
      <c r="FW1622" s="4"/>
      <c r="FX1622" s="4"/>
      <c r="FY1622" s="4"/>
      <c r="FZ1622" s="4"/>
      <c r="GA1622" s="4"/>
      <c r="GB1622" s="4"/>
      <c r="GC1622" s="4"/>
      <c r="GD1622" s="4"/>
      <c r="GE1622" s="4"/>
      <c r="GF1622" s="4"/>
      <c r="GG1622" s="4"/>
      <c r="GH1622" s="4"/>
    </row>
    <row r="1623">
      <c r="A1623" s="2" t="s">
        <v>8535</v>
      </c>
      <c r="B1623" s="2" t="s">
        <v>1099</v>
      </c>
      <c r="C1623" s="2" t="s">
        <v>231</v>
      </c>
      <c r="D1623" s="2" t="s">
        <v>1159</v>
      </c>
      <c r="E1623" s="2" t="s">
        <v>1160</v>
      </c>
      <c r="F1623" s="2" t="s">
        <v>8516</v>
      </c>
      <c r="G1623" s="2" t="s">
        <v>8516</v>
      </c>
      <c r="H1623" s="2" t="s">
        <v>8516</v>
      </c>
      <c r="I1623" s="2" t="s">
        <v>8517</v>
      </c>
      <c r="J1623" s="2" t="s">
        <v>8524</v>
      </c>
      <c r="K1623" s="2" t="s">
        <v>3729</v>
      </c>
      <c r="L1623" s="3">
        <v>15.84</v>
      </c>
      <c r="M1623" s="3">
        <v>16.63</v>
      </c>
      <c r="N1623" s="3">
        <v>34.99</v>
      </c>
      <c r="O1623" s="2" t="s">
        <v>212</v>
      </c>
      <c r="P1623" s="2" t="s">
        <v>205</v>
      </c>
      <c r="Q1623" s="2" t="s">
        <v>206</v>
      </c>
      <c r="R1623" s="2" t="s">
        <v>200</v>
      </c>
      <c r="S1623" s="2" t="s">
        <v>200</v>
      </c>
      <c r="T1623" s="2" t="s">
        <v>200</v>
      </c>
      <c r="U1623" s="2" t="s">
        <v>270</v>
      </c>
      <c r="V1623" s="2" t="s">
        <v>339</v>
      </c>
      <c r="W1623" s="2" t="s">
        <v>241</v>
      </c>
      <c r="X1623" s="2" t="s">
        <v>200</v>
      </c>
      <c r="Y1623" s="2" t="s">
        <v>3289</v>
      </c>
      <c r="Z1623" s="4">
        <v>302</v>
      </c>
      <c r="AA1623" s="4">
        <f>=ROUNDDOWN(81.6216216216216,0)</f>
      </c>
      <c r="AB1623" s="5">
        <v>3.7</v>
      </c>
      <c r="AC1623" s="2" t="s">
        <v>200</v>
      </c>
      <c r="AD1623" s="4"/>
      <c r="AE1623" s="4"/>
      <c r="AF1623" s="6">
        <v>65</v>
      </c>
      <c r="AG1623" s="6"/>
      <c r="AH1623" s="7">
        <v>1</v>
      </c>
      <c r="AI1623" s="4"/>
      <c r="AJ1623" s="4">
        <f>=ROUNDDOWN({0},0)</f>
      </c>
      <c r="AK1623" s="5"/>
      <c r="AL1623" s="2" t="s">
        <v>200</v>
      </c>
      <c r="AM1623" s="4"/>
      <c r="AN1623" s="4"/>
      <c r="AO1623" s="7"/>
      <c r="AP1623" s="4"/>
      <c r="AQ1623" s="8"/>
      <c r="AR1623" s="4"/>
      <c r="AS1623" s="8"/>
      <c r="AT1623" s="7"/>
      <c r="AU1623" s="7"/>
      <c r="AV1623" s="4" t="s">
        <v>200</v>
      </c>
      <c r="AW1623" s="8" t="s">
        <v>200</v>
      </c>
      <c r="AX1623" s="4" t="s">
        <v>200</v>
      </c>
      <c r="AY1623" s="8" t="s">
        <v>200</v>
      </c>
      <c r="AZ1623" s="7" t="s">
        <v>200</v>
      </c>
      <c r="BA1623" s="7" t="s">
        <v>200</v>
      </c>
      <c r="BB1623" s="7"/>
      <c r="BC1623" s="4" t="s">
        <v>200</v>
      </c>
      <c r="BD1623" s="8" t="s">
        <v>200</v>
      </c>
      <c r="BE1623" s="4" t="s">
        <v>200</v>
      </c>
      <c r="BF1623" s="8" t="s">
        <v>200</v>
      </c>
      <c r="BG1623" s="7" t="s">
        <v>200</v>
      </c>
      <c r="BH1623" s="7" t="s">
        <v>200</v>
      </c>
      <c r="BI1623" s="7"/>
      <c r="BJ1623" s="4">
        <v>16</v>
      </c>
      <c r="BK1623" s="8">
        <v>264</v>
      </c>
      <c r="BL1623" s="2" t="s">
        <v>1029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8536</v>
      </c>
      <c r="BV1623" s="2" t="s">
        <v>200</v>
      </c>
      <c r="BW1623" s="2" t="s">
        <v>200</v>
      </c>
      <c r="BX1623" s="2" t="s">
        <v>3140</v>
      </c>
      <c r="BY1623" s="2" t="s">
        <v>247</v>
      </c>
      <c r="BZ1623" s="2" t="s">
        <v>212</v>
      </c>
      <c r="CA1623" s="2" t="s">
        <v>8537</v>
      </c>
      <c r="CB1623" s="2" t="s">
        <v>200</v>
      </c>
      <c r="CC1623" s="2" t="s">
        <v>213</v>
      </c>
      <c r="CD1623" s="2" t="s">
        <v>200</v>
      </c>
      <c r="CE1623" s="4">
        <v>257</v>
      </c>
      <c r="CF1623" s="4"/>
      <c r="CG1623" s="4"/>
      <c r="CH1623" s="4">
        <v>45</v>
      </c>
      <c r="CI1623" s="4"/>
      <c r="CJ1623" s="4"/>
      <c r="CK1623" s="4"/>
      <c r="CL1623" s="4"/>
      <c r="CM1623" s="4"/>
      <c r="CN1623" s="4"/>
      <c r="CO1623" s="4"/>
      <c r="CP1623" s="4"/>
      <c r="CQ1623" s="4"/>
      <c r="CR1623" s="4"/>
      <c r="CS1623" s="4"/>
      <c r="CT1623" s="4"/>
      <c r="CU1623" s="4"/>
      <c r="CV1623" s="4"/>
      <c r="CW1623" s="4"/>
      <c r="CX1623" s="4"/>
      <c r="CY1623" s="4"/>
      <c r="CZ1623" s="4"/>
      <c r="DA1623" s="4"/>
      <c r="DB1623" s="4"/>
      <c r="DC1623" s="4"/>
      <c r="DD1623" s="4"/>
      <c r="DE1623" s="4"/>
      <c r="DF1623" s="4"/>
      <c r="DG1623" s="4"/>
      <c r="DH1623" s="4"/>
      <c r="DI1623" s="4"/>
      <c r="DJ1623" s="4"/>
      <c r="DK1623" s="4"/>
      <c r="DL1623" s="4"/>
      <c r="DM1623" s="4"/>
      <c r="DN1623" s="4"/>
      <c r="DO1623" s="4"/>
      <c r="DP1623" s="4"/>
      <c r="DQ1623" s="4"/>
      <c r="DR1623" s="4"/>
      <c r="DS1623" s="4"/>
      <c r="DT1623" s="4"/>
      <c r="DU1623" s="4"/>
      <c r="DV1623" s="4"/>
      <c r="DW1623" s="4"/>
      <c r="DX1623" s="4"/>
      <c r="DY1623" s="4"/>
      <c r="DZ1623" s="4"/>
      <c r="EA1623" s="4"/>
      <c r="EB1623" s="4"/>
      <c r="EC1623" s="4"/>
      <c r="ED1623" s="4"/>
      <c r="EE1623" s="4"/>
      <c r="EF1623" s="4"/>
      <c r="EG1623" s="4"/>
      <c r="EH1623" s="4"/>
      <c r="EI1623" s="4"/>
      <c r="EJ1623" s="4"/>
      <c r="EK1623" s="4"/>
      <c r="EL1623" s="4"/>
      <c r="EM1623" s="4"/>
      <c r="EN1623" s="4"/>
      <c r="EO1623" s="4"/>
      <c r="EP1623" s="4"/>
      <c r="EQ1623" s="4"/>
      <c r="ER1623" s="4"/>
      <c r="ES1623" s="4"/>
      <c r="ET1623" s="4"/>
      <c r="EU1623" s="4"/>
      <c r="EV1623" s="4"/>
      <c r="EW1623" s="4"/>
      <c r="EX1623" s="4"/>
      <c r="EY1623" s="4"/>
      <c r="EZ1623" s="4"/>
      <c r="FA1623" s="4"/>
      <c r="FB1623" s="4"/>
      <c r="FC1623" s="4"/>
      <c r="FD1623" s="4"/>
      <c r="FE1623" s="4"/>
      <c r="FF1623" s="4"/>
      <c r="FG1623" s="4"/>
      <c r="FH1623" s="4"/>
      <c r="FI1623" s="4"/>
      <c r="FJ1623" s="4"/>
      <c r="FK1623" s="4"/>
      <c r="FL1623" s="4"/>
      <c r="FM1623" s="4"/>
      <c r="FN1623" s="4"/>
      <c r="FO1623" s="4"/>
      <c r="FP1623" s="4"/>
      <c r="FQ1623" s="4"/>
      <c r="FR1623" s="4"/>
      <c r="FS1623" s="4"/>
      <c r="FT1623" s="4"/>
      <c r="FU1623" s="4"/>
      <c r="FV1623" s="4"/>
      <c r="FW1623" s="4"/>
      <c r="FX1623" s="4"/>
      <c r="FY1623" s="4"/>
      <c r="FZ1623" s="4"/>
      <c r="GA1623" s="4"/>
      <c r="GB1623" s="4"/>
      <c r="GC1623" s="4"/>
      <c r="GD1623" s="4"/>
      <c r="GE1623" s="4"/>
      <c r="GF1623" s="4"/>
      <c r="GG1623" s="4"/>
      <c r="GH1623" s="4"/>
    </row>
    <row r="1624">
      <c r="A1624" s="2" t="s">
        <v>8538</v>
      </c>
      <c r="B1624" s="2" t="s">
        <v>1099</v>
      </c>
      <c r="C1624" s="2" t="s">
        <v>231</v>
      </c>
      <c r="D1624" s="2" t="s">
        <v>1159</v>
      </c>
      <c r="E1624" s="2" t="s">
        <v>1160</v>
      </c>
      <c r="F1624" s="2" t="s">
        <v>8516</v>
      </c>
      <c r="G1624" s="2" t="s">
        <v>8516</v>
      </c>
      <c r="H1624" s="2" t="s">
        <v>8516</v>
      </c>
      <c r="I1624" s="2" t="s">
        <v>8517</v>
      </c>
      <c r="J1624" s="2" t="s">
        <v>8520</v>
      </c>
      <c r="K1624" s="2" t="s">
        <v>3729</v>
      </c>
      <c r="L1624" s="3">
        <v>9.8</v>
      </c>
      <c r="M1624" s="3">
        <v>10.29</v>
      </c>
      <c r="N1624" s="3">
        <v>21.99</v>
      </c>
      <c r="O1624" s="2" t="s">
        <v>212</v>
      </c>
      <c r="P1624" s="2" t="s">
        <v>205</v>
      </c>
      <c r="Q1624" s="2" t="s">
        <v>206</v>
      </c>
      <c r="R1624" s="2" t="s">
        <v>200</v>
      </c>
      <c r="S1624" s="2" t="s">
        <v>200</v>
      </c>
      <c r="T1624" s="2" t="s">
        <v>200</v>
      </c>
      <c r="U1624" s="2" t="s">
        <v>270</v>
      </c>
      <c r="V1624" s="2" t="s">
        <v>339</v>
      </c>
      <c r="W1624" s="2" t="s">
        <v>241</v>
      </c>
      <c r="X1624" s="2" t="s">
        <v>200</v>
      </c>
      <c r="Y1624" s="2" t="s">
        <v>3289</v>
      </c>
      <c r="Z1624" s="4">
        <v>257</v>
      </c>
      <c r="AA1624" s="4">
        <f>=ROUNDDOWN(69.4594594594595,0)</f>
      </c>
      <c r="AB1624" s="5">
        <v>3.7</v>
      </c>
      <c r="AC1624" s="2" t="s">
        <v>200</v>
      </c>
      <c r="AD1624" s="4"/>
      <c r="AE1624" s="4"/>
      <c r="AF1624" s="6">
        <v>65</v>
      </c>
      <c r="AG1624" s="6"/>
      <c r="AH1624" s="7">
        <v>1</v>
      </c>
      <c r="AI1624" s="4"/>
      <c r="AJ1624" s="4">
        <f>=ROUNDDOWN({0},0)</f>
      </c>
      <c r="AK1624" s="5"/>
      <c r="AL1624" s="2" t="s">
        <v>200</v>
      </c>
      <c r="AM1624" s="4"/>
      <c r="AN1624" s="4"/>
      <c r="AO1624" s="7"/>
      <c r="AP1624" s="4"/>
      <c r="AQ1624" s="8"/>
      <c r="AR1624" s="4"/>
      <c r="AS1624" s="8"/>
      <c r="AT1624" s="7"/>
      <c r="AU1624" s="7"/>
      <c r="AV1624" s="4" t="s">
        <v>200</v>
      </c>
      <c r="AW1624" s="8" t="s">
        <v>200</v>
      </c>
      <c r="AX1624" s="4" t="s">
        <v>200</v>
      </c>
      <c r="AY1624" s="8" t="s">
        <v>200</v>
      </c>
      <c r="AZ1624" s="7" t="s">
        <v>200</v>
      </c>
      <c r="BA1624" s="7" t="s">
        <v>200</v>
      </c>
      <c r="BB1624" s="7"/>
      <c r="BC1624" s="4" t="s">
        <v>200</v>
      </c>
      <c r="BD1624" s="8" t="s">
        <v>200</v>
      </c>
      <c r="BE1624" s="4" t="s">
        <v>200</v>
      </c>
      <c r="BF1624" s="8" t="s">
        <v>200</v>
      </c>
      <c r="BG1624" s="7" t="s">
        <v>200</v>
      </c>
      <c r="BH1624" s="7" t="s">
        <v>200</v>
      </c>
      <c r="BI1624" s="7"/>
      <c r="BJ1624" s="4">
        <v>18</v>
      </c>
      <c r="BK1624" s="8">
        <v>178.2</v>
      </c>
      <c r="BL1624" s="2" t="s">
        <v>1029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8539</v>
      </c>
      <c r="BV1624" s="2" t="s">
        <v>200</v>
      </c>
      <c r="BW1624" s="2" t="s">
        <v>200</v>
      </c>
      <c r="BX1624" s="2" t="s">
        <v>3140</v>
      </c>
      <c r="BY1624" s="2" t="s">
        <v>247</v>
      </c>
      <c r="BZ1624" s="2" t="s">
        <v>212</v>
      </c>
      <c r="CA1624" s="2" t="s">
        <v>8537</v>
      </c>
      <c r="CB1624" s="2" t="s">
        <v>200</v>
      </c>
      <c r="CC1624" s="2" t="s">
        <v>213</v>
      </c>
      <c r="CD1624" s="2" t="s">
        <v>200</v>
      </c>
      <c r="CE1624" s="4">
        <v>215</v>
      </c>
      <c r="CF1624" s="4"/>
      <c r="CG1624" s="4"/>
      <c r="CH1624" s="4">
        <v>42</v>
      </c>
      <c r="CI1624" s="4"/>
      <c r="CJ1624" s="4"/>
      <c r="CK1624" s="4"/>
      <c r="CL1624" s="4"/>
      <c r="CM1624" s="4"/>
      <c r="CN1624" s="4"/>
      <c r="CO1624" s="4"/>
      <c r="CP1624" s="4"/>
      <c r="CQ1624" s="4"/>
      <c r="CR1624" s="4"/>
      <c r="CS1624" s="4"/>
      <c r="CT1624" s="4"/>
      <c r="CU1624" s="4"/>
      <c r="CV1624" s="4"/>
      <c r="CW1624" s="4"/>
      <c r="CX1624" s="4"/>
      <c r="CY1624" s="4"/>
      <c r="CZ1624" s="4"/>
      <c r="DA1624" s="4"/>
      <c r="DB1624" s="4"/>
      <c r="DC1624" s="4"/>
      <c r="DD1624" s="4"/>
      <c r="DE1624" s="4"/>
      <c r="DF1624" s="4"/>
      <c r="DG1624" s="4"/>
      <c r="DH1624" s="4"/>
      <c r="DI1624" s="4"/>
      <c r="DJ1624" s="4"/>
      <c r="DK1624" s="4"/>
      <c r="DL1624" s="4"/>
      <c r="DM1624" s="4"/>
      <c r="DN1624" s="4"/>
      <c r="DO1624" s="4"/>
      <c r="DP1624" s="4"/>
      <c r="DQ1624" s="4"/>
      <c r="DR1624" s="4"/>
      <c r="DS1624" s="4"/>
      <c r="DT1624" s="4"/>
      <c r="DU1624" s="4"/>
      <c r="DV1624" s="4"/>
      <c r="DW1624" s="4"/>
      <c r="DX1624" s="4"/>
      <c r="DY1624" s="4"/>
      <c r="DZ1624" s="4"/>
      <c r="EA1624" s="4"/>
      <c r="EB1624" s="4"/>
      <c r="EC1624" s="4"/>
      <c r="ED1624" s="4"/>
      <c r="EE1624" s="4"/>
      <c r="EF1624" s="4"/>
      <c r="EG1624" s="4"/>
      <c r="EH1624" s="4"/>
      <c r="EI1624" s="4"/>
      <c r="EJ1624" s="4"/>
      <c r="EK1624" s="4"/>
      <c r="EL1624" s="4"/>
      <c r="EM1624" s="4"/>
      <c r="EN1624" s="4"/>
      <c r="EO1624" s="4"/>
      <c r="EP1624" s="4"/>
      <c r="EQ1624" s="4"/>
      <c r="ER1624" s="4"/>
      <c r="ES1624" s="4"/>
      <c r="ET1624" s="4"/>
      <c r="EU1624" s="4"/>
      <c r="EV1624" s="4"/>
      <c r="EW1624" s="4"/>
      <c r="EX1624" s="4"/>
      <c r="EY1624" s="4"/>
      <c r="EZ1624" s="4"/>
      <c r="FA1624" s="4"/>
      <c r="FB1624" s="4"/>
      <c r="FC1624" s="4"/>
      <c r="FD1624" s="4"/>
      <c r="FE1624" s="4"/>
      <c r="FF1624" s="4"/>
      <c r="FG1624" s="4"/>
      <c r="FH1624" s="4"/>
      <c r="FI1624" s="4"/>
      <c r="FJ1624" s="4"/>
      <c r="FK1624" s="4"/>
      <c r="FL1624" s="4"/>
      <c r="FM1624" s="4"/>
      <c r="FN1624" s="4"/>
      <c r="FO1624" s="4"/>
      <c r="FP1624" s="4"/>
      <c r="FQ1624" s="4"/>
      <c r="FR1624" s="4"/>
      <c r="FS1624" s="4"/>
      <c r="FT1624" s="4"/>
      <c r="FU1624" s="4"/>
      <c r="FV1624" s="4"/>
      <c r="FW1624" s="4"/>
      <c r="FX1624" s="4"/>
      <c r="FY1624" s="4"/>
      <c r="FZ1624" s="4"/>
      <c r="GA1624" s="4"/>
      <c r="GB1624" s="4"/>
      <c r="GC1624" s="4"/>
      <c r="GD1624" s="4"/>
      <c r="GE1624" s="4"/>
      <c r="GF1624" s="4"/>
      <c r="GG1624" s="4"/>
      <c r="GH1624" s="4"/>
    </row>
    <row r="1625">
      <c r="A1625" s="2" t="s">
        <v>8540</v>
      </c>
      <c r="B1625" s="2" t="s">
        <v>1099</v>
      </c>
      <c r="C1625" s="2" t="s">
        <v>231</v>
      </c>
      <c r="D1625" s="2" t="s">
        <v>1159</v>
      </c>
      <c r="E1625" s="2" t="s">
        <v>1160</v>
      </c>
      <c r="F1625" s="2" t="s">
        <v>8516</v>
      </c>
      <c r="G1625" s="2" t="s">
        <v>8516</v>
      </c>
      <c r="H1625" s="2" t="s">
        <v>8516</v>
      </c>
      <c r="I1625" s="2" t="s">
        <v>8517</v>
      </c>
      <c r="J1625" s="2" t="s">
        <v>8522</v>
      </c>
      <c r="K1625" s="2" t="s">
        <v>3729</v>
      </c>
      <c r="L1625" s="3">
        <v>14.85</v>
      </c>
      <c r="M1625" s="3">
        <v>15.59</v>
      </c>
      <c r="N1625" s="3">
        <v>32.99</v>
      </c>
      <c r="O1625" s="2" t="s">
        <v>212</v>
      </c>
      <c r="P1625" s="2" t="s">
        <v>205</v>
      </c>
      <c r="Q1625" s="2" t="s">
        <v>206</v>
      </c>
      <c r="R1625" s="2" t="s">
        <v>200</v>
      </c>
      <c r="S1625" s="2" t="s">
        <v>200</v>
      </c>
      <c r="T1625" s="2" t="s">
        <v>200</v>
      </c>
      <c r="U1625" s="2" t="s">
        <v>270</v>
      </c>
      <c r="V1625" s="2" t="s">
        <v>339</v>
      </c>
      <c r="W1625" s="2" t="s">
        <v>241</v>
      </c>
      <c r="X1625" s="2" t="s">
        <v>200</v>
      </c>
      <c r="Y1625" s="2" t="s">
        <v>3289</v>
      </c>
      <c r="Z1625" s="4">
        <v>144</v>
      </c>
      <c r="AA1625" s="4">
        <f>=ROUNDDOWN(62.6086956521739,0)</f>
      </c>
      <c r="AB1625" s="5">
        <v>2.3</v>
      </c>
      <c r="AC1625" s="2" t="s">
        <v>200</v>
      </c>
      <c r="AD1625" s="4"/>
      <c r="AE1625" s="4"/>
      <c r="AF1625" s="6">
        <v>65</v>
      </c>
      <c r="AG1625" s="6"/>
      <c r="AH1625" s="7">
        <v>1</v>
      </c>
      <c r="AI1625" s="4"/>
      <c r="AJ1625" s="4">
        <f>=ROUNDDOWN({0},0)</f>
      </c>
      <c r="AK1625" s="5"/>
      <c r="AL1625" s="2" t="s">
        <v>200</v>
      </c>
      <c r="AM1625" s="4"/>
      <c r="AN1625" s="4"/>
      <c r="AO1625" s="7"/>
      <c r="AP1625" s="4"/>
      <c r="AQ1625" s="8"/>
      <c r="AR1625" s="4"/>
      <c r="AS1625" s="8"/>
      <c r="AT1625" s="7"/>
      <c r="AU1625" s="7"/>
      <c r="AV1625" s="4" t="s">
        <v>200</v>
      </c>
      <c r="AW1625" s="8" t="s">
        <v>200</v>
      </c>
      <c r="AX1625" s="4" t="s">
        <v>200</v>
      </c>
      <c r="AY1625" s="8" t="s">
        <v>200</v>
      </c>
      <c r="AZ1625" s="7" t="s">
        <v>200</v>
      </c>
      <c r="BA1625" s="7" t="s">
        <v>200</v>
      </c>
      <c r="BB1625" s="7"/>
      <c r="BC1625" s="4" t="s">
        <v>200</v>
      </c>
      <c r="BD1625" s="8" t="s">
        <v>200</v>
      </c>
      <c r="BE1625" s="4" t="s">
        <v>200</v>
      </c>
      <c r="BF1625" s="8" t="s">
        <v>200</v>
      </c>
      <c r="BG1625" s="7" t="s">
        <v>200</v>
      </c>
      <c r="BH1625" s="7" t="s">
        <v>200</v>
      </c>
      <c r="BI1625" s="7"/>
      <c r="BJ1625" s="4">
        <v>11</v>
      </c>
      <c r="BK1625" s="8">
        <v>177.87</v>
      </c>
      <c r="BL1625" s="2" t="s">
        <v>1029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8541</v>
      </c>
      <c r="BV1625" s="2" t="s">
        <v>200</v>
      </c>
      <c r="BW1625" s="2" t="s">
        <v>200</v>
      </c>
      <c r="BX1625" s="2" t="s">
        <v>3140</v>
      </c>
      <c r="BY1625" s="2" t="s">
        <v>247</v>
      </c>
      <c r="BZ1625" s="2" t="s">
        <v>212</v>
      </c>
      <c r="CA1625" s="2" t="s">
        <v>8537</v>
      </c>
      <c r="CB1625" s="2" t="s">
        <v>200</v>
      </c>
      <c r="CC1625" s="2" t="s">
        <v>213</v>
      </c>
      <c r="CD1625" s="2" t="s">
        <v>200</v>
      </c>
      <c r="CE1625" s="4">
        <v>134</v>
      </c>
      <c r="CF1625" s="4"/>
      <c r="CG1625" s="4"/>
      <c r="CH1625" s="4">
        <v>10</v>
      </c>
      <c r="CI1625" s="4"/>
      <c r="CJ1625" s="4"/>
      <c r="CK1625" s="4"/>
      <c r="CL1625" s="4"/>
      <c r="CM1625" s="4"/>
      <c r="CN1625" s="4"/>
      <c r="CO1625" s="4"/>
      <c r="CP1625" s="4"/>
      <c r="CQ1625" s="4"/>
      <c r="CR1625" s="4"/>
      <c r="CS1625" s="4"/>
      <c r="CT1625" s="4"/>
      <c r="CU1625" s="4"/>
      <c r="CV1625" s="4"/>
      <c r="CW1625" s="4"/>
      <c r="CX1625" s="4"/>
      <c r="CY1625" s="4"/>
      <c r="CZ1625" s="4"/>
      <c r="DA1625" s="4"/>
      <c r="DB1625" s="4"/>
      <c r="DC1625" s="4"/>
      <c r="DD1625" s="4"/>
      <c r="DE1625" s="4"/>
      <c r="DF1625" s="4"/>
      <c r="DG1625" s="4"/>
      <c r="DH1625" s="4"/>
      <c r="DI1625" s="4"/>
      <c r="DJ1625" s="4"/>
      <c r="DK1625" s="4"/>
      <c r="DL1625" s="4"/>
      <c r="DM1625" s="4"/>
      <c r="DN1625" s="4"/>
      <c r="DO1625" s="4"/>
      <c r="DP1625" s="4"/>
      <c r="DQ1625" s="4"/>
      <c r="DR1625" s="4"/>
      <c r="DS1625" s="4"/>
      <c r="DT1625" s="4"/>
      <c r="DU1625" s="4"/>
      <c r="DV1625" s="4"/>
      <c r="DW1625" s="4"/>
      <c r="DX1625" s="4"/>
      <c r="DY1625" s="4"/>
      <c r="DZ1625" s="4"/>
      <c r="EA1625" s="4"/>
      <c r="EB1625" s="4"/>
      <c r="EC1625" s="4"/>
      <c r="ED1625" s="4"/>
      <c r="EE1625" s="4"/>
      <c r="EF1625" s="4"/>
      <c r="EG1625" s="4"/>
      <c r="EH1625" s="4"/>
      <c r="EI1625" s="4"/>
      <c r="EJ1625" s="4"/>
      <c r="EK1625" s="4"/>
      <c r="EL1625" s="4"/>
      <c r="EM1625" s="4"/>
      <c r="EN1625" s="4"/>
      <c r="EO1625" s="4"/>
      <c r="EP1625" s="4"/>
      <c r="EQ1625" s="4"/>
      <c r="ER1625" s="4"/>
      <c r="ES1625" s="4"/>
      <c r="ET1625" s="4"/>
      <c r="EU1625" s="4"/>
      <c r="EV1625" s="4"/>
      <c r="EW1625" s="4"/>
      <c r="EX1625" s="4"/>
      <c r="EY1625" s="4"/>
      <c r="EZ1625" s="4"/>
      <c r="FA1625" s="4"/>
      <c r="FB1625" s="4"/>
      <c r="FC1625" s="4"/>
      <c r="FD1625" s="4"/>
      <c r="FE1625" s="4"/>
      <c r="FF1625" s="4"/>
      <c r="FG1625" s="4"/>
      <c r="FH1625" s="4"/>
      <c r="FI1625" s="4"/>
      <c r="FJ1625" s="4"/>
      <c r="FK1625" s="4"/>
      <c r="FL1625" s="4"/>
      <c r="FM1625" s="4"/>
      <c r="FN1625" s="4"/>
      <c r="FO1625" s="4"/>
      <c r="FP1625" s="4"/>
      <c r="FQ1625" s="4"/>
      <c r="FR1625" s="4"/>
      <c r="FS1625" s="4"/>
      <c r="FT1625" s="4"/>
      <c r="FU1625" s="4"/>
      <c r="FV1625" s="4"/>
      <c r="FW1625" s="4"/>
      <c r="FX1625" s="4"/>
      <c r="FY1625" s="4"/>
      <c r="FZ1625" s="4"/>
      <c r="GA1625" s="4"/>
      <c r="GB1625" s="4"/>
      <c r="GC1625" s="4"/>
      <c r="GD1625" s="4"/>
      <c r="GE1625" s="4"/>
      <c r="GF1625" s="4"/>
      <c r="GG1625" s="4"/>
      <c r="GH1625" s="4"/>
    </row>
    <row r="1626">
      <c r="A1626" s="2" t="s">
        <v>8542</v>
      </c>
      <c r="B1626" s="2" t="s">
        <v>1099</v>
      </c>
      <c r="C1626" s="2" t="s">
        <v>231</v>
      </c>
      <c r="D1626" s="2" t="s">
        <v>1159</v>
      </c>
      <c r="E1626" s="2" t="s">
        <v>1160</v>
      </c>
      <c r="F1626" s="2" t="s">
        <v>8516</v>
      </c>
      <c r="G1626" s="2" t="s">
        <v>8516</v>
      </c>
      <c r="H1626" s="2" t="s">
        <v>8516</v>
      </c>
      <c r="I1626" s="2" t="s">
        <v>8517</v>
      </c>
      <c r="J1626" s="2" t="s">
        <v>8520</v>
      </c>
      <c r="K1626" s="2" t="s">
        <v>1700</v>
      </c>
      <c r="L1626" s="3">
        <v>9.8</v>
      </c>
      <c r="M1626" s="3">
        <v>10.29</v>
      </c>
      <c r="N1626" s="3">
        <v>21.99</v>
      </c>
      <c r="O1626" s="2" t="s">
        <v>212</v>
      </c>
      <c r="P1626" s="2" t="s">
        <v>205</v>
      </c>
      <c r="Q1626" s="2" t="s">
        <v>206</v>
      </c>
      <c r="R1626" s="2" t="s">
        <v>200</v>
      </c>
      <c r="S1626" s="2" t="s">
        <v>200</v>
      </c>
      <c r="T1626" s="2" t="s">
        <v>200</v>
      </c>
      <c r="U1626" s="2" t="s">
        <v>270</v>
      </c>
      <c r="V1626" s="2" t="s">
        <v>339</v>
      </c>
      <c r="W1626" s="2" t="s">
        <v>241</v>
      </c>
      <c r="X1626" s="2" t="s">
        <v>200</v>
      </c>
      <c r="Y1626" s="2" t="s">
        <v>3289</v>
      </c>
      <c r="Z1626" s="4">
        <v>1513</v>
      </c>
      <c r="AA1626" s="4">
        <f>=ROUNDDOWN(280.185185185185,0)</f>
      </c>
      <c r="AB1626" s="5">
        <v>5.4</v>
      </c>
      <c r="AC1626" s="2" t="s">
        <v>200</v>
      </c>
      <c r="AD1626" s="4"/>
      <c r="AE1626" s="4"/>
      <c r="AF1626" s="6">
        <v>65</v>
      </c>
      <c r="AG1626" s="6"/>
      <c r="AH1626" s="7">
        <v>1</v>
      </c>
      <c r="AI1626" s="4"/>
      <c r="AJ1626" s="4">
        <f>=ROUNDDOWN({0},0)</f>
      </c>
      <c r="AK1626" s="5"/>
      <c r="AL1626" s="2" t="s">
        <v>200</v>
      </c>
      <c r="AM1626" s="4"/>
      <c r="AN1626" s="4"/>
      <c r="AO1626" s="7"/>
      <c r="AP1626" s="4"/>
      <c r="AQ1626" s="8"/>
      <c r="AR1626" s="4"/>
      <c r="AS1626" s="8"/>
      <c r="AT1626" s="7"/>
      <c r="AU1626" s="7"/>
      <c r="AV1626" s="4"/>
      <c r="AW1626" s="8"/>
      <c r="AX1626" s="4"/>
      <c r="AY1626" s="8"/>
      <c r="AZ1626" s="7"/>
      <c r="BA1626" s="7"/>
      <c r="BB1626" s="7"/>
      <c r="BC1626" s="4" t="s">
        <v>200</v>
      </c>
      <c r="BD1626" s="8" t="s">
        <v>200</v>
      </c>
      <c r="BE1626" s="4" t="s">
        <v>200</v>
      </c>
      <c r="BF1626" s="8" t="s">
        <v>200</v>
      </c>
      <c r="BG1626" s="7" t="s">
        <v>200</v>
      </c>
      <c r="BH1626" s="7" t="s">
        <v>200</v>
      </c>
      <c r="BI1626" s="7"/>
      <c r="BJ1626" s="4">
        <v>24</v>
      </c>
      <c r="BK1626" s="8">
        <v>237.6</v>
      </c>
      <c r="BL1626" s="2" t="s">
        <v>1029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8543</v>
      </c>
      <c r="BV1626" s="2" t="s">
        <v>200</v>
      </c>
      <c r="BW1626" s="2" t="s">
        <v>200</v>
      </c>
      <c r="BX1626" s="2" t="s">
        <v>3140</v>
      </c>
      <c r="BY1626" s="2" t="s">
        <v>247</v>
      </c>
      <c r="BZ1626" s="2" t="s">
        <v>212</v>
      </c>
      <c r="CA1626" s="2" t="s">
        <v>8537</v>
      </c>
      <c r="CB1626" s="2" t="s">
        <v>200</v>
      </c>
      <c r="CC1626" s="2" t="s">
        <v>213</v>
      </c>
      <c r="CD1626" s="2" t="s">
        <v>200</v>
      </c>
      <c r="CE1626" s="4">
        <v>1251</v>
      </c>
      <c r="CF1626" s="4"/>
      <c r="CG1626" s="4"/>
      <c r="CH1626" s="4">
        <v>262</v>
      </c>
      <c r="CI1626" s="4"/>
      <c r="CJ1626" s="4"/>
      <c r="CK1626" s="4"/>
      <c r="CL1626" s="4"/>
      <c r="CM1626" s="4"/>
      <c r="CN1626" s="4"/>
      <c r="CO1626" s="4"/>
      <c r="CP1626" s="4"/>
      <c r="CQ1626" s="4"/>
      <c r="CR1626" s="4"/>
      <c r="CS1626" s="4"/>
      <c r="CT1626" s="4"/>
      <c r="CU1626" s="4"/>
      <c r="CV1626" s="4"/>
      <c r="CW1626" s="4"/>
      <c r="CX1626" s="4"/>
      <c r="CY1626" s="4"/>
      <c r="CZ1626" s="4"/>
      <c r="DA1626" s="4"/>
      <c r="DB1626" s="4"/>
      <c r="DC1626" s="4"/>
      <c r="DD1626" s="4"/>
      <c r="DE1626" s="4"/>
      <c r="DF1626" s="4"/>
      <c r="DG1626" s="4"/>
      <c r="DH1626" s="4"/>
      <c r="DI1626" s="4"/>
      <c r="DJ1626" s="4"/>
      <c r="DK1626" s="4"/>
      <c r="DL1626" s="4"/>
      <c r="DM1626" s="4"/>
      <c r="DN1626" s="4"/>
      <c r="DO1626" s="4"/>
      <c r="DP1626" s="4"/>
      <c r="DQ1626" s="4"/>
      <c r="DR1626" s="4"/>
      <c r="DS1626" s="4"/>
      <c r="DT1626" s="4"/>
      <c r="DU1626" s="4"/>
      <c r="DV1626" s="4"/>
      <c r="DW1626" s="4"/>
      <c r="DX1626" s="4"/>
      <c r="DY1626" s="4"/>
      <c r="DZ1626" s="4"/>
      <c r="EA1626" s="4"/>
      <c r="EB1626" s="4"/>
      <c r="EC1626" s="4"/>
      <c r="ED1626" s="4"/>
      <c r="EE1626" s="4"/>
      <c r="EF1626" s="4"/>
      <c r="EG1626" s="4"/>
      <c r="EH1626" s="4"/>
      <c r="EI1626" s="4"/>
      <c r="EJ1626" s="4"/>
      <c r="EK1626" s="4"/>
      <c r="EL1626" s="4"/>
      <c r="EM1626" s="4"/>
      <c r="EN1626" s="4"/>
      <c r="EO1626" s="4"/>
      <c r="EP1626" s="4"/>
      <c r="EQ1626" s="4"/>
      <c r="ER1626" s="4"/>
      <c r="ES1626" s="4"/>
      <c r="ET1626" s="4"/>
      <c r="EU1626" s="4"/>
      <c r="EV1626" s="4"/>
      <c r="EW1626" s="4"/>
      <c r="EX1626" s="4"/>
      <c r="EY1626" s="4"/>
      <c r="EZ1626" s="4"/>
      <c r="FA1626" s="4"/>
      <c r="FB1626" s="4"/>
      <c r="FC1626" s="4"/>
      <c r="FD1626" s="4"/>
      <c r="FE1626" s="4"/>
      <c r="FF1626" s="4"/>
      <c r="FG1626" s="4"/>
      <c r="FH1626" s="4"/>
      <c r="FI1626" s="4"/>
      <c r="FJ1626" s="4"/>
      <c r="FK1626" s="4"/>
      <c r="FL1626" s="4"/>
      <c r="FM1626" s="4"/>
      <c r="FN1626" s="4"/>
      <c r="FO1626" s="4"/>
      <c r="FP1626" s="4"/>
      <c r="FQ1626" s="4"/>
      <c r="FR1626" s="4"/>
      <c r="FS1626" s="4"/>
      <c r="FT1626" s="4"/>
      <c r="FU1626" s="4"/>
      <c r="FV1626" s="4"/>
      <c r="FW1626" s="4"/>
      <c r="FX1626" s="4"/>
      <c r="FY1626" s="4"/>
      <c r="FZ1626" s="4"/>
      <c r="GA1626" s="4"/>
      <c r="GB1626" s="4"/>
      <c r="GC1626" s="4"/>
      <c r="GD1626" s="4"/>
      <c r="GE1626" s="4"/>
      <c r="GF1626" s="4"/>
      <c r="GG1626" s="4"/>
      <c r="GH1626" s="4"/>
    </row>
    <row r="1627">
      <c r="A1627" s="2" t="s">
        <v>8544</v>
      </c>
      <c r="B1627" s="2" t="s">
        <v>719</v>
      </c>
      <c r="C1627" s="2" t="s">
        <v>231</v>
      </c>
      <c r="D1627" s="2" t="s">
        <v>720</v>
      </c>
      <c r="E1627" s="2" t="s">
        <v>721</v>
      </c>
      <c r="F1627" s="2" t="s">
        <v>8545</v>
      </c>
      <c r="G1627" s="2" t="s">
        <v>8545</v>
      </c>
      <c r="H1627" s="2" t="s">
        <v>8545</v>
      </c>
      <c r="I1627" s="2" t="s">
        <v>8546</v>
      </c>
      <c r="J1627" s="2" t="s">
        <v>711</v>
      </c>
      <c r="K1627" s="2" t="s">
        <v>387</v>
      </c>
      <c r="L1627" s="3">
        <v>36.42</v>
      </c>
      <c r="M1627" s="3">
        <v>38.24</v>
      </c>
      <c r="N1627" s="3">
        <v>76.49</v>
      </c>
      <c r="O1627" s="2" t="s">
        <v>212</v>
      </c>
      <c r="P1627" s="2" t="s">
        <v>750</v>
      </c>
      <c r="Q1627" s="2" t="s">
        <v>206</v>
      </c>
      <c r="R1627" s="2" t="s">
        <v>200</v>
      </c>
      <c r="S1627" s="2" t="s">
        <v>200</v>
      </c>
      <c r="T1627" s="2" t="s">
        <v>200</v>
      </c>
      <c r="U1627" s="2" t="s">
        <v>270</v>
      </c>
      <c r="V1627" s="2" t="s">
        <v>313</v>
      </c>
      <c r="W1627" s="2" t="s">
        <v>313</v>
      </c>
      <c r="X1627" s="2" t="s">
        <v>419</v>
      </c>
      <c r="Y1627" s="2" t="s">
        <v>1206</v>
      </c>
      <c r="Z1627" s="4">
        <v>64</v>
      </c>
      <c r="AA1627" s="4">
        <f>=ROUNDDOWN(32,0)</f>
      </c>
      <c r="AB1627" s="5">
        <v>2</v>
      </c>
      <c r="AC1627" s="2" t="s">
        <v>200</v>
      </c>
      <c r="AD1627" s="4"/>
      <c r="AE1627" s="4"/>
      <c r="AF1627" s="6">
        <v>63</v>
      </c>
      <c r="AG1627" s="6"/>
      <c r="AH1627" s="7">
        <v>1</v>
      </c>
      <c r="AI1627" s="4"/>
      <c r="AJ1627" s="4">
        <f>=ROUNDDOWN({0},0)</f>
      </c>
      <c r="AK1627" s="5"/>
      <c r="AL1627" s="2" t="s">
        <v>200</v>
      </c>
      <c r="AM1627" s="4"/>
      <c r="AN1627" s="4"/>
      <c r="AO1627" s="7"/>
      <c r="AP1627" s="4"/>
      <c r="AQ1627" s="8"/>
      <c r="AR1627" s="4"/>
      <c r="AS1627" s="8"/>
      <c r="AT1627" s="7"/>
      <c r="AU1627" s="7"/>
      <c r="AV1627" s="4"/>
      <c r="AW1627" s="8"/>
      <c r="AX1627" s="4"/>
      <c r="AY1627" s="8"/>
      <c r="AZ1627" s="7"/>
      <c r="BA1627" s="7"/>
      <c r="BB1627" s="7"/>
      <c r="BC1627" s="4"/>
      <c r="BD1627" s="8"/>
      <c r="BE1627" s="4"/>
      <c r="BF1627" s="8"/>
      <c r="BG1627" s="7"/>
      <c r="BH1627" s="7"/>
      <c r="BI1627" s="7"/>
      <c r="BJ1627" s="4">
        <v>12</v>
      </c>
      <c r="BK1627" s="8">
        <v>407.95</v>
      </c>
      <c r="BL1627" s="2" t="s">
        <v>8547</v>
      </c>
      <c r="BM1627" s="7"/>
      <c r="BN1627" s="7"/>
      <c r="BO1627" s="4"/>
      <c r="BP1627" s="8"/>
      <c r="BQ1627" s="4"/>
      <c r="BR1627" s="8"/>
      <c r="BS1627" s="7"/>
      <c r="BT1627" s="7"/>
      <c r="BU1627" s="2" t="s">
        <v>8548</v>
      </c>
      <c r="BV1627" s="2" t="s">
        <v>200</v>
      </c>
      <c r="BW1627" s="2" t="s">
        <v>200</v>
      </c>
      <c r="BX1627" s="2" t="s">
        <v>264</v>
      </c>
      <c r="BY1627" s="2" t="s">
        <v>247</v>
      </c>
      <c r="BZ1627" s="2" t="s">
        <v>212</v>
      </c>
      <c r="CA1627" s="2" t="s">
        <v>8549</v>
      </c>
      <c r="CB1627" s="2" t="s">
        <v>915</v>
      </c>
      <c r="CC1627" s="2" t="s">
        <v>213</v>
      </c>
      <c r="CD1627" s="2" t="s">
        <v>200</v>
      </c>
      <c r="CE1627" s="4">
        <v>64</v>
      </c>
      <c r="CF1627" s="4"/>
      <c r="CG1627" s="4"/>
      <c r="CH1627" s="4"/>
      <c r="CI1627" s="4"/>
      <c r="CJ1627" s="4"/>
      <c r="CK1627" s="4"/>
      <c r="CL1627" s="4"/>
      <c r="CM1627" s="4"/>
      <c r="CN1627" s="4"/>
      <c r="CO1627" s="4"/>
      <c r="CP1627" s="4"/>
      <c r="CQ1627" s="4"/>
      <c r="CR1627" s="4"/>
      <c r="CS1627" s="4"/>
      <c r="CT1627" s="4"/>
      <c r="CU1627" s="4"/>
      <c r="CV1627" s="4"/>
      <c r="CW1627" s="4"/>
      <c r="CX1627" s="4"/>
      <c r="CY1627" s="4"/>
      <c r="CZ1627" s="4"/>
      <c r="DA1627" s="4"/>
      <c r="DB1627" s="4"/>
      <c r="DC1627" s="4"/>
      <c r="DD1627" s="4"/>
      <c r="DE1627" s="4"/>
      <c r="DF1627" s="4"/>
      <c r="DG1627" s="4"/>
      <c r="DH1627" s="4"/>
      <c r="DI1627" s="4"/>
      <c r="DJ1627" s="4"/>
      <c r="DK1627" s="4"/>
      <c r="DL1627" s="4"/>
      <c r="DM1627" s="4"/>
      <c r="DN1627" s="4"/>
      <c r="DO1627" s="4"/>
      <c r="DP1627" s="4"/>
      <c r="DQ1627" s="4"/>
      <c r="DR1627" s="4"/>
      <c r="DS1627" s="4"/>
      <c r="DT1627" s="4"/>
      <c r="DU1627" s="4"/>
      <c r="DV1627" s="4"/>
      <c r="DW1627" s="4"/>
      <c r="DX1627" s="4"/>
      <c r="DY1627" s="4"/>
      <c r="DZ1627" s="4"/>
      <c r="EA1627" s="4"/>
      <c r="EB1627" s="4"/>
      <c r="EC1627" s="4"/>
      <c r="ED1627" s="4"/>
      <c r="EE1627" s="4"/>
      <c r="EF1627" s="4"/>
      <c r="EG1627" s="4"/>
      <c r="EH1627" s="4"/>
      <c r="EI1627" s="4"/>
      <c r="EJ1627" s="4"/>
      <c r="EK1627" s="4"/>
      <c r="EL1627" s="4"/>
      <c r="EM1627" s="4"/>
      <c r="EN1627" s="4"/>
      <c r="EO1627" s="4"/>
      <c r="EP1627" s="4"/>
      <c r="EQ1627" s="4"/>
      <c r="ER1627" s="4"/>
      <c r="ES1627" s="4"/>
      <c r="ET1627" s="4"/>
      <c r="EU1627" s="4"/>
      <c r="EV1627" s="4"/>
      <c r="EW1627" s="4"/>
      <c r="EX1627" s="4"/>
      <c r="EY1627" s="4"/>
      <c r="EZ1627" s="4"/>
      <c r="FA1627" s="4"/>
      <c r="FB1627" s="4"/>
      <c r="FC1627" s="4"/>
      <c r="FD1627" s="4"/>
      <c r="FE1627" s="4"/>
      <c r="FF1627" s="4"/>
      <c r="FG1627" s="4"/>
      <c r="FH1627" s="4"/>
      <c r="FI1627" s="4"/>
      <c r="FJ1627" s="4"/>
      <c r="FK1627" s="4"/>
      <c r="FL1627" s="4"/>
      <c r="FM1627" s="4"/>
      <c r="FN1627" s="4"/>
      <c r="FO1627" s="4"/>
      <c r="FP1627" s="4"/>
      <c r="FQ1627" s="4"/>
      <c r="FR1627" s="4"/>
      <c r="FS1627" s="4"/>
      <c r="FT1627" s="4"/>
      <c r="FU1627" s="4"/>
      <c r="FV1627" s="4"/>
      <c r="FW1627" s="4"/>
      <c r="FX1627" s="4"/>
      <c r="FY1627" s="4"/>
      <c r="FZ1627" s="4"/>
      <c r="GA1627" s="4"/>
      <c r="GB1627" s="4"/>
      <c r="GC1627" s="4"/>
      <c r="GD1627" s="4"/>
      <c r="GE1627" s="4"/>
      <c r="GF1627" s="4"/>
      <c r="GG1627" s="4"/>
      <c r="GH1627" s="4"/>
    </row>
    <row r="1628">
      <c r="A1628" s="2" t="s">
        <v>8550</v>
      </c>
      <c r="B1628" s="2" t="s">
        <v>1099</v>
      </c>
      <c r="C1628" s="2" t="s">
        <v>607</v>
      </c>
      <c r="D1628" s="2" t="s">
        <v>1100</v>
      </c>
      <c r="E1628" s="2" t="s">
        <v>1101</v>
      </c>
      <c r="F1628" s="2" t="s">
        <v>8551</v>
      </c>
      <c r="G1628" s="2" t="s">
        <v>8551</v>
      </c>
      <c r="H1628" s="2" t="s">
        <v>8551</v>
      </c>
      <c r="I1628" s="2" t="s">
        <v>8552</v>
      </c>
      <c r="J1628" s="2" t="s">
        <v>5836</v>
      </c>
      <c r="K1628" s="2" t="s">
        <v>237</v>
      </c>
      <c r="L1628" s="3">
        <v>12</v>
      </c>
      <c r="M1628" s="3">
        <v>12.6</v>
      </c>
      <c r="N1628" s="3">
        <v>25.99</v>
      </c>
      <c r="O1628" s="2" t="s">
        <v>212</v>
      </c>
      <c r="P1628" s="2" t="s">
        <v>205</v>
      </c>
      <c r="Q1628" s="2" t="s">
        <v>206</v>
      </c>
      <c r="R1628" s="2" t="s">
        <v>200</v>
      </c>
      <c r="S1628" s="2" t="s">
        <v>200</v>
      </c>
      <c r="T1628" s="2" t="s">
        <v>312</v>
      </c>
      <c r="U1628" s="2" t="s">
        <v>270</v>
      </c>
      <c r="V1628" s="2" t="s">
        <v>208</v>
      </c>
      <c r="W1628" s="2" t="s">
        <v>241</v>
      </c>
      <c r="X1628" s="2" t="s">
        <v>200</v>
      </c>
      <c r="Y1628" s="2" t="s">
        <v>200</v>
      </c>
      <c r="Z1628" s="4"/>
      <c r="AA1628" s="4">
        <f>=ROUNDDOWN({0},0)</f>
      </c>
      <c r="AB1628" s="5"/>
      <c r="AC1628" s="2" t="s">
        <v>5688</v>
      </c>
      <c r="AD1628" s="4">
        <v>200</v>
      </c>
      <c r="AE1628" s="4">
        <v>432</v>
      </c>
      <c r="AF1628" s="6">
        <v>69</v>
      </c>
      <c r="AG1628" s="6"/>
      <c r="AH1628" s="7"/>
      <c r="AI1628" s="4"/>
      <c r="AJ1628" s="4">
        <f>=ROUNDDOWN({0},0)</f>
      </c>
      <c r="AK1628" s="5"/>
      <c r="AL1628" s="2" t="s">
        <v>200</v>
      </c>
      <c r="AM1628" s="4"/>
      <c r="AN1628" s="4"/>
      <c r="AO1628" s="7"/>
      <c r="AP1628" s="4"/>
      <c r="AQ1628" s="8"/>
      <c r="AR1628" s="4"/>
      <c r="AS1628" s="8"/>
      <c r="AT1628" s="7"/>
      <c r="AU1628" s="7"/>
      <c r="AV1628" s="4" t="s">
        <v>200</v>
      </c>
      <c r="AW1628" s="8" t="s">
        <v>200</v>
      </c>
      <c r="AX1628" s="4" t="s">
        <v>200</v>
      </c>
      <c r="AY1628" s="8" t="s">
        <v>200</v>
      </c>
      <c r="AZ1628" s="7" t="s">
        <v>200</v>
      </c>
      <c r="BA1628" s="7" t="s">
        <v>200</v>
      </c>
      <c r="BB1628" s="7"/>
      <c r="BC1628" s="4" t="s">
        <v>200</v>
      </c>
      <c r="BD1628" s="8" t="s">
        <v>200</v>
      </c>
      <c r="BE1628" s="4" t="s">
        <v>200</v>
      </c>
      <c r="BF1628" s="8" t="s">
        <v>200</v>
      </c>
      <c r="BG1628" s="7" t="s">
        <v>200</v>
      </c>
      <c r="BH1628" s="7" t="s">
        <v>200</v>
      </c>
      <c r="BI1628" s="7"/>
      <c r="BJ1628" s="4"/>
      <c r="BK1628" s="8"/>
      <c r="BL1628" s="2" t="s">
        <v>200</v>
      </c>
      <c r="BM1628" s="7"/>
      <c r="BN1628" s="7"/>
      <c r="BO1628" s="4"/>
      <c r="BP1628" s="8"/>
      <c r="BQ1628" s="4"/>
      <c r="BR1628" s="8"/>
      <c r="BS1628" s="7"/>
      <c r="BT1628" s="7"/>
      <c r="BU1628" s="2" t="s">
        <v>210</v>
      </c>
      <c r="BV1628" s="2" t="s">
        <v>200</v>
      </c>
      <c r="BW1628" s="2" t="s">
        <v>200</v>
      </c>
      <c r="BX1628" s="2" t="s">
        <v>210</v>
      </c>
      <c r="BY1628" s="2" t="s">
        <v>211</v>
      </c>
      <c r="BZ1628" s="2" t="s">
        <v>212</v>
      </c>
      <c r="CA1628" s="2" t="s">
        <v>200</v>
      </c>
      <c r="CB1628" s="2" t="s">
        <v>200</v>
      </c>
      <c r="CC1628" s="2" t="s">
        <v>213</v>
      </c>
      <c r="CD1628" s="2" t="s">
        <v>200</v>
      </c>
      <c r="CE1628" s="4"/>
      <c r="CF1628" s="4"/>
      <c r="CG1628" s="4"/>
      <c r="CH1628" s="4"/>
      <c r="CI1628" s="4"/>
      <c r="CJ1628" s="4"/>
      <c r="CK1628" s="4"/>
      <c r="CL1628" s="4"/>
      <c r="CM1628" s="4"/>
      <c r="CN1628" s="4"/>
      <c r="CO1628" s="4"/>
      <c r="CP1628" s="4"/>
      <c r="CQ1628" s="4"/>
      <c r="CR1628" s="4"/>
      <c r="CS1628" s="4"/>
      <c r="CT1628" s="4"/>
      <c r="CU1628" s="4"/>
      <c r="CV1628" s="4"/>
      <c r="CW1628" s="4"/>
      <c r="CX1628" s="4"/>
      <c r="CY1628" s="4"/>
      <c r="CZ1628" s="4"/>
      <c r="DA1628" s="4"/>
      <c r="DB1628" s="4"/>
      <c r="DC1628" s="4"/>
      <c r="DD1628" s="4"/>
      <c r="DE1628" s="4"/>
      <c r="DF1628" s="4"/>
      <c r="DG1628" s="4"/>
      <c r="DH1628" s="4"/>
      <c r="DI1628" s="4"/>
      <c r="DJ1628" s="4"/>
      <c r="DK1628" s="4"/>
      <c r="DL1628" s="4"/>
      <c r="DM1628" s="4"/>
      <c r="DN1628" s="4"/>
      <c r="DO1628" s="4"/>
      <c r="DP1628" s="4"/>
      <c r="DQ1628" s="4"/>
      <c r="DR1628" s="4"/>
      <c r="DS1628" s="4"/>
      <c r="DT1628" s="4"/>
      <c r="DU1628" s="4"/>
      <c r="DV1628" s="4"/>
      <c r="DW1628" s="4"/>
      <c r="DX1628" s="4"/>
      <c r="DY1628" s="4"/>
      <c r="DZ1628" s="4"/>
      <c r="EA1628" s="4"/>
      <c r="EB1628" s="4"/>
      <c r="EC1628" s="4"/>
      <c r="ED1628" s="4"/>
      <c r="EE1628" s="4"/>
      <c r="EF1628" s="4"/>
      <c r="EG1628" s="4"/>
      <c r="EH1628" s="4"/>
      <c r="EI1628" s="4"/>
      <c r="EJ1628" s="4"/>
      <c r="EK1628" s="4"/>
      <c r="EL1628" s="4"/>
      <c r="EM1628" s="4"/>
      <c r="EN1628" s="4"/>
      <c r="EO1628" s="4"/>
      <c r="EP1628" s="4"/>
      <c r="EQ1628" s="4"/>
      <c r="ER1628" s="4"/>
      <c r="ES1628" s="4"/>
      <c r="ET1628" s="4"/>
      <c r="EU1628" s="4"/>
      <c r="EV1628" s="4"/>
      <c r="EW1628" s="4"/>
      <c r="EX1628" s="4"/>
      <c r="EY1628" s="4"/>
      <c r="EZ1628" s="4"/>
      <c r="FA1628" s="4"/>
      <c r="FB1628" s="4"/>
      <c r="FC1628" s="4"/>
      <c r="FD1628" s="4"/>
      <c r="FE1628" s="4"/>
      <c r="FF1628" s="4"/>
      <c r="FG1628" s="4"/>
      <c r="FH1628" s="4"/>
      <c r="FI1628" s="4"/>
      <c r="FJ1628" s="4">
        <v>200</v>
      </c>
      <c r="FK1628" s="4"/>
      <c r="FL1628" s="4"/>
      <c r="FM1628" s="4"/>
      <c r="FN1628" s="4"/>
      <c r="FO1628" s="4"/>
      <c r="FP1628" s="4"/>
      <c r="FQ1628" s="4"/>
      <c r="FR1628" s="4"/>
      <c r="FS1628" s="4">
        <v>232</v>
      </c>
      <c r="FT1628" s="4"/>
      <c r="FU1628" s="4"/>
      <c r="FV1628" s="4"/>
      <c r="FW1628" s="4"/>
      <c r="FX1628" s="4"/>
      <c r="FY1628" s="4"/>
      <c r="FZ1628" s="4"/>
      <c r="GA1628" s="4"/>
      <c r="GB1628" s="4"/>
      <c r="GC1628" s="4"/>
      <c r="GD1628" s="4"/>
      <c r="GE1628" s="4"/>
      <c r="GF1628" s="4"/>
      <c r="GG1628" s="4"/>
      <c r="GH1628" s="4"/>
    </row>
    <row r="1629">
      <c r="A1629" s="2" t="s">
        <v>8553</v>
      </c>
      <c r="B1629" s="2" t="s">
        <v>1099</v>
      </c>
      <c r="C1629" s="2" t="s">
        <v>607</v>
      </c>
      <c r="D1629" s="2" t="s">
        <v>1100</v>
      </c>
      <c r="E1629" s="2" t="s">
        <v>1101</v>
      </c>
      <c r="F1629" s="2" t="s">
        <v>8551</v>
      </c>
      <c r="G1629" s="2" t="s">
        <v>8551</v>
      </c>
      <c r="H1629" s="2" t="s">
        <v>8551</v>
      </c>
      <c r="I1629" s="2" t="s">
        <v>8552</v>
      </c>
      <c r="J1629" s="2" t="s">
        <v>1103</v>
      </c>
      <c r="K1629" s="2" t="s">
        <v>237</v>
      </c>
      <c r="L1629" s="3">
        <v>21.3</v>
      </c>
      <c r="M1629" s="3">
        <v>22.37</v>
      </c>
      <c r="N1629" s="3">
        <v>45.99</v>
      </c>
      <c r="O1629" s="2" t="s">
        <v>212</v>
      </c>
      <c r="P1629" s="2" t="s">
        <v>205</v>
      </c>
      <c r="Q1629" s="2" t="s">
        <v>206</v>
      </c>
      <c r="R1629" s="2" t="s">
        <v>200</v>
      </c>
      <c r="S1629" s="2" t="s">
        <v>200</v>
      </c>
      <c r="T1629" s="2" t="s">
        <v>312</v>
      </c>
      <c r="U1629" s="2" t="s">
        <v>270</v>
      </c>
      <c r="V1629" s="2" t="s">
        <v>208</v>
      </c>
      <c r="W1629" s="2" t="s">
        <v>241</v>
      </c>
      <c r="X1629" s="2" t="s">
        <v>200</v>
      </c>
      <c r="Y1629" s="2" t="s">
        <v>200</v>
      </c>
      <c r="Z1629" s="4"/>
      <c r="AA1629" s="4">
        <f>=ROUNDDOWN({0},0)</f>
      </c>
      <c r="AB1629" s="5"/>
      <c r="AC1629" s="2" t="s">
        <v>5688</v>
      </c>
      <c r="AD1629" s="4">
        <v>196</v>
      </c>
      <c r="AE1629" s="4">
        <v>424</v>
      </c>
      <c r="AF1629" s="6">
        <v>69</v>
      </c>
      <c r="AG1629" s="6"/>
      <c r="AH1629" s="7"/>
      <c r="AI1629" s="4"/>
      <c r="AJ1629" s="4">
        <f>=ROUNDDOWN({0},0)</f>
      </c>
      <c r="AK1629" s="5"/>
      <c r="AL1629" s="2" t="s">
        <v>200</v>
      </c>
      <c r="AM1629" s="4"/>
      <c r="AN1629" s="4"/>
      <c r="AO1629" s="7"/>
      <c r="AP1629" s="4"/>
      <c r="AQ1629" s="8"/>
      <c r="AR1629" s="4"/>
      <c r="AS1629" s="8"/>
      <c r="AT1629" s="7"/>
      <c r="AU1629" s="7"/>
      <c r="AV1629" s="4" t="s">
        <v>200</v>
      </c>
      <c r="AW1629" s="8" t="s">
        <v>200</v>
      </c>
      <c r="AX1629" s="4" t="s">
        <v>200</v>
      </c>
      <c r="AY1629" s="8" t="s">
        <v>200</v>
      </c>
      <c r="AZ1629" s="7" t="s">
        <v>200</v>
      </c>
      <c r="BA1629" s="7" t="s">
        <v>200</v>
      </c>
      <c r="BB1629" s="7"/>
      <c r="BC1629" s="4" t="s">
        <v>200</v>
      </c>
      <c r="BD1629" s="8" t="s">
        <v>200</v>
      </c>
      <c r="BE1629" s="4" t="s">
        <v>200</v>
      </c>
      <c r="BF1629" s="8" t="s">
        <v>200</v>
      </c>
      <c r="BG1629" s="7" t="s">
        <v>200</v>
      </c>
      <c r="BH1629" s="7" t="s">
        <v>200</v>
      </c>
      <c r="BI1629" s="7"/>
      <c r="BJ1629" s="4"/>
      <c r="BK1629" s="8"/>
      <c r="BL1629" s="2" t="s">
        <v>200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210</v>
      </c>
      <c r="BV1629" s="2" t="s">
        <v>200</v>
      </c>
      <c r="BW1629" s="2" t="s">
        <v>200</v>
      </c>
      <c r="BX1629" s="2" t="s">
        <v>210</v>
      </c>
      <c r="BY1629" s="2" t="s">
        <v>211</v>
      </c>
      <c r="BZ1629" s="2" t="s">
        <v>212</v>
      </c>
      <c r="CA1629" s="2" t="s">
        <v>200</v>
      </c>
      <c r="CB1629" s="2" t="s">
        <v>200</v>
      </c>
      <c r="CC1629" s="2" t="s">
        <v>213</v>
      </c>
      <c r="CD1629" s="2" t="s">
        <v>200</v>
      </c>
      <c r="CE1629" s="4"/>
      <c r="CF1629" s="4"/>
      <c r="CG1629" s="4"/>
      <c r="CH1629" s="4"/>
      <c r="CI1629" s="4"/>
      <c r="CJ1629" s="4"/>
      <c r="CK1629" s="4"/>
      <c r="CL1629" s="4"/>
      <c r="CM1629" s="4"/>
      <c r="CN1629" s="4"/>
      <c r="CO1629" s="4"/>
      <c r="CP1629" s="4"/>
      <c r="CQ1629" s="4"/>
      <c r="CR1629" s="4"/>
      <c r="CS1629" s="4"/>
      <c r="CT1629" s="4"/>
      <c r="CU1629" s="4"/>
      <c r="CV1629" s="4"/>
      <c r="CW1629" s="4"/>
      <c r="CX1629" s="4"/>
      <c r="CY1629" s="4"/>
      <c r="CZ1629" s="4"/>
      <c r="DA1629" s="4"/>
      <c r="DB1629" s="4"/>
      <c r="DC1629" s="4"/>
      <c r="DD1629" s="4"/>
      <c r="DE1629" s="4"/>
      <c r="DF1629" s="4"/>
      <c r="DG1629" s="4"/>
      <c r="DH1629" s="4"/>
      <c r="DI1629" s="4"/>
      <c r="DJ1629" s="4"/>
      <c r="DK1629" s="4"/>
      <c r="DL1629" s="4"/>
      <c r="DM1629" s="4"/>
      <c r="DN1629" s="4"/>
      <c r="DO1629" s="4"/>
      <c r="DP1629" s="4"/>
      <c r="DQ1629" s="4"/>
      <c r="DR1629" s="4"/>
      <c r="DS1629" s="4"/>
      <c r="DT1629" s="4"/>
      <c r="DU1629" s="4"/>
      <c r="DV1629" s="4"/>
      <c r="DW1629" s="4"/>
      <c r="DX1629" s="4"/>
      <c r="DY1629" s="4"/>
      <c r="DZ1629" s="4"/>
      <c r="EA1629" s="4"/>
      <c r="EB1629" s="4"/>
      <c r="EC1629" s="4"/>
      <c r="ED1629" s="4"/>
      <c r="EE1629" s="4"/>
      <c r="EF1629" s="4"/>
      <c r="EG1629" s="4"/>
      <c r="EH1629" s="4"/>
      <c r="EI1629" s="4"/>
      <c r="EJ1629" s="4"/>
      <c r="EK1629" s="4"/>
      <c r="EL1629" s="4"/>
      <c r="EM1629" s="4"/>
      <c r="EN1629" s="4"/>
      <c r="EO1629" s="4"/>
      <c r="EP1629" s="4"/>
      <c r="EQ1629" s="4"/>
      <c r="ER1629" s="4"/>
      <c r="ES1629" s="4"/>
      <c r="ET1629" s="4"/>
      <c r="EU1629" s="4"/>
      <c r="EV1629" s="4"/>
      <c r="EW1629" s="4"/>
      <c r="EX1629" s="4"/>
      <c r="EY1629" s="4"/>
      <c r="EZ1629" s="4"/>
      <c r="FA1629" s="4"/>
      <c r="FB1629" s="4"/>
      <c r="FC1629" s="4"/>
      <c r="FD1629" s="4"/>
      <c r="FE1629" s="4"/>
      <c r="FF1629" s="4"/>
      <c r="FG1629" s="4"/>
      <c r="FH1629" s="4"/>
      <c r="FI1629" s="4"/>
      <c r="FJ1629" s="4">
        <v>196</v>
      </c>
      <c r="FK1629" s="4"/>
      <c r="FL1629" s="4"/>
      <c r="FM1629" s="4"/>
      <c r="FN1629" s="4"/>
      <c r="FO1629" s="4"/>
      <c r="FP1629" s="4"/>
      <c r="FQ1629" s="4"/>
      <c r="FR1629" s="4"/>
      <c r="FS1629" s="4">
        <v>228</v>
      </c>
      <c r="FT1629" s="4"/>
      <c r="FU1629" s="4"/>
      <c r="FV1629" s="4"/>
      <c r="FW1629" s="4"/>
      <c r="FX1629" s="4"/>
      <c r="FY1629" s="4"/>
      <c r="FZ1629" s="4"/>
      <c r="GA1629" s="4"/>
      <c r="GB1629" s="4"/>
      <c r="GC1629" s="4"/>
      <c r="GD1629" s="4"/>
      <c r="GE1629" s="4"/>
      <c r="GF1629" s="4"/>
      <c r="GG1629" s="4"/>
      <c r="GH1629" s="4"/>
    </row>
    <row r="1630">
      <c r="A1630" s="2" t="s">
        <v>8554</v>
      </c>
      <c r="B1630" s="2" t="s">
        <v>1099</v>
      </c>
      <c r="C1630" s="2" t="s">
        <v>607</v>
      </c>
      <c r="D1630" s="2" t="s">
        <v>1100</v>
      </c>
      <c r="E1630" s="2" t="s">
        <v>1101</v>
      </c>
      <c r="F1630" s="2" t="s">
        <v>8551</v>
      </c>
      <c r="G1630" s="2" t="s">
        <v>8551</v>
      </c>
      <c r="H1630" s="2" t="s">
        <v>8551</v>
      </c>
      <c r="I1630" s="2" t="s">
        <v>8552</v>
      </c>
      <c r="J1630" s="2" t="s">
        <v>8555</v>
      </c>
      <c r="K1630" s="2" t="s">
        <v>237</v>
      </c>
      <c r="L1630" s="3">
        <v>18.5</v>
      </c>
      <c r="M1630" s="3">
        <v>19.43</v>
      </c>
      <c r="N1630" s="3">
        <v>39.99</v>
      </c>
      <c r="O1630" s="2" t="s">
        <v>212</v>
      </c>
      <c r="P1630" s="2" t="s">
        <v>205</v>
      </c>
      <c r="Q1630" s="2" t="s">
        <v>206</v>
      </c>
      <c r="R1630" s="2" t="s">
        <v>200</v>
      </c>
      <c r="S1630" s="2" t="s">
        <v>200</v>
      </c>
      <c r="T1630" s="2" t="s">
        <v>312</v>
      </c>
      <c r="U1630" s="2" t="s">
        <v>270</v>
      </c>
      <c r="V1630" s="2" t="s">
        <v>208</v>
      </c>
      <c r="W1630" s="2" t="s">
        <v>241</v>
      </c>
      <c r="X1630" s="2" t="s">
        <v>200</v>
      </c>
      <c r="Y1630" s="2" t="s">
        <v>200</v>
      </c>
      <c r="Z1630" s="4"/>
      <c r="AA1630" s="4">
        <f>=ROUNDDOWN({0},0)</f>
      </c>
      <c r="AB1630" s="5"/>
      <c r="AC1630" s="2" t="s">
        <v>5688</v>
      </c>
      <c r="AD1630" s="4">
        <v>144</v>
      </c>
      <c r="AE1630" s="4">
        <v>320</v>
      </c>
      <c r="AF1630" s="6">
        <v>69</v>
      </c>
      <c r="AG1630" s="6"/>
      <c r="AH1630" s="7"/>
      <c r="AI1630" s="4"/>
      <c r="AJ1630" s="4">
        <f>=ROUNDDOWN({0},0)</f>
      </c>
      <c r="AK1630" s="5"/>
      <c r="AL1630" s="2" t="s">
        <v>200</v>
      </c>
      <c r="AM1630" s="4"/>
      <c r="AN1630" s="4"/>
      <c r="AO1630" s="7"/>
      <c r="AP1630" s="4"/>
      <c r="AQ1630" s="8"/>
      <c r="AR1630" s="4"/>
      <c r="AS1630" s="8"/>
      <c r="AT1630" s="7"/>
      <c r="AU1630" s="7"/>
      <c r="AV1630" s="4" t="s">
        <v>200</v>
      </c>
      <c r="AW1630" s="8" t="s">
        <v>200</v>
      </c>
      <c r="AX1630" s="4" t="s">
        <v>200</v>
      </c>
      <c r="AY1630" s="8" t="s">
        <v>200</v>
      </c>
      <c r="AZ1630" s="7" t="s">
        <v>200</v>
      </c>
      <c r="BA1630" s="7" t="s">
        <v>200</v>
      </c>
      <c r="BB1630" s="7"/>
      <c r="BC1630" s="4" t="s">
        <v>200</v>
      </c>
      <c r="BD1630" s="8" t="s">
        <v>200</v>
      </c>
      <c r="BE1630" s="4" t="s">
        <v>200</v>
      </c>
      <c r="BF1630" s="8" t="s">
        <v>200</v>
      </c>
      <c r="BG1630" s="7" t="s">
        <v>200</v>
      </c>
      <c r="BH1630" s="7" t="s">
        <v>200</v>
      </c>
      <c r="BI1630" s="7"/>
      <c r="BJ1630" s="4"/>
      <c r="BK1630" s="8"/>
      <c r="BL1630" s="2" t="s">
        <v>200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210</v>
      </c>
      <c r="BV1630" s="2" t="s">
        <v>200</v>
      </c>
      <c r="BW1630" s="2" t="s">
        <v>200</v>
      </c>
      <c r="BX1630" s="2" t="s">
        <v>210</v>
      </c>
      <c r="BY1630" s="2" t="s">
        <v>211</v>
      </c>
      <c r="BZ1630" s="2" t="s">
        <v>212</v>
      </c>
      <c r="CA1630" s="2" t="s">
        <v>200</v>
      </c>
      <c r="CB1630" s="2" t="s">
        <v>200</v>
      </c>
      <c r="CC1630" s="2" t="s">
        <v>213</v>
      </c>
      <c r="CD1630" s="2" t="s">
        <v>200</v>
      </c>
      <c r="CE1630" s="4"/>
      <c r="CF1630" s="4"/>
      <c r="CG1630" s="4"/>
      <c r="CH1630" s="4"/>
      <c r="CI1630" s="4"/>
      <c r="CJ1630" s="4"/>
      <c r="CK1630" s="4"/>
      <c r="CL1630" s="4"/>
      <c r="CM1630" s="4"/>
      <c r="CN1630" s="4"/>
      <c r="CO1630" s="4"/>
      <c r="CP1630" s="4"/>
      <c r="CQ1630" s="4"/>
      <c r="CR1630" s="4"/>
      <c r="CS1630" s="4"/>
      <c r="CT1630" s="4"/>
      <c r="CU1630" s="4"/>
      <c r="CV1630" s="4"/>
      <c r="CW1630" s="4"/>
      <c r="CX1630" s="4"/>
      <c r="CY1630" s="4"/>
      <c r="CZ1630" s="4"/>
      <c r="DA1630" s="4"/>
      <c r="DB1630" s="4"/>
      <c r="DC1630" s="4"/>
      <c r="DD1630" s="4"/>
      <c r="DE1630" s="4"/>
      <c r="DF1630" s="4"/>
      <c r="DG1630" s="4"/>
      <c r="DH1630" s="4"/>
      <c r="DI1630" s="4"/>
      <c r="DJ1630" s="4"/>
      <c r="DK1630" s="4"/>
      <c r="DL1630" s="4"/>
      <c r="DM1630" s="4"/>
      <c r="DN1630" s="4"/>
      <c r="DO1630" s="4"/>
      <c r="DP1630" s="4"/>
      <c r="DQ1630" s="4"/>
      <c r="DR1630" s="4"/>
      <c r="DS1630" s="4"/>
      <c r="DT1630" s="4"/>
      <c r="DU1630" s="4"/>
      <c r="DV1630" s="4"/>
      <c r="DW1630" s="4"/>
      <c r="DX1630" s="4"/>
      <c r="DY1630" s="4"/>
      <c r="DZ1630" s="4"/>
      <c r="EA1630" s="4"/>
      <c r="EB1630" s="4"/>
      <c r="EC1630" s="4"/>
      <c r="ED1630" s="4"/>
      <c r="EE1630" s="4"/>
      <c r="EF1630" s="4"/>
      <c r="EG1630" s="4"/>
      <c r="EH1630" s="4"/>
      <c r="EI1630" s="4"/>
      <c r="EJ1630" s="4"/>
      <c r="EK1630" s="4"/>
      <c r="EL1630" s="4"/>
      <c r="EM1630" s="4"/>
      <c r="EN1630" s="4"/>
      <c r="EO1630" s="4"/>
      <c r="EP1630" s="4"/>
      <c r="EQ1630" s="4"/>
      <c r="ER1630" s="4"/>
      <c r="ES1630" s="4"/>
      <c r="ET1630" s="4"/>
      <c r="EU1630" s="4"/>
      <c r="EV1630" s="4"/>
      <c r="EW1630" s="4"/>
      <c r="EX1630" s="4"/>
      <c r="EY1630" s="4"/>
      <c r="EZ1630" s="4"/>
      <c r="FA1630" s="4"/>
      <c r="FB1630" s="4"/>
      <c r="FC1630" s="4"/>
      <c r="FD1630" s="4"/>
      <c r="FE1630" s="4"/>
      <c r="FF1630" s="4"/>
      <c r="FG1630" s="4"/>
      <c r="FH1630" s="4"/>
      <c r="FI1630" s="4"/>
      <c r="FJ1630" s="4">
        <v>144</v>
      </c>
      <c r="FK1630" s="4"/>
      <c r="FL1630" s="4"/>
      <c r="FM1630" s="4"/>
      <c r="FN1630" s="4"/>
      <c r="FO1630" s="4"/>
      <c r="FP1630" s="4"/>
      <c r="FQ1630" s="4"/>
      <c r="FR1630" s="4"/>
      <c r="FS1630" s="4">
        <v>176</v>
      </c>
      <c r="FT1630" s="4"/>
      <c r="FU1630" s="4"/>
      <c r="FV1630" s="4"/>
      <c r="FW1630" s="4"/>
      <c r="FX1630" s="4"/>
      <c r="FY1630" s="4"/>
      <c r="FZ1630" s="4"/>
      <c r="GA1630" s="4"/>
      <c r="GB1630" s="4"/>
      <c r="GC1630" s="4"/>
      <c r="GD1630" s="4"/>
      <c r="GE1630" s="4"/>
      <c r="GF1630" s="4"/>
      <c r="GG1630" s="4"/>
      <c r="GH1630" s="4"/>
    </row>
    <row r="1631">
      <c r="A1631" s="2" t="s">
        <v>8556</v>
      </c>
      <c r="B1631" s="2" t="s">
        <v>1099</v>
      </c>
      <c r="C1631" s="2" t="s">
        <v>607</v>
      </c>
      <c r="D1631" s="2" t="s">
        <v>1100</v>
      </c>
      <c r="E1631" s="2" t="s">
        <v>1101</v>
      </c>
      <c r="F1631" s="2" t="s">
        <v>8551</v>
      </c>
      <c r="G1631" s="2" t="s">
        <v>8551</v>
      </c>
      <c r="H1631" s="2" t="s">
        <v>8551</v>
      </c>
      <c r="I1631" s="2" t="s">
        <v>8552</v>
      </c>
      <c r="J1631" s="2" t="s">
        <v>1110</v>
      </c>
      <c r="K1631" s="2" t="s">
        <v>237</v>
      </c>
      <c r="L1631" s="3">
        <v>27</v>
      </c>
      <c r="M1631" s="3">
        <v>28.35</v>
      </c>
      <c r="N1631" s="3">
        <v>56.99</v>
      </c>
      <c r="O1631" s="2" t="s">
        <v>212</v>
      </c>
      <c r="P1631" s="2" t="s">
        <v>205</v>
      </c>
      <c r="Q1631" s="2" t="s">
        <v>206</v>
      </c>
      <c r="R1631" s="2" t="s">
        <v>200</v>
      </c>
      <c r="S1631" s="2" t="s">
        <v>200</v>
      </c>
      <c r="T1631" s="2" t="s">
        <v>312</v>
      </c>
      <c r="U1631" s="2" t="s">
        <v>270</v>
      </c>
      <c r="V1631" s="2" t="s">
        <v>208</v>
      </c>
      <c r="W1631" s="2" t="s">
        <v>241</v>
      </c>
      <c r="X1631" s="2" t="s">
        <v>200</v>
      </c>
      <c r="Y1631" s="2" t="s">
        <v>200</v>
      </c>
      <c r="Z1631" s="4"/>
      <c r="AA1631" s="4">
        <f>=ROUNDDOWN({0},0)</f>
      </c>
      <c r="AB1631" s="5"/>
      <c r="AC1631" s="2" t="s">
        <v>5688</v>
      </c>
      <c r="AD1631" s="4">
        <v>100</v>
      </c>
      <c r="AE1631" s="4">
        <v>232</v>
      </c>
      <c r="AF1631" s="6">
        <v>69</v>
      </c>
      <c r="AG1631" s="6"/>
      <c r="AH1631" s="7"/>
      <c r="AI1631" s="4"/>
      <c r="AJ1631" s="4">
        <f>=ROUNDDOWN({0},0)</f>
      </c>
      <c r="AK1631" s="5"/>
      <c r="AL1631" s="2" t="s">
        <v>200</v>
      </c>
      <c r="AM1631" s="4"/>
      <c r="AN1631" s="4"/>
      <c r="AO1631" s="7"/>
      <c r="AP1631" s="4"/>
      <c r="AQ1631" s="8"/>
      <c r="AR1631" s="4"/>
      <c r="AS1631" s="8"/>
      <c r="AT1631" s="7"/>
      <c r="AU1631" s="7"/>
      <c r="AV1631" s="4" t="s">
        <v>200</v>
      </c>
      <c r="AW1631" s="8" t="s">
        <v>200</v>
      </c>
      <c r="AX1631" s="4" t="s">
        <v>200</v>
      </c>
      <c r="AY1631" s="8" t="s">
        <v>200</v>
      </c>
      <c r="AZ1631" s="7" t="s">
        <v>200</v>
      </c>
      <c r="BA1631" s="7" t="s">
        <v>200</v>
      </c>
      <c r="BB1631" s="7"/>
      <c r="BC1631" s="4" t="s">
        <v>200</v>
      </c>
      <c r="BD1631" s="8" t="s">
        <v>200</v>
      </c>
      <c r="BE1631" s="4" t="s">
        <v>200</v>
      </c>
      <c r="BF1631" s="8" t="s">
        <v>200</v>
      </c>
      <c r="BG1631" s="7" t="s">
        <v>200</v>
      </c>
      <c r="BH1631" s="7" t="s">
        <v>200</v>
      </c>
      <c r="BI1631" s="7"/>
      <c r="BJ1631" s="4"/>
      <c r="BK1631" s="8"/>
      <c r="BL1631" s="2" t="s">
        <v>200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210</v>
      </c>
      <c r="BV1631" s="2" t="s">
        <v>200</v>
      </c>
      <c r="BW1631" s="2" t="s">
        <v>200</v>
      </c>
      <c r="BX1631" s="2" t="s">
        <v>210</v>
      </c>
      <c r="BY1631" s="2" t="s">
        <v>211</v>
      </c>
      <c r="BZ1631" s="2" t="s">
        <v>212</v>
      </c>
      <c r="CA1631" s="2" t="s">
        <v>200</v>
      </c>
      <c r="CB1631" s="2" t="s">
        <v>200</v>
      </c>
      <c r="CC1631" s="2" t="s">
        <v>213</v>
      </c>
      <c r="CD1631" s="2" t="s">
        <v>200</v>
      </c>
      <c r="CE1631" s="4"/>
      <c r="CF1631" s="4"/>
      <c r="CG1631" s="4"/>
      <c r="CH1631" s="4"/>
      <c r="CI1631" s="4"/>
      <c r="CJ1631" s="4"/>
      <c r="CK1631" s="4"/>
      <c r="CL1631" s="4"/>
      <c r="CM1631" s="4"/>
      <c r="CN1631" s="4"/>
      <c r="CO1631" s="4"/>
      <c r="CP1631" s="4"/>
      <c r="CQ1631" s="4"/>
      <c r="CR1631" s="4"/>
      <c r="CS1631" s="4"/>
      <c r="CT1631" s="4"/>
      <c r="CU1631" s="4"/>
      <c r="CV1631" s="4"/>
      <c r="CW1631" s="4"/>
      <c r="CX1631" s="4"/>
      <c r="CY1631" s="4"/>
      <c r="CZ1631" s="4"/>
      <c r="DA1631" s="4"/>
      <c r="DB1631" s="4"/>
      <c r="DC1631" s="4"/>
      <c r="DD1631" s="4"/>
      <c r="DE1631" s="4"/>
      <c r="DF1631" s="4"/>
      <c r="DG1631" s="4"/>
      <c r="DH1631" s="4"/>
      <c r="DI1631" s="4"/>
      <c r="DJ1631" s="4"/>
      <c r="DK1631" s="4"/>
      <c r="DL1631" s="4"/>
      <c r="DM1631" s="4"/>
      <c r="DN1631" s="4"/>
      <c r="DO1631" s="4"/>
      <c r="DP1631" s="4"/>
      <c r="DQ1631" s="4"/>
      <c r="DR1631" s="4"/>
      <c r="DS1631" s="4"/>
      <c r="DT1631" s="4"/>
      <c r="DU1631" s="4"/>
      <c r="DV1631" s="4"/>
      <c r="DW1631" s="4"/>
      <c r="DX1631" s="4"/>
      <c r="DY1631" s="4"/>
      <c r="DZ1631" s="4"/>
      <c r="EA1631" s="4"/>
      <c r="EB1631" s="4"/>
      <c r="EC1631" s="4"/>
      <c r="ED1631" s="4"/>
      <c r="EE1631" s="4"/>
      <c r="EF1631" s="4"/>
      <c r="EG1631" s="4"/>
      <c r="EH1631" s="4"/>
      <c r="EI1631" s="4"/>
      <c r="EJ1631" s="4"/>
      <c r="EK1631" s="4"/>
      <c r="EL1631" s="4"/>
      <c r="EM1631" s="4"/>
      <c r="EN1631" s="4"/>
      <c r="EO1631" s="4"/>
      <c r="EP1631" s="4"/>
      <c r="EQ1631" s="4"/>
      <c r="ER1631" s="4"/>
      <c r="ES1631" s="4"/>
      <c r="ET1631" s="4"/>
      <c r="EU1631" s="4"/>
      <c r="EV1631" s="4"/>
      <c r="EW1631" s="4"/>
      <c r="EX1631" s="4"/>
      <c r="EY1631" s="4"/>
      <c r="EZ1631" s="4"/>
      <c r="FA1631" s="4"/>
      <c r="FB1631" s="4"/>
      <c r="FC1631" s="4"/>
      <c r="FD1631" s="4"/>
      <c r="FE1631" s="4"/>
      <c r="FF1631" s="4"/>
      <c r="FG1631" s="4"/>
      <c r="FH1631" s="4"/>
      <c r="FI1631" s="4"/>
      <c r="FJ1631" s="4">
        <v>100</v>
      </c>
      <c r="FK1631" s="4"/>
      <c r="FL1631" s="4"/>
      <c r="FM1631" s="4"/>
      <c r="FN1631" s="4"/>
      <c r="FO1631" s="4"/>
      <c r="FP1631" s="4"/>
      <c r="FQ1631" s="4"/>
      <c r="FR1631" s="4"/>
      <c r="FS1631" s="4">
        <v>132</v>
      </c>
      <c r="FT1631" s="4"/>
      <c r="FU1631" s="4"/>
      <c r="FV1631" s="4"/>
      <c r="FW1631" s="4"/>
      <c r="FX1631" s="4"/>
      <c r="FY1631" s="4"/>
      <c r="FZ1631" s="4"/>
      <c r="GA1631" s="4"/>
      <c r="GB1631" s="4"/>
      <c r="GC1631" s="4"/>
      <c r="GD1631" s="4"/>
      <c r="GE1631" s="4"/>
      <c r="GF1631" s="4"/>
      <c r="GG1631" s="4"/>
      <c r="GH1631" s="4"/>
    </row>
    <row r="1632">
      <c r="A1632" s="2" t="s">
        <v>8557</v>
      </c>
      <c r="B1632" s="2" t="s">
        <v>1099</v>
      </c>
      <c r="C1632" s="2" t="s">
        <v>607</v>
      </c>
      <c r="D1632" s="2" t="s">
        <v>1100</v>
      </c>
      <c r="E1632" s="2" t="s">
        <v>1101</v>
      </c>
      <c r="F1632" s="2" t="s">
        <v>8551</v>
      </c>
      <c r="G1632" s="2" t="s">
        <v>8551</v>
      </c>
      <c r="H1632" s="2" t="s">
        <v>8551</v>
      </c>
      <c r="I1632" s="2" t="s">
        <v>8552</v>
      </c>
      <c r="J1632" s="2" t="s">
        <v>8558</v>
      </c>
      <c r="K1632" s="2" t="s">
        <v>237</v>
      </c>
      <c r="L1632" s="3">
        <v>30.24</v>
      </c>
      <c r="M1632" s="3">
        <v>31.75</v>
      </c>
      <c r="N1632" s="3">
        <v>64.99</v>
      </c>
      <c r="O1632" s="2" t="s">
        <v>212</v>
      </c>
      <c r="P1632" s="2" t="s">
        <v>205</v>
      </c>
      <c r="Q1632" s="2" t="s">
        <v>206</v>
      </c>
      <c r="R1632" s="2" t="s">
        <v>200</v>
      </c>
      <c r="S1632" s="2" t="s">
        <v>200</v>
      </c>
      <c r="T1632" s="2" t="s">
        <v>312</v>
      </c>
      <c r="U1632" s="2" t="s">
        <v>270</v>
      </c>
      <c r="V1632" s="2" t="s">
        <v>208</v>
      </c>
      <c r="W1632" s="2" t="s">
        <v>241</v>
      </c>
      <c r="X1632" s="2" t="s">
        <v>200</v>
      </c>
      <c r="Y1632" s="2" t="s">
        <v>200</v>
      </c>
      <c r="Z1632" s="4"/>
      <c r="AA1632" s="4">
        <f>=ROUNDDOWN({0},0)</f>
      </c>
      <c r="AB1632" s="5"/>
      <c r="AC1632" s="2" t="s">
        <v>5688</v>
      </c>
      <c r="AD1632" s="4">
        <v>92</v>
      </c>
      <c r="AE1632" s="4">
        <v>216</v>
      </c>
      <c r="AF1632" s="6">
        <v>69</v>
      </c>
      <c r="AG1632" s="6"/>
      <c r="AH1632" s="7"/>
      <c r="AI1632" s="4"/>
      <c r="AJ1632" s="4">
        <f>=ROUNDDOWN({0},0)</f>
      </c>
      <c r="AK1632" s="5"/>
      <c r="AL1632" s="2" t="s">
        <v>200</v>
      </c>
      <c r="AM1632" s="4"/>
      <c r="AN1632" s="4"/>
      <c r="AO1632" s="7"/>
      <c r="AP1632" s="4"/>
      <c r="AQ1632" s="8"/>
      <c r="AR1632" s="4"/>
      <c r="AS1632" s="8"/>
      <c r="AT1632" s="7"/>
      <c r="AU1632" s="7"/>
      <c r="AV1632" s="4" t="s">
        <v>200</v>
      </c>
      <c r="AW1632" s="8" t="s">
        <v>200</v>
      </c>
      <c r="AX1632" s="4" t="s">
        <v>200</v>
      </c>
      <c r="AY1632" s="8" t="s">
        <v>200</v>
      </c>
      <c r="AZ1632" s="7" t="s">
        <v>200</v>
      </c>
      <c r="BA1632" s="7" t="s">
        <v>200</v>
      </c>
      <c r="BB1632" s="7"/>
      <c r="BC1632" s="4" t="s">
        <v>200</v>
      </c>
      <c r="BD1632" s="8" t="s">
        <v>200</v>
      </c>
      <c r="BE1632" s="4" t="s">
        <v>200</v>
      </c>
      <c r="BF1632" s="8" t="s">
        <v>200</v>
      </c>
      <c r="BG1632" s="7" t="s">
        <v>200</v>
      </c>
      <c r="BH1632" s="7" t="s">
        <v>200</v>
      </c>
      <c r="BI1632" s="7"/>
      <c r="BJ1632" s="4"/>
      <c r="BK1632" s="8"/>
      <c r="BL1632" s="2" t="s">
        <v>200</v>
      </c>
      <c r="BM1632" s="7"/>
      <c r="BN1632" s="7"/>
      <c r="BO1632" s="4"/>
      <c r="BP1632" s="8"/>
      <c r="BQ1632" s="4"/>
      <c r="BR1632" s="8"/>
      <c r="BS1632" s="7"/>
      <c r="BT1632" s="7"/>
      <c r="BU1632" s="2" t="s">
        <v>210</v>
      </c>
      <c r="BV1632" s="2" t="s">
        <v>200</v>
      </c>
      <c r="BW1632" s="2" t="s">
        <v>200</v>
      </c>
      <c r="BX1632" s="2" t="s">
        <v>210</v>
      </c>
      <c r="BY1632" s="2" t="s">
        <v>211</v>
      </c>
      <c r="BZ1632" s="2" t="s">
        <v>212</v>
      </c>
      <c r="CA1632" s="2" t="s">
        <v>200</v>
      </c>
      <c r="CB1632" s="2" t="s">
        <v>200</v>
      </c>
      <c r="CC1632" s="2" t="s">
        <v>213</v>
      </c>
      <c r="CD1632" s="2" t="s">
        <v>200</v>
      </c>
      <c r="CE1632" s="4"/>
      <c r="CF1632" s="4"/>
      <c r="CG1632" s="4"/>
      <c r="CH1632" s="4"/>
      <c r="CI1632" s="4"/>
      <c r="CJ1632" s="4"/>
      <c r="CK1632" s="4"/>
      <c r="CL1632" s="4"/>
      <c r="CM1632" s="4"/>
      <c r="CN1632" s="4"/>
      <c r="CO1632" s="4"/>
      <c r="CP1632" s="4"/>
      <c r="CQ1632" s="4"/>
      <c r="CR1632" s="4"/>
      <c r="CS1632" s="4"/>
      <c r="CT1632" s="4"/>
      <c r="CU1632" s="4"/>
      <c r="CV1632" s="4"/>
      <c r="CW1632" s="4"/>
      <c r="CX1632" s="4"/>
      <c r="CY1632" s="4"/>
      <c r="CZ1632" s="4"/>
      <c r="DA1632" s="4"/>
      <c r="DB1632" s="4"/>
      <c r="DC1632" s="4"/>
      <c r="DD1632" s="4"/>
      <c r="DE1632" s="4"/>
      <c r="DF1632" s="4"/>
      <c r="DG1632" s="4"/>
      <c r="DH1632" s="4"/>
      <c r="DI1632" s="4"/>
      <c r="DJ1632" s="4"/>
      <c r="DK1632" s="4"/>
      <c r="DL1632" s="4"/>
      <c r="DM1632" s="4"/>
      <c r="DN1632" s="4"/>
      <c r="DO1632" s="4"/>
      <c r="DP1632" s="4"/>
      <c r="DQ1632" s="4"/>
      <c r="DR1632" s="4"/>
      <c r="DS1632" s="4"/>
      <c r="DT1632" s="4"/>
      <c r="DU1632" s="4"/>
      <c r="DV1632" s="4"/>
      <c r="DW1632" s="4"/>
      <c r="DX1632" s="4"/>
      <c r="DY1632" s="4"/>
      <c r="DZ1632" s="4"/>
      <c r="EA1632" s="4"/>
      <c r="EB1632" s="4"/>
      <c r="EC1632" s="4"/>
      <c r="ED1632" s="4"/>
      <c r="EE1632" s="4"/>
      <c r="EF1632" s="4"/>
      <c r="EG1632" s="4"/>
      <c r="EH1632" s="4"/>
      <c r="EI1632" s="4"/>
      <c r="EJ1632" s="4"/>
      <c r="EK1632" s="4"/>
      <c r="EL1632" s="4"/>
      <c r="EM1632" s="4"/>
      <c r="EN1632" s="4"/>
      <c r="EO1632" s="4"/>
      <c r="EP1632" s="4"/>
      <c r="EQ1632" s="4"/>
      <c r="ER1632" s="4"/>
      <c r="ES1632" s="4"/>
      <c r="ET1632" s="4"/>
      <c r="EU1632" s="4"/>
      <c r="EV1632" s="4"/>
      <c r="EW1632" s="4"/>
      <c r="EX1632" s="4"/>
      <c r="EY1632" s="4"/>
      <c r="EZ1632" s="4"/>
      <c r="FA1632" s="4"/>
      <c r="FB1632" s="4"/>
      <c r="FC1632" s="4"/>
      <c r="FD1632" s="4"/>
      <c r="FE1632" s="4"/>
      <c r="FF1632" s="4"/>
      <c r="FG1632" s="4"/>
      <c r="FH1632" s="4"/>
      <c r="FI1632" s="4"/>
      <c r="FJ1632" s="4">
        <v>92</v>
      </c>
      <c r="FK1632" s="4"/>
      <c r="FL1632" s="4"/>
      <c r="FM1632" s="4"/>
      <c r="FN1632" s="4"/>
      <c r="FO1632" s="4"/>
      <c r="FP1632" s="4"/>
      <c r="FQ1632" s="4"/>
      <c r="FR1632" s="4"/>
      <c r="FS1632" s="4">
        <v>124</v>
      </c>
      <c r="FT1632" s="4"/>
      <c r="FU1632" s="4"/>
      <c r="FV1632" s="4"/>
      <c r="FW1632" s="4"/>
      <c r="FX1632" s="4"/>
      <c r="FY1632" s="4"/>
      <c r="FZ1632" s="4"/>
      <c r="GA1632" s="4"/>
      <c r="GB1632" s="4"/>
      <c r="GC1632" s="4"/>
      <c r="GD1632" s="4"/>
      <c r="GE1632" s="4"/>
      <c r="GF1632" s="4"/>
      <c r="GG1632" s="4"/>
      <c r="GH1632" s="4"/>
    </row>
    <row r="1633">
      <c r="A1633" s="2" t="s">
        <v>8559</v>
      </c>
      <c r="B1633" s="2" t="s">
        <v>1099</v>
      </c>
      <c r="C1633" s="2" t="s">
        <v>607</v>
      </c>
      <c r="D1633" s="2" t="s">
        <v>1100</v>
      </c>
      <c r="E1633" s="2" t="s">
        <v>1101</v>
      </c>
      <c r="F1633" s="2" t="s">
        <v>8551</v>
      </c>
      <c r="G1633" s="2" t="s">
        <v>8551</v>
      </c>
      <c r="H1633" s="2" t="s">
        <v>8551</v>
      </c>
      <c r="I1633" s="2" t="s">
        <v>8552</v>
      </c>
      <c r="J1633" s="2" t="s">
        <v>8560</v>
      </c>
      <c r="K1633" s="2" t="s">
        <v>237</v>
      </c>
      <c r="L1633" s="3">
        <v>14.8</v>
      </c>
      <c r="M1633" s="3">
        <v>15.54</v>
      </c>
      <c r="N1633" s="3">
        <v>31.99</v>
      </c>
      <c r="O1633" s="2" t="s">
        <v>212</v>
      </c>
      <c r="P1633" s="2" t="s">
        <v>205</v>
      </c>
      <c r="Q1633" s="2" t="s">
        <v>206</v>
      </c>
      <c r="R1633" s="2" t="s">
        <v>200</v>
      </c>
      <c r="S1633" s="2" t="s">
        <v>200</v>
      </c>
      <c r="T1633" s="2" t="s">
        <v>312</v>
      </c>
      <c r="U1633" s="2" t="s">
        <v>270</v>
      </c>
      <c r="V1633" s="2" t="s">
        <v>208</v>
      </c>
      <c r="W1633" s="2" t="s">
        <v>241</v>
      </c>
      <c r="X1633" s="2" t="s">
        <v>200</v>
      </c>
      <c r="Y1633" s="2" t="s">
        <v>200</v>
      </c>
      <c r="Z1633" s="4"/>
      <c r="AA1633" s="4">
        <f>=ROUNDDOWN({0},0)</f>
      </c>
      <c r="AB1633" s="5"/>
      <c r="AC1633" s="2" t="s">
        <v>5688</v>
      </c>
      <c r="AD1633" s="4">
        <v>332</v>
      </c>
      <c r="AE1633" s="4">
        <v>696</v>
      </c>
      <c r="AF1633" s="6">
        <v>69</v>
      </c>
      <c r="AG1633" s="6"/>
      <c r="AH1633" s="7"/>
      <c r="AI1633" s="4"/>
      <c r="AJ1633" s="4">
        <f>=ROUNDDOWN({0},0)</f>
      </c>
      <c r="AK1633" s="5"/>
      <c r="AL1633" s="2" t="s">
        <v>200</v>
      </c>
      <c r="AM1633" s="4"/>
      <c r="AN1633" s="4"/>
      <c r="AO1633" s="7"/>
      <c r="AP1633" s="4"/>
      <c r="AQ1633" s="8"/>
      <c r="AR1633" s="4"/>
      <c r="AS1633" s="8"/>
      <c r="AT1633" s="7"/>
      <c r="AU1633" s="7"/>
      <c r="AV1633" s="4" t="s">
        <v>200</v>
      </c>
      <c r="AW1633" s="8" t="s">
        <v>200</v>
      </c>
      <c r="AX1633" s="4" t="s">
        <v>200</v>
      </c>
      <c r="AY1633" s="8" t="s">
        <v>200</v>
      </c>
      <c r="AZ1633" s="7" t="s">
        <v>200</v>
      </c>
      <c r="BA1633" s="7" t="s">
        <v>200</v>
      </c>
      <c r="BB1633" s="7"/>
      <c r="BC1633" s="4" t="s">
        <v>200</v>
      </c>
      <c r="BD1633" s="8" t="s">
        <v>200</v>
      </c>
      <c r="BE1633" s="4" t="s">
        <v>200</v>
      </c>
      <c r="BF1633" s="8" t="s">
        <v>200</v>
      </c>
      <c r="BG1633" s="7" t="s">
        <v>200</v>
      </c>
      <c r="BH1633" s="7" t="s">
        <v>200</v>
      </c>
      <c r="BI1633" s="7"/>
      <c r="BJ1633" s="4"/>
      <c r="BK1633" s="8"/>
      <c r="BL1633" s="2" t="s">
        <v>200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210</v>
      </c>
      <c r="BV1633" s="2" t="s">
        <v>200</v>
      </c>
      <c r="BW1633" s="2" t="s">
        <v>200</v>
      </c>
      <c r="BX1633" s="2" t="s">
        <v>210</v>
      </c>
      <c r="BY1633" s="2" t="s">
        <v>211</v>
      </c>
      <c r="BZ1633" s="2" t="s">
        <v>212</v>
      </c>
      <c r="CA1633" s="2" t="s">
        <v>200</v>
      </c>
      <c r="CB1633" s="2" t="s">
        <v>200</v>
      </c>
      <c r="CC1633" s="2" t="s">
        <v>213</v>
      </c>
      <c r="CD1633" s="2" t="s">
        <v>200</v>
      </c>
      <c r="CE1633" s="4"/>
      <c r="CF1633" s="4"/>
      <c r="CG1633" s="4"/>
      <c r="CH1633" s="4"/>
      <c r="CI1633" s="4"/>
      <c r="CJ1633" s="4"/>
      <c r="CK1633" s="4"/>
      <c r="CL1633" s="4"/>
      <c r="CM1633" s="4"/>
      <c r="CN1633" s="4"/>
      <c r="CO1633" s="4"/>
      <c r="CP1633" s="4"/>
      <c r="CQ1633" s="4"/>
      <c r="CR1633" s="4"/>
      <c r="CS1633" s="4"/>
      <c r="CT1633" s="4"/>
      <c r="CU1633" s="4"/>
      <c r="CV1633" s="4"/>
      <c r="CW1633" s="4"/>
      <c r="CX1633" s="4"/>
      <c r="CY1633" s="4"/>
      <c r="CZ1633" s="4"/>
      <c r="DA1633" s="4"/>
      <c r="DB1633" s="4"/>
      <c r="DC1633" s="4"/>
      <c r="DD1633" s="4"/>
      <c r="DE1633" s="4"/>
      <c r="DF1633" s="4"/>
      <c r="DG1633" s="4"/>
      <c r="DH1633" s="4"/>
      <c r="DI1633" s="4"/>
      <c r="DJ1633" s="4"/>
      <c r="DK1633" s="4"/>
      <c r="DL1633" s="4"/>
      <c r="DM1633" s="4"/>
      <c r="DN1633" s="4"/>
      <c r="DO1633" s="4"/>
      <c r="DP1633" s="4"/>
      <c r="DQ1633" s="4"/>
      <c r="DR1633" s="4"/>
      <c r="DS1633" s="4"/>
      <c r="DT1633" s="4"/>
      <c r="DU1633" s="4"/>
      <c r="DV1633" s="4"/>
      <c r="DW1633" s="4"/>
      <c r="DX1633" s="4"/>
      <c r="DY1633" s="4"/>
      <c r="DZ1633" s="4"/>
      <c r="EA1633" s="4"/>
      <c r="EB1633" s="4"/>
      <c r="EC1633" s="4"/>
      <c r="ED1633" s="4"/>
      <c r="EE1633" s="4"/>
      <c r="EF1633" s="4"/>
      <c r="EG1633" s="4"/>
      <c r="EH1633" s="4"/>
      <c r="EI1633" s="4"/>
      <c r="EJ1633" s="4"/>
      <c r="EK1633" s="4"/>
      <c r="EL1633" s="4"/>
      <c r="EM1633" s="4"/>
      <c r="EN1633" s="4"/>
      <c r="EO1633" s="4"/>
      <c r="EP1633" s="4"/>
      <c r="EQ1633" s="4"/>
      <c r="ER1633" s="4"/>
      <c r="ES1633" s="4"/>
      <c r="ET1633" s="4"/>
      <c r="EU1633" s="4"/>
      <c r="EV1633" s="4"/>
      <c r="EW1633" s="4"/>
      <c r="EX1633" s="4"/>
      <c r="EY1633" s="4"/>
      <c r="EZ1633" s="4"/>
      <c r="FA1633" s="4"/>
      <c r="FB1633" s="4"/>
      <c r="FC1633" s="4"/>
      <c r="FD1633" s="4"/>
      <c r="FE1633" s="4"/>
      <c r="FF1633" s="4"/>
      <c r="FG1633" s="4"/>
      <c r="FH1633" s="4"/>
      <c r="FI1633" s="4"/>
      <c r="FJ1633" s="4">
        <v>332</v>
      </c>
      <c r="FK1633" s="4"/>
      <c r="FL1633" s="4"/>
      <c r="FM1633" s="4"/>
      <c r="FN1633" s="4"/>
      <c r="FO1633" s="4"/>
      <c r="FP1633" s="4"/>
      <c r="FQ1633" s="4"/>
      <c r="FR1633" s="4"/>
      <c r="FS1633" s="4">
        <v>364</v>
      </c>
      <c r="FT1633" s="4"/>
      <c r="FU1633" s="4"/>
      <c r="FV1633" s="4"/>
      <c r="FW1633" s="4"/>
      <c r="FX1633" s="4"/>
      <c r="FY1633" s="4"/>
      <c r="FZ1633" s="4"/>
      <c r="GA1633" s="4"/>
      <c r="GB1633" s="4"/>
      <c r="GC1633" s="4"/>
      <c r="GD1633" s="4"/>
      <c r="GE1633" s="4"/>
      <c r="GF1633" s="4"/>
      <c r="GG1633" s="4"/>
      <c r="GH1633" s="4"/>
    </row>
    <row r="1634">
      <c r="A1634" s="2" t="s">
        <v>8561</v>
      </c>
      <c r="B1634" s="2" t="s">
        <v>1099</v>
      </c>
      <c r="C1634" s="2" t="s">
        <v>607</v>
      </c>
      <c r="D1634" s="2" t="s">
        <v>1100</v>
      </c>
      <c r="E1634" s="2" t="s">
        <v>1101</v>
      </c>
      <c r="F1634" s="2" t="s">
        <v>8551</v>
      </c>
      <c r="G1634" s="2" t="s">
        <v>8551</v>
      </c>
      <c r="H1634" s="2" t="s">
        <v>8551</v>
      </c>
      <c r="I1634" s="2" t="s">
        <v>8552</v>
      </c>
      <c r="J1634" s="2" t="s">
        <v>5836</v>
      </c>
      <c r="K1634" s="2" t="s">
        <v>387</v>
      </c>
      <c r="L1634" s="3">
        <v>12</v>
      </c>
      <c r="M1634" s="3">
        <v>12.6</v>
      </c>
      <c r="N1634" s="3">
        <v>25.99</v>
      </c>
      <c r="O1634" s="2" t="s">
        <v>212</v>
      </c>
      <c r="P1634" s="2" t="s">
        <v>205</v>
      </c>
      <c r="Q1634" s="2" t="s">
        <v>206</v>
      </c>
      <c r="R1634" s="2" t="s">
        <v>200</v>
      </c>
      <c r="S1634" s="2" t="s">
        <v>200</v>
      </c>
      <c r="T1634" s="2" t="s">
        <v>312</v>
      </c>
      <c r="U1634" s="2" t="s">
        <v>270</v>
      </c>
      <c r="V1634" s="2" t="s">
        <v>208</v>
      </c>
      <c r="W1634" s="2" t="s">
        <v>241</v>
      </c>
      <c r="X1634" s="2" t="s">
        <v>200</v>
      </c>
      <c r="Y1634" s="2" t="s">
        <v>200</v>
      </c>
      <c r="Z1634" s="4"/>
      <c r="AA1634" s="4">
        <f>=ROUNDDOWN({0},0)</f>
      </c>
      <c r="AB1634" s="5"/>
      <c r="AC1634" s="2" t="s">
        <v>5688</v>
      </c>
      <c r="AD1634" s="4">
        <v>88</v>
      </c>
      <c r="AE1634" s="4">
        <v>208</v>
      </c>
      <c r="AF1634" s="6">
        <v>69</v>
      </c>
      <c r="AG1634" s="6"/>
      <c r="AH1634" s="7"/>
      <c r="AI1634" s="4"/>
      <c r="AJ1634" s="4">
        <f>=ROUNDDOWN({0},0)</f>
      </c>
      <c r="AK1634" s="5"/>
      <c r="AL1634" s="2" t="s">
        <v>200</v>
      </c>
      <c r="AM1634" s="4"/>
      <c r="AN1634" s="4"/>
      <c r="AO1634" s="7"/>
      <c r="AP1634" s="4"/>
      <c r="AQ1634" s="8"/>
      <c r="AR1634" s="4"/>
      <c r="AS1634" s="8"/>
      <c r="AT1634" s="7"/>
      <c r="AU1634" s="7"/>
      <c r="AV1634" s="4" t="s">
        <v>200</v>
      </c>
      <c r="AW1634" s="8" t="s">
        <v>200</v>
      </c>
      <c r="AX1634" s="4" t="s">
        <v>200</v>
      </c>
      <c r="AY1634" s="8" t="s">
        <v>200</v>
      </c>
      <c r="AZ1634" s="7" t="s">
        <v>200</v>
      </c>
      <c r="BA1634" s="7" t="s">
        <v>200</v>
      </c>
      <c r="BB1634" s="7"/>
      <c r="BC1634" s="4" t="s">
        <v>200</v>
      </c>
      <c r="BD1634" s="8" t="s">
        <v>200</v>
      </c>
      <c r="BE1634" s="4" t="s">
        <v>200</v>
      </c>
      <c r="BF1634" s="8" t="s">
        <v>200</v>
      </c>
      <c r="BG1634" s="7" t="s">
        <v>200</v>
      </c>
      <c r="BH1634" s="7" t="s">
        <v>200</v>
      </c>
      <c r="BI1634" s="7"/>
      <c r="BJ1634" s="4"/>
      <c r="BK1634" s="8"/>
      <c r="BL1634" s="2" t="s">
        <v>200</v>
      </c>
      <c r="BM1634" s="7"/>
      <c r="BN1634" s="7"/>
      <c r="BO1634" s="4"/>
      <c r="BP1634" s="8"/>
      <c r="BQ1634" s="4"/>
      <c r="BR1634" s="8"/>
      <c r="BS1634" s="7"/>
      <c r="BT1634" s="7"/>
      <c r="BU1634" s="2" t="s">
        <v>210</v>
      </c>
      <c r="BV1634" s="2" t="s">
        <v>200</v>
      </c>
      <c r="BW1634" s="2" t="s">
        <v>200</v>
      </c>
      <c r="BX1634" s="2" t="s">
        <v>210</v>
      </c>
      <c r="BY1634" s="2" t="s">
        <v>211</v>
      </c>
      <c r="BZ1634" s="2" t="s">
        <v>212</v>
      </c>
      <c r="CA1634" s="2" t="s">
        <v>200</v>
      </c>
      <c r="CB1634" s="2" t="s">
        <v>200</v>
      </c>
      <c r="CC1634" s="2" t="s">
        <v>213</v>
      </c>
      <c r="CD1634" s="2" t="s">
        <v>200</v>
      </c>
      <c r="CE1634" s="4"/>
      <c r="CF1634" s="4"/>
      <c r="CG1634" s="4"/>
      <c r="CH1634" s="4"/>
      <c r="CI1634" s="4"/>
      <c r="CJ1634" s="4"/>
      <c r="CK1634" s="4"/>
      <c r="CL1634" s="4"/>
      <c r="CM1634" s="4"/>
      <c r="CN1634" s="4"/>
      <c r="CO1634" s="4"/>
      <c r="CP1634" s="4"/>
      <c r="CQ1634" s="4"/>
      <c r="CR1634" s="4"/>
      <c r="CS1634" s="4"/>
      <c r="CT1634" s="4"/>
      <c r="CU1634" s="4"/>
      <c r="CV1634" s="4"/>
      <c r="CW1634" s="4"/>
      <c r="CX1634" s="4"/>
      <c r="CY1634" s="4"/>
      <c r="CZ1634" s="4"/>
      <c r="DA1634" s="4"/>
      <c r="DB1634" s="4"/>
      <c r="DC1634" s="4"/>
      <c r="DD1634" s="4"/>
      <c r="DE1634" s="4"/>
      <c r="DF1634" s="4"/>
      <c r="DG1634" s="4"/>
      <c r="DH1634" s="4"/>
      <c r="DI1634" s="4"/>
      <c r="DJ1634" s="4"/>
      <c r="DK1634" s="4"/>
      <c r="DL1634" s="4"/>
      <c r="DM1634" s="4"/>
      <c r="DN1634" s="4"/>
      <c r="DO1634" s="4"/>
      <c r="DP1634" s="4"/>
      <c r="DQ1634" s="4"/>
      <c r="DR1634" s="4"/>
      <c r="DS1634" s="4"/>
      <c r="DT1634" s="4"/>
      <c r="DU1634" s="4"/>
      <c r="DV1634" s="4"/>
      <c r="DW1634" s="4"/>
      <c r="DX1634" s="4"/>
      <c r="DY1634" s="4"/>
      <c r="DZ1634" s="4"/>
      <c r="EA1634" s="4"/>
      <c r="EB1634" s="4"/>
      <c r="EC1634" s="4"/>
      <c r="ED1634" s="4"/>
      <c r="EE1634" s="4"/>
      <c r="EF1634" s="4"/>
      <c r="EG1634" s="4"/>
      <c r="EH1634" s="4"/>
      <c r="EI1634" s="4"/>
      <c r="EJ1634" s="4"/>
      <c r="EK1634" s="4"/>
      <c r="EL1634" s="4"/>
      <c r="EM1634" s="4"/>
      <c r="EN1634" s="4"/>
      <c r="EO1634" s="4"/>
      <c r="EP1634" s="4"/>
      <c r="EQ1634" s="4"/>
      <c r="ER1634" s="4"/>
      <c r="ES1634" s="4"/>
      <c r="ET1634" s="4"/>
      <c r="EU1634" s="4"/>
      <c r="EV1634" s="4"/>
      <c r="EW1634" s="4"/>
      <c r="EX1634" s="4"/>
      <c r="EY1634" s="4"/>
      <c r="EZ1634" s="4"/>
      <c r="FA1634" s="4"/>
      <c r="FB1634" s="4"/>
      <c r="FC1634" s="4"/>
      <c r="FD1634" s="4"/>
      <c r="FE1634" s="4"/>
      <c r="FF1634" s="4"/>
      <c r="FG1634" s="4"/>
      <c r="FH1634" s="4"/>
      <c r="FI1634" s="4"/>
      <c r="FJ1634" s="4">
        <v>88</v>
      </c>
      <c r="FK1634" s="4"/>
      <c r="FL1634" s="4"/>
      <c r="FM1634" s="4"/>
      <c r="FN1634" s="4"/>
      <c r="FO1634" s="4"/>
      <c r="FP1634" s="4"/>
      <c r="FQ1634" s="4"/>
      <c r="FR1634" s="4"/>
      <c r="FS1634" s="4">
        <v>120</v>
      </c>
      <c r="FT1634" s="4"/>
      <c r="FU1634" s="4"/>
      <c r="FV1634" s="4"/>
      <c r="FW1634" s="4"/>
      <c r="FX1634" s="4"/>
      <c r="FY1634" s="4"/>
      <c r="FZ1634" s="4"/>
      <c r="GA1634" s="4"/>
      <c r="GB1634" s="4"/>
      <c r="GC1634" s="4"/>
      <c r="GD1634" s="4"/>
      <c r="GE1634" s="4"/>
      <c r="GF1634" s="4"/>
      <c r="GG1634" s="4"/>
      <c r="GH1634" s="4"/>
    </row>
    <row r="1635">
      <c r="A1635" s="2" t="s">
        <v>8562</v>
      </c>
      <c r="B1635" s="2" t="s">
        <v>1099</v>
      </c>
      <c r="C1635" s="2" t="s">
        <v>607</v>
      </c>
      <c r="D1635" s="2" t="s">
        <v>1100</v>
      </c>
      <c r="E1635" s="2" t="s">
        <v>1101</v>
      </c>
      <c r="F1635" s="2" t="s">
        <v>8551</v>
      </c>
      <c r="G1635" s="2" t="s">
        <v>8551</v>
      </c>
      <c r="H1635" s="2" t="s">
        <v>8551</v>
      </c>
      <c r="I1635" s="2" t="s">
        <v>8552</v>
      </c>
      <c r="J1635" s="2" t="s">
        <v>1103</v>
      </c>
      <c r="K1635" s="2" t="s">
        <v>387</v>
      </c>
      <c r="L1635" s="3">
        <v>21.3</v>
      </c>
      <c r="M1635" s="3">
        <v>22.37</v>
      </c>
      <c r="N1635" s="3">
        <v>45.99</v>
      </c>
      <c r="O1635" s="2" t="s">
        <v>212</v>
      </c>
      <c r="P1635" s="2" t="s">
        <v>205</v>
      </c>
      <c r="Q1635" s="2" t="s">
        <v>206</v>
      </c>
      <c r="R1635" s="2" t="s">
        <v>200</v>
      </c>
      <c r="S1635" s="2" t="s">
        <v>200</v>
      </c>
      <c r="T1635" s="2" t="s">
        <v>312</v>
      </c>
      <c r="U1635" s="2" t="s">
        <v>270</v>
      </c>
      <c r="V1635" s="2" t="s">
        <v>208</v>
      </c>
      <c r="W1635" s="2" t="s">
        <v>241</v>
      </c>
      <c r="X1635" s="2" t="s">
        <v>200</v>
      </c>
      <c r="Y1635" s="2" t="s">
        <v>200</v>
      </c>
      <c r="Z1635" s="4"/>
      <c r="AA1635" s="4">
        <f>=ROUNDDOWN({0},0)</f>
      </c>
      <c r="AB1635" s="5"/>
      <c r="AC1635" s="2" t="s">
        <v>5688</v>
      </c>
      <c r="AD1635" s="4">
        <v>76</v>
      </c>
      <c r="AE1635" s="4">
        <v>184</v>
      </c>
      <c r="AF1635" s="6">
        <v>69</v>
      </c>
      <c r="AG1635" s="6"/>
      <c r="AH1635" s="7"/>
      <c r="AI1635" s="4"/>
      <c r="AJ1635" s="4">
        <f>=ROUNDDOWN({0},0)</f>
      </c>
      <c r="AK1635" s="5"/>
      <c r="AL1635" s="2" t="s">
        <v>200</v>
      </c>
      <c r="AM1635" s="4"/>
      <c r="AN1635" s="4"/>
      <c r="AO1635" s="7"/>
      <c r="AP1635" s="4"/>
      <c r="AQ1635" s="8"/>
      <c r="AR1635" s="4"/>
      <c r="AS1635" s="8"/>
      <c r="AT1635" s="7"/>
      <c r="AU1635" s="7"/>
      <c r="AV1635" s="4" t="s">
        <v>200</v>
      </c>
      <c r="AW1635" s="8" t="s">
        <v>200</v>
      </c>
      <c r="AX1635" s="4" t="s">
        <v>200</v>
      </c>
      <c r="AY1635" s="8" t="s">
        <v>200</v>
      </c>
      <c r="AZ1635" s="7" t="s">
        <v>200</v>
      </c>
      <c r="BA1635" s="7" t="s">
        <v>200</v>
      </c>
      <c r="BB1635" s="7"/>
      <c r="BC1635" s="4" t="s">
        <v>200</v>
      </c>
      <c r="BD1635" s="8" t="s">
        <v>200</v>
      </c>
      <c r="BE1635" s="4" t="s">
        <v>200</v>
      </c>
      <c r="BF1635" s="8" t="s">
        <v>200</v>
      </c>
      <c r="BG1635" s="7" t="s">
        <v>200</v>
      </c>
      <c r="BH1635" s="7" t="s">
        <v>200</v>
      </c>
      <c r="BI1635" s="7"/>
      <c r="BJ1635" s="4"/>
      <c r="BK1635" s="8"/>
      <c r="BL1635" s="2" t="s">
        <v>200</v>
      </c>
      <c r="BM1635" s="7"/>
      <c r="BN1635" s="7"/>
      <c r="BO1635" s="4"/>
      <c r="BP1635" s="8"/>
      <c r="BQ1635" s="4"/>
      <c r="BR1635" s="8"/>
      <c r="BS1635" s="7"/>
      <c r="BT1635" s="7"/>
      <c r="BU1635" s="2" t="s">
        <v>210</v>
      </c>
      <c r="BV1635" s="2" t="s">
        <v>200</v>
      </c>
      <c r="BW1635" s="2" t="s">
        <v>200</v>
      </c>
      <c r="BX1635" s="2" t="s">
        <v>210</v>
      </c>
      <c r="BY1635" s="2" t="s">
        <v>211</v>
      </c>
      <c r="BZ1635" s="2" t="s">
        <v>212</v>
      </c>
      <c r="CA1635" s="2" t="s">
        <v>200</v>
      </c>
      <c r="CB1635" s="2" t="s">
        <v>200</v>
      </c>
      <c r="CC1635" s="2" t="s">
        <v>213</v>
      </c>
      <c r="CD1635" s="2" t="s">
        <v>200</v>
      </c>
      <c r="CE1635" s="4"/>
      <c r="CF1635" s="4"/>
      <c r="CG1635" s="4"/>
      <c r="CH1635" s="4"/>
      <c r="CI1635" s="4"/>
      <c r="CJ1635" s="4"/>
      <c r="CK1635" s="4"/>
      <c r="CL1635" s="4"/>
      <c r="CM1635" s="4"/>
      <c r="CN1635" s="4"/>
      <c r="CO1635" s="4"/>
      <c r="CP1635" s="4"/>
      <c r="CQ1635" s="4"/>
      <c r="CR1635" s="4"/>
      <c r="CS1635" s="4"/>
      <c r="CT1635" s="4"/>
      <c r="CU1635" s="4"/>
      <c r="CV1635" s="4"/>
      <c r="CW1635" s="4"/>
      <c r="CX1635" s="4"/>
      <c r="CY1635" s="4"/>
      <c r="CZ1635" s="4"/>
      <c r="DA1635" s="4"/>
      <c r="DB1635" s="4"/>
      <c r="DC1635" s="4"/>
      <c r="DD1635" s="4"/>
      <c r="DE1635" s="4"/>
      <c r="DF1635" s="4"/>
      <c r="DG1635" s="4"/>
      <c r="DH1635" s="4"/>
      <c r="DI1635" s="4"/>
      <c r="DJ1635" s="4"/>
      <c r="DK1635" s="4"/>
      <c r="DL1635" s="4"/>
      <c r="DM1635" s="4"/>
      <c r="DN1635" s="4"/>
      <c r="DO1635" s="4"/>
      <c r="DP1635" s="4"/>
      <c r="DQ1635" s="4"/>
      <c r="DR1635" s="4"/>
      <c r="DS1635" s="4"/>
      <c r="DT1635" s="4"/>
      <c r="DU1635" s="4"/>
      <c r="DV1635" s="4"/>
      <c r="DW1635" s="4"/>
      <c r="DX1635" s="4"/>
      <c r="DY1635" s="4"/>
      <c r="DZ1635" s="4"/>
      <c r="EA1635" s="4"/>
      <c r="EB1635" s="4"/>
      <c r="EC1635" s="4"/>
      <c r="ED1635" s="4"/>
      <c r="EE1635" s="4"/>
      <c r="EF1635" s="4"/>
      <c r="EG1635" s="4"/>
      <c r="EH1635" s="4"/>
      <c r="EI1635" s="4"/>
      <c r="EJ1635" s="4"/>
      <c r="EK1635" s="4"/>
      <c r="EL1635" s="4"/>
      <c r="EM1635" s="4"/>
      <c r="EN1635" s="4"/>
      <c r="EO1635" s="4"/>
      <c r="EP1635" s="4"/>
      <c r="EQ1635" s="4"/>
      <c r="ER1635" s="4"/>
      <c r="ES1635" s="4"/>
      <c r="ET1635" s="4"/>
      <c r="EU1635" s="4"/>
      <c r="EV1635" s="4"/>
      <c r="EW1635" s="4"/>
      <c r="EX1635" s="4"/>
      <c r="EY1635" s="4"/>
      <c r="EZ1635" s="4"/>
      <c r="FA1635" s="4"/>
      <c r="FB1635" s="4"/>
      <c r="FC1635" s="4"/>
      <c r="FD1635" s="4"/>
      <c r="FE1635" s="4"/>
      <c r="FF1635" s="4"/>
      <c r="FG1635" s="4"/>
      <c r="FH1635" s="4"/>
      <c r="FI1635" s="4"/>
      <c r="FJ1635" s="4">
        <v>76</v>
      </c>
      <c r="FK1635" s="4"/>
      <c r="FL1635" s="4"/>
      <c r="FM1635" s="4"/>
      <c r="FN1635" s="4"/>
      <c r="FO1635" s="4"/>
      <c r="FP1635" s="4"/>
      <c r="FQ1635" s="4"/>
      <c r="FR1635" s="4"/>
      <c r="FS1635" s="4">
        <v>108</v>
      </c>
      <c r="FT1635" s="4"/>
      <c r="FU1635" s="4"/>
      <c r="FV1635" s="4"/>
      <c r="FW1635" s="4"/>
      <c r="FX1635" s="4"/>
      <c r="FY1635" s="4"/>
      <c r="FZ1635" s="4"/>
      <c r="GA1635" s="4"/>
      <c r="GB1635" s="4"/>
      <c r="GC1635" s="4"/>
      <c r="GD1635" s="4"/>
      <c r="GE1635" s="4"/>
      <c r="GF1635" s="4"/>
      <c r="GG1635" s="4"/>
      <c r="GH1635" s="4"/>
    </row>
    <row r="1636">
      <c r="A1636" s="2" t="s">
        <v>8563</v>
      </c>
      <c r="B1636" s="2" t="s">
        <v>1099</v>
      </c>
      <c r="C1636" s="2" t="s">
        <v>607</v>
      </c>
      <c r="D1636" s="2" t="s">
        <v>1100</v>
      </c>
      <c r="E1636" s="2" t="s">
        <v>1101</v>
      </c>
      <c r="F1636" s="2" t="s">
        <v>8551</v>
      </c>
      <c r="G1636" s="2" t="s">
        <v>8551</v>
      </c>
      <c r="H1636" s="2" t="s">
        <v>8551</v>
      </c>
      <c r="I1636" s="2" t="s">
        <v>8552</v>
      </c>
      <c r="J1636" s="2" t="s">
        <v>8555</v>
      </c>
      <c r="K1636" s="2" t="s">
        <v>387</v>
      </c>
      <c r="L1636" s="3">
        <v>18.5</v>
      </c>
      <c r="M1636" s="3">
        <v>19.43</v>
      </c>
      <c r="N1636" s="3">
        <v>39.99</v>
      </c>
      <c r="O1636" s="2" t="s">
        <v>212</v>
      </c>
      <c r="P1636" s="2" t="s">
        <v>205</v>
      </c>
      <c r="Q1636" s="2" t="s">
        <v>206</v>
      </c>
      <c r="R1636" s="2" t="s">
        <v>200</v>
      </c>
      <c r="S1636" s="2" t="s">
        <v>200</v>
      </c>
      <c r="T1636" s="2" t="s">
        <v>312</v>
      </c>
      <c r="U1636" s="2" t="s">
        <v>270</v>
      </c>
      <c r="V1636" s="2" t="s">
        <v>208</v>
      </c>
      <c r="W1636" s="2" t="s">
        <v>241</v>
      </c>
      <c r="X1636" s="2" t="s">
        <v>200</v>
      </c>
      <c r="Y1636" s="2" t="s">
        <v>200</v>
      </c>
      <c r="Z1636" s="4"/>
      <c r="AA1636" s="4">
        <f>=ROUNDDOWN({0},0)</f>
      </c>
      <c r="AB1636" s="5"/>
      <c r="AC1636" s="2" t="s">
        <v>5688</v>
      </c>
      <c r="AD1636" s="4">
        <v>60</v>
      </c>
      <c r="AE1636" s="4">
        <v>152</v>
      </c>
      <c r="AF1636" s="6">
        <v>69</v>
      </c>
      <c r="AG1636" s="6"/>
      <c r="AH1636" s="7"/>
      <c r="AI1636" s="4"/>
      <c r="AJ1636" s="4">
        <f>=ROUNDDOWN({0},0)</f>
      </c>
      <c r="AK1636" s="5"/>
      <c r="AL1636" s="2" t="s">
        <v>200</v>
      </c>
      <c r="AM1636" s="4"/>
      <c r="AN1636" s="4"/>
      <c r="AO1636" s="7"/>
      <c r="AP1636" s="4"/>
      <c r="AQ1636" s="8"/>
      <c r="AR1636" s="4"/>
      <c r="AS1636" s="8"/>
      <c r="AT1636" s="7"/>
      <c r="AU1636" s="7"/>
      <c r="AV1636" s="4" t="s">
        <v>200</v>
      </c>
      <c r="AW1636" s="8" t="s">
        <v>200</v>
      </c>
      <c r="AX1636" s="4" t="s">
        <v>200</v>
      </c>
      <c r="AY1636" s="8" t="s">
        <v>200</v>
      </c>
      <c r="AZ1636" s="7" t="s">
        <v>200</v>
      </c>
      <c r="BA1636" s="7" t="s">
        <v>200</v>
      </c>
      <c r="BB1636" s="7"/>
      <c r="BC1636" s="4" t="s">
        <v>200</v>
      </c>
      <c r="BD1636" s="8" t="s">
        <v>200</v>
      </c>
      <c r="BE1636" s="4" t="s">
        <v>200</v>
      </c>
      <c r="BF1636" s="8" t="s">
        <v>200</v>
      </c>
      <c r="BG1636" s="7" t="s">
        <v>200</v>
      </c>
      <c r="BH1636" s="7" t="s">
        <v>200</v>
      </c>
      <c r="BI1636" s="7"/>
      <c r="BJ1636" s="4"/>
      <c r="BK1636" s="8"/>
      <c r="BL1636" s="2" t="s">
        <v>200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210</v>
      </c>
      <c r="BV1636" s="2" t="s">
        <v>200</v>
      </c>
      <c r="BW1636" s="2" t="s">
        <v>200</v>
      </c>
      <c r="BX1636" s="2" t="s">
        <v>210</v>
      </c>
      <c r="BY1636" s="2" t="s">
        <v>211</v>
      </c>
      <c r="BZ1636" s="2" t="s">
        <v>212</v>
      </c>
      <c r="CA1636" s="2" t="s">
        <v>200</v>
      </c>
      <c r="CB1636" s="2" t="s">
        <v>200</v>
      </c>
      <c r="CC1636" s="2" t="s">
        <v>213</v>
      </c>
      <c r="CD1636" s="2" t="s">
        <v>200</v>
      </c>
      <c r="CE1636" s="4"/>
      <c r="CF1636" s="4"/>
      <c r="CG1636" s="4"/>
      <c r="CH1636" s="4"/>
      <c r="CI1636" s="4"/>
      <c r="CJ1636" s="4"/>
      <c r="CK1636" s="4"/>
      <c r="CL1636" s="4"/>
      <c r="CM1636" s="4"/>
      <c r="CN1636" s="4"/>
      <c r="CO1636" s="4"/>
      <c r="CP1636" s="4"/>
      <c r="CQ1636" s="4"/>
      <c r="CR1636" s="4"/>
      <c r="CS1636" s="4"/>
      <c r="CT1636" s="4"/>
      <c r="CU1636" s="4"/>
      <c r="CV1636" s="4"/>
      <c r="CW1636" s="4"/>
      <c r="CX1636" s="4"/>
      <c r="CY1636" s="4"/>
      <c r="CZ1636" s="4"/>
      <c r="DA1636" s="4"/>
      <c r="DB1636" s="4"/>
      <c r="DC1636" s="4"/>
      <c r="DD1636" s="4"/>
      <c r="DE1636" s="4"/>
      <c r="DF1636" s="4"/>
      <c r="DG1636" s="4"/>
      <c r="DH1636" s="4"/>
      <c r="DI1636" s="4"/>
      <c r="DJ1636" s="4"/>
      <c r="DK1636" s="4"/>
      <c r="DL1636" s="4"/>
      <c r="DM1636" s="4"/>
      <c r="DN1636" s="4"/>
      <c r="DO1636" s="4"/>
      <c r="DP1636" s="4"/>
      <c r="DQ1636" s="4"/>
      <c r="DR1636" s="4"/>
      <c r="DS1636" s="4"/>
      <c r="DT1636" s="4"/>
      <c r="DU1636" s="4"/>
      <c r="DV1636" s="4"/>
      <c r="DW1636" s="4"/>
      <c r="DX1636" s="4"/>
      <c r="DY1636" s="4"/>
      <c r="DZ1636" s="4"/>
      <c r="EA1636" s="4"/>
      <c r="EB1636" s="4"/>
      <c r="EC1636" s="4"/>
      <c r="ED1636" s="4"/>
      <c r="EE1636" s="4"/>
      <c r="EF1636" s="4"/>
      <c r="EG1636" s="4"/>
      <c r="EH1636" s="4"/>
      <c r="EI1636" s="4"/>
      <c r="EJ1636" s="4"/>
      <c r="EK1636" s="4"/>
      <c r="EL1636" s="4"/>
      <c r="EM1636" s="4"/>
      <c r="EN1636" s="4"/>
      <c r="EO1636" s="4"/>
      <c r="EP1636" s="4"/>
      <c r="EQ1636" s="4"/>
      <c r="ER1636" s="4"/>
      <c r="ES1636" s="4"/>
      <c r="ET1636" s="4"/>
      <c r="EU1636" s="4"/>
      <c r="EV1636" s="4"/>
      <c r="EW1636" s="4"/>
      <c r="EX1636" s="4"/>
      <c r="EY1636" s="4"/>
      <c r="EZ1636" s="4"/>
      <c r="FA1636" s="4"/>
      <c r="FB1636" s="4"/>
      <c r="FC1636" s="4"/>
      <c r="FD1636" s="4"/>
      <c r="FE1636" s="4"/>
      <c r="FF1636" s="4"/>
      <c r="FG1636" s="4"/>
      <c r="FH1636" s="4"/>
      <c r="FI1636" s="4"/>
      <c r="FJ1636" s="4">
        <v>60</v>
      </c>
      <c r="FK1636" s="4"/>
      <c r="FL1636" s="4"/>
      <c r="FM1636" s="4"/>
      <c r="FN1636" s="4"/>
      <c r="FO1636" s="4"/>
      <c r="FP1636" s="4"/>
      <c r="FQ1636" s="4"/>
      <c r="FR1636" s="4"/>
      <c r="FS1636" s="4">
        <v>92</v>
      </c>
      <c r="FT1636" s="4"/>
      <c r="FU1636" s="4"/>
      <c r="FV1636" s="4"/>
      <c r="FW1636" s="4"/>
      <c r="FX1636" s="4"/>
      <c r="FY1636" s="4"/>
      <c r="FZ1636" s="4"/>
      <c r="GA1636" s="4"/>
      <c r="GB1636" s="4"/>
      <c r="GC1636" s="4"/>
      <c r="GD1636" s="4"/>
      <c r="GE1636" s="4"/>
      <c r="GF1636" s="4"/>
      <c r="GG1636" s="4"/>
      <c r="GH1636" s="4"/>
    </row>
    <row r="1637">
      <c r="A1637" s="2" t="s">
        <v>8564</v>
      </c>
      <c r="B1637" s="2" t="s">
        <v>1099</v>
      </c>
      <c r="C1637" s="2" t="s">
        <v>607</v>
      </c>
      <c r="D1637" s="2" t="s">
        <v>1100</v>
      </c>
      <c r="E1637" s="2" t="s">
        <v>1101</v>
      </c>
      <c r="F1637" s="2" t="s">
        <v>8551</v>
      </c>
      <c r="G1637" s="2" t="s">
        <v>8551</v>
      </c>
      <c r="H1637" s="2" t="s">
        <v>8551</v>
      </c>
      <c r="I1637" s="2" t="s">
        <v>8552</v>
      </c>
      <c r="J1637" s="2" t="s">
        <v>1110</v>
      </c>
      <c r="K1637" s="2" t="s">
        <v>387</v>
      </c>
      <c r="L1637" s="3">
        <v>27</v>
      </c>
      <c r="M1637" s="3">
        <v>28.35</v>
      </c>
      <c r="N1637" s="3">
        <v>56.99</v>
      </c>
      <c r="O1637" s="2" t="s">
        <v>212</v>
      </c>
      <c r="P1637" s="2" t="s">
        <v>205</v>
      </c>
      <c r="Q1637" s="2" t="s">
        <v>206</v>
      </c>
      <c r="R1637" s="2" t="s">
        <v>200</v>
      </c>
      <c r="S1637" s="2" t="s">
        <v>200</v>
      </c>
      <c r="T1637" s="2" t="s">
        <v>312</v>
      </c>
      <c r="U1637" s="2" t="s">
        <v>270</v>
      </c>
      <c r="V1637" s="2" t="s">
        <v>208</v>
      </c>
      <c r="W1637" s="2" t="s">
        <v>241</v>
      </c>
      <c r="X1637" s="2" t="s">
        <v>200</v>
      </c>
      <c r="Y1637" s="2" t="s">
        <v>200</v>
      </c>
      <c r="Z1637" s="4"/>
      <c r="AA1637" s="4">
        <f>=ROUNDDOWN({0},0)</f>
      </c>
      <c r="AB1637" s="5"/>
      <c r="AC1637" s="2" t="s">
        <v>5688</v>
      </c>
      <c r="AD1637" s="4">
        <v>36</v>
      </c>
      <c r="AE1637" s="4">
        <v>104</v>
      </c>
      <c r="AF1637" s="6">
        <v>69</v>
      </c>
      <c r="AG1637" s="6"/>
      <c r="AH1637" s="7"/>
      <c r="AI1637" s="4"/>
      <c r="AJ1637" s="4">
        <f>=ROUNDDOWN({0},0)</f>
      </c>
      <c r="AK1637" s="5"/>
      <c r="AL1637" s="2" t="s">
        <v>200</v>
      </c>
      <c r="AM1637" s="4"/>
      <c r="AN1637" s="4"/>
      <c r="AO1637" s="7"/>
      <c r="AP1637" s="4"/>
      <c r="AQ1637" s="8"/>
      <c r="AR1637" s="4"/>
      <c r="AS1637" s="8"/>
      <c r="AT1637" s="7"/>
      <c r="AU1637" s="7"/>
      <c r="AV1637" s="4" t="s">
        <v>200</v>
      </c>
      <c r="AW1637" s="8" t="s">
        <v>200</v>
      </c>
      <c r="AX1637" s="4" t="s">
        <v>200</v>
      </c>
      <c r="AY1637" s="8" t="s">
        <v>200</v>
      </c>
      <c r="AZ1637" s="7" t="s">
        <v>200</v>
      </c>
      <c r="BA1637" s="7" t="s">
        <v>200</v>
      </c>
      <c r="BB1637" s="7"/>
      <c r="BC1637" s="4" t="s">
        <v>200</v>
      </c>
      <c r="BD1637" s="8" t="s">
        <v>200</v>
      </c>
      <c r="BE1637" s="4" t="s">
        <v>200</v>
      </c>
      <c r="BF1637" s="8" t="s">
        <v>200</v>
      </c>
      <c r="BG1637" s="7" t="s">
        <v>200</v>
      </c>
      <c r="BH1637" s="7" t="s">
        <v>200</v>
      </c>
      <c r="BI1637" s="7"/>
      <c r="BJ1637" s="4"/>
      <c r="BK1637" s="8"/>
      <c r="BL1637" s="2" t="s">
        <v>200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210</v>
      </c>
      <c r="BV1637" s="2" t="s">
        <v>200</v>
      </c>
      <c r="BW1637" s="2" t="s">
        <v>200</v>
      </c>
      <c r="BX1637" s="2" t="s">
        <v>210</v>
      </c>
      <c r="BY1637" s="2" t="s">
        <v>211</v>
      </c>
      <c r="BZ1637" s="2" t="s">
        <v>212</v>
      </c>
      <c r="CA1637" s="2" t="s">
        <v>200</v>
      </c>
      <c r="CB1637" s="2" t="s">
        <v>200</v>
      </c>
      <c r="CC1637" s="2" t="s">
        <v>213</v>
      </c>
      <c r="CD1637" s="2" t="s">
        <v>200</v>
      </c>
      <c r="CE1637" s="4"/>
      <c r="CF1637" s="4"/>
      <c r="CG1637" s="4"/>
      <c r="CH1637" s="4"/>
      <c r="CI1637" s="4"/>
      <c r="CJ1637" s="4"/>
      <c r="CK1637" s="4"/>
      <c r="CL1637" s="4"/>
      <c r="CM1637" s="4"/>
      <c r="CN1637" s="4"/>
      <c r="CO1637" s="4"/>
      <c r="CP1637" s="4"/>
      <c r="CQ1637" s="4"/>
      <c r="CR1637" s="4"/>
      <c r="CS1637" s="4"/>
      <c r="CT1637" s="4"/>
      <c r="CU1637" s="4"/>
      <c r="CV1637" s="4"/>
      <c r="CW1637" s="4"/>
      <c r="CX1637" s="4"/>
      <c r="CY1637" s="4"/>
      <c r="CZ1637" s="4"/>
      <c r="DA1637" s="4"/>
      <c r="DB1637" s="4"/>
      <c r="DC1637" s="4"/>
      <c r="DD1637" s="4"/>
      <c r="DE1637" s="4"/>
      <c r="DF1637" s="4"/>
      <c r="DG1637" s="4"/>
      <c r="DH1637" s="4"/>
      <c r="DI1637" s="4"/>
      <c r="DJ1637" s="4"/>
      <c r="DK1637" s="4"/>
      <c r="DL1637" s="4"/>
      <c r="DM1637" s="4"/>
      <c r="DN1637" s="4"/>
      <c r="DO1637" s="4"/>
      <c r="DP1637" s="4"/>
      <c r="DQ1637" s="4"/>
      <c r="DR1637" s="4"/>
      <c r="DS1637" s="4"/>
      <c r="DT1637" s="4"/>
      <c r="DU1637" s="4"/>
      <c r="DV1637" s="4"/>
      <c r="DW1637" s="4"/>
      <c r="DX1637" s="4"/>
      <c r="DY1637" s="4"/>
      <c r="DZ1637" s="4"/>
      <c r="EA1637" s="4"/>
      <c r="EB1637" s="4"/>
      <c r="EC1637" s="4"/>
      <c r="ED1637" s="4"/>
      <c r="EE1637" s="4"/>
      <c r="EF1637" s="4"/>
      <c r="EG1637" s="4"/>
      <c r="EH1637" s="4"/>
      <c r="EI1637" s="4"/>
      <c r="EJ1637" s="4"/>
      <c r="EK1637" s="4"/>
      <c r="EL1637" s="4"/>
      <c r="EM1637" s="4"/>
      <c r="EN1637" s="4"/>
      <c r="EO1637" s="4"/>
      <c r="EP1637" s="4"/>
      <c r="EQ1637" s="4"/>
      <c r="ER1637" s="4"/>
      <c r="ES1637" s="4"/>
      <c r="ET1637" s="4"/>
      <c r="EU1637" s="4"/>
      <c r="EV1637" s="4"/>
      <c r="EW1637" s="4"/>
      <c r="EX1637" s="4"/>
      <c r="EY1637" s="4"/>
      <c r="EZ1637" s="4"/>
      <c r="FA1637" s="4"/>
      <c r="FB1637" s="4"/>
      <c r="FC1637" s="4"/>
      <c r="FD1637" s="4"/>
      <c r="FE1637" s="4"/>
      <c r="FF1637" s="4"/>
      <c r="FG1637" s="4"/>
      <c r="FH1637" s="4"/>
      <c r="FI1637" s="4"/>
      <c r="FJ1637" s="4">
        <v>36</v>
      </c>
      <c r="FK1637" s="4"/>
      <c r="FL1637" s="4"/>
      <c r="FM1637" s="4"/>
      <c r="FN1637" s="4"/>
      <c r="FO1637" s="4"/>
      <c r="FP1637" s="4"/>
      <c r="FQ1637" s="4"/>
      <c r="FR1637" s="4"/>
      <c r="FS1637" s="4">
        <v>68</v>
      </c>
      <c r="FT1637" s="4"/>
      <c r="FU1637" s="4"/>
      <c r="FV1637" s="4"/>
      <c r="FW1637" s="4"/>
      <c r="FX1637" s="4"/>
      <c r="FY1637" s="4"/>
      <c r="FZ1637" s="4"/>
      <c r="GA1637" s="4"/>
      <c r="GB1637" s="4"/>
      <c r="GC1637" s="4"/>
      <c r="GD1637" s="4"/>
      <c r="GE1637" s="4"/>
      <c r="GF1637" s="4"/>
      <c r="GG1637" s="4"/>
      <c r="GH1637" s="4"/>
    </row>
    <row r="1638">
      <c r="A1638" s="2" t="s">
        <v>8565</v>
      </c>
      <c r="B1638" s="2" t="s">
        <v>1099</v>
      </c>
      <c r="C1638" s="2" t="s">
        <v>607</v>
      </c>
      <c r="D1638" s="2" t="s">
        <v>1100</v>
      </c>
      <c r="E1638" s="2" t="s">
        <v>1101</v>
      </c>
      <c r="F1638" s="2" t="s">
        <v>8551</v>
      </c>
      <c r="G1638" s="2" t="s">
        <v>8551</v>
      </c>
      <c r="H1638" s="2" t="s">
        <v>8551</v>
      </c>
      <c r="I1638" s="2" t="s">
        <v>8552</v>
      </c>
      <c r="J1638" s="2" t="s">
        <v>8560</v>
      </c>
      <c r="K1638" s="2" t="s">
        <v>387</v>
      </c>
      <c r="L1638" s="3">
        <v>14.8</v>
      </c>
      <c r="M1638" s="3">
        <v>15.54</v>
      </c>
      <c r="N1638" s="3">
        <v>31.99</v>
      </c>
      <c r="O1638" s="2" t="s">
        <v>212</v>
      </c>
      <c r="P1638" s="2" t="s">
        <v>205</v>
      </c>
      <c r="Q1638" s="2" t="s">
        <v>206</v>
      </c>
      <c r="R1638" s="2" t="s">
        <v>200</v>
      </c>
      <c r="S1638" s="2" t="s">
        <v>200</v>
      </c>
      <c r="T1638" s="2" t="s">
        <v>312</v>
      </c>
      <c r="U1638" s="2" t="s">
        <v>270</v>
      </c>
      <c r="V1638" s="2" t="s">
        <v>208</v>
      </c>
      <c r="W1638" s="2" t="s">
        <v>241</v>
      </c>
      <c r="X1638" s="2" t="s">
        <v>200</v>
      </c>
      <c r="Y1638" s="2" t="s">
        <v>200</v>
      </c>
      <c r="Z1638" s="4"/>
      <c r="AA1638" s="4">
        <f>=ROUNDDOWN({0},0)</f>
      </c>
      <c r="AB1638" s="5"/>
      <c r="AC1638" s="2" t="s">
        <v>5688</v>
      </c>
      <c r="AD1638" s="4">
        <v>148</v>
      </c>
      <c r="AE1638" s="4">
        <v>328</v>
      </c>
      <c r="AF1638" s="6">
        <v>69</v>
      </c>
      <c r="AG1638" s="6"/>
      <c r="AH1638" s="7"/>
      <c r="AI1638" s="4"/>
      <c r="AJ1638" s="4">
        <f>=ROUNDDOWN({0},0)</f>
      </c>
      <c r="AK1638" s="5"/>
      <c r="AL1638" s="2" t="s">
        <v>200</v>
      </c>
      <c r="AM1638" s="4"/>
      <c r="AN1638" s="4"/>
      <c r="AO1638" s="7"/>
      <c r="AP1638" s="4"/>
      <c r="AQ1638" s="8"/>
      <c r="AR1638" s="4"/>
      <c r="AS1638" s="8"/>
      <c r="AT1638" s="7"/>
      <c r="AU1638" s="7"/>
      <c r="AV1638" s="4" t="s">
        <v>200</v>
      </c>
      <c r="AW1638" s="8" t="s">
        <v>200</v>
      </c>
      <c r="AX1638" s="4" t="s">
        <v>200</v>
      </c>
      <c r="AY1638" s="8" t="s">
        <v>200</v>
      </c>
      <c r="AZ1638" s="7" t="s">
        <v>200</v>
      </c>
      <c r="BA1638" s="7" t="s">
        <v>200</v>
      </c>
      <c r="BB1638" s="7"/>
      <c r="BC1638" s="4" t="s">
        <v>200</v>
      </c>
      <c r="BD1638" s="8" t="s">
        <v>200</v>
      </c>
      <c r="BE1638" s="4" t="s">
        <v>200</v>
      </c>
      <c r="BF1638" s="8" t="s">
        <v>200</v>
      </c>
      <c r="BG1638" s="7" t="s">
        <v>200</v>
      </c>
      <c r="BH1638" s="7" t="s">
        <v>200</v>
      </c>
      <c r="BI1638" s="7"/>
      <c r="BJ1638" s="4"/>
      <c r="BK1638" s="8"/>
      <c r="BL1638" s="2" t="s">
        <v>200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210</v>
      </c>
      <c r="BV1638" s="2" t="s">
        <v>200</v>
      </c>
      <c r="BW1638" s="2" t="s">
        <v>200</v>
      </c>
      <c r="BX1638" s="2" t="s">
        <v>210</v>
      </c>
      <c r="BY1638" s="2" t="s">
        <v>211</v>
      </c>
      <c r="BZ1638" s="2" t="s">
        <v>212</v>
      </c>
      <c r="CA1638" s="2" t="s">
        <v>200</v>
      </c>
      <c r="CB1638" s="2" t="s">
        <v>200</v>
      </c>
      <c r="CC1638" s="2" t="s">
        <v>213</v>
      </c>
      <c r="CD1638" s="2" t="s">
        <v>200</v>
      </c>
      <c r="CE1638" s="4"/>
      <c r="CF1638" s="4"/>
      <c r="CG1638" s="4"/>
      <c r="CH1638" s="4"/>
      <c r="CI1638" s="4"/>
      <c r="CJ1638" s="4"/>
      <c r="CK1638" s="4"/>
      <c r="CL1638" s="4"/>
      <c r="CM1638" s="4"/>
      <c r="CN1638" s="4"/>
      <c r="CO1638" s="4"/>
      <c r="CP1638" s="4"/>
      <c r="CQ1638" s="4"/>
      <c r="CR1638" s="4"/>
      <c r="CS1638" s="4"/>
      <c r="CT1638" s="4"/>
      <c r="CU1638" s="4"/>
      <c r="CV1638" s="4"/>
      <c r="CW1638" s="4"/>
      <c r="CX1638" s="4"/>
      <c r="CY1638" s="4"/>
      <c r="CZ1638" s="4"/>
      <c r="DA1638" s="4"/>
      <c r="DB1638" s="4"/>
      <c r="DC1638" s="4"/>
      <c r="DD1638" s="4"/>
      <c r="DE1638" s="4"/>
      <c r="DF1638" s="4"/>
      <c r="DG1638" s="4"/>
      <c r="DH1638" s="4"/>
      <c r="DI1638" s="4"/>
      <c r="DJ1638" s="4"/>
      <c r="DK1638" s="4"/>
      <c r="DL1638" s="4"/>
      <c r="DM1638" s="4"/>
      <c r="DN1638" s="4"/>
      <c r="DO1638" s="4"/>
      <c r="DP1638" s="4"/>
      <c r="DQ1638" s="4"/>
      <c r="DR1638" s="4"/>
      <c r="DS1638" s="4"/>
      <c r="DT1638" s="4"/>
      <c r="DU1638" s="4"/>
      <c r="DV1638" s="4"/>
      <c r="DW1638" s="4"/>
      <c r="DX1638" s="4"/>
      <c r="DY1638" s="4"/>
      <c r="DZ1638" s="4"/>
      <c r="EA1638" s="4"/>
      <c r="EB1638" s="4"/>
      <c r="EC1638" s="4"/>
      <c r="ED1638" s="4"/>
      <c r="EE1638" s="4"/>
      <c r="EF1638" s="4"/>
      <c r="EG1638" s="4"/>
      <c r="EH1638" s="4"/>
      <c r="EI1638" s="4"/>
      <c r="EJ1638" s="4"/>
      <c r="EK1638" s="4"/>
      <c r="EL1638" s="4"/>
      <c r="EM1638" s="4"/>
      <c r="EN1638" s="4"/>
      <c r="EO1638" s="4"/>
      <c r="EP1638" s="4"/>
      <c r="EQ1638" s="4"/>
      <c r="ER1638" s="4"/>
      <c r="ES1638" s="4"/>
      <c r="ET1638" s="4"/>
      <c r="EU1638" s="4"/>
      <c r="EV1638" s="4"/>
      <c r="EW1638" s="4"/>
      <c r="EX1638" s="4"/>
      <c r="EY1638" s="4"/>
      <c r="EZ1638" s="4"/>
      <c r="FA1638" s="4"/>
      <c r="FB1638" s="4"/>
      <c r="FC1638" s="4"/>
      <c r="FD1638" s="4"/>
      <c r="FE1638" s="4"/>
      <c r="FF1638" s="4"/>
      <c r="FG1638" s="4"/>
      <c r="FH1638" s="4"/>
      <c r="FI1638" s="4"/>
      <c r="FJ1638" s="4">
        <v>148</v>
      </c>
      <c r="FK1638" s="4"/>
      <c r="FL1638" s="4"/>
      <c r="FM1638" s="4"/>
      <c r="FN1638" s="4"/>
      <c r="FO1638" s="4"/>
      <c r="FP1638" s="4"/>
      <c r="FQ1638" s="4"/>
      <c r="FR1638" s="4"/>
      <c r="FS1638" s="4">
        <v>180</v>
      </c>
      <c r="FT1638" s="4"/>
      <c r="FU1638" s="4"/>
      <c r="FV1638" s="4"/>
      <c r="FW1638" s="4"/>
      <c r="FX1638" s="4"/>
      <c r="FY1638" s="4"/>
      <c r="FZ1638" s="4"/>
      <c r="GA1638" s="4"/>
      <c r="GB1638" s="4"/>
      <c r="GC1638" s="4"/>
      <c r="GD1638" s="4"/>
      <c r="GE1638" s="4"/>
      <c r="GF1638" s="4"/>
      <c r="GG1638" s="4"/>
      <c r="GH1638" s="4"/>
    </row>
    <row r="1639">
      <c r="A1639" s="2" t="s">
        <v>8566</v>
      </c>
      <c r="B1639" s="2" t="s">
        <v>1099</v>
      </c>
      <c r="C1639" s="2" t="s">
        <v>607</v>
      </c>
      <c r="D1639" s="2" t="s">
        <v>1100</v>
      </c>
      <c r="E1639" s="2" t="s">
        <v>1101</v>
      </c>
      <c r="F1639" s="2" t="s">
        <v>8551</v>
      </c>
      <c r="G1639" s="2" t="s">
        <v>8551</v>
      </c>
      <c r="H1639" s="2" t="s">
        <v>8551</v>
      </c>
      <c r="I1639" s="2" t="s">
        <v>8552</v>
      </c>
      <c r="J1639" s="2" t="s">
        <v>5836</v>
      </c>
      <c r="K1639" s="2" t="s">
        <v>8567</v>
      </c>
      <c r="L1639" s="3">
        <v>12</v>
      </c>
      <c r="M1639" s="3">
        <v>12.6</v>
      </c>
      <c r="N1639" s="3">
        <v>25.99</v>
      </c>
      <c r="O1639" s="2" t="s">
        <v>212</v>
      </c>
      <c r="P1639" s="2" t="s">
        <v>205</v>
      </c>
      <c r="Q1639" s="2" t="s">
        <v>206</v>
      </c>
      <c r="R1639" s="2" t="s">
        <v>200</v>
      </c>
      <c r="S1639" s="2" t="s">
        <v>200</v>
      </c>
      <c r="T1639" s="2" t="s">
        <v>312</v>
      </c>
      <c r="U1639" s="2" t="s">
        <v>270</v>
      </c>
      <c r="V1639" s="2" t="s">
        <v>208</v>
      </c>
      <c r="W1639" s="2" t="s">
        <v>241</v>
      </c>
      <c r="X1639" s="2" t="s">
        <v>200</v>
      </c>
      <c r="Y1639" s="2" t="s">
        <v>200</v>
      </c>
      <c r="Z1639" s="4"/>
      <c r="AA1639" s="4">
        <f>=ROUNDDOWN({0},0)</f>
      </c>
      <c r="AB1639" s="5"/>
      <c r="AC1639" s="2" t="s">
        <v>5688</v>
      </c>
      <c r="AD1639" s="4">
        <v>644</v>
      </c>
      <c r="AE1639" s="4">
        <v>1320</v>
      </c>
      <c r="AF1639" s="6">
        <v>69</v>
      </c>
      <c r="AG1639" s="6"/>
      <c r="AH1639" s="7"/>
      <c r="AI1639" s="4"/>
      <c r="AJ1639" s="4">
        <f>=ROUNDDOWN({0},0)</f>
      </c>
      <c r="AK1639" s="5"/>
      <c r="AL1639" s="2" t="s">
        <v>200</v>
      </c>
      <c r="AM1639" s="4"/>
      <c r="AN1639" s="4"/>
      <c r="AO1639" s="7"/>
      <c r="AP1639" s="4"/>
      <c r="AQ1639" s="8"/>
      <c r="AR1639" s="4"/>
      <c r="AS1639" s="8"/>
      <c r="AT1639" s="7"/>
      <c r="AU1639" s="7"/>
      <c r="AV1639" s="4" t="s">
        <v>200</v>
      </c>
      <c r="AW1639" s="8" t="s">
        <v>200</v>
      </c>
      <c r="AX1639" s="4" t="s">
        <v>200</v>
      </c>
      <c r="AY1639" s="8" t="s">
        <v>200</v>
      </c>
      <c r="AZ1639" s="7" t="s">
        <v>200</v>
      </c>
      <c r="BA1639" s="7" t="s">
        <v>200</v>
      </c>
      <c r="BB1639" s="7"/>
      <c r="BC1639" s="4" t="s">
        <v>200</v>
      </c>
      <c r="BD1639" s="8" t="s">
        <v>200</v>
      </c>
      <c r="BE1639" s="4" t="s">
        <v>200</v>
      </c>
      <c r="BF1639" s="8" t="s">
        <v>200</v>
      </c>
      <c r="BG1639" s="7" t="s">
        <v>200</v>
      </c>
      <c r="BH1639" s="7" t="s">
        <v>200</v>
      </c>
      <c r="BI1639" s="7"/>
      <c r="BJ1639" s="4"/>
      <c r="BK1639" s="8"/>
      <c r="BL1639" s="2" t="s">
        <v>200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210</v>
      </c>
      <c r="BV1639" s="2" t="s">
        <v>200</v>
      </c>
      <c r="BW1639" s="2" t="s">
        <v>200</v>
      </c>
      <c r="BX1639" s="2" t="s">
        <v>210</v>
      </c>
      <c r="BY1639" s="2" t="s">
        <v>211</v>
      </c>
      <c r="BZ1639" s="2" t="s">
        <v>212</v>
      </c>
      <c r="CA1639" s="2" t="s">
        <v>200</v>
      </c>
      <c r="CB1639" s="2" t="s">
        <v>200</v>
      </c>
      <c r="CC1639" s="2" t="s">
        <v>213</v>
      </c>
      <c r="CD1639" s="2" t="s">
        <v>200</v>
      </c>
      <c r="CE1639" s="4"/>
      <c r="CF1639" s="4"/>
      <c r="CG1639" s="4"/>
      <c r="CH1639" s="4"/>
      <c r="CI1639" s="4"/>
      <c r="CJ1639" s="4"/>
      <c r="CK1639" s="4"/>
      <c r="CL1639" s="4"/>
      <c r="CM1639" s="4"/>
      <c r="CN1639" s="4"/>
      <c r="CO1639" s="4"/>
      <c r="CP1639" s="4"/>
      <c r="CQ1639" s="4"/>
      <c r="CR1639" s="4"/>
      <c r="CS1639" s="4"/>
      <c r="CT1639" s="4"/>
      <c r="CU1639" s="4"/>
      <c r="CV1639" s="4"/>
      <c r="CW1639" s="4"/>
      <c r="CX1639" s="4"/>
      <c r="CY1639" s="4"/>
      <c r="CZ1639" s="4"/>
      <c r="DA1639" s="4"/>
      <c r="DB1639" s="4"/>
      <c r="DC1639" s="4"/>
      <c r="DD1639" s="4"/>
      <c r="DE1639" s="4"/>
      <c r="DF1639" s="4"/>
      <c r="DG1639" s="4"/>
      <c r="DH1639" s="4"/>
      <c r="DI1639" s="4"/>
      <c r="DJ1639" s="4"/>
      <c r="DK1639" s="4"/>
      <c r="DL1639" s="4"/>
      <c r="DM1639" s="4"/>
      <c r="DN1639" s="4"/>
      <c r="DO1639" s="4"/>
      <c r="DP1639" s="4"/>
      <c r="DQ1639" s="4"/>
      <c r="DR1639" s="4"/>
      <c r="DS1639" s="4"/>
      <c r="DT1639" s="4"/>
      <c r="DU1639" s="4"/>
      <c r="DV1639" s="4"/>
      <c r="DW1639" s="4"/>
      <c r="DX1639" s="4"/>
      <c r="DY1639" s="4"/>
      <c r="DZ1639" s="4"/>
      <c r="EA1639" s="4"/>
      <c r="EB1639" s="4"/>
      <c r="EC1639" s="4"/>
      <c r="ED1639" s="4"/>
      <c r="EE1639" s="4"/>
      <c r="EF1639" s="4"/>
      <c r="EG1639" s="4"/>
      <c r="EH1639" s="4"/>
      <c r="EI1639" s="4"/>
      <c r="EJ1639" s="4"/>
      <c r="EK1639" s="4"/>
      <c r="EL1639" s="4"/>
      <c r="EM1639" s="4"/>
      <c r="EN1639" s="4"/>
      <c r="EO1639" s="4"/>
      <c r="EP1639" s="4"/>
      <c r="EQ1639" s="4"/>
      <c r="ER1639" s="4"/>
      <c r="ES1639" s="4"/>
      <c r="ET1639" s="4"/>
      <c r="EU1639" s="4"/>
      <c r="EV1639" s="4"/>
      <c r="EW1639" s="4"/>
      <c r="EX1639" s="4"/>
      <c r="EY1639" s="4"/>
      <c r="EZ1639" s="4"/>
      <c r="FA1639" s="4"/>
      <c r="FB1639" s="4"/>
      <c r="FC1639" s="4"/>
      <c r="FD1639" s="4"/>
      <c r="FE1639" s="4"/>
      <c r="FF1639" s="4"/>
      <c r="FG1639" s="4"/>
      <c r="FH1639" s="4"/>
      <c r="FI1639" s="4"/>
      <c r="FJ1639" s="4">
        <v>644</v>
      </c>
      <c r="FK1639" s="4"/>
      <c r="FL1639" s="4"/>
      <c r="FM1639" s="4"/>
      <c r="FN1639" s="4"/>
      <c r="FO1639" s="4"/>
      <c r="FP1639" s="4"/>
      <c r="FQ1639" s="4"/>
      <c r="FR1639" s="4"/>
      <c r="FS1639" s="4">
        <v>676</v>
      </c>
      <c r="FT1639" s="4"/>
      <c r="FU1639" s="4"/>
      <c r="FV1639" s="4"/>
      <c r="FW1639" s="4"/>
      <c r="FX1639" s="4"/>
      <c r="FY1639" s="4"/>
      <c r="FZ1639" s="4"/>
      <c r="GA1639" s="4"/>
      <c r="GB1639" s="4"/>
      <c r="GC1639" s="4"/>
      <c r="GD1639" s="4"/>
      <c r="GE1639" s="4"/>
      <c r="GF1639" s="4"/>
      <c r="GG1639" s="4"/>
      <c r="GH1639" s="4"/>
    </row>
    <row r="1640">
      <c r="A1640" s="2" t="s">
        <v>8568</v>
      </c>
      <c r="B1640" s="2" t="s">
        <v>1099</v>
      </c>
      <c r="C1640" s="2" t="s">
        <v>607</v>
      </c>
      <c r="D1640" s="2" t="s">
        <v>1100</v>
      </c>
      <c r="E1640" s="2" t="s">
        <v>1101</v>
      </c>
      <c r="F1640" s="2" t="s">
        <v>8551</v>
      </c>
      <c r="G1640" s="2" t="s">
        <v>8551</v>
      </c>
      <c r="H1640" s="2" t="s">
        <v>8551</v>
      </c>
      <c r="I1640" s="2" t="s">
        <v>8552</v>
      </c>
      <c r="J1640" s="2" t="s">
        <v>1103</v>
      </c>
      <c r="K1640" s="2" t="s">
        <v>8567</v>
      </c>
      <c r="L1640" s="3">
        <v>21.3</v>
      </c>
      <c r="M1640" s="3">
        <v>22.37</v>
      </c>
      <c r="N1640" s="3">
        <v>45.99</v>
      </c>
      <c r="O1640" s="2" t="s">
        <v>212</v>
      </c>
      <c r="P1640" s="2" t="s">
        <v>205</v>
      </c>
      <c r="Q1640" s="2" t="s">
        <v>206</v>
      </c>
      <c r="R1640" s="2" t="s">
        <v>200</v>
      </c>
      <c r="S1640" s="2" t="s">
        <v>200</v>
      </c>
      <c r="T1640" s="2" t="s">
        <v>312</v>
      </c>
      <c r="U1640" s="2" t="s">
        <v>270</v>
      </c>
      <c r="V1640" s="2" t="s">
        <v>208</v>
      </c>
      <c r="W1640" s="2" t="s">
        <v>241</v>
      </c>
      <c r="X1640" s="2" t="s">
        <v>200</v>
      </c>
      <c r="Y1640" s="2" t="s">
        <v>200</v>
      </c>
      <c r="Z1640" s="4"/>
      <c r="AA1640" s="4">
        <f>=ROUNDDOWN({0},0)</f>
      </c>
      <c r="AB1640" s="5"/>
      <c r="AC1640" s="2" t="s">
        <v>5688</v>
      </c>
      <c r="AD1640" s="4">
        <v>500</v>
      </c>
      <c r="AE1640" s="4">
        <v>1032</v>
      </c>
      <c r="AF1640" s="6">
        <v>69</v>
      </c>
      <c r="AG1640" s="6"/>
      <c r="AH1640" s="7"/>
      <c r="AI1640" s="4"/>
      <c r="AJ1640" s="4">
        <f>=ROUNDDOWN({0},0)</f>
      </c>
      <c r="AK1640" s="5"/>
      <c r="AL1640" s="2" t="s">
        <v>200</v>
      </c>
      <c r="AM1640" s="4"/>
      <c r="AN1640" s="4"/>
      <c r="AO1640" s="7"/>
      <c r="AP1640" s="4"/>
      <c r="AQ1640" s="8"/>
      <c r="AR1640" s="4"/>
      <c r="AS1640" s="8"/>
      <c r="AT1640" s="7"/>
      <c r="AU1640" s="7"/>
      <c r="AV1640" s="4" t="s">
        <v>200</v>
      </c>
      <c r="AW1640" s="8" t="s">
        <v>200</v>
      </c>
      <c r="AX1640" s="4" t="s">
        <v>200</v>
      </c>
      <c r="AY1640" s="8" t="s">
        <v>200</v>
      </c>
      <c r="AZ1640" s="7" t="s">
        <v>200</v>
      </c>
      <c r="BA1640" s="7" t="s">
        <v>200</v>
      </c>
      <c r="BB1640" s="7"/>
      <c r="BC1640" s="4" t="s">
        <v>200</v>
      </c>
      <c r="BD1640" s="8" t="s">
        <v>200</v>
      </c>
      <c r="BE1640" s="4" t="s">
        <v>200</v>
      </c>
      <c r="BF1640" s="8" t="s">
        <v>200</v>
      </c>
      <c r="BG1640" s="7" t="s">
        <v>200</v>
      </c>
      <c r="BH1640" s="7" t="s">
        <v>200</v>
      </c>
      <c r="BI1640" s="7"/>
      <c r="BJ1640" s="4"/>
      <c r="BK1640" s="8"/>
      <c r="BL1640" s="2" t="s">
        <v>200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210</v>
      </c>
      <c r="BV1640" s="2" t="s">
        <v>200</v>
      </c>
      <c r="BW1640" s="2" t="s">
        <v>200</v>
      </c>
      <c r="BX1640" s="2" t="s">
        <v>210</v>
      </c>
      <c r="BY1640" s="2" t="s">
        <v>211</v>
      </c>
      <c r="BZ1640" s="2" t="s">
        <v>212</v>
      </c>
      <c r="CA1640" s="2" t="s">
        <v>200</v>
      </c>
      <c r="CB1640" s="2" t="s">
        <v>200</v>
      </c>
      <c r="CC1640" s="2" t="s">
        <v>213</v>
      </c>
      <c r="CD1640" s="2" t="s">
        <v>200</v>
      </c>
      <c r="CE1640" s="4"/>
      <c r="CF1640" s="4"/>
      <c r="CG1640" s="4"/>
      <c r="CH1640" s="4"/>
      <c r="CI1640" s="4"/>
      <c r="CJ1640" s="4"/>
      <c r="CK1640" s="4"/>
      <c r="CL1640" s="4"/>
      <c r="CM1640" s="4"/>
      <c r="CN1640" s="4"/>
      <c r="CO1640" s="4"/>
      <c r="CP1640" s="4"/>
      <c r="CQ1640" s="4"/>
      <c r="CR1640" s="4"/>
      <c r="CS1640" s="4"/>
      <c r="CT1640" s="4"/>
      <c r="CU1640" s="4"/>
      <c r="CV1640" s="4"/>
      <c r="CW1640" s="4"/>
      <c r="CX1640" s="4"/>
      <c r="CY1640" s="4"/>
      <c r="CZ1640" s="4"/>
      <c r="DA1640" s="4"/>
      <c r="DB1640" s="4"/>
      <c r="DC1640" s="4"/>
      <c r="DD1640" s="4"/>
      <c r="DE1640" s="4"/>
      <c r="DF1640" s="4"/>
      <c r="DG1640" s="4"/>
      <c r="DH1640" s="4"/>
      <c r="DI1640" s="4"/>
      <c r="DJ1640" s="4"/>
      <c r="DK1640" s="4"/>
      <c r="DL1640" s="4"/>
      <c r="DM1640" s="4"/>
      <c r="DN1640" s="4"/>
      <c r="DO1640" s="4"/>
      <c r="DP1640" s="4"/>
      <c r="DQ1640" s="4"/>
      <c r="DR1640" s="4"/>
      <c r="DS1640" s="4"/>
      <c r="DT1640" s="4"/>
      <c r="DU1640" s="4"/>
      <c r="DV1640" s="4"/>
      <c r="DW1640" s="4"/>
      <c r="DX1640" s="4"/>
      <c r="DY1640" s="4"/>
      <c r="DZ1640" s="4"/>
      <c r="EA1640" s="4"/>
      <c r="EB1640" s="4"/>
      <c r="EC1640" s="4"/>
      <c r="ED1640" s="4"/>
      <c r="EE1640" s="4"/>
      <c r="EF1640" s="4"/>
      <c r="EG1640" s="4"/>
      <c r="EH1640" s="4"/>
      <c r="EI1640" s="4"/>
      <c r="EJ1640" s="4"/>
      <c r="EK1640" s="4"/>
      <c r="EL1640" s="4"/>
      <c r="EM1640" s="4"/>
      <c r="EN1640" s="4"/>
      <c r="EO1640" s="4"/>
      <c r="EP1640" s="4"/>
      <c r="EQ1640" s="4"/>
      <c r="ER1640" s="4"/>
      <c r="ES1640" s="4"/>
      <c r="ET1640" s="4"/>
      <c r="EU1640" s="4"/>
      <c r="EV1640" s="4"/>
      <c r="EW1640" s="4"/>
      <c r="EX1640" s="4"/>
      <c r="EY1640" s="4"/>
      <c r="EZ1640" s="4"/>
      <c r="FA1640" s="4"/>
      <c r="FB1640" s="4"/>
      <c r="FC1640" s="4"/>
      <c r="FD1640" s="4"/>
      <c r="FE1640" s="4"/>
      <c r="FF1640" s="4"/>
      <c r="FG1640" s="4"/>
      <c r="FH1640" s="4"/>
      <c r="FI1640" s="4"/>
      <c r="FJ1640" s="4">
        <v>500</v>
      </c>
      <c r="FK1640" s="4"/>
      <c r="FL1640" s="4"/>
      <c r="FM1640" s="4"/>
      <c r="FN1640" s="4"/>
      <c r="FO1640" s="4"/>
      <c r="FP1640" s="4"/>
      <c r="FQ1640" s="4"/>
      <c r="FR1640" s="4"/>
      <c r="FS1640" s="4">
        <v>532</v>
      </c>
      <c r="FT1640" s="4"/>
      <c r="FU1640" s="4"/>
      <c r="FV1640" s="4"/>
      <c r="FW1640" s="4"/>
      <c r="FX1640" s="4"/>
      <c r="FY1640" s="4"/>
      <c r="FZ1640" s="4"/>
      <c r="GA1640" s="4"/>
      <c r="GB1640" s="4"/>
      <c r="GC1640" s="4"/>
      <c r="GD1640" s="4"/>
      <c r="GE1640" s="4"/>
      <c r="GF1640" s="4"/>
      <c r="GG1640" s="4"/>
      <c r="GH1640" s="4"/>
    </row>
    <row r="1641">
      <c r="A1641" s="2" t="s">
        <v>8569</v>
      </c>
      <c r="B1641" s="2" t="s">
        <v>1099</v>
      </c>
      <c r="C1641" s="2" t="s">
        <v>607</v>
      </c>
      <c r="D1641" s="2" t="s">
        <v>1100</v>
      </c>
      <c r="E1641" s="2" t="s">
        <v>1101</v>
      </c>
      <c r="F1641" s="2" t="s">
        <v>8551</v>
      </c>
      <c r="G1641" s="2" t="s">
        <v>8551</v>
      </c>
      <c r="H1641" s="2" t="s">
        <v>8551</v>
      </c>
      <c r="I1641" s="2" t="s">
        <v>8552</v>
      </c>
      <c r="J1641" s="2" t="s">
        <v>8555</v>
      </c>
      <c r="K1641" s="2" t="s">
        <v>8567</v>
      </c>
      <c r="L1641" s="3">
        <v>18.5</v>
      </c>
      <c r="M1641" s="3">
        <v>19.43</v>
      </c>
      <c r="N1641" s="3">
        <v>39.99</v>
      </c>
      <c r="O1641" s="2" t="s">
        <v>212</v>
      </c>
      <c r="P1641" s="2" t="s">
        <v>205</v>
      </c>
      <c r="Q1641" s="2" t="s">
        <v>206</v>
      </c>
      <c r="R1641" s="2" t="s">
        <v>200</v>
      </c>
      <c r="S1641" s="2" t="s">
        <v>200</v>
      </c>
      <c r="T1641" s="2" t="s">
        <v>312</v>
      </c>
      <c r="U1641" s="2" t="s">
        <v>270</v>
      </c>
      <c r="V1641" s="2" t="s">
        <v>208</v>
      </c>
      <c r="W1641" s="2" t="s">
        <v>241</v>
      </c>
      <c r="X1641" s="2" t="s">
        <v>200</v>
      </c>
      <c r="Y1641" s="2" t="s">
        <v>200</v>
      </c>
      <c r="Z1641" s="4"/>
      <c r="AA1641" s="4">
        <f>=ROUNDDOWN({0},0)</f>
      </c>
      <c r="AB1641" s="5"/>
      <c r="AC1641" s="2" t="s">
        <v>5688</v>
      </c>
      <c r="AD1641" s="4">
        <v>464</v>
      </c>
      <c r="AE1641" s="4">
        <v>960</v>
      </c>
      <c r="AF1641" s="6">
        <v>69</v>
      </c>
      <c r="AG1641" s="6"/>
      <c r="AH1641" s="7"/>
      <c r="AI1641" s="4"/>
      <c r="AJ1641" s="4">
        <f>=ROUNDDOWN({0},0)</f>
      </c>
      <c r="AK1641" s="5"/>
      <c r="AL1641" s="2" t="s">
        <v>200</v>
      </c>
      <c r="AM1641" s="4"/>
      <c r="AN1641" s="4"/>
      <c r="AO1641" s="7"/>
      <c r="AP1641" s="4"/>
      <c r="AQ1641" s="8"/>
      <c r="AR1641" s="4"/>
      <c r="AS1641" s="8"/>
      <c r="AT1641" s="7"/>
      <c r="AU1641" s="7"/>
      <c r="AV1641" s="4" t="s">
        <v>200</v>
      </c>
      <c r="AW1641" s="8" t="s">
        <v>200</v>
      </c>
      <c r="AX1641" s="4" t="s">
        <v>200</v>
      </c>
      <c r="AY1641" s="8" t="s">
        <v>200</v>
      </c>
      <c r="AZ1641" s="7" t="s">
        <v>200</v>
      </c>
      <c r="BA1641" s="7" t="s">
        <v>200</v>
      </c>
      <c r="BB1641" s="7"/>
      <c r="BC1641" s="4" t="s">
        <v>200</v>
      </c>
      <c r="BD1641" s="8" t="s">
        <v>200</v>
      </c>
      <c r="BE1641" s="4" t="s">
        <v>200</v>
      </c>
      <c r="BF1641" s="8" t="s">
        <v>200</v>
      </c>
      <c r="BG1641" s="7" t="s">
        <v>200</v>
      </c>
      <c r="BH1641" s="7" t="s">
        <v>200</v>
      </c>
      <c r="BI1641" s="7"/>
      <c r="BJ1641" s="4"/>
      <c r="BK1641" s="8"/>
      <c r="BL1641" s="2" t="s">
        <v>200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210</v>
      </c>
      <c r="BV1641" s="2" t="s">
        <v>200</v>
      </c>
      <c r="BW1641" s="2" t="s">
        <v>200</v>
      </c>
      <c r="BX1641" s="2" t="s">
        <v>210</v>
      </c>
      <c r="BY1641" s="2" t="s">
        <v>211</v>
      </c>
      <c r="BZ1641" s="2" t="s">
        <v>212</v>
      </c>
      <c r="CA1641" s="2" t="s">
        <v>200</v>
      </c>
      <c r="CB1641" s="2" t="s">
        <v>200</v>
      </c>
      <c r="CC1641" s="2" t="s">
        <v>213</v>
      </c>
      <c r="CD1641" s="2" t="s">
        <v>200</v>
      </c>
      <c r="CE1641" s="4"/>
      <c r="CF1641" s="4"/>
      <c r="CG1641" s="4"/>
      <c r="CH1641" s="4"/>
      <c r="CI1641" s="4"/>
      <c r="CJ1641" s="4"/>
      <c r="CK1641" s="4"/>
      <c r="CL1641" s="4"/>
      <c r="CM1641" s="4"/>
      <c r="CN1641" s="4"/>
      <c r="CO1641" s="4"/>
      <c r="CP1641" s="4"/>
      <c r="CQ1641" s="4"/>
      <c r="CR1641" s="4"/>
      <c r="CS1641" s="4"/>
      <c r="CT1641" s="4"/>
      <c r="CU1641" s="4"/>
      <c r="CV1641" s="4"/>
      <c r="CW1641" s="4"/>
      <c r="CX1641" s="4"/>
      <c r="CY1641" s="4"/>
      <c r="CZ1641" s="4"/>
      <c r="DA1641" s="4"/>
      <c r="DB1641" s="4"/>
      <c r="DC1641" s="4"/>
      <c r="DD1641" s="4"/>
      <c r="DE1641" s="4"/>
      <c r="DF1641" s="4"/>
      <c r="DG1641" s="4"/>
      <c r="DH1641" s="4"/>
      <c r="DI1641" s="4"/>
      <c r="DJ1641" s="4"/>
      <c r="DK1641" s="4"/>
      <c r="DL1641" s="4"/>
      <c r="DM1641" s="4"/>
      <c r="DN1641" s="4"/>
      <c r="DO1641" s="4"/>
      <c r="DP1641" s="4"/>
      <c r="DQ1641" s="4"/>
      <c r="DR1641" s="4"/>
      <c r="DS1641" s="4"/>
      <c r="DT1641" s="4"/>
      <c r="DU1641" s="4"/>
      <c r="DV1641" s="4"/>
      <c r="DW1641" s="4"/>
      <c r="DX1641" s="4"/>
      <c r="DY1641" s="4"/>
      <c r="DZ1641" s="4"/>
      <c r="EA1641" s="4"/>
      <c r="EB1641" s="4"/>
      <c r="EC1641" s="4"/>
      <c r="ED1641" s="4"/>
      <c r="EE1641" s="4"/>
      <c r="EF1641" s="4"/>
      <c r="EG1641" s="4"/>
      <c r="EH1641" s="4"/>
      <c r="EI1641" s="4"/>
      <c r="EJ1641" s="4"/>
      <c r="EK1641" s="4"/>
      <c r="EL1641" s="4"/>
      <c r="EM1641" s="4"/>
      <c r="EN1641" s="4"/>
      <c r="EO1641" s="4"/>
      <c r="EP1641" s="4"/>
      <c r="EQ1641" s="4"/>
      <c r="ER1641" s="4"/>
      <c r="ES1641" s="4"/>
      <c r="ET1641" s="4"/>
      <c r="EU1641" s="4"/>
      <c r="EV1641" s="4"/>
      <c r="EW1641" s="4"/>
      <c r="EX1641" s="4"/>
      <c r="EY1641" s="4"/>
      <c r="EZ1641" s="4"/>
      <c r="FA1641" s="4"/>
      <c r="FB1641" s="4"/>
      <c r="FC1641" s="4"/>
      <c r="FD1641" s="4"/>
      <c r="FE1641" s="4"/>
      <c r="FF1641" s="4"/>
      <c r="FG1641" s="4"/>
      <c r="FH1641" s="4"/>
      <c r="FI1641" s="4"/>
      <c r="FJ1641" s="4">
        <v>464</v>
      </c>
      <c r="FK1641" s="4"/>
      <c r="FL1641" s="4"/>
      <c r="FM1641" s="4"/>
      <c r="FN1641" s="4"/>
      <c r="FO1641" s="4"/>
      <c r="FP1641" s="4"/>
      <c r="FQ1641" s="4"/>
      <c r="FR1641" s="4"/>
      <c r="FS1641" s="4">
        <v>496</v>
      </c>
      <c r="FT1641" s="4"/>
      <c r="FU1641" s="4"/>
      <c r="FV1641" s="4"/>
      <c r="FW1641" s="4"/>
      <c r="FX1641" s="4"/>
      <c r="FY1641" s="4"/>
      <c r="FZ1641" s="4"/>
      <c r="GA1641" s="4"/>
      <c r="GB1641" s="4"/>
      <c r="GC1641" s="4"/>
      <c r="GD1641" s="4"/>
      <c r="GE1641" s="4"/>
      <c r="GF1641" s="4"/>
      <c r="GG1641" s="4"/>
      <c r="GH1641" s="4"/>
    </row>
    <row r="1642">
      <c r="A1642" s="2" t="s">
        <v>8570</v>
      </c>
      <c r="B1642" s="2" t="s">
        <v>1099</v>
      </c>
      <c r="C1642" s="2" t="s">
        <v>607</v>
      </c>
      <c r="D1642" s="2" t="s">
        <v>1100</v>
      </c>
      <c r="E1642" s="2" t="s">
        <v>1101</v>
      </c>
      <c r="F1642" s="2" t="s">
        <v>8551</v>
      </c>
      <c r="G1642" s="2" t="s">
        <v>8551</v>
      </c>
      <c r="H1642" s="2" t="s">
        <v>8551</v>
      </c>
      <c r="I1642" s="2" t="s">
        <v>8552</v>
      </c>
      <c r="J1642" s="2" t="s">
        <v>1110</v>
      </c>
      <c r="K1642" s="2" t="s">
        <v>8567</v>
      </c>
      <c r="L1642" s="3">
        <v>27</v>
      </c>
      <c r="M1642" s="3">
        <v>28.35</v>
      </c>
      <c r="N1642" s="3">
        <v>56.99</v>
      </c>
      <c r="O1642" s="2" t="s">
        <v>212</v>
      </c>
      <c r="P1642" s="2" t="s">
        <v>205</v>
      </c>
      <c r="Q1642" s="2" t="s">
        <v>206</v>
      </c>
      <c r="R1642" s="2" t="s">
        <v>200</v>
      </c>
      <c r="S1642" s="2" t="s">
        <v>200</v>
      </c>
      <c r="T1642" s="2" t="s">
        <v>312</v>
      </c>
      <c r="U1642" s="2" t="s">
        <v>270</v>
      </c>
      <c r="V1642" s="2" t="s">
        <v>208</v>
      </c>
      <c r="W1642" s="2" t="s">
        <v>241</v>
      </c>
      <c r="X1642" s="2" t="s">
        <v>200</v>
      </c>
      <c r="Y1642" s="2" t="s">
        <v>200</v>
      </c>
      <c r="Z1642" s="4"/>
      <c r="AA1642" s="4">
        <f>=ROUNDDOWN({0},0)</f>
      </c>
      <c r="AB1642" s="5"/>
      <c r="AC1642" s="2" t="s">
        <v>5688</v>
      </c>
      <c r="AD1642" s="4">
        <v>308</v>
      </c>
      <c r="AE1642" s="4">
        <v>648</v>
      </c>
      <c r="AF1642" s="6">
        <v>69</v>
      </c>
      <c r="AG1642" s="6"/>
      <c r="AH1642" s="7"/>
      <c r="AI1642" s="4"/>
      <c r="AJ1642" s="4">
        <f>=ROUNDDOWN({0},0)</f>
      </c>
      <c r="AK1642" s="5"/>
      <c r="AL1642" s="2" t="s">
        <v>200</v>
      </c>
      <c r="AM1642" s="4"/>
      <c r="AN1642" s="4"/>
      <c r="AO1642" s="7"/>
      <c r="AP1642" s="4"/>
      <c r="AQ1642" s="8"/>
      <c r="AR1642" s="4"/>
      <c r="AS1642" s="8"/>
      <c r="AT1642" s="7"/>
      <c r="AU1642" s="7"/>
      <c r="AV1642" s="4" t="s">
        <v>200</v>
      </c>
      <c r="AW1642" s="8" t="s">
        <v>200</v>
      </c>
      <c r="AX1642" s="4" t="s">
        <v>200</v>
      </c>
      <c r="AY1642" s="8" t="s">
        <v>200</v>
      </c>
      <c r="AZ1642" s="7" t="s">
        <v>200</v>
      </c>
      <c r="BA1642" s="7" t="s">
        <v>200</v>
      </c>
      <c r="BB1642" s="7"/>
      <c r="BC1642" s="4" t="s">
        <v>200</v>
      </c>
      <c r="BD1642" s="8" t="s">
        <v>200</v>
      </c>
      <c r="BE1642" s="4" t="s">
        <v>200</v>
      </c>
      <c r="BF1642" s="8" t="s">
        <v>200</v>
      </c>
      <c r="BG1642" s="7" t="s">
        <v>200</v>
      </c>
      <c r="BH1642" s="7" t="s">
        <v>200</v>
      </c>
      <c r="BI1642" s="7"/>
      <c r="BJ1642" s="4"/>
      <c r="BK1642" s="8"/>
      <c r="BL1642" s="2" t="s">
        <v>200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210</v>
      </c>
      <c r="BV1642" s="2" t="s">
        <v>200</v>
      </c>
      <c r="BW1642" s="2" t="s">
        <v>200</v>
      </c>
      <c r="BX1642" s="2" t="s">
        <v>210</v>
      </c>
      <c r="BY1642" s="2" t="s">
        <v>211</v>
      </c>
      <c r="BZ1642" s="2" t="s">
        <v>212</v>
      </c>
      <c r="CA1642" s="2" t="s">
        <v>200</v>
      </c>
      <c r="CB1642" s="2" t="s">
        <v>200</v>
      </c>
      <c r="CC1642" s="2" t="s">
        <v>213</v>
      </c>
      <c r="CD1642" s="2" t="s">
        <v>200</v>
      </c>
      <c r="CE1642" s="4"/>
      <c r="CF1642" s="4"/>
      <c r="CG1642" s="4"/>
      <c r="CH1642" s="4"/>
      <c r="CI1642" s="4"/>
      <c r="CJ1642" s="4"/>
      <c r="CK1642" s="4"/>
      <c r="CL1642" s="4"/>
      <c r="CM1642" s="4"/>
      <c r="CN1642" s="4"/>
      <c r="CO1642" s="4"/>
      <c r="CP1642" s="4"/>
      <c r="CQ1642" s="4"/>
      <c r="CR1642" s="4"/>
      <c r="CS1642" s="4"/>
      <c r="CT1642" s="4"/>
      <c r="CU1642" s="4"/>
      <c r="CV1642" s="4"/>
      <c r="CW1642" s="4"/>
      <c r="CX1642" s="4"/>
      <c r="CY1642" s="4"/>
      <c r="CZ1642" s="4"/>
      <c r="DA1642" s="4"/>
      <c r="DB1642" s="4"/>
      <c r="DC1642" s="4"/>
      <c r="DD1642" s="4"/>
      <c r="DE1642" s="4"/>
      <c r="DF1642" s="4"/>
      <c r="DG1642" s="4"/>
      <c r="DH1642" s="4"/>
      <c r="DI1642" s="4"/>
      <c r="DJ1642" s="4"/>
      <c r="DK1642" s="4"/>
      <c r="DL1642" s="4"/>
      <c r="DM1642" s="4"/>
      <c r="DN1642" s="4"/>
      <c r="DO1642" s="4"/>
      <c r="DP1642" s="4"/>
      <c r="DQ1642" s="4"/>
      <c r="DR1642" s="4"/>
      <c r="DS1642" s="4"/>
      <c r="DT1642" s="4"/>
      <c r="DU1642" s="4"/>
      <c r="DV1642" s="4"/>
      <c r="DW1642" s="4"/>
      <c r="DX1642" s="4"/>
      <c r="DY1642" s="4"/>
      <c r="DZ1642" s="4"/>
      <c r="EA1642" s="4"/>
      <c r="EB1642" s="4"/>
      <c r="EC1642" s="4"/>
      <c r="ED1642" s="4"/>
      <c r="EE1642" s="4"/>
      <c r="EF1642" s="4"/>
      <c r="EG1642" s="4"/>
      <c r="EH1642" s="4"/>
      <c r="EI1642" s="4"/>
      <c r="EJ1642" s="4"/>
      <c r="EK1642" s="4"/>
      <c r="EL1642" s="4"/>
      <c r="EM1642" s="4"/>
      <c r="EN1642" s="4"/>
      <c r="EO1642" s="4"/>
      <c r="EP1642" s="4"/>
      <c r="EQ1642" s="4"/>
      <c r="ER1642" s="4"/>
      <c r="ES1642" s="4"/>
      <c r="ET1642" s="4"/>
      <c r="EU1642" s="4"/>
      <c r="EV1642" s="4"/>
      <c r="EW1642" s="4"/>
      <c r="EX1642" s="4"/>
      <c r="EY1642" s="4"/>
      <c r="EZ1642" s="4"/>
      <c r="FA1642" s="4"/>
      <c r="FB1642" s="4"/>
      <c r="FC1642" s="4"/>
      <c r="FD1642" s="4"/>
      <c r="FE1642" s="4"/>
      <c r="FF1642" s="4"/>
      <c r="FG1642" s="4"/>
      <c r="FH1642" s="4"/>
      <c r="FI1642" s="4"/>
      <c r="FJ1642" s="4">
        <v>308</v>
      </c>
      <c r="FK1642" s="4"/>
      <c r="FL1642" s="4"/>
      <c r="FM1642" s="4"/>
      <c r="FN1642" s="4"/>
      <c r="FO1642" s="4"/>
      <c r="FP1642" s="4"/>
      <c r="FQ1642" s="4"/>
      <c r="FR1642" s="4"/>
      <c r="FS1642" s="4">
        <v>340</v>
      </c>
      <c r="FT1642" s="4"/>
      <c r="FU1642" s="4"/>
      <c r="FV1642" s="4"/>
      <c r="FW1642" s="4"/>
      <c r="FX1642" s="4"/>
      <c r="FY1642" s="4"/>
      <c r="FZ1642" s="4"/>
      <c r="GA1642" s="4"/>
      <c r="GB1642" s="4"/>
      <c r="GC1642" s="4"/>
      <c r="GD1642" s="4"/>
      <c r="GE1642" s="4"/>
      <c r="GF1642" s="4"/>
      <c r="GG1642" s="4"/>
      <c r="GH1642" s="4"/>
    </row>
    <row r="1643">
      <c r="A1643" s="2" t="s">
        <v>8571</v>
      </c>
      <c r="B1643" s="2" t="s">
        <v>1099</v>
      </c>
      <c r="C1643" s="2" t="s">
        <v>607</v>
      </c>
      <c r="D1643" s="2" t="s">
        <v>1100</v>
      </c>
      <c r="E1643" s="2" t="s">
        <v>1101</v>
      </c>
      <c r="F1643" s="2" t="s">
        <v>8551</v>
      </c>
      <c r="G1643" s="2" t="s">
        <v>8551</v>
      </c>
      <c r="H1643" s="2" t="s">
        <v>8551</v>
      </c>
      <c r="I1643" s="2" t="s">
        <v>8552</v>
      </c>
      <c r="J1643" s="2" t="s">
        <v>8560</v>
      </c>
      <c r="K1643" s="2" t="s">
        <v>8567</v>
      </c>
      <c r="L1643" s="3">
        <v>14.8</v>
      </c>
      <c r="M1643" s="3">
        <v>15.54</v>
      </c>
      <c r="N1643" s="3">
        <v>31.99</v>
      </c>
      <c r="O1643" s="2" t="s">
        <v>212</v>
      </c>
      <c r="P1643" s="2" t="s">
        <v>205</v>
      </c>
      <c r="Q1643" s="2" t="s">
        <v>206</v>
      </c>
      <c r="R1643" s="2" t="s">
        <v>200</v>
      </c>
      <c r="S1643" s="2" t="s">
        <v>200</v>
      </c>
      <c r="T1643" s="2" t="s">
        <v>312</v>
      </c>
      <c r="U1643" s="2" t="s">
        <v>270</v>
      </c>
      <c r="V1643" s="2" t="s">
        <v>208</v>
      </c>
      <c r="W1643" s="2" t="s">
        <v>241</v>
      </c>
      <c r="X1643" s="2" t="s">
        <v>200</v>
      </c>
      <c r="Y1643" s="2" t="s">
        <v>200</v>
      </c>
      <c r="Z1643" s="4"/>
      <c r="AA1643" s="4">
        <f>=ROUNDDOWN({0},0)</f>
      </c>
      <c r="AB1643" s="5"/>
      <c r="AC1643" s="2" t="s">
        <v>5688</v>
      </c>
      <c r="AD1643" s="4">
        <v>1108</v>
      </c>
      <c r="AE1643" s="4">
        <v>2248</v>
      </c>
      <c r="AF1643" s="6">
        <v>69</v>
      </c>
      <c r="AG1643" s="6"/>
      <c r="AH1643" s="7"/>
      <c r="AI1643" s="4"/>
      <c r="AJ1643" s="4">
        <f>=ROUNDDOWN({0},0)</f>
      </c>
      <c r="AK1643" s="5"/>
      <c r="AL1643" s="2" t="s">
        <v>200</v>
      </c>
      <c r="AM1643" s="4"/>
      <c r="AN1643" s="4"/>
      <c r="AO1643" s="7"/>
      <c r="AP1643" s="4"/>
      <c r="AQ1643" s="8"/>
      <c r="AR1643" s="4"/>
      <c r="AS1643" s="8"/>
      <c r="AT1643" s="7"/>
      <c r="AU1643" s="7"/>
      <c r="AV1643" s="4" t="s">
        <v>200</v>
      </c>
      <c r="AW1643" s="8" t="s">
        <v>200</v>
      </c>
      <c r="AX1643" s="4" t="s">
        <v>200</v>
      </c>
      <c r="AY1643" s="8" t="s">
        <v>200</v>
      </c>
      <c r="AZ1643" s="7" t="s">
        <v>200</v>
      </c>
      <c r="BA1643" s="7" t="s">
        <v>200</v>
      </c>
      <c r="BB1643" s="7"/>
      <c r="BC1643" s="4" t="s">
        <v>200</v>
      </c>
      <c r="BD1643" s="8" t="s">
        <v>200</v>
      </c>
      <c r="BE1643" s="4" t="s">
        <v>200</v>
      </c>
      <c r="BF1643" s="8" t="s">
        <v>200</v>
      </c>
      <c r="BG1643" s="7" t="s">
        <v>200</v>
      </c>
      <c r="BH1643" s="7" t="s">
        <v>200</v>
      </c>
      <c r="BI1643" s="7"/>
      <c r="BJ1643" s="4"/>
      <c r="BK1643" s="8"/>
      <c r="BL1643" s="2" t="s">
        <v>200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210</v>
      </c>
      <c r="BV1643" s="2" t="s">
        <v>200</v>
      </c>
      <c r="BW1643" s="2" t="s">
        <v>200</v>
      </c>
      <c r="BX1643" s="2" t="s">
        <v>210</v>
      </c>
      <c r="BY1643" s="2" t="s">
        <v>211</v>
      </c>
      <c r="BZ1643" s="2" t="s">
        <v>212</v>
      </c>
      <c r="CA1643" s="2" t="s">
        <v>200</v>
      </c>
      <c r="CB1643" s="2" t="s">
        <v>200</v>
      </c>
      <c r="CC1643" s="2" t="s">
        <v>213</v>
      </c>
      <c r="CD1643" s="2" t="s">
        <v>200</v>
      </c>
      <c r="CE1643" s="4"/>
      <c r="CF1643" s="4"/>
      <c r="CG1643" s="4"/>
      <c r="CH1643" s="4"/>
      <c r="CI1643" s="4"/>
      <c r="CJ1643" s="4"/>
      <c r="CK1643" s="4"/>
      <c r="CL1643" s="4"/>
      <c r="CM1643" s="4"/>
      <c r="CN1643" s="4"/>
      <c r="CO1643" s="4"/>
      <c r="CP1643" s="4"/>
      <c r="CQ1643" s="4"/>
      <c r="CR1643" s="4"/>
      <c r="CS1643" s="4"/>
      <c r="CT1643" s="4"/>
      <c r="CU1643" s="4"/>
      <c r="CV1643" s="4"/>
      <c r="CW1643" s="4"/>
      <c r="CX1643" s="4"/>
      <c r="CY1643" s="4"/>
      <c r="CZ1643" s="4"/>
      <c r="DA1643" s="4"/>
      <c r="DB1643" s="4"/>
      <c r="DC1643" s="4"/>
      <c r="DD1643" s="4"/>
      <c r="DE1643" s="4"/>
      <c r="DF1643" s="4"/>
      <c r="DG1643" s="4"/>
      <c r="DH1643" s="4"/>
      <c r="DI1643" s="4"/>
      <c r="DJ1643" s="4"/>
      <c r="DK1643" s="4"/>
      <c r="DL1643" s="4"/>
      <c r="DM1643" s="4"/>
      <c r="DN1643" s="4"/>
      <c r="DO1643" s="4"/>
      <c r="DP1643" s="4"/>
      <c r="DQ1643" s="4"/>
      <c r="DR1643" s="4"/>
      <c r="DS1643" s="4"/>
      <c r="DT1643" s="4"/>
      <c r="DU1643" s="4"/>
      <c r="DV1643" s="4"/>
      <c r="DW1643" s="4"/>
      <c r="DX1643" s="4"/>
      <c r="DY1643" s="4"/>
      <c r="DZ1643" s="4"/>
      <c r="EA1643" s="4"/>
      <c r="EB1643" s="4"/>
      <c r="EC1643" s="4"/>
      <c r="ED1643" s="4"/>
      <c r="EE1643" s="4"/>
      <c r="EF1643" s="4"/>
      <c r="EG1643" s="4"/>
      <c r="EH1643" s="4"/>
      <c r="EI1643" s="4"/>
      <c r="EJ1643" s="4"/>
      <c r="EK1643" s="4"/>
      <c r="EL1643" s="4"/>
      <c r="EM1643" s="4"/>
      <c r="EN1643" s="4"/>
      <c r="EO1643" s="4"/>
      <c r="EP1643" s="4"/>
      <c r="EQ1643" s="4"/>
      <c r="ER1643" s="4"/>
      <c r="ES1643" s="4"/>
      <c r="ET1643" s="4"/>
      <c r="EU1643" s="4"/>
      <c r="EV1643" s="4"/>
      <c r="EW1643" s="4"/>
      <c r="EX1643" s="4"/>
      <c r="EY1643" s="4"/>
      <c r="EZ1643" s="4"/>
      <c r="FA1643" s="4"/>
      <c r="FB1643" s="4"/>
      <c r="FC1643" s="4"/>
      <c r="FD1643" s="4"/>
      <c r="FE1643" s="4"/>
      <c r="FF1643" s="4"/>
      <c r="FG1643" s="4"/>
      <c r="FH1643" s="4"/>
      <c r="FI1643" s="4"/>
      <c r="FJ1643" s="4">
        <v>1108</v>
      </c>
      <c r="FK1643" s="4"/>
      <c r="FL1643" s="4"/>
      <c r="FM1643" s="4"/>
      <c r="FN1643" s="4"/>
      <c r="FO1643" s="4"/>
      <c r="FP1643" s="4"/>
      <c r="FQ1643" s="4"/>
      <c r="FR1643" s="4"/>
      <c r="FS1643" s="4">
        <v>1140</v>
      </c>
      <c r="FT1643" s="4"/>
      <c r="FU1643" s="4"/>
      <c r="FV1643" s="4"/>
      <c r="FW1643" s="4"/>
      <c r="FX1643" s="4"/>
      <c r="FY1643" s="4"/>
      <c r="FZ1643" s="4"/>
      <c r="GA1643" s="4"/>
      <c r="GB1643" s="4"/>
      <c r="GC1643" s="4"/>
      <c r="GD1643" s="4"/>
      <c r="GE1643" s="4"/>
      <c r="GF1643" s="4"/>
      <c r="GG1643" s="4"/>
      <c r="GH1643" s="4"/>
    </row>
    <row r="1644">
      <c r="A1644" s="2" t="s">
        <v>8572</v>
      </c>
      <c r="B1644" s="2" t="s">
        <v>1099</v>
      </c>
      <c r="C1644" s="2" t="s">
        <v>607</v>
      </c>
      <c r="D1644" s="2" t="s">
        <v>1100</v>
      </c>
      <c r="E1644" s="2" t="s">
        <v>1101</v>
      </c>
      <c r="F1644" s="2" t="s">
        <v>8551</v>
      </c>
      <c r="G1644" s="2" t="s">
        <v>8551</v>
      </c>
      <c r="H1644" s="2" t="s">
        <v>8551</v>
      </c>
      <c r="I1644" s="2" t="s">
        <v>8552</v>
      </c>
      <c r="J1644" s="2" t="s">
        <v>5836</v>
      </c>
      <c r="K1644" s="2" t="s">
        <v>1214</v>
      </c>
      <c r="L1644" s="3">
        <v>12</v>
      </c>
      <c r="M1644" s="3">
        <v>12.6</v>
      </c>
      <c r="N1644" s="3">
        <v>25.99</v>
      </c>
      <c r="O1644" s="2" t="s">
        <v>212</v>
      </c>
      <c r="P1644" s="2" t="s">
        <v>205</v>
      </c>
      <c r="Q1644" s="2" t="s">
        <v>206</v>
      </c>
      <c r="R1644" s="2" t="s">
        <v>200</v>
      </c>
      <c r="S1644" s="2" t="s">
        <v>200</v>
      </c>
      <c r="T1644" s="2" t="s">
        <v>312</v>
      </c>
      <c r="U1644" s="2" t="s">
        <v>270</v>
      </c>
      <c r="V1644" s="2" t="s">
        <v>208</v>
      </c>
      <c r="W1644" s="2" t="s">
        <v>241</v>
      </c>
      <c r="X1644" s="2" t="s">
        <v>200</v>
      </c>
      <c r="Y1644" s="2" t="s">
        <v>200</v>
      </c>
      <c r="Z1644" s="4"/>
      <c r="AA1644" s="4">
        <f>=ROUNDDOWN({0},0)</f>
      </c>
      <c r="AB1644" s="5"/>
      <c r="AC1644" s="2" t="s">
        <v>5688</v>
      </c>
      <c r="AD1644" s="4">
        <v>140</v>
      </c>
      <c r="AE1644" s="4">
        <v>312</v>
      </c>
      <c r="AF1644" s="6">
        <v>69</v>
      </c>
      <c r="AG1644" s="6"/>
      <c r="AH1644" s="7"/>
      <c r="AI1644" s="4"/>
      <c r="AJ1644" s="4">
        <f>=ROUNDDOWN({0},0)</f>
      </c>
      <c r="AK1644" s="5"/>
      <c r="AL1644" s="2" t="s">
        <v>200</v>
      </c>
      <c r="AM1644" s="4"/>
      <c r="AN1644" s="4"/>
      <c r="AO1644" s="7"/>
      <c r="AP1644" s="4"/>
      <c r="AQ1644" s="8"/>
      <c r="AR1644" s="4"/>
      <c r="AS1644" s="8"/>
      <c r="AT1644" s="7"/>
      <c r="AU1644" s="7"/>
      <c r="AV1644" s="4" t="s">
        <v>200</v>
      </c>
      <c r="AW1644" s="8" t="s">
        <v>200</v>
      </c>
      <c r="AX1644" s="4" t="s">
        <v>200</v>
      </c>
      <c r="AY1644" s="8" t="s">
        <v>200</v>
      </c>
      <c r="AZ1644" s="7" t="s">
        <v>200</v>
      </c>
      <c r="BA1644" s="7" t="s">
        <v>200</v>
      </c>
      <c r="BB1644" s="7"/>
      <c r="BC1644" s="4" t="s">
        <v>200</v>
      </c>
      <c r="BD1644" s="8" t="s">
        <v>200</v>
      </c>
      <c r="BE1644" s="4" t="s">
        <v>200</v>
      </c>
      <c r="BF1644" s="8" t="s">
        <v>200</v>
      </c>
      <c r="BG1644" s="7" t="s">
        <v>200</v>
      </c>
      <c r="BH1644" s="7" t="s">
        <v>200</v>
      </c>
      <c r="BI1644" s="7"/>
      <c r="BJ1644" s="4"/>
      <c r="BK1644" s="8"/>
      <c r="BL1644" s="2" t="s">
        <v>200</v>
      </c>
      <c r="BM1644" s="7"/>
      <c r="BN1644" s="7"/>
      <c r="BO1644" s="4"/>
      <c r="BP1644" s="8"/>
      <c r="BQ1644" s="4"/>
      <c r="BR1644" s="8"/>
      <c r="BS1644" s="7"/>
      <c r="BT1644" s="7"/>
      <c r="BU1644" s="2" t="s">
        <v>210</v>
      </c>
      <c r="BV1644" s="2" t="s">
        <v>200</v>
      </c>
      <c r="BW1644" s="2" t="s">
        <v>200</v>
      </c>
      <c r="BX1644" s="2" t="s">
        <v>210</v>
      </c>
      <c r="BY1644" s="2" t="s">
        <v>211</v>
      </c>
      <c r="BZ1644" s="2" t="s">
        <v>212</v>
      </c>
      <c r="CA1644" s="2" t="s">
        <v>200</v>
      </c>
      <c r="CB1644" s="2" t="s">
        <v>200</v>
      </c>
      <c r="CC1644" s="2" t="s">
        <v>213</v>
      </c>
      <c r="CD1644" s="2" t="s">
        <v>200</v>
      </c>
      <c r="CE1644" s="4"/>
      <c r="CF1644" s="4"/>
      <c r="CG1644" s="4"/>
      <c r="CH1644" s="4"/>
      <c r="CI1644" s="4"/>
      <c r="CJ1644" s="4"/>
      <c r="CK1644" s="4"/>
      <c r="CL1644" s="4"/>
      <c r="CM1644" s="4"/>
      <c r="CN1644" s="4"/>
      <c r="CO1644" s="4"/>
      <c r="CP1644" s="4"/>
      <c r="CQ1644" s="4"/>
      <c r="CR1644" s="4"/>
      <c r="CS1644" s="4"/>
      <c r="CT1644" s="4"/>
      <c r="CU1644" s="4"/>
      <c r="CV1644" s="4"/>
      <c r="CW1644" s="4"/>
      <c r="CX1644" s="4"/>
      <c r="CY1644" s="4"/>
      <c r="CZ1644" s="4"/>
      <c r="DA1644" s="4"/>
      <c r="DB1644" s="4"/>
      <c r="DC1644" s="4"/>
      <c r="DD1644" s="4"/>
      <c r="DE1644" s="4"/>
      <c r="DF1644" s="4"/>
      <c r="DG1644" s="4"/>
      <c r="DH1644" s="4"/>
      <c r="DI1644" s="4"/>
      <c r="DJ1644" s="4"/>
      <c r="DK1644" s="4"/>
      <c r="DL1644" s="4"/>
      <c r="DM1644" s="4"/>
      <c r="DN1644" s="4"/>
      <c r="DO1644" s="4"/>
      <c r="DP1644" s="4"/>
      <c r="DQ1644" s="4"/>
      <c r="DR1644" s="4"/>
      <c r="DS1644" s="4"/>
      <c r="DT1644" s="4"/>
      <c r="DU1644" s="4"/>
      <c r="DV1644" s="4"/>
      <c r="DW1644" s="4"/>
      <c r="DX1644" s="4"/>
      <c r="DY1644" s="4"/>
      <c r="DZ1644" s="4"/>
      <c r="EA1644" s="4"/>
      <c r="EB1644" s="4"/>
      <c r="EC1644" s="4"/>
      <c r="ED1644" s="4"/>
      <c r="EE1644" s="4"/>
      <c r="EF1644" s="4"/>
      <c r="EG1644" s="4"/>
      <c r="EH1644" s="4"/>
      <c r="EI1644" s="4"/>
      <c r="EJ1644" s="4"/>
      <c r="EK1644" s="4"/>
      <c r="EL1644" s="4"/>
      <c r="EM1644" s="4"/>
      <c r="EN1644" s="4"/>
      <c r="EO1644" s="4"/>
      <c r="EP1644" s="4"/>
      <c r="EQ1644" s="4"/>
      <c r="ER1644" s="4"/>
      <c r="ES1644" s="4"/>
      <c r="ET1644" s="4"/>
      <c r="EU1644" s="4"/>
      <c r="EV1644" s="4"/>
      <c r="EW1644" s="4"/>
      <c r="EX1644" s="4"/>
      <c r="EY1644" s="4"/>
      <c r="EZ1644" s="4"/>
      <c r="FA1644" s="4"/>
      <c r="FB1644" s="4"/>
      <c r="FC1644" s="4"/>
      <c r="FD1644" s="4"/>
      <c r="FE1644" s="4"/>
      <c r="FF1644" s="4"/>
      <c r="FG1644" s="4"/>
      <c r="FH1644" s="4"/>
      <c r="FI1644" s="4"/>
      <c r="FJ1644" s="4">
        <v>140</v>
      </c>
      <c r="FK1644" s="4"/>
      <c r="FL1644" s="4"/>
      <c r="FM1644" s="4"/>
      <c r="FN1644" s="4"/>
      <c r="FO1644" s="4"/>
      <c r="FP1644" s="4"/>
      <c r="FQ1644" s="4"/>
      <c r="FR1644" s="4"/>
      <c r="FS1644" s="4">
        <v>172</v>
      </c>
      <c r="FT1644" s="4"/>
      <c r="FU1644" s="4"/>
      <c r="FV1644" s="4"/>
      <c r="FW1644" s="4"/>
      <c r="FX1644" s="4"/>
      <c r="FY1644" s="4"/>
      <c r="FZ1644" s="4"/>
      <c r="GA1644" s="4"/>
      <c r="GB1644" s="4"/>
      <c r="GC1644" s="4"/>
      <c r="GD1644" s="4"/>
      <c r="GE1644" s="4"/>
      <c r="GF1644" s="4"/>
      <c r="GG1644" s="4"/>
      <c r="GH1644" s="4"/>
    </row>
    <row r="1645">
      <c r="A1645" s="2" t="s">
        <v>8573</v>
      </c>
      <c r="B1645" s="2" t="s">
        <v>1099</v>
      </c>
      <c r="C1645" s="2" t="s">
        <v>607</v>
      </c>
      <c r="D1645" s="2" t="s">
        <v>1100</v>
      </c>
      <c r="E1645" s="2" t="s">
        <v>1101</v>
      </c>
      <c r="F1645" s="2" t="s">
        <v>8551</v>
      </c>
      <c r="G1645" s="2" t="s">
        <v>8551</v>
      </c>
      <c r="H1645" s="2" t="s">
        <v>8551</v>
      </c>
      <c r="I1645" s="2" t="s">
        <v>8552</v>
      </c>
      <c r="J1645" s="2" t="s">
        <v>1103</v>
      </c>
      <c r="K1645" s="2" t="s">
        <v>1214</v>
      </c>
      <c r="L1645" s="3">
        <v>21.3</v>
      </c>
      <c r="M1645" s="3">
        <v>22.37</v>
      </c>
      <c r="N1645" s="3">
        <v>45.99</v>
      </c>
      <c r="O1645" s="2" t="s">
        <v>212</v>
      </c>
      <c r="P1645" s="2" t="s">
        <v>205</v>
      </c>
      <c r="Q1645" s="2" t="s">
        <v>206</v>
      </c>
      <c r="R1645" s="2" t="s">
        <v>200</v>
      </c>
      <c r="S1645" s="2" t="s">
        <v>200</v>
      </c>
      <c r="T1645" s="2" t="s">
        <v>312</v>
      </c>
      <c r="U1645" s="2" t="s">
        <v>270</v>
      </c>
      <c r="V1645" s="2" t="s">
        <v>208</v>
      </c>
      <c r="W1645" s="2" t="s">
        <v>241</v>
      </c>
      <c r="X1645" s="2" t="s">
        <v>200</v>
      </c>
      <c r="Y1645" s="2" t="s">
        <v>200</v>
      </c>
      <c r="Z1645" s="4"/>
      <c r="AA1645" s="4">
        <f>=ROUNDDOWN({0},0)</f>
      </c>
      <c r="AB1645" s="5"/>
      <c r="AC1645" s="2" t="s">
        <v>5688</v>
      </c>
      <c r="AD1645" s="4">
        <v>128</v>
      </c>
      <c r="AE1645" s="4">
        <v>288</v>
      </c>
      <c r="AF1645" s="6">
        <v>69</v>
      </c>
      <c r="AG1645" s="6"/>
      <c r="AH1645" s="7"/>
      <c r="AI1645" s="4"/>
      <c r="AJ1645" s="4">
        <f>=ROUNDDOWN({0},0)</f>
      </c>
      <c r="AK1645" s="5"/>
      <c r="AL1645" s="2" t="s">
        <v>200</v>
      </c>
      <c r="AM1645" s="4"/>
      <c r="AN1645" s="4"/>
      <c r="AO1645" s="7"/>
      <c r="AP1645" s="4"/>
      <c r="AQ1645" s="8"/>
      <c r="AR1645" s="4"/>
      <c r="AS1645" s="8"/>
      <c r="AT1645" s="7"/>
      <c r="AU1645" s="7"/>
      <c r="AV1645" s="4" t="s">
        <v>200</v>
      </c>
      <c r="AW1645" s="8" t="s">
        <v>200</v>
      </c>
      <c r="AX1645" s="4" t="s">
        <v>200</v>
      </c>
      <c r="AY1645" s="8" t="s">
        <v>200</v>
      </c>
      <c r="AZ1645" s="7" t="s">
        <v>200</v>
      </c>
      <c r="BA1645" s="7" t="s">
        <v>200</v>
      </c>
      <c r="BB1645" s="7"/>
      <c r="BC1645" s="4" t="s">
        <v>200</v>
      </c>
      <c r="BD1645" s="8" t="s">
        <v>200</v>
      </c>
      <c r="BE1645" s="4" t="s">
        <v>200</v>
      </c>
      <c r="BF1645" s="8" t="s">
        <v>200</v>
      </c>
      <c r="BG1645" s="7" t="s">
        <v>200</v>
      </c>
      <c r="BH1645" s="7" t="s">
        <v>200</v>
      </c>
      <c r="BI1645" s="7"/>
      <c r="BJ1645" s="4"/>
      <c r="BK1645" s="8"/>
      <c r="BL1645" s="2" t="s">
        <v>200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210</v>
      </c>
      <c r="BV1645" s="2" t="s">
        <v>200</v>
      </c>
      <c r="BW1645" s="2" t="s">
        <v>200</v>
      </c>
      <c r="BX1645" s="2" t="s">
        <v>210</v>
      </c>
      <c r="BY1645" s="2" t="s">
        <v>211</v>
      </c>
      <c r="BZ1645" s="2" t="s">
        <v>212</v>
      </c>
      <c r="CA1645" s="2" t="s">
        <v>200</v>
      </c>
      <c r="CB1645" s="2" t="s">
        <v>200</v>
      </c>
      <c r="CC1645" s="2" t="s">
        <v>213</v>
      </c>
      <c r="CD1645" s="2" t="s">
        <v>200</v>
      </c>
      <c r="CE1645" s="4"/>
      <c r="CF1645" s="4"/>
      <c r="CG1645" s="4"/>
      <c r="CH1645" s="4"/>
      <c r="CI1645" s="4"/>
      <c r="CJ1645" s="4"/>
      <c r="CK1645" s="4"/>
      <c r="CL1645" s="4"/>
      <c r="CM1645" s="4"/>
      <c r="CN1645" s="4"/>
      <c r="CO1645" s="4"/>
      <c r="CP1645" s="4"/>
      <c r="CQ1645" s="4"/>
      <c r="CR1645" s="4"/>
      <c r="CS1645" s="4"/>
      <c r="CT1645" s="4"/>
      <c r="CU1645" s="4"/>
      <c r="CV1645" s="4"/>
      <c r="CW1645" s="4"/>
      <c r="CX1645" s="4"/>
      <c r="CY1645" s="4"/>
      <c r="CZ1645" s="4"/>
      <c r="DA1645" s="4"/>
      <c r="DB1645" s="4"/>
      <c r="DC1645" s="4"/>
      <c r="DD1645" s="4"/>
      <c r="DE1645" s="4"/>
      <c r="DF1645" s="4"/>
      <c r="DG1645" s="4"/>
      <c r="DH1645" s="4"/>
      <c r="DI1645" s="4"/>
      <c r="DJ1645" s="4"/>
      <c r="DK1645" s="4"/>
      <c r="DL1645" s="4"/>
      <c r="DM1645" s="4"/>
      <c r="DN1645" s="4"/>
      <c r="DO1645" s="4"/>
      <c r="DP1645" s="4"/>
      <c r="DQ1645" s="4"/>
      <c r="DR1645" s="4"/>
      <c r="DS1645" s="4"/>
      <c r="DT1645" s="4"/>
      <c r="DU1645" s="4"/>
      <c r="DV1645" s="4"/>
      <c r="DW1645" s="4"/>
      <c r="DX1645" s="4"/>
      <c r="DY1645" s="4"/>
      <c r="DZ1645" s="4"/>
      <c r="EA1645" s="4"/>
      <c r="EB1645" s="4"/>
      <c r="EC1645" s="4"/>
      <c r="ED1645" s="4"/>
      <c r="EE1645" s="4"/>
      <c r="EF1645" s="4"/>
      <c r="EG1645" s="4"/>
      <c r="EH1645" s="4"/>
      <c r="EI1645" s="4"/>
      <c r="EJ1645" s="4"/>
      <c r="EK1645" s="4"/>
      <c r="EL1645" s="4"/>
      <c r="EM1645" s="4"/>
      <c r="EN1645" s="4"/>
      <c r="EO1645" s="4"/>
      <c r="EP1645" s="4"/>
      <c r="EQ1645" s="4"/>
      <c r="ER1645" s="4"/>
      <c r="ES1645" s="4"/>
      <c r="ET1645" s="4"/>
      <c r="EU1645" s="4"/>
      <c r="EV1645" s="4"/>
      <c r="EW1645" s="4"/>
      <c r="EX1645" s="4"/>
      <c r="EY1645" s="4"/>
      <c r="EZ1645" s="4"/>
      <c r="FA1645" s="4"/>
      <c r="FB1645" s="4"/>
      <c r="FC1645" s="4"/>
      <c r="FD1645" s="4"/>
      <c r="FE1645" s="4"/>
      <c r="FF1645" s="4"/>
      <c r="FG1645" s="4"/>
      <c r="FH1645" s="4"/>
      <c r="FI1645" s="4"/>
      <c r="FJ1645" s="4">
        <v>128</v>
      </c>
      <c r="FK1645" s="4"/>
      <c r="FL1645" s="4"/>
      <c r="FM1645" s="4"/>
      <c r="FN1645" s="4"/>
      <c r="FO1645" s="4"/>
      <c r="FP1645" s="4"/>
      <c r="FQ1645" s="4"/>
      <c r="FR1645" s="4"/>
      <c r="FS1645" s="4">
        <v>160</v>
      </c>
      <c r="FT1645" s="4"/>
      <c r="FU1645" s="4"/>
      <c r="FV1645" s="4"/>
      <c r="FW1645" s="4"/>
      <c r="FX1645" s="4"/>
      <c r="FY1645" s="4"/>
      <c r="FZ1645" s="4"/>
      <c r="GA1645" s="4"/>
      <c r="GB1645" s="4"/>
      <c r="GC1645" s="4"/>
      <c r="GD1645" s="4"/>
      <c r="GE1645" s="4"/>
      <c r="GF1645" s="4"/>
      <c r="GG1645" s="4"/>
      <c r="GH1645" s="4"/>
    </row>
    <row r="1646">
      <c r="A1646" s="2" t="s">
        <v>8574</v>
      </c>
      <c r="B1646" s="2" t="s">
        <v>1099</v>
      </c>
      <c r="C1646" s="2" t="s">
        <v>607</v>
      </c>
      <c r="D1646" s="2" t="s">
        <v>1100</v>
      </c>
      <c r="E1646" s="2" t="s">
        <v>1101</v>
      </c>
      <c r="F1646" s="2" t="s">
        <v>8551</v>
      </c>
      <c r="G1646" s="2" t="s">
        <v>8551</v>
      </c>
      <c r="H1646" s="2" t="s">
        <v>8551</v>
      </c>
      <c r="I1646" s="2" t="s">
        <v>8552</v>
      </c>
      <c r="J1646" s="2" t="s">
        <v>8555</v>
      </c>
      <c r="K1646" s="2" t="s">
        <v>1214</v>
      </c>
      <c r="L1646" s="3">
        <v>18.5</v>
      </c>
      <c r="M1646" s="3">
        <v>19.43</v>
      </c>
      <c r="N1646" s="3">
        <v>39.99</v>
      </c>
      <c r="O1646" s="2" t="s">
        <v>212</v>
      </c>
      <c r="P1646" s="2" t="s">
        <v>205</v>
      </c>
      <c r="Q1646" s="2" t="s">
        <v>206</v>
      </c>
      <c r="R1646" s="2" t="s">
        <v>200</v>
      </c>
      <c r="S1646" s="2" t="s">
        <v>200</v>
      </c>
      <c r="T1646" s="2" t="s">
        <v>312</v>
      </c>
      <c r="U1646" s="2" t="s">
        <v>270</v>
      </c>
      <c r="V1646" s="2" t="s">
        <v>208</v>
      </c>
      <c r="W1646" s="2" t="s">
        <v>241</v>
      </c>
      <c r="X1646" s="2" t="s">
        <v>200</v>
      </c>
      <c r="Y1646" s="2" t="s">
        <v>200</v>
      </c>
      <c r="Z1646" s="4"/>
      <c r="AA1646" s="4">
        <f>=ROUNDDOWN({0},0)</f>
      </c>
      <c r="AB1646" s="5"/>
      <c r="AC1646" s="2" t="s">
        <v>5688</v>
      </c>
      <c r="AD1646" s="4">
        <v>100</v>
      </c>
      <c r="AE1646" s="4">
        <v>232</v>
      </c>
      <c r="AF1646" s="6">
        <v>69</v>
      </c>
      <c r="AG1646" s="6"/>
      <c r="AH1646" s="7"/>
      <c r="AI1646" s="4"/>
      <c r="AJ1646" s="4">
        <f>=ROUNDDOWN({0},0)</f>
      </c>
      <c r="AK1646" s="5"/>
      <c r="AL1646" s="2" t="s">
        <v>200</v>
      </c>
      <c r="AM1646" s="4"/>
      <c r="AN1646" s="4"/>
      <c r="AO1646" s="7"/>
      <c r="AP1646" s="4"/>
      <c r="AQ1646" s="8"/>
      <c r="AR1646" s="4"/>
      <c r="AS1646" s="8"/>
      <c r="AT1646" s="7"/>
      <c r="AU1646" s="7"/>
      <c r="AV1646" s="4" t="s">
        <v>200</v>
      </c>
      <c r="AW1646" s="8" t="s">
        <v>200</v>
      </c>
      <c r="AX1646" s="4" t="s">
        <v>200</v>
      </c>
      <c r="AY1646" s="8" t="s">
        <v>200</v>
      </c>
      <c r="AZ1646" s="7" t="s">
        <v>200</v>
      </c>
      <c r="BA1646" s="7" t="s">
        <v>200</v>
      </c>
      <c r="BB1646" s="7"/>
      <c r="BC1646" s="4" t="s">
        <v>200</v>
      </c>
      <c r="BD1646" s="8" t="s">
        <v>200</v>
      </c>
      <c r="BE1646" s="4" t="s">
        <v>200</v>
      </c>
      <c r="BF1646" s="8" t="s">
        <v>200</v>
      </c>
      <c r="BG1646" s="7" t="s">
        <v>200</v>
      </c>
      <c r="BH1646" s="7" t="s">
        <v>200</v>
      </c>
      <c r="BI1646" s="7"/>
      <c r="BJ1646" s="4"/>
      <c r="BK1646" s="8"/>
      <c r="BL1646" s="2" t="s">
        <v>200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210</v>
      </c>
      <c r="BV1646" s="2" t="s">
        <v>200</v>
      </c>
      <c r="BW1646" s="2" t="s">
        <v>200</v>
      </c>
      <c r="BX1646" s="2" t="s">
        <v>210</v>
      </c>
      <c r="BY1646" s="2" t="s">
        <v>211</v>
      </c>
      <c r="BZ1646" s="2" t="s">
        <v>212</v>
      </c>
      <c r="CA1646" s="2" t="s">
        <v>200</v>
      </c>
      <c r="CB1646" s="2" t="s">
        <v>200</v>
      </c>
      <c r="CC1646" s="2" t="s">
        <v>213</v>
      </c>
      <c r="CD1646" s="2" t="s">
        <v>200</v>
      </c>
      <c r="CE1646" s="4"/>
      <c r="CF1646" s="4"/>
      <c r="CG1646" s="4"/>
      <c r="CH1646" s="4"/>
      <c r="CI1646" s="4"/>
      <c r="CJ1646" s="4"/>
      <c r="CK1646" s="4"/>
      <c r="CL1646" s="4"/>
      <c r="CM1646" s="4"/>
      <c r="CN1646" s="4"/>
      <c r="CO1646" s="4"/>
      <c r="CP1646" s="4"/>
      <c r="CQ1646" s="4"/>
      <c r="CR1646" s="4"/>
      <c r="CS1646" s="4"/>
      <c r="CT1646" s="4"/>
      <c r="CU1646" s="4"/>
      <c r="CV1646" s="4"/>
      <c r="CW1646" s="4"/>
      <c r="CX1646" s="4"/>
      <c r="CY1646" s="4"/>
      <c r="CZ1646" s="4"/>
      <c r="DA1646" s="4"/>
      <c r="DB1646" s="4"/>
      <c r="DC1646" s="4"/>
      <c r="DD1646" s="4"/>
      <c r="DE1646" s="4"/>
      <c r="DF1646" s="4"/>
      <c r="DG1646" s="4"/>
      <c r="DH1646" s="4"/>
      <c r="DI1646" s="4"/>
      <c r="DJ1646" s="4"/>
      <c r="DK1646" s="4"/>
      <c r="DL1646" s="4"/>
      <c r="DM1646" s="4"/>
      <c r="DN1646" s="4"/>
      <c r="DO1646" s="4"/>
      <c r="DP1646" s="4"/>
      <c r="DQ1646" s="4"/>
      <c r="DR1646" s="4"/>
      <c r="DS1646" s="4"/>
      <c r="DT1646" s="4"/>
      <c r="DU1646" s="4"/>
      <c r="DV1646" s="4"/>
      <c r="DW1646" s="4"/>
      <c r="DX1646" s="4"/>
      <c r="DY1646" s="4"/>
      <c r="DZ1646" s="4"/>
      <c r="EA1646" s="4"/>
      <c r="EB1646" s="4"/>
      <c r="EC1646" s="4"/>
      <c r="ED1646" s="4"/>
      <c r="EE1646" s="4"/>
      <c r="EF1646" s="4"/>
      <c r="EG1646" s="4"/>
      <c r="EH1646" s="4"/>
      <c r="EI1646" s="4"/>
      <c r="EJ1646" s="4"/>
      <c r="EK1646" s="4"/>
      <c r="EL1646" s="4"/>
      <c r="EM1646" s="4"/>
      <c r="EN1646" s="4"/>
      <c r="EO1646" s="4"/>
      <c r="EP1646" s="4"/>
      <c r="EQ1646" s="4"/>
      <c r="ER1646" s="4"/>
      <c r="ES1646" s="4"/>
      <c r="ET1646" s="4"/>
      <c r="EU1646" s="4"/>
      <c r="EV1646" s="4"/>
      <c r="EW1646" s="4"/>
      <c r="EX1646" s="4"/>
      <c r="EY1646" s="4"/>
      <c r="EZ1646" s="4"/>
      <c r="FA1646" s="4"/>
      <c r="FB1646" s="4"/>
      <c r="FC1646" s="4"/>
      <c r="FD1646" s="4"/>
      <c r="FE1646" s="4"/>
      <c r="FF1646" s="4"/>
      <c r="FG1646" s="4"/>
      <c r="FH1646" s="4"/>
      <c r="FI1646" s="4"/>
      <c r="FJ1646" s="4">
        <v>100</v>
      </c>
      <c r="FK1646" s="4"/>
      <c r="FL1646" s="4"/>
      <c r="FM1646" s="4"/>
      <c r="FN1646" s="4"/>
      <c r="FO1646" s="4"/>
      <c r="FP1646" s="4"/>
      <c r="FQ1646" s="4"/>
      <c r="FR1646" s="4"/>
      <c r="FS1646" s="4">
        <v>132</v>
      </c>
      <c r="FT1646" s="4"/>
      <c r="FU1646" s="4"/>
      <c r="FV1646" s="4"/>
      <c r="FW1646" s="4"/>
      <c r="FX1646" s="4"/>
      <c r="FY1646" s="4"/>
      <c r="FZ1646" s="4"/>
      <c r="GA1646" s="4"/>
      <c r="GB1646" s="4"/>
      <c r="GC1646" s="4"/>
      <c r="GD1646" s="4"/>
      <c r="GE1646" s="4"/>
      <c r="GF1646" s="4"/>
      <c r="GG1646" s="4"/>
      <c r="GH1646" s="4"/>
    </row>
    <row r="1647">
      <c r="A1647" s="2" t="s">
        <v>8575</v>
      </c>
      <c r="B1647" s="2" t="s">
        <v>1099</v>
      </c>
      <c r="C1647" s="2" t="s">
        <v>607</v>
      </c>
      <c r="D1647" s="2" t="s">
        <v>1100</v>
      </c>
      <c r="E1647" s="2" t="s">
        <v>1101</v>
      </c>
      <c r="F1647" s="2" t="s">
        <v>8551</v>
      </c>
      <c r="G1647" s="2" t="s">
        <v>8551</v>
      </c>
      <c r="H1647" s="2" t="s">
        <v>8551</v>
      </c>
      <c r="I1647" s="2" t="s">
        <v>8552</v>
      </c>
      <c r="J1647" s="2" t="s">
        <v>1110</v>
      </c>
      <c r="K1647" s="2" t="s">
        <v>1214</v>
      </c>
      <c r="L1647" s="3">
        <v>27</v>
      </c>
      <c r="M1647" s="3">
        <v>28.35</v>
      </c>
      <c r="N1647" s="3">
        <v>56.99</v>
      </c>
      <c r="O1647" s="2" t="s">
        <v>212</v>
      </c>
      <c r="P1647" s="2" t="s">
        <v>205</v>
      </c>
      <c r="Q1647" s="2" t="s">
        <v>206</v>
      </c>
      <c r="R1647" s="2" t="s">
        <v>200</v>
      </c>
      <c r="S1647" s="2" t="s">
        <v>200</v>
      </c>
      <c r="T1647" s="2" t="s">
        <v>312</v>
      </c>
      <c r="U1647" s="2" t="s">
        <v>270</v>
      </c>
      <c r="V1647" s="2" t="s">
        <v>208</v>
      </c>
      <c r="W1647" s="2" t="s">
        <v>241</v>
      </c>
      <c r="X1647" s="2" t="s">
        <v>200</v>
      </c>
      <c r="Y1647" s="2" t="s">
        <v>200</v>
      </c>
      <c r="Z1647" s="4"/>
      <c r="AA1647" s="4">
        <f>=ROUNDDOWN({0},0)</f>
      </c>
      <c r="AB1647" s="5"/>
      <c r="AC1647" s="2" t="s">
        <v>5688</v>
      </c>
      <c r="AD1647" s="4">
        <v>60</v>
      </c>
      <c r="AE1647" s="4">
        <v>152</v>
      </c>
      <c r="AF1647" s="6">
        <v>69</v>
      </c>
      <c r="AG1647" s="6"/>
      <c r="AH1647" s="7"/>
      <c r="AI1647" s="4"/>
      <c r="AJ1647" s="4">
        <f>=ROUNDDOWN({0},0)</f>
      </c>
      <c r="AK1647" s="5"/>
      <c r="AL1647" s="2" t="s">
        <v>200</v>
      </c>
      <c r="AM1647" s="4"/>
      <c r="AN1647" s="4"/>
      <c r="AO1647" s="7"/>
      <c r="AP1647" s="4"/>
      <c r="AQ1647" s="8"/>
      <c r="AR1647" s="4"/>
      <c r="AS1647" s="8"/>
      <c r="AT1647" s="7"/>
      <c r="AU1647" s="7"/>
      <c r="AV1647" s="4" t="s">
        <v>200</v>
      </c>
      <c r="AW1647" s="8" t="s">
        <v>200</v>
      </c>
      <c r="AX1647" s="4" t="s">
        <v>200</v>
      </c>
      <c r="AY1647" s="8" t="s">
        <v>200</v>
      </c>
      <c r="AZ1647" s="7" t="s">
        <v>200</v>
      </c>
      <c r="BA1647" s="7" t="s">
        <v>200</v>
      </c>
      <c r="BB1647" s="7"/>
      <c r="BC1647" s="4" t="s">
        <v>200</v>
      </c>
      <c r="BD1647" s="8" t="s">
        <v>200</v>
      </c>
      <c r="BE1647" s="4" t="s">
        <v>200</v>
      </c>
      <c r="BF1647" s="8" t="s">
        <v>200</v>
      </c>
      <c r="BG1647" s="7" t="s">
        <v>200</v>
      </c>
      <c r="BH1647" s="7" t="s">
        <v>200</v>
      </c>
      <c r="BI1647" s="7"/>
      <c r="BJ1647" s="4"/>
      <c r="BK1647" s="8"/>
      <c r="BL1647" s="2" t="s">
        <v>200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210</v>
      </c>
      <c r="BV1647" s="2" t="s">
        <v>200</v>
      </c>
      <c r="BW1647" s="2" t="s">
        <v>200</v>
      </c>
      <c r="BX1647" s="2" t="s">
        <v>210</v>
      </c>
      <c r="BY1647" s="2" t="s">
        <v>211</v>
      </c>
      <c r="BZ1647" s="2" t="s">
        <v>212</v>
      </c>
      <c r="CA1647" s="2" t="s">
        <v>200</v>
      </c>
      <c r="CB1647" s="2" t="s">
        <v>200</v>
      </c>
      <c r="CC1647" s="2" t="s">
        <v>213</v>
      </c>
      <c r="CD1647" s="2" t="s">
        <v>200</v>
      </c>
      <c r="CE1647" s="4"/>
      <c r="CF1647" s="4"/>
      <c r="CG1647" s="4"/>
      <c r="CH1647" s="4"/>
      <c r="CI1647" s="4"/>
      <c r="CJ1647" s="4"/>
      <c r="CK1647" s="4"/>
      <c r="CL1647" s="4"/>
      <c r="CM1647" s="4"/>
      <c r="CN1647" s="4"/>
      <c r="CO1647" s="4"/>
      <c r="CP1647" s="4"/>
      <c r="CQ1647" s="4"/>
      <c r="CR1647" s="4"/>
      <c r="CS1647" s="4"/>
      <c r="CT1647" s="4"/>
      <c r="CU1647" s="4"/>
      <c r="CV1647" s="4"/>
      <c r="CW1647" s="4"/>
      <c r="CX1647" s="4"/>
      <c r="CY1647" s="4"/>
      <c r="CZ1647" s="4"/>
      <c r="DA1647" s="4"/>
      <c r="DB1647" s="4"/>
      <c r="DC1647" s="4"/>
      <c r="DD1647" s="4"/>
      <c r="DE1647" s="4"/>
      <c r="DF1647" s="4"/>
      <c r="DG1647" s="4"/>
      <c r="DH1647" s="4"/>
      <c r="DI1647" s="4"/>
      <c r="DJ1647" s="4"/>
      <c r="DK1647" s="4"/>
      <c r="DL1647" s="4"/>
      <c r="DM1647" s="4"/>
      <c r="DN1647" s="4"/>
      <c r="DO1647" s="4"/>
      <c r="DP1647" s="4"/>
      <c r="DQ1647" s="4"/>
      <c r="DR1647" s="4"/>
      <c r="DS1647" s="4"/>
      <c r="DT1647" s="4"/>
      <c r="DU1647" s="4"/>
      <c r="DV1647" s="4"/>
      <c r="DW1647" s="4"/>
      <c r="DX1647" s="4"/>
      <c r="DY1647" s="4"/>
      <c r="DZ1647" s="4"/>
      <c r="EA1647" s="4"/>
      <c r="EB1647" s="4"/>
      <c r="EC1647" s="4"/>
      <c r="ED1647" s="4"/>
      <c r="EE1647" s="4"/>
      <c r="EF1647" s="4"/>
      <c r="EG1647" s="4"/>
      <c r="EH1647" s="4"/>
      <c r="EI1647" s="4"/>
      <c r="EJ1647" s="4"/>
      <c r="EK1647" s="4"/>
      <c r="EL1647" s="4"/>
      <c r="EM1647" s="4"/>
      <c r="EN1647" s="4"/>
      <c r="EO1647" s="4"/>
      <c r="EP1647" s="4"/>
      <c r="EQ1647" s="4"/>
      <c r="ER1647" s="4"/>
      <c r="ES1647" s="4"/>
      <c r="ET1647" s="4"/>
      <c r="EU1647" s="4"/>
      <c r="EV1647" s="4"/>
      <c r="EW1647" s="4"/>
      <c r="EX1647" s="4"/>
      <c r="EY1647" s="4"/>
      <c r="EZ1647" s="4"/>
      <c r="FA1647" s="4"/>
      <c r="FB1647" s="4"/>
      <c r="FC1647" s="4"/>
      <c r="FD1647" s="4"/>
      <c r="FE1647" s="4"/>
      <c r="FF1647" s="4"/>
      <c r="FG1647" s="4"/>
      <c r="FH1647" s="4"/>
      <c r="FI1647" s="4"/>
      <c r="FJ1647" s="4">
        <v>60</v>
      </c>
      <c r="FK1647" s="4"/>
      <c r="FL1647" s="4"/>
      <c r="FM1647" s="4"/>
      <c r="FN1647" s="4"/>
      <c r="FO1647" s="4"/>
      <c r="FP1647" s="4"/>
      <c r="FQ1647" s="4"/>
      <c r="FR1647" s="4"/>
      <c r="FS1647" s="4">
        <v>92</v>
      </c>
      <c r="FT1647" s="4"/>
      <c r="FU1647" s="4"/>
      <c r="FV1647" s="4"/>
      <c r="FW1647" s="4"/>
      <c r="FX1647" s="4"/>
      <c r="FY1647" s="4"/>
      <c r="FZ1647" s="4"/>
      <c r="GA1647" s="4"/>
      <c r="GB1647" s="4"/>
      <c r="GC1647" s="4"/>
      <c r="GD1647" s="4"/>
      <c r="GE1647" s="4"/>
      <c r="GF1647" s="4"/>
      <c r="GG1647" s="4"/>
      <c r="GH1647" s="4"/>
    </row>
    <row r="1648">
      <c r="A1648" s="2" t="s">
        <v>8576</v>
      </c>
      <c r="B1648" s="2" t="s">
        <v>1099</v>
      </c>
      <c r="C1648" s="2" t="s">
        <v>607</v>
      </c>
      <c r="D1648" s="2" t="s">
        <v>1100</v>
      </c>
      <c r="E1648" s="2" t="s">
        <v>1101</v>
      </c>
      <c r="F1648" s="2" t="s">
        <v>8551</v>
      </c>
      <c r="G1648" s="2" t="s">
        <v>8551</v>
      </c>
      <c r="H1648" s="2" t="s">
        <v>8551</v>
      </c>
      <c r="I1648" s="2" t="s">
        <v>8552</v>
      </c>
      <c r="J1648" s="2" t="s">
        <v>8560</v>
      </c>
      <c r="K1648" s="2" t="s">
        <v>1214</v>
      </c>
      <c r="L1648" s="3">
        <v>14.8</v>
      </c>
      <c r="M1648" s="3">
        <v>15.54</v>
      </c>
      <c r="N1648" s="3">
        <v>31.99</v>
      </c>
      <c r="O1648" s="2" t="s">
        <v>212</v>
      </c>
      <c r="P1648" s="2" t="s">
        <v>205</v>
      </c>
      <c r="Q1648" s="2" t="s">
        <v>206</v>
      </c>
      <c r="R1648" s="2" t="s">
        <v>200</v>
      </c>
      <c r="S1648" s="2" t="s">
        <v>200</v>
      </c>
      <c r="T1648" s="2" t="s">
        <v>312</v>
      </c>
      <c r="U1648" s="2" t="s">
        <v>270</v>
      </c>
      <c r="V1648" s="2" t="s">
        <v>208</v>
      </c>
      <c r="W1648" s="2" t="s">
        <v>241</v>
      </c>
      <c r="X1648" s="2" t="s">
        <v>200</v>
      </c>
      <c r="Y1648" s="2" t="s">
        <v>200</v>
      </c>
      <c r="Z1648" s="4"/>
      <c r="AA1648" s="4">
        <f>=ROUNDDOWN({0},0)</f>
      </c>
      <c r="AB1648" s="5"/>
      <c r="AC1648" s="2" t="s">
        <v>5688</v>
      </c>
      <c r="AD1648" s="4">
        <v>232</v>
      </c>
      <c r="AE1648" s="4">
        <v>496</v>
      </c>
      <c r="AF1648" s="6">
        <v>69</v>
      </c>
      <c r="AG1648" s="6"/>
      <c r="AH1648" s="7"/>
      <c r="AI1648" s="4"/>
      <c r="AJ1648" s="4">
        <f>=ROUNDDOWN({0},0)</f>
      </c>
      <c r="AK1648" s="5"/>
      <c r="AL1648" s="2" t="s">
        <v>200</v>
      </c>
      <c r="AM1648" s="4"/>
      <c r="AN1648" s="4"/>
      <c r="AO1648" s="7"/>
      <c r="AP1648" s="4"/>
      <c r="AQ1648" s="8"/>
      <c r="AR1648" s="4"/>
      <c r="AS1648" s="8"/>
      <c r="AT1648" s="7"/>
      <c r="AU1648" s="7"/>
      <c r="AV1648" s="4" t="s">
        <v>200</v>
      </c>
      <c r="AW1648" s="8" t="s">
        <v>200</v>
      </c>
      <c r="AX1648" s="4" t="s">
        <v>200</v>
      </c>
      <c r="AY1648" s="8" t="s">
        <v>200</v>
      </c>
      <c r="AZ1648" s="7" t="s">
        <v>200</v>
      </c>
      <c r="BA1648" s="7" t="s">
        <v>200</v>
      </c>
      <c r="BB1648" s="7"/>
      <c r="BC1648" s="4" t="s">
        <v>200</v>
      </c>
      <c r="BD1648" s="8" t="s">
        <v>200</v>
      </c>
      <c r="BE1648" s="4" t="s">
        <v>200</v>
      </c>
      <c r="BF1648" s="8" t="s">
        <v>200</v>
      </c>
      <c r="BG1648" s="7" t="s">
        <v>200</v>
      </c>
      <c r="BH1648" s="7" t="s">
        <v>200</v>
      </c>
      <c r="BI1648" s="7"/>
      <c r="BJ1648" s="4"/>
      <c r="BK1648" s="8"/>
      <c r="BL1648" s="2" t="s">
        <v>200</v>
      </c>
      <c r="BM1648" s="7"/>
      <c r="BN1648" s="7"/>
      <c r="BO1648" s="4"/>
      <c r="BP1648" s="8"/>
      <c r="BQ1648" s="4"/>
      <c r="BR1648" s="8"/>
      <c r="BS1648" s="7"/>
      <c r="BT1648" s="7"/>
      <c r="BU1648" s="2" t="s">
        <v>210</v>
      </c>
      <c r="BV1648" s="2" t="s">
        <v>200</v>
      </c>
      <c r="BW1648" s="2" t="s">
        <v>200</v>
      </c>
      <c r="BX1648" s="2" t="s">
        <v>210</v>
      </c>
      <c r="BY1648" s="2" t="s">
        <v>211</v>
      </c>
      <c r="BZ1648" s="2" t="s">
        <v>212</v>
      </c>
      <c r="CA1648" s="2" t="s">
        <v>200</v>
      </c>
      <c r="CB1648" s="2" t="s">
        <v>200</v>
      </c>
      <c r="CC1648" s="2" t="s">
        <v>213</v>
      </c>
      <c r="CD1648" s="2" t="s">
        <v>200</v>
      </c>
      <c r="CE1648" s="4"/>
      <c r="CF1648" s="4"/>
      <c r="CG1648" s="4"/>
      <c r="CH1648" s="4"/>
      <c r="CI1648" s="4"/>
      <c r="CJ1648" s="4"/>
      <c r="CK1648" s="4"/>
      <c r="CL1648" s="4"/>
      <c r="CM1648" s="4"/>
      <c r="CN1648" s="4"/>
      <c r="CO1648" s="4"/>
      <c r="CP1648" s="4"/>
      <c r="CQ1648" s="4"/>
      <c r="CR1648" s="4"/>
      <c r="CS1648" s="4"/>
      <c r="CT1648" s="4"/>
      <c r="CU1648" s="4"/>
      <c r="CV1648" s="4"/>
      <c r="CW1648" s="4"/>
      <c r="CX1648" s="4"/>
      <c r="CY1648" s="4"/>
      <c r="CZ1648" s="4"/>
      <c r="DA1648" s="4"/>
      <c r="DB1648" s="4"/>
      <c r="DC1648" s="4"/>
      <c r="DD1648" s="4"/>
      <c r="DE1648" s="4"/>
      <c r="DF1648" s="4"/>
      <c r="DG1648" s="4"/>
      <c r="DH1648" s="4"/>
      <c r="DI1648" s="4"/>
      <c r="DJ1648" s="4"/>
      <c r="DK1648" s="4"/>
      <c r="DL1648" s="4"/>
      <c r="DM1648" s="4"/>
      <c r="DN1648" s="4"/>
      <c r="DO1648" s="4"/>
      <c r="DP1648" s="4"/>
      <c r="DQ1648" s="4"/>
      <c r="DR1648" s="4"/>
      <c r="DS1648" s="4"/>
      <c r="DT1648" s="4"/>
      <c r="DU1648" s="4"/>
      <c r="DV1648" s="4"/>
      <c r="DW1648" s="4"/>
      <c r="DX1648" s="4"/>
      <c r="DY1648" s="4"/>
      <c r="DZ1648" s="4"/>
      <c r="EA1648" s="4"/>
      <c r="EB1648" s="4"/>
      <c r="EC1648" s="4"/>
      <c r="ED1648" s="4"/>
      <c r="EE1648" s="4"/>
      <c r="EF1648" s="4"/>
      <c r="EG1648" s="4"/>
      <c r="EH1648" s="4"/>
      <c r="EI1648" s="4"/>
      <c r="EJ1648" s="4"/>
      <c r="EK1648" s="4"/>
      <c r="EL1648" s="4"/>
      <c r="EM1648" s="4"/>
      <c r="EN1648" s="4"/>
      <c r="EO1648" s="4"/>
      <c r="EP1648" s="4"/>
      <c r="EQ1648" s="4"/>
      <c r="ER1648" s="4"/>
      <c r="ES1648" s="4"/>
      <c r="ET1648" s="4"/>
      <c r="EU1648" s="4"/>
      <c r="EV1648" s="4"/>
      <c r="EW1648" s="4"/>
      <c r="EX1648" s="4"/>
      <c r="EY1648" s="4"/>
      <c r="EZ1648" s="4"/>
      <c r="FA1648" s="4"/>
      <c r="FB1648" s="4"/>
      <c r="FC1648" s="4"/>
      <c r="FD1648" s="4"/>
      <c r="FE1648" s="4"/>
      <c r="FF1648" s="4"/>
      <c r="FG1648" s="4"/>
      <c r="FH1648" s="4"/>
      <c r="FI1648" s="4"/>
      <c r="FJ1648" s="4">
        <v>232</v>
      </c>
      <c r="FK1648" s="4"/>
      <c r="FL1648" s="4"/>
      <c r="FM1648" s="4"/>
      <c r="FN1648" s="4"/>
      <c r="FO1648" s="4"/>
      <c r="FP1648" s="4"/>
      <c r="FQ1648" s="4"/>
      <c r="FR1648" s="4"/>
      <c r="FS1648" s="4">
        <v>264</v>
      </c>
      <c r="FT1648" s="4"/>
      <c r="FU1648" s="4"/>
      <c r="FV1648" s="4"/>
      <c r="FW1648" s="4"/>
      <c r="FX1648" s="4"/>
      <c r="FY1648" s="4"/>
      <c r="FZ1648" s="4"/>
      <c r="GA1648" s="4"/>
      <c r="GB1648" s="4"/>
      <c r="GC1648" s="4"/>
      <c r="GD1648" s="4"/>
      <c r="GE1648" s="4"/>
      <c r="GF1648" s="4"/>
      <c r="GG1648" s="4"/>
      <c r="GH1648" s="4"/>
    </row>
    <row r="1649">
      <c r="A1649" s="2" t="s">
        <v>8577</v>
      </c>
      <c r="B1649" s="2" t="s">
        <v>1099</v>
      </c>
      <c r="C1649" s="2" t="s">
        <v>607</v>
      </c>
      <c r="D1649" s="2" t="s">
        <v>1100</v>
      </c>
      <c r="E1649" s="2" t="s">
        <v>1101</v>
      </c>
      <c r="F1649" s="2" t="s">
        <v>8551</v>
      </c>
      <c r="G1649" s="2" t="s">
        <v>8551</v>
      </c>
      <c r="H1649" s="2" t="s">
        <v>8551</v>
      </c>
      <c r="I1649" s="2" t="s">
        <v>8552</v>
      </c>
      <c r="J1649" s="2" t="s">
        <v>5836</v>
      </c>
      <c r="K1649" s="2" t="s">
        <v>416</v>
      </c>
      <c r="L1649" s="3">
        <v>12</v>
      </c>
      <c r="M1649" s="3">
        <v>12.6</v>
      </c>
      <c r="N1649" s="3">
        <v>25.99</v>
      </c>
      <c r="O1649" s="2" t="s">
        <v>212</v>
      </c>
      <c r="P1649" s="2" t="s">
        <v>205</v>
      </c>
      <c r="Q1649" s="2" t="s">
        <v>206</v>
      </c>
      <c r="R1649" s="2" t="s">
        <v>200</v>
      </c>
      <c r="S1649" s="2" t="s">
        <v>200</v>
      </c>
      <c r="T1649" s="2" t="s">
        <v>312</v>
      </c>
      <c r="U1649" s="2" t="s">
        <v>270</v>
      </c>
      <c r="V1649" s="2" t="s">
        <v>208</v>
      </c>
      <c r="W1649" s="2" t="s">
        <v>241</v>
      </c>
      <c r="X1649" s="2" t="s">
        <v>200</v>
      </c>
      <c r="Y1649" s="2" t="s">
        <v>200</v>
      </c>
      <c r="Z1649" s="4"/>
      <c r="AA1649" s="4">
        <f>=ROUNDDOWN({0},0)</f>
      </c>
      <c r="AB1649" s="5"/>
      <c r="AC1649" s="2" t="s">
        <v>5688</v>
      </c>
      <c r="AD1649" s="4">
        <v>312</v>
      </c>
      <c r="AE1649" s="4">
        <v>656</v>
      </c>
      <c r="AF1649" s="6">
        <v>69</v>
      </c>
      <c r="AG1649" s="6"/>
      <c r="AH1649" s="7"/>
      <c r="AI1649" s="4"/>
      <c r="AJ1649" s="4">
        <f>=ROUNDDOWN({0},0)</f>
      </c>
      <c r="AK1649" s="5"/>
      <c r="AL1649" s="2" t="s">
        <v>200</v>
      </c>
      <c r="AM1649" s="4"/>
      <c r="AN1649" s="4"/>
      <c r="AO1649" s="7"/>
      <c r="AP1649" s="4"/>
      <c r="AQ1649" s="8"/>
      <c r="AR1649" s="4"/>
      <c r="AS1649" s="8"/>
      <c r="AT1649" s="7"/>
      <c r="AU1649" s="7"/>
      <c r="AV1649" s="4" t="s">
        <v>200</v>
      </c>
      <c r="AW1649" s="8" t="s">
        <v>200</v>
      </c>
      <c r="AX1649" s="4" t="s">
        <v>200</v>
      </c>
      <c r="AY1649" s="8" t="s">
        <v>200</v>
      </c>
      <c r="AZ1649" s="7" t="s">
        <v>200</v>
      </c>
      <c r="BA1649" s="7" t="s">
        <v>200</v>
      </c>
      <c r="BB1649" s="7"/>
      <c r="BC1649" s="4" t="s">
        <v>200</v>
      </c>
      <c r="BD1649" s="8" t="s">
        <v>200</v>
      </c>
      <c r="BE1649" s="4" t="s">
        <v>200</v>
      </c>
      <c r="BF1649" s="8" t="s">
        <v>200</v>
      </c>
      <c r="BG1649" s="7" t="s">
        <v>200</v>
      </c>
      <c r="BH1649" s="7" t="s">
        <v>200</v>
      </c>
      <c r="BI1649" s="7"/>
      <c r="BJ1649" s="4"/>
      <c r="BK1649" s="8"/>
      <c r="BL1649" s="2" t="s">
        <v>200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210</v>
      </c>
      <c r="BV1649" s="2" t="s">
        <v>200</v>
      </c>
      <c r="BW1649" s="2" t="s">
        <v>200</v>
      </c>
      <c r="BX1649" s="2" t="s">
        <v>210</v>
      </c>
      <c r="BY1649" s="2" t="s">
        <v>211</v>
      </c>
      <c r="BZ1649" s="2" t="s">
        <v>212</v>
      </c>
      <c r="CA1649" s="2" t="s">
        <v>200</v>
      </c>
      <c r="CB1649" s="2" t="s">
        <v>200</v>
      </c>
      <c r="CC1649" s="2" t="s">
        <v>213</v>
      </c>
      <c r="CD1649" s="2" t="s">
        <v>200</v>
      </c>
      <c r="CE1649" s="4"/>
      <c r="CF1649" s="4"/>
      <c r="CG1649" s="4"/>
      <c r="CH1649" s="4"/>
      <c r="CI1649" s="4"/>
      <c r="CJ1649" s="4"/>
      <c r="CK1649" s="4"/>
      <c r="CL1649" s="4"/>
      <c r="CM1649" s="4"/>
      <c r="CN1649" s="4"/>
      <c r="CO1649" s="4"/>
      <c r="CP1649" s="4"/>
      <c r="CQ1649" s="4"/>
      <c r="CR1649" s="4"/>
      <c r="CS1649" s="4"/>
      <c r="CT1649" s="4"/>
      <c r="CU1649" s="4"/>
      <c r="CV1649" s="4"/>
      <c r="CW1649" s="4"/>
      <c r="CX1649" s="4"/>
      <c r="CY1649" s="4"/>
      <c r="CZ1649" s="4"/>
      <c r="DA1649" s="4"/>
      <c r="DB1649" s="4"/>
      <c r="DC1649" s="4"/>
      <c r="DD1649" s="4"/>
      <c r="DE1649" s="4"/>
      <c r="DF1649" s="4"/>
      <c r="DG1649" s="4"/>
      <c r="DH1649" s="4"/>
      <c r="DI1649" s="4"/>
      <c r="DJ1649" s="4"/>
      <c r="DK1649" s="4"/>
      <c r="DL1649" s="4"/>
      <c r="DM1649" s="4"/>
      <c r="DN1649" s="4"/>
      <c r="DO1649" s="4"/>
      <c r="DP1649" s="4"/>
      <c r="DQ1649" s="4"/>
      <c r="DR1649" s="4"/>
      <c r="DS1649" s="4"/>
      <c r="DT1649" s="4"/>
      <c r="DU1649" s="4"/>
      <c r="DV1649" s="4"/>
      <c r="DW1649" s="4"/>
      <c r="DX1649" s="4"/>
      <c r="DY1649" s="4"/>
      <c r="DZ1649" s="4"/>
      <c r="EA1649" s="4"/>
      <c r="EB1649" s="4"/>
      <c r="EC1649" s="4"/>
      <c r="ED1649" s="4"/>
      <c r="EE1649" s="4"/>
      <c r="EF1649" s="4"/>
      <c r="EG1649" s="4"/>
      <c r="EH1649" s="4"/>
      <c r="EI1649" s="4"/>
      <c r="EJ1649" s="4"/>
      <c r="EK1649" s="4"/>
      <c r="EL1649" s="4"/>
      <c r="EM1649" s="4"/>
      <c r="EN1649" s="4"/>
      <c r="EO1649" s="4"/>
      <c r="EP1649" s="4"/>
      <c r="EQ1649" s="4"/>
      <c r="ER1649" s="4"/>
      <c r="ES1649" s="4"/>
      <c r="ET1649" s="4"/>
      <c r="EU1649" s="4"/>
      <c r="EV1649" s="4"/>
      <c r="EW1649" s="4"/>
      <c r="EX1649" s="4"/>
      <c r="EY1649" s="4"/>
      <c r="EZ1649" s="4"/>
      <c r="FA1649" s="4"/>
      <c r="FB1649" s="4"/>
      <c r="FC1649" s="4"/>
      <c r="FD1649" s="4"/>
      <c r="FE1649" s="4"/>
      <c r="FF1649" s="4"/>
      <c r="FG1649" s="4"/>
      <c r="FH1649" s="4"/>
      <c r="FI1649" s="4"/>
      <c r="FJ1649" s="4">
        <v>312</v>
      </c>
      <c r="FK1649" s="4"/>
      <c r="FL1649" s="4"/>
      <c r="FM1649" s="4"/>
      <c r="FN1649" s="4"/>
      <c r="FO1649" s="4"/>
      <c r="FP1649" s="4"/>
      <c r="FQ1649" s="4"/>
      <c r="FR1649" s="4"/>
      <c r="FS1649" s="4">
        <v>344</v>
      </c>
      <c r="FT1649" s="4"/>
      <c r="FU1649" s="4"/>
      <c r="FV1649" s="4"/>
      <c r="FW1649" s="4"/>
      <c r="FX1649" s="4"/>
      <c r="FY1649" s="4"/>
      <c r="FZ1649" s="4"/>
      <c r="GA1649" s="4"/>
      <c r="GB1649" s="4"/>
      <c r="GC1649" s="4"/>
      <c r="GD1649" s="4"/>
      <c r="GE1649" s="4"/>
      <c r="GF1649" s="4"/>
      <c r="GG1649" s="4"/>
      <c r="GH1649" s="4"/>
    </row>
    <row r="1650">
      <c r="A1650" s="2" t="s">
        <v>8578</v>
      </c>
      <c r="B1650" s="2" t="s">
        <v>1099</v>
      </c>
      <c r="C1650" s="2" t="s">
        <v>607</v>
      </c>
      <c r="D1650" s="2" t="s">
        <v>1100</v>
      </c>
      <c r="E1650" s="2" t="s">
        <v>1101</v>
      </c>
      <c r="F1650" s="2" t="s">
        <v>8551</v>
      </c>
      <c r="G1650" s="2" t="s">
        <v>8551</v>
      </c>
      <c r="H1650" s="2" t="s">
        <v>8551</v>
      </c>
      <c r="I1650" s="2" t="s">
        <v>8552</v>
      </c>
      <c r="J1650" s="2" t="s">
        <v>1103</v>
      </c>
      <c r="K1650" s="2" t="s">
        <v>416</v>
      </c>
      <c r="L1650" s="3">
        <v>21.3</v>
      </c>
      <c r="M1650" s="3">
        <v>22.37</v>
      </c>
      <c r="N1650" s="3">
        <v>45.99</v>
      </c>
      <c r="O1650" s="2" t="s">
        <v>212</v>
      </c>
      <c r="P1650" s="2" t="s">
        <v>205</v>
      </c>
      <c r="Q1650" s="2" t="s">
        <v>206</v>
      </c>
      <c r="R1650" s="2" t="s">
        <v>200</v>
      </c>
      <c r="S1650" s="2" t="s">
        <v>200</v>
      </c>
      <c r="T1650" s="2" t="s">
        <v>312</v>
      </c>
      <c r="U1650" s="2" t="s">
        <v>270</v>
      </c>
      <c r="V1650" s="2" t="s">
        <v>208</v>
      </c>
      <c r="W1650" s="2" t="s">
        <v>241</v>
      </c>
      <c r="X1650" s="2" t="s">
        <v>200</v>
      </c>
      <c r="Y1650" s="2" t="s">
        <v>200</v>
      </c>
      <c r="Z1650" s="4"/>
      <c r="AA1650" s="4">
        <f>=ROUNDDOWN({0},0)</f>
      </c>
      <c r="AB1650" s="5"/>
      <c r="AC1650" s="2" t="s">
        <v>5688</v>
      </c>
      <c r="AD1650" s="4">
        <v>272</v>
      </c>
      <c r="AE1650" s="4">
        <v>576</v>
      </c>
      <c r="AF1650" s="6">
        <v>69</v>
      </c>
      <c r="AG1650" s="6"/>
      <c r="AH1650" s="7"/>
      <c r="AI1650" s="4"/>
      <c r="AJ1650" s="4">
        <f>=ROUNDDOWN({0},0)</f>
      </c>
      <c r="AK1650" s="5"/>
      <c r="AL1650" s="2" t="s">
        <v>200</v>
      </c>
      <c r="AM1650" s="4"/>
      <c r="AN1650" s="4"/>
      <c r="AO1650" s="7"/>
      <c r="AP1650" s="4"/>
      <c r="AQ1650" s="8"/>
      <c r="AR1650" s="4"/>
      <c r="AS1650" s="8"/>
      <c r="AT1650" s="7"/>
      <c r="AU1650" s="7"/>
      <c r="AV1650" s="4" t="s">
        <v>200</v>
      </c>
      <c r="AW1650" s="8" t="s">
        <v>200</v>
      </c>
      <c r="AX1650" s="4" t="s">
        <v>200</v>
      </c>
      <c r="AY1650" s="8" t="s">
        <v>200</v>
      </c>
      <c r="AZ1650" s="7" t="s">
        <v>200</v>
      </c>
      <c r="BA1650" s="7" t="s">
        <v>200</v>
      </c>
      <c r="BB1650" s="7"/>
      <c r="BC1650" s="4" t="s">
        <v>200</v>
      </c>
      <c r="BD1650" s="8" t="s">
        <v>200</v>
      </c>
      <c r="BE1650" s="4" t="s">
        <v>200</v>
      </c>
      <c r="BF1650" s="8" t="s">
        <v>200</v>
      </c>
      <c r="BG1650" s="7" t="s">
        <v>200</v>
      </c>
      <c r="BH1650" s="7" t="s">
        <v>200</v>
      </c>
      <c r="BI1650" s="7"/>
      <c r="BJ1650" s="4"/>
      <c r="BK1650" s="8"/>
      <c r="BL1650" s="2" t="s">
        <v>200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210</v>
      </c>
      <c r="BV1650" s="2" t="s">
        <v>200</v>
      </c>
      <c r="BW1650" s="2" t="s">
        <v>200</v>
      </c>
      <c r="BX1650" s="2" t="s">
        <v>210</v>
      </c>
      <c r="BY1650" s="2" t="s">
        <v>211</v>
      </c>
      <c r="BZ1650" s="2" t="s">
        <v>212</v>
      </c>
      <c r="CA1650" s="2" t="s">
        <v>200</v>
      </c>
      <c r="CB1650" s="2" t="s">
        <v>200</v>
      </c>
      <c r="CC1650" s="2" t="s">
        <v>213</v>
      </c>
      <c r="CD1650" s="2" t="s">
        <v>200</v>
      </c>
      <c r="CE1650" s="4"/>
      <c r="CF1650" s="4"/>
      <c r="CG1650" s="4"/>
      <c r="CH1650" s="4"/>
      <c r="CI1650" s="4"/>
      <c r="CJ1650" s="4"/>
      <c r="CK1650" s="4"/>
      <c r="CL1650" s="4"/>
      <c r="CM1650" s="4"/>
      <c r="CN1650" s="4"/>
      <c r="CO1650" s="4"/>
      <c r="CP1650" s="4"/>
      <c r="CQ1650" s="4"/>
      <c r="CR1650" s="4"/>
      <c r="CS1650" s="4"/>
      <c r="CT1650" s="4"/>
      <c r="CU1650" s="4"/>
      <c r="CV1650" s="4"/>
      <c r="CW1650" s="4"/>
      <c r="CX1650" s="4"/>
      <c r="CY1650" s="4"/>
      <c r="CZ1650" s="4"/>
      <c r="DA1650" s="4"/>
      <c r="DB1650" s="4"/>
      <c r="DC1650" s="4"/>
      <c r="DD1650" s="4"/>
      <c r="DE1650" s="4"/>
      <c r="DF1650" s="4"/>
      <c r="DG1650" s="4"/>
      <c r="DH1650" s="4"/>
      <c r="DI1650" s="4"/>
      <c r="DJ1650" s="4"/>
      <c r="DK1650" s="4"/>
      <c r="DL1650" s="4"/>
      <c r="DM1650" s="4"/>
      <c r="DN1650" s="4"/>
      <c r="DO1650" s="4"/>
      <c r="DP1650" s="4"/>
      <c r="DQ1650" s="4"/>
      <c r="DR1650" s="4"/>
      <c r="DS1650" s="4"/>
      <c r="DT1650" s="4"/>
      <c r="DU1650" s="4"/>
      <c r="DV1650" s="4"/>
      <c r="DW1650" s="4"/>
      <c r="DX1650" s="4"/>
      <c r="DY1650" s="4"/>
      <c r="DZ1650" s="4"/>
      <c r="EA1650" s="4"/>
      <c r="EB1650" s="4"/>
      <c r="EC1650" s="4"/>
      <c r="ED1650" s="4"/>
      <c r="EE1650" s="4"/>
      <c r="EF1650" s="4"/>
      <c r="EG1650" s="4"/>
      <c r="EH1650" s="4"/>
      <c r="EI1650" s="4"/>
      <c r="EJ1650" s="4"/>
      <c r="EK1650" s="4"/>
      <c r="EL1650" s="4"/>
      <c r="EM1650" s="4"/>
      <c r="EN1650" s="4"/>
      <c r="EO1650" s="4"/>
      <c r="EP1650" s="4"/>
      <c r="EQ1650" s="4"/>
      <c r="ER1650" s="4"/>
      <c r="ES1650" s="4"/>
      <c r="ET1650" s="4"/>
      <c r="EU1650" s="4"/>
      <c r="EV1650" s="4"/>
      <c r="EW1650" s="4"/>
      <c r="EX1650" s="4"/>
      <c r="EY1650" s="4"/>
      <c r="EZ1650" s="4"/>
      <c r="FA1650" s="4"/>
      <c r="FB1650" s="4"/>
      <c r="FC1650" s="4"/>
      <c r="FD1650" s="4"/>
      <c r="FE1650" s="4"/>
      <c r="FF1650" s="4"/>
      <c r="FG1650" s="4"/>
      <c r="FH1650" s="4"/>
      <c r="FI1650" s="4"/>
      <c r="FJ1650" s="4">
        <v>272</v>
      </c>
      <c r="FK1650" s="4"/>
      <c r="FL1650" s="4"/>
      <c r="FM1650" s="4"/>
      <c r="FN1650" s="4"/>
      <c r="FO1650" s="4"/>
      <c r="FP1650" s="4"/>
      <c r="FQ1650" s="4"/>
      <c r="FR1650" s="4"/>
      <c r="FS1650" s="4">
        <v>304</v>
      </c>
      <c r="FT1650" s="4"/>
      <c r="FU1650" s="4"/>
      <c r="FV1650" s="4"/>
      <c r="FW1650" s="4"/>
      <c r="FX1650" s="4"/>
      <c r="FY1650" s="4"/>
      <c r="FZ1650" s="4"/>
      <c r="GA1650" s="4"/>
      <c r="GB1650" s="4"/>
      <c r="GC1650" s="4"/>
      <c r="GD1650" s="4"/>
      <c r="GE1650" s="4"/>
      <c r="GF1650" s="4"/>
      <c r="GG1650" s="4"/>
      <c r="GH1650" s="4"/>
    </row>
    <row r="1651">
      <c r="A1651" s="2" t="s">
        <v>8579</v>
      </c>
      <c r="B1651" s="2" t="s">
        <v>1099</v>
      </c>
      <c r="C1651" s="2" t="s">
        <v>607</v>
      </c>
      <c r="D1651" s="2" t="s">
        <v>1100</v>
      </c>
      <c r="E1651" s="2" t="s">
        <v>1101</v>
      </c>
      <c r="F1651" s="2" t="s">
        <v>8551</v>
      </c>
      <c r="G1651" s="2" t="s">
        <v>8551</v>
      </c>
      <c r="H1651" s="2" t="s">
        <v>8551</v>
      </c>
      <c r="I1651" s="2" t="s">
        <v>8552</v>
      </c>
      <c r="J1651" s="2" t="s">
        <v>8555</v>
      </c>
      <c r="K1651" s="2" t="s">
        <v>416</v>
      </c>
      <c r="L1651" s="3">
        <v>18.5</v>
      </c>
      <c r="M1651" s="3">
        <v>19.43</v>
      </c>
      <c r="N1651" s="3">
        <v>39.99</v>
      </c>
      <c r="O1651" s="2" t="s">
        <v>212</v>
      </c>
      <c r="P1651" s="2" t="s">
        <v>205</v>
      </c>
      <c r="Q1651" s="2" t="s">
        <v>206</v>
      </c>
      <c r="R1651" s="2" t="s">
        <v>200</v>
      </c>
      <c r="S1651" s="2" t="s">
        <v>200</v>
      </c>
      <c r="T1651" s="2" t="s">
        <v>312</v>
      </c>
      <c r="U1651" s="2" t="s">
        <v>270</v>
      </c>
      <c r="V1651" s="2" t="s">
        <v>208</v>
      </c>
      <c r="W1651" s="2" t="s">
        <v>241</v>
      </c>
      <c r="X1651" s="2" t="s">
        <v>200</v>
      </c>
      <c r="Y1651" s="2" t="s">
        <v>200</v>
      </c>
      <c r="Z1651" s="4"/>
      <c r="AA1651" s="4">
        <f>=ROUNDDOWN({0},0)</f>
      </c>
      <c r="AB1651" s="5"/>
      <c r="AC1651" s="2" t="s">
        <v>5688</v>
      </c>
      <c r="AD1651" s="4">
        <v>224</v>
      </c>
      <c r="AE1651" s="4">
        <v>480</v>
      </c>
      <c r="AF1651" s="6">
        <v>69</v>
      </c>
      <c r="AG1651" s="6"/>
      <c r="AH1651" s="7"/>
      <c r="AI1651" s="4"/>
      <c r="AJ1651" s="4">
        <f>=ROUNDDOWN({0},0)</f>
      </c>
      <c r="AK1651" s="5"/>
      <c r="AL1651" s="2" t="s">
        <v>200</v>
      </c>
      <c r="AM1651" s="4"/>
      <c r="AN1651" s="4"/>
      <c r="AO1651" s="7"/>
      <c r="AP1651" s="4"/>
      <c r="AQ1651" s="8"/>
      <c r="AR1651" s="4"/>
      <c r="AS1651" s="8"/>
      <c r="AT1651" s="7"/>
      <c r="AU1651" s="7"/>
      <c r="AV1651" s="4" t="s">
        <v>200</v>
      </c>
      <c r="AW1651" s="8" t="s">
        <v>200</v>
      </c>
      <c r="AX1651" s="4" t="s">
        <v>200</v>
      </c>
      <c r="AY1651" s="8" t="s">
        <v>200</v>
      </c>
      <c r="AZ1651" s="7" t="s">
        <v>200</v>
      </c>
      <c r="BA1651" s="7" t="s">
        <v>200</v>
      </c>
      <c r="BB1651" s="7"/>
      <c r="BC1651" s="4" t="s">
        <v>200</v>
      </c>
      <c r="BD1651" s="8" t="s">
        <v>200</v>
      </c>
      <c r="BE1651" s="4" t="s">
        <v>200</v>
      </c>
      <c r="BF1651" s="8" t="s">
        <v>200</v>
      </c>
      <c r="BG1651" s="7" t="s">
        <v>200</v>
      </c>
      <c r="BH1651" s="7" t="s">
        <v>200</v>
      </c>
      <c r="BI1651" s="7"/>
      <c r="BJ1651" s="4"/>
      <c r="BK1651" s="8"/>
      <c r="BL1651" s="2" t="s">
        <v>200</v>
      </c>
      <c r="BM1651" s="7"/>
      <c r="BN1651" s="7"/>
      <c r="BO1651" s="4"/>
      <c r="BP1651" s="8"/>
      <c r="BQ1651" s="4"/>
      <c r="BR1651" s="8"/>
      <c r="BS1651" s="7"/>
      <c r="BT1651" s="7"/>
      <c r="BU1651" s="2" t="s">
        <v>210</v>
      </c>
      <c r="BV1651" s="2" t="s">
        <v>200</v>
      </c>
      <c r="BW1651" s="2" t="s">
        <v>200</v>
      </c>
      <c r="BX1651" s="2" t="s">
        <v>210</v>
      </c>
      <c r="BY1651" s="2" t="s">
        <v>211</v>
      </c>
      <c r="BZ1651" s="2" t="s">
        <v>212</v>
      </c>
      <c r="CA1651" s="2" t="s">
        <v>200</v>
      </c>
      <c r="CB1651" s="2" t="s">
        <v>200</v>
      </c>
      <c r="CC1651" s="2" t="s">
        <v>213</v>
      </c>
      <c r="CD1651" s="2" t="s">
        <v>200</v>
      </c>
      <c r="CE1651" s="4"/>
      <c r="CF1651" s="4"/>
      <c r="CG1651" s="4"/>
      <c r="CH1651" s="4"/>
      <c r="CI1651" s="4"/>
      <c r="CJ1651" s="4"/>
      <c r="CK1651" s="4"/>
      <c r="CL1651" s="4"/>
      <c r="CM1651" s="4"/>
      <c r="CN1651" s="4"/>
      <c r="CO1651" s="4"/>
      <c r="CP1651" s="4"/>
      <c r="CQ1651" s="4"/>
      <c r="CR1651" s="4"/>
      <c r="CS1651" s="4"/>
      <c r="CT1651" s="4"/>
      <c r="CU1651" s="4"/>
      <c r="CV1651" s="4"/>
      <c r="CW1651" s="4"/>
      <c r="CX1651" s="4"/>
      <c r="CY1651" s="4"/>
      <c r="CZ1651" s="4"/>
      <c r="DA1651" s="4"/>
      <c r="DB1651" s="4"/>
      <c r="DC1651" s="4"/>
      <c r="DD1651" s="4"/>
      <c r="DE1651" s="4"/>
      <c r="DF1651" s="4"/>
      <c r="DG1651" s="4"/>
      <c r="DH1651" s="4"/>
      <c r="DI1651" s="4"/>
      <c r="DJ1651" s="4"/>
      <c r="DK1651" s="4"/>
      <c r="DL1651" s="4"/>
      <c r="DM1651" s="4"/>
      <c r="DN1651" s="4"/>
      <c r="DO1651" s="4"/>
      <c r="DP1651" s="4"/>
      <c r="DQ1651" s="4"/>
      <c r="DR1651" s="4"/>
      <c r="DS1651" s="4"/>
      <c r="DT1651" s="4"/>
      <c r="DU1651" s="4"/>
      <c r="DV1651" s="4"/>
      <c r="DW1651" s="4"/>
      <c r="DX1651" s="4"/>
      <c r="DY1651" s="4"/>
      <c r="DZ1651" s="4"/>
      <c r="EA1651" s="4"/>
      <c r="EB1651" s="4"/>
      <c r="EC1651" s="4"/>
      <c r="ED1651" s="4"/>
      <c r="EE1651" s="4"/>
      <c r="EF1651" s="4"/>
      <c r="EG1651" s="4"/>
      <c r="EH1651" s="4"/>
      <c r="EI1651" s="4"/>
      <c r="EJ1651" s="4"/>
      <c r="EK1651" s="4"/>
      <c r="EL1651" s="4"/>
      <c r="EM1651" s="4"/>
      <c r="EN1651" s="4"/>
      <c r="EO1651" s="4"/>
      <c r="EP1651" s="4"/>
      <c r="EQ1651" s="4"/>
      <c r="ER1651" s="4"/>
      <c r="ES1651" s="4"/>
      <c r="ET1651" s="4"/>
      <c r="EU1651" s="4"/>
      <c r="EV1651" s="4"/>
      <c r="EW1651" s="4"/>
      <c r="EX1651" s="4"/>
      <c r="EY1651" s="4"/>
      <c r="EZ1651" s="4"/>
      <c r="FA1651" s="4"/>
      <c r="FB1651" s="4"/>
      <c r="FC1651" s="4"/>
      <c r="FD1651" s="4"/>
      <c r="FE1651" s="4"/>
      <c r="FF1651" s="4"/>
      <c r="FG1651" s="4"/>
      <c r="FH1651" s="4"/>
      <c r="FI1651" s="4"/>
      <c r="FJ1651" s="4">
        <v>224</v>
      </c>
      <c r="FK1651" s="4"/>
      <c r="FL1651" s="4"/>
      <c r="FM1651" s="4"/>
      <c r="FN1651" s="4"/>
      <c r="FO1651" s="4"/>
      <c r="FP1651" s="4"/>
      <c r="FQ1651" s="4"/>
      <c r="FR1651" s="4"/>
      <c r="FS1651" s="4">
        <v>256</v>
      </c>
      <c r="FT1651" s="4"/>
      <c r="FU1651" s="4"/>
      <c r="FV1651" s="4"/>
      <c r="FW1651" s="4"/>
      <c r="FX1651" s="4"/>
      <c r="FY1651" s="4"/>
      <c r="FZ1651" s="4"/>
      <c r="GA1651" s="4"/>
      <c r="GB1651" s="4"/>
      <c r="GC1651" s="4"/>
      <c r="GD1651" s="4"/>
      <c r="GE1651" s="4"/>
      <c r="GF1651" s="4"/>
      <c r="GG1651" s="4"/>
      <c r="GH1651" s="4"/>
    </row>
    <row r="1652">
      <c r="A1652" s="2" t="s">
        <v>8580</v>
      </c>
      <c r="B1652" s="2" t="s">
        <v>1099</v>
      </c>
      <c r="C1652" s="2" t="s">
        <v>607</v>
      </c>
      <c r="D1652" s="2" t="s">
        <v>1100</v>
      </c>
      <c r="E1652" s="2" t="s">
        <v>1101</v>
      </c>
      <c r="F1652" s="2" t="s">
        <v>8551</v>
      </c>
      <c r="G1652" s="2" t="s">
        <v>8551</v>
      </c>
      <c r="H1652" s="2" t="s">
        <v>8551</v>
      </c>
      <c r="I1652" s="2" t="s">
        <v>8552</v>
      </c>
      <c r="J1652" s="2" t="s">
        <v>1110</v>
      </c>
      <c r="K1652" s="2" t="s">
        <v>416</v>
      </c>
      <c r="L1652" s="3">
        <v>27</v>
      </c>
      <c r="M1652" s="3">
        <v>28.35</v>
      </c>
      <c r="N1652" s="3">
        <v>56.99</v>
      </c>
      <c r="O1652" s="2" t="s">
        <v>212</v>
      </c>
      <c r="P1652" s="2" t="s">
        <v>205</v>
      </c>
      <c r="Q1652" s="2" t="s">
        <v>206</v>
      </c>
      <c r="R1652" s="2" t="s">
        <v>200</v>
      </c>
      <c r="S1652" s="2" t="s">
        <v>200</v>
      </c>
      <c r="T1652" s="2" t="s">
        <v>312</v>
      </c>
      <c r="U1652" s="2" t="s">
        <v>270</v>
      </c>
      <c r="V1652" s="2" t="s">
        <v>208</v>
      </c>
      <c r="W1652" s="2" t="s">
        <v>241</v>
      </c>
      <c r="X1652" s="2" t="s">
        <v>200</v>
      </c>
      <c r="Y1652" s="2" t="s">
        <v>200</v>
      </c>
      <c r="Z1652" s="4"/>
      <c r="AA1652" s="4">
        <f>=ROUNDDOWN({0},0)</f>
      </c>
      <c r="AB1652" s="5"/>
      <c r="AC1652" s="2" t="s">
        <v>5688</v>
      </c>
      <c r="AD1652" s="4">
        <v>144</v>
      </c>
      <c r="AE1652" s="4">
        <v>320</v>
      </c>
      <c r="AF1652" s="6">
        <v>69</v>
      </c>
      <c r="AG1652" s="6"/>
      <c r="AH1652" s="7"/>
      <c r="AI1652" s="4"/>
      <c r="AJ1652" s="4">
        <f>=ROUNDDOWN({0},0)</f>
      </c>
      <c r="AK1652" s="5"/>
      <c r="AL1652" s="2" t="s">
        <v>200</v>
      </c>
      <c r="AM1652" s="4"/>
      <c r="AN1652" s="4"/>
      <c r="AO1652" s="7"/>
      <c r="AP1652" s="4"/>
      <c r="AQ1652" s="8"/>
      <c r="AR1652" s="4"/>
      <c r="AS1652" s="8"/>
      <c r="AT1652" s="7"/>
      <c r="AU1652" s="7"/>
      <c r="AV1652" s="4" t="s">
        <v>200</v>
      </c>
      <c r="AW1652" s="8" t="s">
        <v>200</v>
      </c>
      <c r="AX1652" s="4" t="s">
        <v>200</v>
      </c>
      <c r="AY1652" s="8" t="s">
        <v>200</v>
      </c>
      <c r="AZ1652" s="7" t="s">
        <v>200</v>
      </c>
      <c r="BA1652" s="7" t="s">
        <v>200</v>
      </c>
      <c r="BB1652" s="7"/>
      <c r="BC1652" s="4" t="s">
        <v>200</v>
      </c>
      <c r="BD1652" s="8" t="s">
        <v>200</v>
      </c>
      <c r="BE1652" s="4" t="s">
        <v>200</v>
      </c>
      <c r="BF1652" s="8" t="s">
        <v>200</v>
      </c>
      <c r="BG1652" s="7" t="s">
        <v>200</v>
      </c>
      <c r="BH1652" s="7" t="s">
        <v>200</v>
      </c>
      <c r="BI1652" s="7"/>
      <c r="BJ1652" s="4"/>
      <c r="BK1652" s="8"/>
      <c r="BL1652" s="2" t="s">
        <v>200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210</v>
      </c>
      <c r="BV1652" s="2" t="s">
        <v>200</v>
      </c>
      <c r="BW1652" s="2" t="s">
        <v>200</v>
      </c>
      <c r="BX1652" s="2" t="s">
        <v>210</v>
      </c>
      <c r="BY1652" s="2" t="s">
        <v>211</v>
      </c>
      <c r="BZ1652" s="2" t="s">
        <v>212</v>
      </c>
      <c r="CA1652" s="2" t="s">
        <v>200</v>
      </c>
      <c r="CB1652" s="2" t="s">
        <v>200</v>
      </c>
      <c r="CC1652" s="2" t="s">
        <v>213</v>
      </c>
      <c r="CD1652" s="2" t="s">
        <v>200</v>
      </c>
      <c r="CE1652" s="4"/>
      <c r="CF1652" s="4"/>
      <c r="CG1652" s="4"/>
      <c r="CH1652" s="4"/>
      <c r="CI1652" s="4"/>
      <c r="CJ1652" s="4"/>
      <c r="CK1652" s="4"/>
      <c r="CL1652" s="4"/>
      <c r="CM1652" s="4"/>
      <c r="CN1652" s="4"/>
      <c r="CO1652" s="4"/>
      <c r="CP1652" s="4"/>
      <c r="CQ1652" s="4"/>
      <c r="CR1652" s="4"/>
      <c r="CS1652" s="4"/>
      <c r="CT1652" s="4"/>
      <c r="CU1652" s="4"/>
      <c r="CV1652" s="4"/>
      <c r="CW1652" s="4"/>
      <c r="CX1652" s="4"/>
      <c r="CY1652" s="4"/>
      <c r="CZ1652" s="4"/>
      <c r="DA1652" s="4"/>
      <c r="DB1652" s="4"/>
      <c r="DC1652" s="4"/>
      <c r="DD1652" s="4"/>
      <c r="DE1652" s="4"/>
      <c r="DF1652" s="4"/>
      <c r="DG1652" s="4"/>
      <c r="DH1652" s="4"/>
      <c r="DI1652" s="4"/>
      <c r="DJ1652" s="4"/>
      <c r="DK1652" s="4"/>
      <c r="DL1652" s="4"/>
      <c r="DM1652" s="4"/>
      <c r="DN1652" s="4"/>
      <c r="DO1652" s="4"/>
      <c r="DP1652" s="4"/>
      <c r="DQ1652" s="4"/>
      <c r="DR1652" s="4"/>
      <c r="DS1652" s="4"/>
      <c r="DT1652" s="4"/>
      <c r="DU1652" s="4"/>
      <c r="DV1652" s="4"/>
      <c r="DW1652" s="4"/>
      <c r="DX1652" s="4"/>
      <c r="DY1652" s="4"/>
      <c r="DZ1652" s="4"/>
      <c r="EA1652" s="4"/>
      <c r="EB1652" s="4"/>
      <c r="EC1652" s="4"/>
      <c r="ED1652" s="4"/>
      <c r="EE1652" s="4"/>
      <c r="EF1652" s="4"/>
      <c r="EG1652" s="4"/>
      <c r="EH1652" s="4"/>
      <c r="EI1652" s="4"/>
      <c r="EJ1652" s="4"/>
      <c r="EK1652" s="4"/>
      <c r="EL1652" s="4"/>
      <c r="EM1652" s="4"/>
      <c r="EN1652" s="4"/>
      <c r="EO1652" s="4"/>
      <c r="EP1652" s="4"/>
      <c r="EQ1652" s="4"/>
      <c r="ER1652" s="4"/>
      <c r="ES1652" s="4"/>
      <c r="ET1652" s="4"/>
      <c r="EU1652" s="4"/>
      <c r="EV1652" s="4"/>
      <c r="EW1652" s="4"/>
      <c r="EX1652" s="4"/>
      <c r="EY1652" s="4"/>
      <c r="EZ1652" s="4"/>
      <c r="FA1652" s="4"/>
      <c r="FB1652" s="4"/>
      <c r="FC1652" s="4"/>
      <c r="FD1652" s="4"/>
      <c r="FE1652" s="4"/>
      <c r="FF1652" s="4"/>
      <c r="FG1652" s="4"/>
      <c r="FH1652" s="4"/>
      <c r="FI1652" s="4"/>
      <c r="FJ1652" s="4">
        <v>144</v>
      </c>
      <c r="FK1652" s="4"/>
      <c r="FL1652" s="4"/>
      <c r="FM1652" s="4"/>
      <c r="FN1652" s="4"/>
      <c r="FO1652" s="4"/>
      <c r="FP1652" s="4"/>
      <c r="FQ1652" s="4"/>
      <c r="FR1652" s="4"/>
      <c r="FS1652" s="4">
        <v>176</v>
      </c>
      <c r="FT1652" s="4"/>
      <c r="FU1652" s="4"/>
      <c r="FV1652" s="4"/>
      <c r="FW1652" s="4"/>
      <c r="FX1652" s="4"/>
      <c r="FY1652" s="4"/>
      <c r="FZ1652" s="4"/>
      <c r="GA1652" s="4"/>
      <c r="GB1652" s="4"/>
      <c r="GC1652" s="4"/>
      <c r="GD1652" s="4"/>
      <c r="GE1652" s="4"/>
      <c r="GF1652" s="4"/>
      <c r="GG1652" s="4"/>
      <c r="GH1652" s="4"/>
    </row>
    <row r="1653">
      <c r="A1653" s="2" t="s">
        <v>8581</v>
      </c>
      <c r="B1653" s="2" t="s">
        <v>1099</v>
      </c>
      <c r="C1653" s="2" t="s">
        <v>607</v>
      </c>
      <c r="D1653" s="2" t="s">
        <v>1100</v>
      </c>
      <c r="E1653" s="2" t="s">
        <v>1101</v>
      </c>
      <c r="F1653" s="2" t="s">
        <v>8551</v>
      </c>
      <c r="G1653" s="2" t="s">
        <v>8551</v>
      </c>
      <c r="H1653" s="2" t="s">
        <v>8551</v>
      </c>
      <c r="I1653" s="2" t="s">
        <v>8552</v>
      </c>
      <c r="J1653" s="2" t="s">
        <v>8558</v>
      </c>
      <c r="K1653" s="2" t="s">
        <v>416</v>
      </c>
      <c r="L1653" s="3">
        <v>30.24</v>
      </c>
      <c r="M1653" s="3">
        <v>31.75</v>
      </c>
      <c r="N1653" s="3">
        <v>64.99</v>
      </c>
      <c r="O1653" s="2" t="s">
        <v>212</v>
      </c>
      <c r="P1653" s="2" t="s">
        <v>205</v>
      </c>
      <c r="Q1653" s="2" t="s">
        <v>206</v>
      </c>
      <c r="R1653" s="2" t="s">
        <v>200</v>
      </c>
      <c r="S1653" s="2" t="s">
        <v>200</v>
      </c>
      <c r="T1653" s="2" t="s">
        <v>312</v>
      </c>
      <c r="U1653" s="2" t="s">
        <v>270</v>
      </c>
      <c r="V1653" s="2" t="s">
        <v>208</v>
      </c>
      <c r="W1653" s="2" t="s">
        <v>241</v>
      </c>
      <c r="X1653" s="2" t="s">
        <v>200</v>
      </c>
      <c r="Y1653" s="2" t="s">
        <v>200</v>
      </c>
      <c r="Z1653" s="4"/>
      <c r="AA1653" s="4">
        <f>=ROUNDDOWN({0},0)</f>
      </c>
      <c r="AB1653" s="5"/>
      <c r="AC1653" s="2" t="s">
        <v>5688</v>
      </c>
      <c r="AD1653" s="4">
        <v>120</v>
      </c>
      <c r="AE1653" s="4">
        <v>272</v>
      </c>
      <c r="AF1653" s="6">
        <v>69</v>
      </c>
      <c r="AG1653" s="6"/>
      <c r="AH1653" s="7"/>
      <c r="AI1653" s="4"/>
      <c r="AJ1653" s="4">
        <f>=ROUNDDOWN({0},0)</f>
      </c>
      <c r="AK1653" s="5"/>
      <c r="AL1653" s="2" t="s">
        <v>200</v>
      </c>
      <c r="AM1653" s="4"/>
      <c r="AN1653" s="4"/>
      <c r="AO1653" s="7"/>
      <c r="AP1653" s="4"/>
      <c r="AQ1653" s="8"/>
      <c r="AR1653" s="4"/>
      <c r="AS1653" s="8"/>
      <c r="AT1653" s="7"/>
      <c r="AU1653" s="7"/>
      <c r="AV1653" s="4" t="s">
        <v>200</v>
      </c>
      <c r="AW1653" s="8" t="s">
        <v>200</v>
      </c>
      <c r="AX1653" s="4" t="s">
        <v>200</v>
      </c>
      <c r="AY1653" s="8" t="s">
        <v>200</v>
      </c>
      <c r="AZ1653" s="7" t="s">
        <v>200</v>
      </c>
      <c r="BA1653" s="7" t="s">
        <v>200</v>
      </c>
      <c r="BB1653" s="7"/>
      <c r="BC1653" s="4" t="s">
        <v>200</v>
      </c>
      <c r="BD1653" s="8" t="s">
        <v>200</v>
      </c>
      <c r="BE1653" s="4" t="s">
        <v>200</v>
      </c>
      <c r="BF1653" s="8" t="s">
        <v>200</v>
      </c>
      <c r="BG1653" s="7" t="s">
        <v>200</v>
      </c>
      <c r="BH1653" s="7" t="s">
        <v>200</v>
      </c>
      <c r="BI1653" s="7"/>
      <c r="BJ1653" s="4"/>
      <c r="BK1653" s="8"/>
      <c r="BL1653" s="2" t="s">
        <v>200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210</v>
      </c>
      <c r="BV1653" s="2" t="s">
        <v>200</v>
      </c>
      <c r="BW1653" s="2" t="s">
        <v>200</v>
      </c>
      <c r="BX1653" s="2" t="s">
        <v>210</v>
      </c>
      <c r="BY1653" s="2" t="s">
        <v>211</v>
      </c>
      <c r="BZ1653" s="2" t="s">
        <v>212</v>
      </c>
      <c r="CA1653" s="2" t="s">
        <v>200</v>
      </c>
      <c r="CB1653" s="2" t="s">
        <v>200</v>
      </c>
      <c r="CC1653" s="2" t="s">
        <v>213</v>
      </c>
      <c r="CD1653" s="2" t="s">
        <v>200</v>
      </c>
      <c r="CE1653" s="4"/>
      <c r="CF1653" s="4"/>
      <c r="CG1653" s="4"/>
      <c r="CH1653" s="4"/>
      <c r="CI1653" s="4"/>
      <c r="CJ1653" s="4"/>
      <c r="CK1653" s="4"/>
      <c r="CL1653" s="4"/>
      <c r="CM1653" s="4"/>
      <c r="CN1653" s="4"/>
      <c r="CO1653" s="4"/>
      <c r="CP1653" s="4"/>
      <c r="CQ1653" s="4"/>
      <c r="CR1653" s="4"/>
      <c r="CS1653" s="4"/>
      <c r="CT1653" s="4"/>
      <c r="CU1653" s="4"/>
      <c r="CV1653" s="4"/>
      <c r="CW1653" s="4"/>
      <c r="CX1653" s="4"/>
      <c r="CY1653" s="4"/>
      <c r="CZ1653" s="4"/>
      <c r="DA1653" s="4"/>
      <c r="DB1653" s="4"/>
      <c r="DC1653" s="4"/>
      <c r="DD1653" s="4"/>
      <c r="DE1653" s="4"/>
      <c r="DF1653" s="4"/>
      <c r="DG1653" s="4"/>
      <c r="DH1653" s="4"/>
      <c r="DI1653" s="4"/>
      <c r="DJ1653" s="4"/>
      <c r="DK1653" s="4"/>
      <c r="DL1653" s="4"/>
      <c r="DM1653" s="4"/>
      <c r="DN1653" s="4"/>
      <c r="DO1653" s="4"/>
      <c r="DP1653" s="4"/>
      <c r="DQ1653" s="4"/>
      <c r="DR1653" s="4"/>
      <c r="DS1653" s="4"/>
      <c r="DT1653" s="4"/>
      <c r="DU1653" s="4"/>
      <c r="DV1653" s="4"/>
      <c r="DW1653" s="4"/>
      <c r="DX1653" s="4"/>
      <c r="DY1653" s="4"/>
      <c r="DZ1653" s="4"/>
      <c r="EA1653" s="4"/>
      <c r="EB1653" s="4"/>
      <c r="EC1653" s="4"/>
      <c r="ED1653" s="4"/>
      <c r="EE1653" s="4"/>
      <c r="EF1653" s="4"/>
      <c r="EG1653" s="4"/>
      <c r="EH1653" s="4"/>
      <c r="EI1653" s="4"/>
      <c r="EJ1653" s="4"/>
      <c r="EK1653" s="4"/>
      <c r="EL1653" s="4"/>
      <c r="EM1653" s="4"/>
      <c r="EN1653" s="4"/>
      <c r="EO1653" s="4"/>
      <c r="EP1653" s="4"/>
      <c r="EQ1653" s="4"/>
      <c r="ER1653" s="4"/>
      <c r="ES1653" s="4"/>
      <c r="ET1653" s="4"/>
      <c r="EU1653" s="4"/>
      <c r="EV1653" s="4"/>
      <c r="EW1653" s="4"/>
      <c r="EX1653" s="4"/>
      <c r="EY1653" s="4"/>
      <c r="EZ1653" s="4"/>
      <c r="FA1653" s="4"/>
      <c r="FB1653" s="4"/>
      <c r="FC1653" s="4"/>
      <c r="FD1653" s="4"/>
      <c r="FE1653" s="4"/>
      <c r="FF1653" s="4"/>
      <c r="FG1653" s="4"/>
      <c r="FH1653" s="4"/>
      <c r="FI1653" s="4"/>
      <c r="FJ1653" s="4">
        <v>120</v>
      </c>
      <c r="FK1653" s="4"/>
      <c r="FL1653" s="4"/>
      <c r="FM1653" s="4"/>
      <c r="FN1653" s="4"/>
      <c r="FO1653" s="4"/>
      <c r="FP1653" s="4"/>
      <c r="FQ1653" s="4"/>
      <c r="FR1653" s="4"/>
      <c r="FS1653" s="4">
        <v>152</v>
      </c>
      <c r="FT1653" s="4"/>
      <c r="FU1653" s="4"/>
      <c r="FV1653" s="4"/>
      <c r="FW1653" s="4"/>
      <c r="FX1653" s="4"/>
      <c r="FY1653" s="4"/>
      <c r="FZ1653" s="4"/>
      <c r="GA1653" s="4"/>
      <c r="GB1653" s="4"/>
      <c r="GC1653" s="4"/>
      <c r="GD1653" s="4"/>
      <c r="GE1653" s="4"/>
      <c r="GF1653" s="4"/>
      <c r="GG1653" s="4"/>
      <c r="GH1653" s="4"/>
    </row>
    <row r="1654">
      <c r="A1654" s="2" t="s">
        <v>8582</v>
      </c>
      <c r="B1654" s="2" t="s">
        <v>1099</v>
      </c>
      <c r="C1654" s="2" t="s">
        <v>607</v>
      </c>
      <c r="D1654" s="2" t="s">
        <v>1100</v>
      </c>
      <c r="E1654" s="2" t="s">
        <v>1101</v>
      </c>
      <c r="F1654" s="2" t="s">
        <v>8551</v>
      </c>
      <c r="G1654" s="2" t="s">
        <v>8551</v>
      </c>
      <c r="H1654" s="2" t="s">
        <v>8551</v>
      </c>
      <c r="I1654" s="2" t="s">
        <v>8552</v>
      </c>
      <c r="J1654" s="2" t="s">
        <v>8560</v>
      </c>
      <c r="K1654" s="2" t="s">
        <v>416</v>
      </c>
      <c r="L1654" s="3">
        <v>14.8</v>
      </c>
      <c r="M1654" s="3">
        <v>15.54</v>
      </c>
      <c r="N1654" s="3">
        <v>31.99</v>
      </c>
      <c r="O1654" s="2" t="s">
        <v>212</v>
      </c>
      <c r="P1654" s="2" t="s">
        <v>205</v>
      </c>
      <c r="Q1654" s="2" t="s">
        <v>206</v>
      </c>
      <c r="R1654" s="2" t="s">
        <v>200</v>
      </c>
      <c r="S1654" s="2" t="s">
        <v>200</v>
      </c>
      <c r="T1654" s="2" t="s">
        <v>312</v>
      </c>
      <c r="U1654" s="2" t="s">
        <v>270</v>
      </c>
      <c r="V1654" s="2" t="s">
        <v>208</v>
      </c>
      <c r="W1654" s="2" t="s">
        <v>241</v>
      </c>
      <c r="X1654" s="2" t="s">
        <v>200</v>
      </c>
      <c r="Y1654" s="2" t="s">
        <v>200</v>
      </c>
      <c r="Z1654" s="4"/>
      <c r="AA1654" s="4">
        <f>=ROUNDDOWN({0},0)</f>
      </c>
      <c r="AB1654" s="5"/>
      <c r="AC1654" s="2" t="s">
        <v>5688</v>
      </c>
      <c r="AD1654" s="4">
        <v>508</v>
      </c>
      <c r="AE1654" s="4">
        <v>1048</v>
      </c>
      <c r="AF1654" s="6">
        <v>69</v>
      </c>
      <c r="AG1654" s="6"/>
      <c r="AH1654" s="7"/>
      <c r="AI1654" s="4"/>
      <c r="AJ1654" s="4">
        <f>=ROUNDDOWN({0},0)</f>
      </c>
      <c r="AK1654" s="5"/>
      <c r="AL1654" s="2" t="s">
        <v>200</v>
      </c>
      <c r="AM1654" s="4"/>
      <c r="AN1654" s="4"/>
      <c r="AO1654" s="7"/>
      <c r="AP1654" s="4"/>
      <c r="AQ1654" s="8"/>
      <c r="AR1654" s="4"/>
      <c r="AS1654" s="8"/>
      <c r="AT1654" s="7"/>
      <c r="AU1654" s="7"/>
      <c r="AV1654" s="4" t="s">
        <v>200</v>
      </c>
      <c r="AW1654" s="8" t="s">
        <v>200</v>
      </c>
      <c r="AX1654" s="4" t="s">
        <v>200</v>
      </c>
      <c r="AY1654" s="8" t="s">
        <v>200</v>
      </c>
      <c r="AZ1654" s="7" t="s">
        <v>200</v>
      </c>
      <c r="BA1654" s="7" t="s">
        <v>200</v>
      </c>
      <c r="BB1654" s="7"/>
      <c r="BC1654" s="4" t="s">
        <v>200</v>
      </c>
      <c r="BD1654" s="8" t="s">
        <v>200</v>
      </c>
      <c r="BE1654" s="4" t="s">
        <v>200</v>
      </c>
      <c r="BF1654" s="8" t="s">
        <v>200</v>
      </c>
      <c r="BG1654" s="7" t="s">
        <v>200</v>
      </c>
      <c r="BH1654" s="7" t="s">
        <v>200</v>
      </c>
      <c r="BI1654" s="7"/>
      <c r="BJ1654" s="4"/>
      <c r="BK1654" s="8"/>
      <c r="BL1654" s="2" t="s">
        <v>200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210</v>
      </c>
      <c r="BV1654" s="2" t="s">
        <v>200</v>
      </c>
      <c r="BW1654" s="2" t="s">
        <v>200</v>
      </c>
      <c r="BX1654" s="2" t="s">
        <v>210</v>
      </c>
      <c r="BY1654" s="2" t="s">
        <v>211</v>
      </c>
      <c r="BZ1654" s="2" t="s">
        <v>212</v>
      </c>
      <c r="CA1654" s="2" t="s">
        <v>200</v>
      </c>
      <c r="CB1654" s="2" t="s">
        <v>200</v>
      </c>
      <c r="CC1654" s="2" t="s">
        <v>213</v>
      </c>
      <c r="CD1654" s="2" t="s">
        <v>200</v>
      </c>
      <c r="CE1654" s="4"/>
      <c r="CF1654" s="4"/>
      <c r="CG1654" s="4"/>
      <c r="CH1654" s="4"/>
      <c r="CI1654" s="4"/>
      <c r="CJ1654" s="4"/>
      <c r="CK1654" s="4"/>
      <c r="CL1654" s="4"/>
      <c r="CM1654" s="4"/>
      <c r="CN1654" s="4"/>
      <c r="CO1654" s="4"/>
      <c r="CP1654" s="4"/>
      <c r="CQ1654" s="4"/>
      <c r="CR1654" s="4"/>
      <c r="CS1654" s="4"/>
      <c r="CT1654" s="4"/>
      <c r="CU1654" s="4"/>
      <c r="CV1654" s="4"/>
      <c r="CW1654" s="4"/>
      <c r="CX1654" s="4"/>
      <c r="CY1654" s="4"/>
      <c r="CZ1654" s="4"/>
      <c r="DA1654" s="4"/>
      <c r="DB1654" s="4"/>
      <c r="DC1654" s="4"/>
      <c r="DD1654" s="4"/>
      <c r="DE1654" s="4"/>
      <c r="DF1654" s="4"/>
      <c r="DG1654" s="4"/>
      <c r="DH1654" s="4"/>
      <c r="DI1654" s="4"/>
      <c r="DJ1654" s="4"/>
      <c r="DK1654" s="4"/>
      <c r="DL1654" s="4"/>
      <c r="DM1654" s="4"/>
      <c r="DN1654" s="4"/>
      <c r="DO1654" s="4"/>
      <c r="DP1654" s="4"/>
      <c r="DQ1654" s="4"/>
      <c r="DR1654" s="4"/>
      <c r="DS1654" s="4"/>
      <c r="DT1654" s="4"/>
      <c r="DU1654" s="4"/>
      <c r="DV1654" s="4"/>
      <c r="DW1654" s="4"/>
      <c r="DX1654" s="4"/>
      <c r="DY1654" s="4"/>
      <c r="DZ1654" s="4"/>
      <c r="EA1654" s="4"/>
      <c r="EB1654" s="4"/>
      <c r="EC1654" s="4"/>
      <c r="ED1654" s="4"/>
      <c r="EE1654" s="4"/>
      <c r="EF1654" s="4"/>
      <c r="EG1654" s="4"/>
      <c r="EH1654" s="4"/>
      <c r="EI1654" s="4"/>
      <c r="EJ1654" s="4"/>
      <c r="EK1654" s="4"/>
      <c r="EL1654" s="4"/>
      <c r="EM1654" s="4"/>
      <c r="EN1654" s="4"/>
      <c r="EO1654" s="4"/>
      <c r="EP1654" s="4"/>
      <c r="EQ1654" s="4"/>
      <c r="ER1654" s="4"/>
      <c r="ES1654" s="4"/>
      <c r="ET1654" s="4"/>
      <c r="EU1654" s="4"/>
      <c r="EV1654" s="4"/>
      <c r="EW1654" s="4"/>
      <c r="EX1654" s="4"/>
      <c r="EY1654" s="4"/>
      <c r="EZ1654" s="4"/>
      <c r="FA1654" s="4"/>
      <c r="FB1654" s="4"/>
      <c r="FC1654" s="4"/>
      <c r="FD1654" s="4"/>
      <c r="FE1654" s="4"/>
      <c r="FF1654" s="4"/>
      <c r="FG1654" s="4"/>
      <c r="FH1654" s="4"/>
      <c r="FI1654" s="4"/>
      <c r="FJ1654" s="4">
        <v>508</v>
      </c>
      <c r="FK1654" s="4"/>
      <c r="FL1654" s="4"/>
      <c r="FM1654" s="4"/>
      <c r="FN1654" s="4"/>
      <c r="FO1654" s="4"/>
      <c r="FP1654" s="4"/>
      <c r="FQ1654" s="4"/>
      <c r="FR1654" s="4"/>
      <c r="FS1654" s="4">
        <v>540</v>
      </c>
      <c r="FT1654" s="4"/>
      <c r="FU1654" s="4"/>
      <c r="FV1654" s="4"/>
      <c r="FW1654" s="4"/>
      <c r="FX1654" s="4"/>
      <c r="FY1654" s="4"/>
      <c r="FZ1654" s="4"/>
      <c r="GA1654" s="4"/>
      <c r="GB1654" s="4"/>
      <c r="GC1654" s="4"/>
      <c r="GD1654" s="4"/>
      <c r="GE1654" s="4"/>
      <c r="GF1654" s="4"/>
      <c r="GG1654" s="4"/>
      <c r="GH1654" s="4"/>
    </row>
    <row r="1655">
      <c r="A1655" s="2" t="s">
        <v>8583</v>
      </c>
      <c r="B1655" s="2" t="s">
        <v>1099</v>
      </c>
      <c r="C1655" s="2" t="s">
        <v>607</v>
      </c>
      <c r="D1655" s="2" t="s">
        <v>1100</v>
      </c>
      <c r="E1655" s="2" t="s">
        <v>1101</v>
      </c>
      <c r="F1655" s="2" t="s">
        <v>8551</v>
      </c>
      <c r="G1655" s="2" t="s">
        <v>8551</v>
      </c>
      <c r="H1655" s="2" t="s">
        <v>8551</v>
      </c>
      <c r="I1655" s="2" t="s">
        <v>8552</v>
      </c>
      <c r="J1655" s="2" t="s">
        <v>5836</v>
      </c>
      <c r="K1655" s="2" t="s">
        <v>221</v>
      </c>
      <c r="L1655" s="3">
        <v>12</v>
      </c>
      <c r="M1655" s="3">
        <v>12.6</v>
      </c>
      <c r="N1655" s="3">
        <v>25.99</v>
      </c>
      <c r="O1655" s="2" t="s">
        <v>212</v>
      </c>
      <c r="P1655" s="2" t="s">
        <v>205</v>
      </c>
      <c r="Q1655" s="2" t="s">
        <v>206</v>
      </c>
      <c r="R1655" s="2" t="s">
        <v>200</v>
      </c>
      <c r="S1655" s="2" t="s">
        <v>200</v>
      </c>
      <c r="T1655" s="2" t="s">
        <v>312</v>
      </c>
      <c r="U1655" s="2" t="s">
        <v>270</v>
      </c>
      <c r="V1655" s="2" t="s">
        <v>208</v>
      </c>
      <c r="W1655" s="2" t="s">
        <v>241</v>
      </c>
      <c r="X1655" s="2" t="s">
        <v>200</v>
      </c>
      <c r="Y1655" s="2" t="s">
        <v>200</v>
      </c>
      <c r="Z1655" s="4"/>
      <c r="AA1655" s="4">
        <f>=ROUNDDOWN({0},0)</f>
      </c>
      <c r="AB1655" s="5"/>
      <c r="AC1655" s="2" t="s">
        <v>5688</v>
      </c>
      <c r="AD1655" s="4">
        <v>268</v>
      </c>
      <c r="AE1655" s="4">
        <v>568</v>
      </c>
      <c r="AF1655" s="6">
        <v>69</v>
      </c>
      <c r="AG1655" s="6"/>
      <c r="AH1655" s="7"/>
      <c r="AI1655" s="4"/>
      <c r="AJ1655" s="4">
        <f>=ROUNDDOWN({0},0)</f>
      </c>
      <c r="AK1655" s="5"/>
      <c r="AL1655" s="2" t="s">
        <v>200</v>
      </c>
      <c r="AM1655" s="4"/>
      <c r="AN1655" s="4"/>
      <c r="AO1655" s="7"/>
      <c r="AP1655" s="4"/>
      <c r="AQ1655" s="8"/>
      <c r="AR1655" s="4"/>
      <c r="AS1655" s="8"/>
      <c r="AT1655" s="7"/>
      <c r="AU1655" s="7"/>
      <c r="AV1655" s="4" t="s">
        <v>200</v>
      </c>
      <c r="AW1655" s="8" t="s">
        <v>200</v>
      </c>
      <c r="AX1655" s="4" t="s">
        <v>200</v>
      </c>
      <c r="AY1655" s="8" t="s">
        <v>200</v>
      </c>
      <c r="AZ1655" s="7" t="s">
        <v>200</v>
      </c>
      <c r="BA1655" s="7" t="s">
        <v>200</v>
      </c>
      <c r="BB1655" s="7"/>
      <c r="BC1655" s="4" t="s">
        <v>200</v>
      </c>
      <c r="BD1655" s="8" t="s">
        <v>200</v>
      </c>
      <c r="BE1655" s="4" t="s">
        <v>200</v>
      </c>
      <c r="BF1655" s="8" t="s">
        <v>200</v>
      </c>
      <c r="BG1655" s="7" t="s">
        <v>200</v>
      </c>
      <c r="BH1655" s="7" t="s">
        <v>200</v>
      </c>
      <c r="BI1655" s="7"/>
      <c r="BJ1655" s="4"/>
      <c r="BK1655" s="8"/>
      <c r="BL1655" s="2" t="s">
        <v>200</v>
      </c>
      <c r="BM1655" s="7"/>
      <c r="BN1655" s="7"/>
      <c r="BO1655" s="4"/>
      <c r="BP1655" s="8"/>
      <c r="BQ1655" s="4"/>
      <c r="BR1655" s="8"/>
      <c r="BS1655" s="7"/>
      <c r="BT1655" s="7"/>
      <c r="BU1655" s="2" t="s">
        <v>210</v>
      </c>
      <c r="BV1655" s="2" t="s">
        <v>200</v>
      </c>
      <c r="BW1655" s="2" t="s">
        <v>200</v>
      </c>
      <c r="BX1655" s="2" t="s">
        <v>210</v>
      </c>
      <c r="BY1655" s="2" t="s">
        <v>211</v>
      </c>
      <c r="BZ1655" s="2" t="s">
        <v>212</v>
      </c>
      <c r="CA1655" s="2" t="s">
        <v>200</v>
      </c>
      <c r="CB1655" s="2" t="s">
        <v>200</v>
      </c>
      <c r="CC1655" s="2" t="s">
        <v>213</v>
      </c>
      <c r="CD1655" s="2" t="s">
        <v>200</v>
      </c>
      <c r="CE1655" s="4"/>
      <c r="CF1655" s="4"/>
      <c r="CG1655" s="4"/>
      <c r="CH1655" s="4"/>
      <c r="CI1655" s="4"/>
      <c r="CJ1655" s="4"/>
      <c r="CK1655" s="4"/>
      <c r="CL1655" s="4"/>
      <c r="CM1655" s="4"/>
      <c r="CN1655" s="4"/>
      <c r="CO1655" s="4"/>
      <c r="CP1655" s="4"/>
      <c r="CQ1655" s="4"/>
      <c r="CR1655" s="4"/>
      <c r="CS1655" s="4"/>
      <c r="CT1655" s="4"/>
      <c r="CU1655" s="4"/>
      <c r="CV1655" s="4"/>
      <c r="CW1655" s="4"/>
      <c r="CX1655" s="4"/>
      <c r="CY1655" s="4"/>
      <c r="CZ1655" s="4"/>
      <c r="DA1655" s="4"/>
      <c r="DB1655" s="4"/>
      <c r="DC1655" s="4"/>
      <c r="DD1655" s="4"/>
      <c r="DE1655" s="4"/>
      <c r="DF1655" s="4"/>
      <c r="DG1655" s="4"/>
      <c r="DH1655" s="4"/>
      <c r="DI1655" s="4"/>
      <c r="DJ1655" s="4"/>
      <c r="DK1655" s="4"/>
      <c r="DL1655" s="4"/>
      <c r="DM1655" s="4"/>
      <c r="DN1655" s="4"/>
      <c r="DO1655" s="4"/>
      <c r="DP1655" s="4"/>
      <c r="DQ1655" s="4"/>
      <c r="DR1655" s="4"/>
      <c r="DS1655" s="4"/>
      <c r="DT1655" s="4"/>
      <c r="DU1655" s="4"/>
      <c r="DV1655" s="4"/>
      <c r="DW1655" s="4"/>
      <c r="DX1655" s="4"/>
      <c r="DY1655" s="4"/>
      <c r="DZ1655" s="4"/>
      <c r="EA1655" s="4"/>
      <c r="EB1655" s="4"/>
      <c r="EC1655" s="4"/>
      <c r="ED1655" s="4"/>
      <c r="EE1655" s="4"/>
      <c r="EF1655" s="4"/>
      <c r="EG1655" s="4"/>
      <c r="EH1655" s="4"/>
      <c r="EI1655" s="4"/>
      <c r="EJ1655" s="4"/>
      <c r="EK1655" s="4"/>
      <c r="EL1655" s="4"/>
      <c r="EM1655" s="4"/>
      <c r="EN1655" s="4"/>
      <c r="EO1655" s="4"/>
      <c r="EP1655" s="4"/>
      <c r="EQ1655" s="4"/>
      <c r="ER1655" s="4"/>
      <c r="ES1655" s="4"/>
      <c r="ET1655" s="4"/>
      <c r="EU1655" s="4"/>
      <c r="EV1655" s="4"/>
      <c r="EW1655" s="4"/>
      <c r="EX1655" s="4"/>
      <c r="EY1655" s="4"/>
      <c r="EZ1655" s="4"/>
      <c r="FA1655" s="4"/>
      <c r="FB1655" s="4"/>
      <c r="FC1655" s="4"/>
      <c r="FD1655" s="4"/>
      <c r="FE1655" s="4"/>
      <c r="FF1655" s="4"/>
      <c r="FG1655" s="4"/>
      <c r="FH1655" s="4"/>
      <c r="FI1655" s="4"/>
      <c r="FJ1655" s="4">
        <v>268</v>
      </c>
      <c r="FK1655" s="4"/>
      <c r="FL1655" s="4"/>
      <c r="FM1655" s="4"/>
      <c r="FN1655" s="4"/>
      <c r="FO1655" s="4"/>
      <c r="FP1655" s="4"/>
      <c r="FQ1655" s="4"/>
      <c r="FR1655" s="4"/>
      <c r="FS1655" s="4">
        <v>300</v>
      </c>
      <c r="FT1655" s="4"/>
      <c r="FU1655" s="4"/>
      <c r="FV1655" s="4"/>
      <c r="FW1655" s="4"/>
      <c r="FX1655" s="4"/>
      <c r="FY1655" s="4"/>
      <c r="FZ1655" s="4"/>
      <c r="GA1655" s="4"/>
      <c r="GB1655" s="4"/>
      <c r="GC1655" s="4"/>
      <c r="GD1655" s="4"/>
      <c r="GE1655" s="4"/>
      <c r="GF1655" s="4"/>
      <c r="GG1655" s="4"/>
      <c r="GH1655" s="4"/>
    </row>
    <row r="1656">
      <c r="A1656" s="2" t="s">
        <v>8584</v>
      </c>
      <c r="B1656" s="2" t="s">
        <v>1099</v>
      </c>
      <c r="C1656" s="2" t="s">
        <v>607</v>
      </c>
      <c r="D1656" s="2" t="s">
        <v>1100</v>
      </c>
      <c r="E1656" s="2" t="s">
        <v>1101</v>
      </c>
      <c r="F1656" s="2" t="s">
        <v>8551</v>
      </c>
      <c r="G1656" s="2" t="s">
        <v>8551</v>
      </c>
      <c r="H1656" s="2" t="s">
        <v>8551</v>
      </c>
      <c r="I1656" s="2" t="s">
        <v>8552</v>
      </c>
      <c r="J1656" s="2" t="s">
        <v>1103</v>
      </c>
      <c r="K1656" s="2" t="s">
        <v>221</v>
      </c>
      <c r="L1656" s="3">
        <v>21.3</v>
      </c>
      <c r="M1656" s="3">
        <v>22.37</v>
      </c>
      <c r="N1656" s="3">
        <v>45.99</v>
      </c>
      <c r="O1656" s="2" t="s">
        <v>212</v>
      </c>
      <c r="P1656" s="2" t="s">
        <v>205</v>
      </c>
      <c r="Q1656" s="2" t="s">
        <v>206</v>
      </c>
      <c r="R1656" s="2" t="s">
        <v>200</v>
      </c>
      <c r="S1656" s="2" t="s">
        <v>200</v>
      </c>
      <c r="T1656" s="2" t="s">
        <v>312</v>
      </c>
      <c r="U1656" s="2" t="s">
        <v>270</v>
      </c>
      <c r="V1656" s="2" t="s">
        <v>208</v>
      </c>
      <c r="W1656" s="2" t="s">
        <v>241</v>
      </c>
      <c r="X1656" s="2" t="s">
        <v>200</v>
      </c>
      <c r="Y1656" s="2" t="s">
        <v>200</v>
      </c>
      <c r="Z1656" s="4"/>
      <c r="AA1656" s="4">
        <f>=ROUNDDOWN({0},0)</f>
      </c>
      <c r="AB1656" s="5"/>
      <c r="AC1656" s="2" t="s">
        <v>5688</v>
      </c>
      <c r="AD1656" s="4">
        <v>248</v>
      </c>
      <c r="AE1656" s="4">
        <v>528</v>
      </c>
      <c r="AF1656" s="6">
        <v>69</v>
      </c>
      <c r="AG1656" s="6"/>
      <c r="AH1656" s="7"/>
      <c r="AI1656" s="4"/>
      <c r="AJ1656" s="4">
        <f>=ROUNDDOWN({0},0)</f>
      </c>
      <c r="AK1656" s="5"/>
      <c r="AL1656" s="2" t="s">
        <v>200</v>
      </c>
      <c r="AM1656" s="4"/>
      <c r="AN1656" s="4"/>
      <c r="AO1656" s="7"/>
      <c r="AP1656" s="4"/>
      <c r="AQ1656" s="8"/>
      <c r="AR1656" s="4"/>
      <c r="AS1656" s="8"/>
      <c r="AT1656" s="7"/>
      <c r="AU1656" s="7"/>
      <c r="AV1656" s="4" t="s">
        <v>200</v>
      </c>
      <c r="AW1656" s="8" t="s">
        <v>200</v>
      </c>
      <c r="AX1656" s="4" t="s">
        <v>200</v>
      </c>
      <c r="AY1656" s="8" t="s">
        <v>200</v>
      </c>
      <c r="AZ1656" s="7" t="s">
        <v>200</v>
      </c>
      <c r="BA1656" s="7" t="s">
        <v>200</v>
      </c>
      <c r="BB1656" s="7"/>
      <c r="BC1656" s="4" t="s">
        <v>200</v>
      </c>
      <c r="BD1656" s="8" t="s">
        <v>200</v>
      </c>
      <c r="BE1656" s="4" t="s">
        <v>200</v>
      </c>
      <c r="BF1656" s="8" t="s">
        <v>200</v>
      </c>
      <c r="BG1656" s="7" t="s">
        <v>200</v>
      </c>
      <c r="BH1656" s="7" t="s">
        <v>200</v>
      </c>
      <c r="BI1656" s="7"/>
      <c r="BJ1656" s="4"/>
      <c r="BK1656" s="8"/>
      <c r="BL1656" s="2" t="s">
        <v>200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210</v>
      </c>
      <c r="BV1656" s="2" t="s">
        <v>200</v>
      </c>
      <c r="BW1656" s="2" t="s">
        <v>200</v>
      </c>
      <c r="BX1656" s="2" t="s">
        <v>210</v>
      </c>
      <c r="BY1656" s="2" t="s">
        <v>211</v>
      </c>
      <c r="BZ1656" s="2" t="s">
        <v>212</v>
      </c>
      <c r="CA1656" s="2" t="s">
        <v>200</v>
      </c>
      <c r="CB1656" s="2" t="s">
        <v>200</v>
      </c>
      <c r="CC1656" s="2" t="s">
        <v>213</v>
      </c>
      <c r="CD1656" s="2" t="s">
        <v>200</v>
      </c>
      <c r="CE1656" s="4"/>
      <c r="CF1656" s="4"/>
      <c r="CG1656" s="4"/>
      <c r="CH1656" s="4"/>
      <c r="CI1656" s="4"/>
      <c r="CJ1656" s="4"/>
      <c r="CK1656" s="4"/>
      <c r="CL1656" s="4"/>
      <c r="CM1656" s="4"/>
      <c r="CN1656" s="4"/>
      <c r="CO1656" s="4"/>
      <c r="CP1656" s="4"/>
      <c r="CQ1656" s="4"/>
      <c r="CR1656" s="4"/>
      <c r="CS1656" s="4"/>
      <c r="CT1656" s="4"/>
      <c r="CU1656" s="4"/>
      <c r="CV1656" s="4"/>
      <c r="CW1656" s="4"/>
      <c r="CX1656" s="4"/>
      <c r="CY1656" s="4"/>
      <c r="CZ1656" s="4"/>
      <c r="DA1656" s="4"/>
      <c r="DB1656" s="4"/>
      <c r="DC1656" s="4"/>
      <c r="DD1656" s="4"/>
      <c r="DE1656" s="4"/>
      <c r="DF1656" s="4"/>
      <c r="DG1656" s="4"/>
      <c r="DH1656" s="4"/>
      <c r="DI1656" s="4"/>
      <c r="DJ1656" s="4"/>
      <c r="DK1656" s="4"/>
      <c r="DL1656" s="4"/>
      <c r="DM1656" s="4"/>
      <c r="DN1656" s="4"/>
      <c r="DO1656" s="4"/>
      <c r="DP1656" s="4"/>
      <c r="DQ1656" s="4"/>
      <c r="DR1656" s="4"/>
      <c r="DS1656" s="4"/>
      <c r="DT1656" s="4"/>
      <c r="DU1656" s="4"/>
      <c r="DV1656" s="4"/>
      <c r="DW1656" s="4"/>
      <c r="DX1656" s="4"/>
      <c r="DY1656" s="4"/>
      <c r="DZ1656" s="4"/>
      <c r="EA1656" s="4"/>
      <c r="EB1656" s="4"/>
      <c r="EC1656" s="4"/>
      <c r="ED1656" s="4"/>
      <c r="EE1656" s="4"/>
      <c r="EF1656" s="4"/>
      <c r="EG1656" s="4"/>
      <c r="EH1656" s="4"/>
      <c r="EI1656" s="4"/>
      <c r="EJ1656" s="4"/>
      <c r="EK1656" s="4"/>
      <c r="EL1656" s="4"/>
      <c r="EM1656" s="4"/>
      <c r="EN1656" s="4"/>
      <c r="EO1656" s="4"/>
      <c r="EP1656" s="4"/>
      <c r="EQ1656" s="4"/>
      <c r="ER1656" s="4"/>
      <c r="ES1656" s="4"/>
      <c r="ET1656" s="4"/>
      <c r="EU1656" s="4"/>
      <c r="EV1656" s="4"/>
      <c r="EW1656" s="4"/>
      <c r="EX1656" s="4"/>
      <c r="EY1656" s="4"/>
      <c r="EZ1656" s="4"/>
      <c r="FA1656" s="4"/>
      <c r="FB1656" s="4"/>
      <c r="FC1656" s="4"/>
      <c r="FD1656" s="4"/>
      <c r="FE1656" s="4"/>
      <c r="FF1656" s="4"/>
      <c r="FG1656" s="4"/>
      <c r="FH1656" s="4"/>
      <c r="FI1656" s="4"/>
      <c r="FJ1656" s="4">
        <v>248</v>
      </c>
      <c r="FK1656" s="4"/>
      <c r="FL1656" s="4"/>
      <c r="FM1656" s="4"/>
      <c r="FN1656" s="4"/>
      <c r="FO1656" s="4"/>
      <c r="FP1656" s="4"/>
      <c r="FQ1656" s="4"/>
      <c r="FR1656" s="4"/>
      <c r="FS1656" s="4">
        <v>280</v>
      </c>
      <c r="FT1656" s="4"/>
      <c r="FU1656" s="4"/>
      <c r="FV1656" s="4"/>
      <c r="FW1656" s="4"/>
      <c r="FX1656" s="4"/>
      <c r="FY1656" s="4"/>
      <c r="FZ1656" s="4"/>
      <c r="GA1656" s="4"/>
      <c r="GB1656" s="4"/>
      <c r="GC1656" s="4"/>
      <c r="GD1656" s="4"/>
      <c r="GE1656" s="4"/>
      <c r="GF1656" s="4"/>
      <c r="GG1656" s="4"/>
      <c r="GH1656" s="4"/>
    </row>
    <row r="1657">
      <c r="A1657" s="2" t="s">
        <v>8585</v>
      </c>
      <c r="B1657" s="2" t="s">
        <v>1099</v>
      </c>
      <c r="C1657" s="2" t="s">
        <v>607</v>
      </c>
      <c r="D1657" s="2" t="s">
        <v>1100</v>
      </c>
      <c r="E1657" s="2" t="s">
        <v>1101</v>
      </c>
      <c r="F1657" s="2" t="s">
        <v>8551</v>
      </c>
      <c r="G1657" s="2" t="s">
        <v>8551</v>
      </c>
      <c r="H1657" s="2" t="s">
        <v>8551</v>
      </c>
      <c r="I1657" s="2" t="s">
        <v>8552</v>
      </c>
      <c r="J1657" s="2" t="s">
        <v>8555</v>
      </c>
      <c r="K1657" s="2" t="s">
        <v>221</v>
      </c>
      <c r="L1657" s="3">
        <v>18.5</v>
      </c>
      <c r="M1657" s="3">
        <v>19.43</v>
      </c>
      <c r="N1657" s="3">
        <v>39.99</v>
      </c>
      <c r="O1657" s="2" t="s">
        <v>212</v>
      </c>
      <c r="P1657" s="2" t="s">
        <v>205</v>
      </c>
      <c r="Q1657" s="2" t="s">
        <v>206</v>
      </c>
      <c r="R1657" s="2" t="s">
        <v>200</v>
      </c>
      <c r="S1657" s="2" t="s">
        <v>200</v>
      </c>
      <c r="T1657" s="2" t="s">
        <v>312</v>
      </c>
      <c r="U1657" s="2" t="s">
        <v>270</v>
      </c>
      <c r="V1657" s="2" t="s">
        <v>208</v>
      </c>
      <c r="W1657" s="2" t="s">
        <v>241</v>
      </c>
      <c r="X1657" s="2" t="s">
        <v>200</v>
      </c>
      <c r="Y1657" s="2" t="s">
        <v>200</v>
      </c>
      <c r="Z1657" s="4"/>
      <c r="AA1657" s="4">
        <f>=ROUNDDOWN({0},0)</f>
      </c>
      <c r="AB1657" s="5"/>
      <c r="AC1657" s="2" t="s">
        <v>5688</v>
      </c>
      <c r="AD1657" s="4">
        <v>188</v>
      </c>
      <c r="AE1657" s="4">
        <v>408</v>
      </c>
      <c r="AF1657" s="6">
        <v>69</v>
      </c>
      <c r="AG1657" s="6"/>
      <c r="AH1657" s="7"/>
      <c r="AI1657" s="4"/>
      <c r="AJ1657" s="4">
        <f>=ROUNDDOWN({0},0)</f>
      </c>
      <c r="AK1657" s="5"/>
      <c r="AL1657" s="2" t="s">
        <v>200</v>
      </c>
      <c r="AM1657" s="4"/>
      <c r="AN1657" s="4"/>
      <c r="AO1657" s="7"/>
      <c r="AP1657" s="4"/>
      <c r="AQ1657" s="8"/>
      <c r="AR1657" s="4"/>
      <c r="AS1657" s="8"/>
      <c r="AT1657" s="7"/>
      <c r="AU1657" s="7"/>
      <c r="AV1657" s="4" t="s">
        <v>200</v>
      </c>
      <c r="AW1657" s="8" t="s">
        <v>200</v>
      </c>
      <c r="AX1657" s="4" t="s">
        <v>200</v>
      </c>
      <c r="AY1657" s="8" t="s">
        <v>200</v>
      </c>
      <c r="AZ1657" s="7" t="s">
        <v>200</v>
      </c>
      <c r="BA1657" s="7" t="s">
        <v>200</v>
      </c>
      <c r="BB1657" s="7"/>
      <c r="BC1657" s="4" t="s">
        <v>200</v>
      </c>
      <c r="BD1657" s="8" t="s">
        <v>200</v>
      </c>
      <c r="BE1657" s="4" t="s">
        <v>200</v>
      </c>
      <c r="BF1657" s="8" t="s">
        <v>200</v>
      </c>
      <c r="BG1657" s="7" t="s">
        <v>200</v>
      </c>
      <c r="BH1657" s="7" t="s">
        <v>200</v>
      </c>
      <c r="BI1657" s="7"/>
      <c r="BJ1657" s="4"/>
      <c r="BK1657" s="8"/>
      <c r="BL1657" s="2" t="s">
        <v>200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210</v>
      </c>
      <c r="BV1657" s="2" t="s">
        <v>200</v>
      </c>
      <c r="BW1657" s="2" t="s">
        <v>200</v>
      </c>
      <c r="BX1657" s="2" t="s">
        <v>210</v>
      </c>
      <c r="BY1657" s="2" t="s">
        <v>211</v>
      </c>
      <c r="BZ1657" s="2" t="s">
        <v>212</v>
      </c>
      <c r="CA1657" s="2" t="s">
        <v>200</v>
      </c>
      <c r="CB1657" s="2" t="s">
        <v>200</v>
      </c>
      <c r="CC1657" s="2" t="s">
        <v>213</v>
      </c>
      <c r="CD1657" s="2" t="s">
        <v>200</v>
      </c>
      <c r="CE1657" s="4"/>
      <c r="CF1657" s="4"/>
      <c r="CG1657" s="4"/>
      <c r="CH1657" s="4"/>
      <c r="CI1657" s="4"/>
      <c r="CJ1657" s="4"/>
      <c r="CK1657" s="4"/>
      <c r="CL1657" s="4"/>
      <c r="CM1657" s="4"/>
      <c r="CN1657" s="4"/>
      <c r="CO1657" s="4"/>
      <c r="CP1657" s="4"/>
      <c r="CQ1657" s="4"/>
      <c r="CR1657" s="4"/>
      <c r="CS1657" s="4"/>
      <c r="CT1657" s="4"/>
      <c r="CU1657" s="4"/>
      <c r="CV1657" s="4"/>
      <c r="CW1657" s="4"/>
      <c r="CX1657" s="4"/>
      <c r="CY1657" s="4"/>
      <c r="CZ1657" s="4"/>
      <c r="DA1657" s="4"/>
      <c r="DB1657" s="4"/>
      <c r="DC1657" s="4"/>
      <c r="DD1657" s="4"/>
      <c r="DE1657" s="4"/>
      <c r="DF1657" s="4"/>
      <c r="DG1657" s="4"/>
      <c r="DH1657" s="4"/>
      <c r="DI1657" s="4"/>
      <c r="DJ1657" s="4"/>
      <c r="DK1657" s="4"/>
      <c r="DL1657" s="4"/>
      <c r="DM1657" s="4"/>
      <c r="DN1657" s="4"/>
      <c r="DO1657" s="4"/>
      <c r="DP1657" s="4"/>
      <c r="DQ1657" s="4"/>
      <c r="DR1657" s="4"/>
      <c r="DS1657" s="4"/>
      <c r="DT1657" s="4"/>
      <c r="DU1657" s="4"/>
      <c r="DV1657" s="4"/>
      <c r="DW1657" s="4"/>
      <c r="DX1657" s="4"/>
      <c r="DY1657" s="4"/>
      <c r="DZ1657" s="4"/>
      <c r="EA1657" s="4"/>
      <c r="EB1657" s="4"/>
      <c r="EC1657" s="4"/>
      <c r="ED1657" s="4"/>
      <c r="EE1657" s="4"/>
      <c r="EF1657" s="4"/>
      <c r="EG1657" s="4"/>
      <c r="EH1657" s="4"/>
      <c r="EI1657" s="4"/>
      <c r="EJ1657" s="4"/>
      <c r="EK1657" s="4"/>
      <c r="EL1657" s="4"/>
      <c r="EM1657" s="4"/>
      <c r="EN1657" s="4"/>
      <c r="EO1657" s="4"/>
      <c r="EP1657" s="4"/>
      <c r="EQ1657" s="4"/>
      <c r="ER1657" s="4"/>
      <c r="ES1657" s="4"/>
      <c r="ET1657" s="4"/>
      <c r="EU1657" s="4"/>
      <c r="EV1657" s="4"/>
      <c r="EW1657" s="4"/>
      <c r="EX1657" s="4"/>
      <c r="EY1657" s="4"/>
      <c r="EZ1657" s="4"/>
      <c r="FA1657" s="4"/>
      <c r="FB1657" s="4"/>
      <c r="FC1657" s="4"/>
      <c r="FD1657" s="4"/>
      <c r="FE1657" s="4"/>
      <c r="FF1657" s="4"/>
      <c r="FG1657" s="4"/>
      <c r="FH1657" s="4"/>
      <c r="FI1657" s="4"/>
      <c r="FJ1657" s="4">
        <v>188</v>
      </c>
      <c r="FK1657" s="4"/>
      <c r="FL1657" s="4"/>
      <c r="FM1657" s="4"/>
      <c r="FN1657" s="4"/>
      <c r="FO1657" s="4"/>
      <c r="FP1657" s="4"/>
      <c r="FQ1657" s="4"/>
      <c r="FR1657" s="4"/>
      <c r="FS1657" s="4">
        <v>220</v>
      </c>
      <c r="FT1657" s="4"/>
      <c r="FU1657" s="4"/>
      <c r="FV1657" s="4"/>
      <c r="FW1657" s="4"/>
      <c r="FX1657" s="4"/>
      <c r="FY1657" s="4"/>
      <c r="FZ1657" s="4"/>
      <c r="GA1657" s="4"/>
      <c r="GB1657" s="4"/>
      <c r="GC1657" s="4"/>
      <c r="GD1657" s="4"/>
      <c r="GE1657" s="4"/>
      <c r="GF1657" s="4"/>
      <c r="GG1657" s="4"/>
      <c r="GH1657" s="4"/>
    </row>
    <row r="1658">
      <c r="A1658" s="2" t="s">
        <v>8586</v>
      </c>
      <c r="B1658" s="2" t="s">
        <v>1099</v>
      </c>
      <c r="C1658" s="2" t="s">
        <v>607</v>
      </c>
      <c r="D1658" s="2" t="s">
        <v>1100</v>
      </c>
      <c r="E1658" s="2" t="s">
        <v>1101</v>
      </c>
      <c r="F1658" s="2" t="s">
        <v>8551</v>
      </c>
      <c r="G1658" s="2" t="s">
        <v>8551</v>
      </c>
      <c r="H1658" s="2" t="s">
        <v>8551</v>
      </c>
      <c r="I1658" s="2" t="s">
        <v>8552</v>
      </c>
      <c r="J1658" s="2" t="s">
        <v>1110</v>
      </c>
      <c r="K1658" s="2" t="s">
        <v>221</v>
      </c>
      <c r="L1658" s="3">
        <v>27</v>
      </c>
      <c r="M1658" s="3">
        <v>28.35</v>
      </c>
      <c r="N1658" s="3">
        <v>56.99</v>
      </c>
      <c r="O1658" s="2" t="s">
        <v>212</v>
      </c>
      <c r="P1658" s="2" t="s">
        <v>205</v>
      </c>
      <c r="Q1658" s="2" t="s">
        <v>206</v>
      </c>
      <c r="R1658" s="2" t="s">
        <v>200</v>
      </c>
      <c r="S1658" s="2" t="s">
        <v>200</v>
      </c>
      <c r="T1658" s="2" t="s">
        <v>312</v>
      </c>
      <c r="U1658" s="2" t="s">
        <v>270</v>
      </c>
      <c r="V1658" s="2" t="s">
        <v>208</v>
      </c>
      <c r="W1658" s="2" t="s">
        <v>241</v>
      </c>
      <c r="X1658" s="2" t="s">
        <v>200</v>
      </c>
      <c r="Y1658" s="2" t="s">
        <v>200</v>
      </c>
      <c r="Z1658" s="4"/>
      <c r="AA1658" s="4">
        <f>=ROUNDDOWN({0},0)</f>
      </c>
      <c r="AB1658" s="5"/>
      <c r="AC1658" s="2" t="s">
        <v>5688</v>
      </c>
      <c r="AD1658" s="4">
        <v>120</v>
      </c>
      <c r="AE1658" s="4">
        <v>272</v>
      </c>
      <c r="AF1658" s="6">
        <v>69</v>
      </c>
      <c r="AG1658" s="6"/>
      <c r="AH1658" s="7"/>
      <c r="AI1658" s="4"/>
      <c r="AJ1658" s="4">
        <f>=ROUNDDOWN({0},0)</f>
      </c>
      <c r="AK1658" s="5"/>
      <c r="AL1658" s="2" t="s">
        <v>200</v>
      </c>
      <c r="AM1658" s="4"/>
      <c r="AN1658" s="4"/>
      <c r="AO1658" s="7"/>
      <c r="AP1658" s="4"/>
      <c r="AQ1658" s="8"/>
      <c r="AR1658" s="4"/>
      <c r="AS1658" s="8"/>
      <c r="AT1658" s="7"/>
      <c r="AU1658" s="7"/>
      <c r="AV1658" s="4" t="s">
        <v>200</v>
      </c>
      <c r="AW1658" s="8" t="s">
        <v>200</v>
      </c>
      <c r="AX1658" s="4" t="s">
        <v>200</v>
      </c>
      <c r="AY1658" s="8" t="s">
        <v>200</v>
      </c>
      <c r="AZ1658" s="7" t="s">
        <v>200</v>
      </c>
      <c r="BA1658" s="7" t="s">
        <v>200</v>
      </c>
      <c r="BB1658" s="7"/>
      <c r="BC1658" s="4" t="s">
        <v>200</v>
      </c>
      <c r="BD1658" s="8" t="s">
        <v>200</v>
      </c>
      <c r="BE1658" s="4" t="s">
        <v>200</v>
      </c>
      <c r="BF1658" s="8" t="s">
        <v>200</v>
      </c>
      <c r="BG1658" s="7" t="s">
        <v>200</v>
      </c>
      <c r="BH1658" s="7" t="s">
        <v>200</v>
      </c>
      <c r="BI1658" s="7"/>
      <c r="BJ1658" s="4"/>
      <c r="BK1658" s="8"/>
      <c r="BL1658" s="2" t="s">
        <v>200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210</v>
      </c>
      <c r="BV1658" s="2" t="s">
        <v>200</v>
      </c>
      <c r="BW1658" s="2" t="s">
        <v>200</v>
      </c>
      <c r="BX1658" s="2" t="s">
        <v>210</v>
      </c>
      <c r="BY1658" s="2" t="s">
        <v>211</v>
      </c>
      <c r="BZ1658" s="2" t="s">
        <v>212</v>
      </c>
      <c r="CA1658" s="2" t="s">
        <v>200</v>
      </c>
      <c r="CB1658" s="2" t="s">
        <v>200</v>
      </c>
      <c r="CC1658" s="2" t="s">
        <v>213</v>
      </c>
      <c r="CD1658" s="2" t="s">
        <v>200</v>
      </c>
      <c r="CE1658" s="4"/>
      <c r="CF1658" s="4"/>
      <c r="CG1658" s="4"/>
      <c r="CH1658" s="4"/>
      <c r="CI1658" s="4"/>
      <c r="CJ1658" s="4"/>
      <c r="CK1658" s="4"/>
      <c r="CL1658" s="4"/>
      <c r="CM1658" s="4"/>
      <c r="CN1658" s="4"/>
      <c r="CO1658" s="4"/>
      <c r="CP1658" s="4"/>
      <c r="CQ1658" s="4"/>
      <c r="CR1658" s="4"/>
      <c r="CS1658" s="4"/>
      <c r="CT1658" s="4"/>
      <c r="CU1658" s="4"/>
      <c r="CV1658" s="4"/>
      <c r="CW1658" s="4"/>
      <c r="CX1658" s="4"/>
      <c r="CY1658" s="4"/>
      <c r="CZ1658" s="4"/>
      <c r="DA1658" s="4"/>
      <c r="DB1658" s="4"/>
      <c r="DC1658" s="4"/>
      <c r="DD1658" s="4"/>
      <c r="DE1658" s="4"/>
      <c r="DF1658" s="4"/>
      <c r="DG1658" s="4"/>
      <c r="DH1658" s="4"/>
      <c r="DI1658" s="4"/>
      <c r="DJ1658" s="4"/>
      <c r="DK1658" s="4"/>
      <c r="DL1658" s="4"/>
      <c r="DM1658" s="4"/>
      <c r="DN1658" s="4"/>
      <c r="DO1658" s="4"/>
      <c r="DP1658" s="4"/>
      <c r="DQ1658" s="4"/>
      <c r="DR1658" s="4"/>
      <c r="DS1658" s="4"/>
      <c r="DT1658" s="4"/>
      <c r="DU1658" s="4"/>
      <c r="DV1658" s="4"/>
      <c r="DW1658" s="4"/>
      <c r="DX1658" s="4"/>
      <c r="DY1658" s="4"/>
      <c r="DZ1658" s="4"/>
      <c r="EA1658" s="4"/>
      <c r="EB1658" s="4"/>
      <c r="EC1658" s="4"/>
      <c r="ED1658" s="4"/>
      <c r="EE1658" s="4"/>
      <c r="EF1658" s="4"/>
      <c r="EG1658" s="4"/>
      <c r="EH1658" s="4"/>
      <c r="EI1658" s="4"/>
      <c r="EJ1658" s="4"/>
      <c r="EK1658" s="4"/>
      <c r="EL1658" s="4"/>
      <c r="EM1658" s="4"/>
      <c r="EN1658" s="4"/>
      <c r="EO1658" s="4"/>
      <c r="EP1658" s="4"/>
      <c r="EQ1658" s="4"/>
      <c r="ER1658" s="4"/>
      <c r="ES1658" s="4"/>
      <c r="ET1658" s="4"/>
      <c r="EU1658" s="4"/>
      <c r="EV1658" s="4"/>
      <c r="EW1658" s="4"/>
      <c r="EX1658" s="4"/>
      <c r="EY1658" s="4"/>
      <c r="EZ1658" s="4"/>
      <c r="FA1658" s="4"/>
      <c r="FB1658" s="4"/>
      <c r="FC1658" s="4"/>
      <c r="FD1658" s="4"/>
      <c r="FE1658" s="4"/>
      <c r="FF1658" s="4"/>
      <c r="FG1658" s="4"/>
      <c r="FH1658" s="4"/>
      <c r="FI1658" s="4"/>
      <c r="FJ1658" s="4">
        <v>120</v>
      </c>
      <c r="FK1658" s="4"/>
      <c r="FL1658" s="4"/>
      <c r="FM1658" s="4"/>
      <c r="FN1658" s="4"/>
      <c r="FO1658" s="4"/>
      <c r="FP1658" s="4"/>
      <c r="FQ1658" s="4"/>
      <c r="FR1658" s="4"/>
      <c r="FS1658" s="4">
        <v>152</v>
      </c>
      <c r="FT1658" s="4"/>
      <c r="FU1658" s="4"/>
      <c r="FV1658" s="4"/>
      <c r="FW1658" s="4"/>
      <c r="FX1658" s="4"/>
      <c r="FY1658" s="4"/>
      <c r="FZ1658" s="4"/>
      <c r="GA1658" s="4"/>
      <c r="GB1658" s="4"/>
      <c r="GC1658" s="4"/>
      <c r="GD1658" s="4"/>
      <c r="GE1658" s="4"/>
      <c r="GF1658" s="4"/>
      <c r="GG1658" s="4"/>
      <c r="GH1658" s="4"/>
    </row>
    <row r="1659">
      <c r="A1659" s="2" t="s">
        <v>8587</v>
      </c>
      <c r="B1659" s="2" t="s">
        <v>1099</v>
      </c>
      <c r="C1659" s="2" t="s">
        <v>607</v>
      </c>
      <c r="D1659" s="2" t="s">
        <v>1100</v>
      </c>
      <c r="E1659" s="2" t="s">
        <v>1101</v>
      </c>
      <c r="F1659" s="2" t="s">
        <v>8551</v>
      </c>
      <c r="G1659" s="2" t="s">
        <v>8551</v>
      </c>
      <c r="H1659" s="2" t="s">
        <v>8551</v>
      </c>
      <c r="I1659" s="2" t="s">
        <v>8552</v>
      </c>
      <c r="J1659" s="2" t="s">
        <v>8560</v>
      </c>
      <c r="K1659" s="2" t="s">
        <v>221</v>
      </c>
      <c r="L1659" s="3">
        <v>14.8</v>
      </c>
      <c r="M1659" s="3">
        <v>15.54</v>
      </c>
      <c r="N1659" s="3">
        <v>31.99</v>
      </c>
      <c r="O1659" s="2" t="s">
        <v>212</v>
      </c>
      <c r="P1659" s="2" t="s">
        <v>205</v>
      </c>
      <c r="Q1659" s="2" t="s">
        <v>206</v>
      </c>
      <c r="R1659" s="2" t="s">
        <v>200</v>
      </c>
      <c r="S1659" s="2" t="s">
        <v>200</v>
      </c>
      <c r="T1659" s="2" t="s">
        <v>312</v>
      </c>
      <c r="U1659" s="2" t="s">
        <v>270</v>
      </c>
      <c r="V1659" s="2" t="s">
        <v>208</v>
      </c>
      <c r="W1659" s="2" t="s">
        <v>241</v>
      </c>
      <c r="X1659" s="2" t="s">
        <v>200</v>
      </c>
      <c r="Y1659" s="2" t="s">
        <v>200</v>
      </c>
      <c r="Z1659" s="4"/>
      <c r="AA1659" s="4">
        <f>=ROUNDDOWN({0},0)</f>
      </c>
      <c r="AB1659" s="5"/>
      <c r="AC1659" s="2" t="s">
        <v>5688</v>
      </c>
      <c r="AD1659" s="4">
        <v>452</v>
      </c>
      <c r="AE1659" s="4">
        <v>936</v>
      </c>
      <c r="AF1659" s="6">
        <v>69</v>
      </c>
      <c r="AG1659" s="6"/>
      <c r="AH1659" s="7"/>
      <c r="AI1659" s="4"/>
      <c r="AJ1659" s="4">
        <f>=ROUNDDOWN({0},0)</f>
      </c>
      <c r="AK1659" s="5"/>
      <c r="AL1659" s="2" t="s">
        <v>200</v>
      </c>
      <c r="AM1659" s="4"/>
      <c r="AN1659" s="4"/>
      <c r="AO1659" s="7"/>
      <c r="AP1659" s="4"/>
      <c r="AQ1659" s="8"/>
      <c r="AR1659" s="4"/>
      <c r="AS1659" s="8"/>
      <c r="AT1659" s="7"/>
      <c r="AU1659" s="7"/>
      <c r="AV1659" s="4" t="s">
        <v>200</v>
      </c>
      <c r="AW1659" s="8" t="s">
        <v>200</v>
      </c>
      <c r="AX1659" s="4" t="s">
        <v>200</v>
      </c>
      <c r="AY1659" s="8" t="s">
        <v>200</v>
      </c>
      <c r="AZ1659" s="7" t="s">
        <v>200</v>
      </c>
      <c r="BA1659" s="7" t="s">
        <v>200</v>
      </c>
      <c r="BB1659" s="7"/>
      <c r="BC1659" s="4" t="s">
        <v>200</v>
      </c>
      <c r="BD1659" s="8" t="s">
        <v>200</v>
      </c>
      <c r="BE1659" s="4" t="s">
        <v>200</v>
      </c>
      <c r="BF1659" s="8" t="s">
        <v>200</v>
      </c>
      <c r="BG1659" s="7" t="s">
        <v>200</v>
      </c>
      <c r="BH1659" s="7" t="s">
        <v>200</v>
      </c>
      <c r="BI1659" s="7"/>
      <c r="BJ1659" s="4"/>
      <c r="BK1659" s="8"/>
      <c r="BL1659" s="2" t="s">
        <v>200</v>
      </c>
      <c r="BM1659" s="7"/>
      <c r="BN1659" s="7"/>
      <c r="BO1659" s="4"/>
      <c r="BP1659" s="8"/>
      <c r="BQ1659" s="4"/>
      <c r="BR1659" s="8"/>
      <c r="BS1659" s="7"/>
      <c r="BT1659" s="7"/>
      <c r="BU1659" s="2" t="s">
        <v>210</v>
      </c>
      <c r="BV1659" s="2" t="s">
        <v>200</v>
      </c>
      <c r="BW1659" s="2" t="s">
        <v>200</v>
      </c>
      <c r="BX1659" s="2" t="s">
        <v>210</v>
      </c>
      <c r="BY1659" s="2" t="s">
        <v>211</v>
      </c>
      <c r="BZ1659" s="2" t="s">
        <v>212</v>
      </c>
      <c r="CA1659" s="2" t="s">
        <v>200</v>
      </c>
      <c r="CB1659" s="2" t="s">
        <v>200</v>
      </c>
      <c r="CC1659" s="2" t="s">
        <v>213</v>
      </c>
      <c r="CD1659" s="2" t="s">
        <v>200</v>
      </c>
      <c r="CE1659" s="4"/>
      <c r="CF1659" s="4"/>
      <c r="CG1659" s="4"/>
      <c r="CH1659" s="4"/>
      <c r="CI1659" s="4"/>
      <c r="CJ1659" s="4"/>
      <c r="CK1659" s="4"/>
      <c r="CL1659" s="4"/>
      <c r="CM1659" s="4"/>
      <c r="CN1659" s="4"/>
      <c r="CO1659" s="4"/>
      <c r="CP1659" s="4"/>
      <c r="CQ1659" s="4"/>
      <c r="CR1659" s="4"/>
      <c r="CS1659" s="4"/>
      <c r="CT1659" s="4"/>
      <c r="CU1659" s="4"/>
      <c r="CV1659" s="4"/>
      <c r="CW1659" s="4"/>
      <c r="CX1659" s="4"/>
      <c r="CY1659" s="4"/>
      <c r="CZ1659" s="4"/>
      <c r="DA1659" s="4"/>
      <c r="DB1659" s="4"/>
      <c r="DC1659" s="4"/>
      <c r="DD1659" s="4"/>
      <c r="DE1659" s="4"/>
      <c r="DF1659" s="4"/>
      <c r="DG1659" s="4"/>
      <c r="DH1659" s="4"/>
      <c r="DI1659" s="4"/>
      <c r="DJ1659" s="4"/>
      <c r="DK1659" s="4"/>
      <c r="DL1659" s="4"/>
      <c r="DM1659" s="4"/>
      <c r="DN1659" s="4"/>
      <c r="DO1659" s="4"/>
      <c r="DP1659" s="4"/>
      <c r="DQ1659" s="4"/>
      <c r="DR1659" s="4"/>
      <c r="DS1659" s="4"/>
      <c r="DT1659" s="4"/>
      <c r="DU1659" s="4"/>
      <c r="DV1659" s="4"/>
      <c r="DW1659" s="4"/>
      <c r="DX1659" s="4"/>
      <c r="DY1659" s="4"/>
      <c r="DZ1659" s="4"/>
      <c r="EA1659" s="4"/>
      <c r="EB1659" s="4"/>
      <c r="EC1659" s="4"/>
      <c r="ED1659" s="4"/>
      <c r="EE1659" s="4"/>
      <c r="EF1659" s="4"/>
      <c r="EG1659" s="4"/>
      <c r="EH1659" s="4"/>
      <c r="EI1659" s="4"/>
      <c r="EJ1659" s="4"/>
      <c r="EK1659" s="4"/>
      <c r="EL1659" s="4"/>
      <c r="EM1659" s="4"/>
      <c r="EN1659" s="4"/>
      <c r="EO1659" s="4"/>
      <c r="EP1659" s="4"/>
      <c r="EQ1659" s="4"/>
      <c r="ER1659" s="4"/>
      <c r="ES1659" s="4"/>
      <c r="ET1659" s="4"/>
      <c r="EU1659" s="4"/>
      <c r="EV1659" s="4"/>
      <c r="EW1659" s="4"/>
      <c r="EX1659" s="4"/>
      <c r="EY1659" s="4"/>
      <c r="EZ1659" s="4"/>
      <c r="FA1659" s="4"/>
      <c r="FB1659" s="4"/>
      <c r="FC1659" s="4"/>
      <c r="FD1659" s="4"/>
      <c r="FE1659" s="4"/>
      <c r="FF1659" s="4"/>
      <c r="FG1659" s="4"/>
      <c r="FH1659" s="4"/>
      <c r="FI1659" s="4"/>
      <c r="FJ1659" s="4">
        <v>452</v>
      </c>
      <c r="FK1659" s="4"/>
      <c r="FL1659" s="4"/>
      <c r="FM1659" s="4"/>
      <c r="FN1659" s="4"/>
      <c r="FO1659" s="4"/>
      <c r="FP1659" s="4"/>
      <c r="FQ1659" s="4"/>
      <c r="FR1659" s="4"/>
      <c r="FS1659" s="4">
        <v>484</v>
      </c>
      <c r="FT1659" s="4"/>
      <c r="FU1659" s="4"/>
      <c r="FV1659" s="4"/>
      <c r="FW1659" s="4"/>
      <c r="FX1659" s="4"/>
      <c r="FY1659" s="4"/>
      <c r="FZ1659" s="4"/>
      <c r="GA1659" s="4"/>
      <c r="GB1659" s="4"/>
      <c r="GC1659" s="4"/>
      <c r="GD1659" s="4"/>
      <c r="GE1659" s="4"/>
      <c r="GF1659" s="4"/>
      <c r="GG1659" s="4"/>
      <c r="GH1659" s="4"/>
    </row>
    <row r="1660">
      <c r="A1660" s="2" t="s">
        <v>8588</v>
      </c>
      <c r="B1660" s="2" t="s">
        <v>1099</v>
      </c>
      <c r="C1660" s="2" t="s">
        <v>607</v>
      </c>
      <c r="D1660" s="2" t="s">
        <v>1100</v>
      </c>
      <c r="E1660" s="2" t="s">
        <v>1101</v>
      </c>
      <c r="F1660" s="2" t="s">
        <v>8551</v>
      </c>
      <c r="G1660" s="2" t="s">
        <v>8551</v>
      </c>
      <c r="H1660" s="2" t="s">
        <v>8551</v>
      </c>
      <c r="I1660" s="2" t="s">
        <v>8552</v>
      </c>
      <c r="J1660" s="2" t="s">
        <v>5836</v>
      </c>
      <c r="K1660" s="2" t="s">
        <v>601</v>
      </c>
      <c r="L1660" s="3">
        <v>12</v>
      </c>
      <c r="M1660" s="3">
        <v>12.6</v>
      </c>
      <c r="N1660" s="3">
        <v>25.99</v>
      </c>
      <c r="O1660" s="2" t="s">
        <v>212</v>
      </c>
      <c r="P1660" s="2" t="s">
        <v>205</v>
      </c>
      <c r="Q1660" s="2" t="s">
        <v>206</v>
      </c>
      <c r="R1660" s="2" t="s">
        <v>200</v>
      </c>
      <c r="S1660" s="2" t="s">
        <v>200</v>
      </c>
      <c r="T1660" s="2" t="s">
        <v>312</v>
      </c>
      <c r="U1660" s="2" t="s">
        <v>270</v>
      </c>
      <c r="V1660" s="2" t="s">
        <v>208</v>
      </c>
      <c r="W1660" s="2" t="s">
        <v>241</v>
      </c>
      <c r="X1660" s="2" t="s">
        <v>200</v>
      </c>
      <c r="Y1660" s="2" t="s">
        <v>200</v>
      </c>
      <c r="Z1660" s="4"/>
      <c r="AA1660" s="4">
        <f>=ROUNDDOWN({0},0)</f>
      </c>
      <c r="AB1660" s="5"/>
      <c r="AC1660" s="2" t="s">
        <v>5688</v>
      </c>
      <c r="AD1660" s="4">
        <v>404</v>
      </c>
      <c r="AE1660" s="4">
        <v>840</v>
      </c>
      <c r="AF1660" s="6">
        <v>69</v>
      </c>
      <c r="AG1660" s="6"/>
      <c r="AH1660" s="7"/>
      <c r="AI1660" s="4"/>
      <c r="AJ1660" s="4">
        <f>=ROUNDDOWN({0},0)</f>
      </c>
      <c r="AK1660" s="5"/>
      <c r="AL1660" s="2" t="s">
        <v>200</v>
      </c>
      <c r="AM1660" s="4"/>
      <c r="AN1660" s="4"/>
      <c r="AO1660" s="7"/>
      <c r="AP1660" s="4"/>
      <c r="AQ1660" s="8"/>
      <c r="AR1660" s="4"/>
      <c r="AS1660" s="8"/>
      <c r="AT1660" s="7"/>
      <c r="AU1660" s="7"/>
      <c r="AV1660" s="4" t="s">
        <v>200</v>
      </c>
      <c r="AW1660" s="8" t="s">
        <v>200</v>
      </c>
      <c r="AX1660" s="4" t="s">
        <v>200</v>
      </c>
      <c r="AY1660" s="8" t="s">
        <v>200</v>
      </c>
      <c r="AZ1660" s="7" t="s">
        <v>200</v>
      </c>
      <c r="BA1660" s="7" t="s">
        <v>200</v>
      </c>
      <c r="BB1660" s="7"/>
      <c r="BC1660" s="4" t="s">
        <v>200</v>
      </c>
      <c r="BD1660" s="8" t="s">
        <v>200</v>
      </c>
      <c r="BE1660" s="4" t="s">
        <v>200</v>
      </c>
      <c r="BF1660" s="8" t="s">
        <v>200</v>
      </c>
      <c r="BG1660" s="7" t="s">
        <v>200</v>
      </c>
      <c r="BH1660" s="7" t="s">
        <v>200</v>
      </c>
      <c r="BI1660" s="7"/>
      <c r="BJ1660" s="4"/>
      <c r="BK1660" s="8"/>
      <c r="BL1660" s="2" t="s">
        <v>200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210</v>
      </c>
      <c r="BV1660" s="2" t="s">
        <v>200</v>
      </c>
      <c r="BW1660" s="2" t="s">
        <v>200</v>
      </c>
      <c r="BX1660" s="2" t="s">
        <v>210</v>
      </c>
      <c r="BY1660" s="2" t="s">
        <v>211</v>
      </c>
      <c r="BZ1660" s="2" t="s">
        <v>212</v>
      </c>
      <c r="CA1660" s="2" t="s">
        <v>200</v>
      </c>
      <c r="CB1660" s="2" t="s">
        <v>200</v>
      </c>
      <c r="CC1660" s="2" t="s">
        <v>213</v>
      </c>
      <c r="CD1660" s="2" t="s">
        <v>200</v>
      </c>
      <c r="CE1660" s="4"/>
      <c r="CF1660" s="4"/>
      <c r="CG1660" s="4"/>
      <c r="CH1660" s="4"/>
      <c r="CI1660" s="4"/>
      <c r="CJ1660" s="4"/>
      <c r="CK1660" s="4"/>
      <c r="CL1660" s="4"/>
      <c r="CM1660" s="4"/>
      <c r="CN1660" s="4"/>
      <c r="CO1660" s="4"/>
      <c r="CP1660" s="4"/>
      <c r="CQ1660" s="4"/>
      <c r="CR1660" s="4"/>
      <c r="CS1660" s="4"/>
      <c r="CT1660" s="4"/>
      <c r="CU1660" s="4"/>
      <c r="CV1660" s="4"/>
      <c r="CW1660" s="4"/>
      <c r="CX1660" s="4"/>
      <c r="CY1660" s="4"/>
      <c r="CZ1660" s="4"/>
      <c r="DA1660" s="4"/>
      <c r="DB1660" s="4"/>
      <c r="DC1660" s="4"/>
      <c r="DD1660" s="4"/>
      <c r="DE1660" s="4"/>
      <c r="DF1660" s="4"/>
      <c r="DG1660" s="4"/>
      <c r="DH1660" s="4"/>
      <c r="DI1660" s="4"/>
      <c r="DJ1660" s="4"/>
      <c r="DK1660" s="4"/>
      <c r="DL1660" s="4"/>
      <c r="DM1660" s="4"/>
      <c r="DN1660" s="4"/>
      <c r="DO1660" s="4"/>
      <c r="DP1660" s="4"/>
      <c r="DQ1660" s="4"/>
      <c r="DR1660" s="4"/>
      <c r="DS1660" s="4"/>
      <c r="DT1660" s="4"/>
      <c r="DU1660" s="4"/>
      <c r="DV1660" s="4"/>
      <c r="DW1660" s="4"/>
      <c r="DX1660" s="4"/>
      <c r="DY1660" s="4"/>
      <c r="DZ1660" s="4"/>
      <c r="EA1660" s="4"/>
      <c r="EB1660" s="4"/>
      <c r="EC1660" s="4"/>
      <c r="ED1660" s="4"/>
      <c r="EE1660" s="4"/>
      <c r="EF1660" s="4"/>
      <c r="EG1660" s="4"/>
      <c r="EH1660" s="4"/>
      <c r="EI1660" s="4"/>
      <c r="EJ1660" s="4"/>
      <c r="EK1660" s="4"/>
      <c r="EL1660" s="4"/>
      <c r="EM1660" s="4"/>
      <c r="EN1660" s="4"/>
      <c r="EO1660" s="4"/>
      <c r="EP1660" s="4"/>
      <c r="EQ1660" s="4"/>
      <c r="ER1660" s="4"/>
      <c r="ES1660" s="4"/>
      <c r="ET1660" s="4"/>
      <c r="EU1660" s="4"/>
      <c r="EV1660" s="4"/>
      <c r="EW1660" s="4"/>
      <c r="EX1660" s="4"/>
      <c r="EY1660" s="4"/>
      <c r="EZ1660" s="4"/>
      <c r="FA1660" s="4"/>
      <c r="FB1660" s="4"/>
      <c r="FC1660" s="4"/>
      <c r="FD1660" s="4"/>
      <c r="FE1660" s="4"/>
      <c r="FF1660" s="4"/>
      <c r="FG1660" s="4"/>
      <c r="FH1660" s="4"/>
      <c r="FI1660" s="4"/>
      <c r="FJ1660" s="4">
        <v>404</v>
      </c>
      <c r="FK1660" s="4"/>
      <c r="FL1660" s="4"/>
      <c r="FM1660" s="4"/>
      <c r="FN1660" s="4"/>
      <c r="FO1660" s="4"/>
      <c r="FP1660" s="4"/>
      <c r="FQ1660" s="4"/>
      <c r="FR1660" s="4"/>
      <c r="FS1660" s="4">
        <v>436</v>
      </c>
      <c r="FT1660" s="4"/>
      <c r="FU1660" s="4"/>
      <c r="FV1660" s="4"/>
      <c r="FW1660" s="4"/>
      <c r="FX1660" s="4"/>
      <c r="FY1660" s="4"/>
      <c r="FZ1660" s="4"/>
      <c r="GA1660" s="4"/>
      <c r="GB1660" s="4"/>
      <c r="GC1660" s="4"/>
      <c r="GD1660" s="4"/>
      <c r="GE1660" s="4"/>
      <c r="GF1660" s="4"/>
      <c r="GG1660" s="4"/>
      <c r="GH1660" s="4"/>
    </row>
    <row r="1661">
      <c r="A1661" s="2" t="s">
        <v>8589</v>
      </c>
      <c r="B1661" s="2" t="s">
        <v>1099</v>
      </c>
      <c r="C1661" s="2" t="s">
        <v>607</v>
      </c>
      <c r="D1661" s="2" t="s">
        <v>1100</v>
      </c>
      <c r="E1661" s="2" t="s">
        <v>1101</v>
      </c>
      <c r="F1661" s="2" t="s">
        <v>8551</v>
      </c>
      <c r="G1661" s="2" t="s">
        <v>8551</v>
      </c>
      <c r="H1661" s="2" t="s">
        <v>8551</v>
      </c>
      <c r="I1661" s="2" t="s">
        <v>8552</v>
      </c>
      <c r="J1661" s="2" t="s">
        <v>1103</v>
      </c>
      <c r="K1661" s="2" t="s">
        <v>601</v>
      </c>
      <c r="L1661" s="3">
        <v>21.3</v>
      </c>
      <c r="M1661" s="3">
        <v>22.37</v>
      </c>
      <c r="N1661" s="3">
        <v>45.99</v>
      </c>
      <c r="O1661" s="2" t="s">
        <v>212</v>
      </c>
      <c r="P1661" s="2" t="s">
        <v>205</v>
      </c>
      <c r="Q1661" s="2" t="s">
        <v>206</v>
      </c>
      <c r="R1661" s="2" t="s">
        <v>200</v>
      </c>
      <c r="S1661" s="2" t="s">
        <v>200</v>
      </c>
      <c r="T1661" s="2" t="s">
        <v>312</v>
      </c>
      <c r="U1661" s="2" t="s">
        <v>270</v>
      </c>
      <c r="V1661" s="2" t="s">
        <v>208</v>
      </c>
      <c r="W1661" s="2" t="s">
        <v>241</v>
      </c>
      <c r="X1661" s="2" t="s">
        <v>200</v>
      </c>
      <c r="Y1661" s="2" t="s">
        <v>200</v>
      </c>
      <c r="Z1661" s="4"/>
      <c r="AA1661" s="4">
        <f>=ROUNDDOWN({0},0)</f>
      </c>
      <c r="AB1661" s="5"/>
      <c r="AC1661" s="2" t="s">
        <v>5688</v>
      </c>
      <c r="AD1661" s="4">
        <v>332</v>
      </c>
      <c r="AE1661" s="4">
        <v>696</v>
      </c>
      <c r="AF1661" s="6">
        <v>69</v>
      </c>
      <c r="AG1661" s="6"/>
      <c r="AH1661" s="7"/>
      <c r="AI1661" s="4"/>
      <c r="AJ1661" s="4">
        <f>=ROUNDDOWN({0},0)</f>
      </c>
      <c r="AK1661" s="5"/>
      <c r="AL1661" s="2" t="s">
        <v>200</v>
      </c>
      <c r="AM1661" s="4"/>
      <c r="AN1661" s="4"/>
      <c r="AO1661" s="7"/>
      <c r="AP1661" s="4"/>
      <c r="AQ1661" s="8"/>
      <c r="AR1661" s="4"/>
      <c r="AS1661" s="8"/>
      <c r="AT1661" s="7"/>
      <c r="AU1661" s="7"/>
      <c r="AV1661" s="4" t="s">
        <v>200</v>
      </c>
      <c r="AW1661" s="8" t="s">
        <v>200</v>
      </c>
      <c r="AX1661" s="4" t="s">
        <v>200</v>
      </c>
      <c r="AY1661" s="8" t="s">
        <v>200</v>
      </c>
      <c r="AZ1661" s="7" t="s">
        <v>200</v>
      </c>
      <c r="BA1661" s="7" t="s">
        <v>200</v>
      </c>
      <c r="BB1661" s="7"/>
      <c r="BC1661" s="4" t="s">
        <v>200</v>
      </c>
      <c r="BD1661" s="8" t="s">
        <v>200</v>
      </c>
      <c r="BE1661" s="4" t="s">
        <v>200</v>
      </c>
      <c r="BF1661" s="8" t="s">
        <v>200</v>
      </c>
      <c r="BG1661" s="7" t="s">
        <v>200</v>
      </c>
      <c r="BH1661" s="7" t="s">
        <v>200</v>
      </c>
      <c r="BI1661" s="7"/>
      <c r="BJ1661" s="4"/>
      <c r="BK1661" s="8"/>
      <c r="BL1661" s="2" t="s">
        <v>200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210</v>
      </c>
      <c r="BV1661" s="2" t="s">
        <v>200</v>
      </c>
      <c r="BW1661" s="2" t="s">
        <v>200</v>
      </c>
      <c r="BX1661" s="2" t="s">
        <v>210</v>
      </c>
      <c r="BY1661" s="2" t="s">
        <v>211</v>
      </c>
      <c r="BZ1661" s="2" t="s">
        <v>212</v>
      </c>
      <c r="CA1661" s="2" t="s">
        <v>200</v>
      </c>
      <c r="CB1661" s="2" t="s">
        <v>200</v>
      </c>
      <c r="CC1661" s="2" t="s">
        <v>213</v>
      </c>
      <c r="CD1661" s="2" t="s">
        <v>200</v>
      </c>
      <c r="CE1661" s="4"/>
      <c r="CF1661" s="4"/>
      <c r="CG1661" s="4"/>
      <c r="CH1661" s="4"/>
      <c r="CI1661" s="4"/>
      <c r="CJ1661" s="4"/>
      <c r="CK1661" s="4"/>
      <c r="CL1661" s="4"/>
      <c r="CM1661" s="4"/>
      <c r="CN1661" s="4"/>
      <c r="CO1661" s="4"/>
      <c r="CP1661" s="4"/>
      <c r="CQ1661" s="4"/>
      <c r="CR1661" s="4"/>
      <c r="CS1661" s="4"/>
      <c r="CT1661" s="4"/>
      <c r="CU1661" s="4"/>
      <c r="CV1661" s="4"/>
      <c r="CW1661" s="4"/>
      <c r="CX1661" s="4"/>
      <c r="CY1661" s="4"/>
      <c r="CZ1661" s="4"/>
      <c r="DA1661" s="4"/>
      <c r="DB1661" s="4"/>
      <c r="DC1661" s="4"/>
      <c r="DD1661" s="4"/>
      <c r="DE1661" s="4"/>
      <c r="DF1661" s="4"/>
      <c r="DG1661" s="4"/>
      <c r="DH1661" s="4"/>
      <c r="DI1661" s="4"/>
      <c r="DJ1661" s="4"/>
      <c r="DK1661" s="4"/>
      <c r="DL1661" s="4"/>
      <c r="DM1661" s="4"/>
      <c r="DN1661" s="4"/>
      <c r="DO1661" s="4"/>
      <c r="DP1661" s="4"/>
      <c r="DQ1661" s="4"/>
      <c r="DR1661" s="4"/>
      <c r="DS1661" s="4"/>
      <c r="DT1661" s="4"/>
      <c r="DU1661" s="4"/>
      <c r="DV1661" s="4"/>
      <c r="DW1661" s="4"/>
      <c r="DX1661" s="4"/>
      <c r="DY1661" s="4"/>
      <c r="DZ1661" s="4"/>
      <c r="EA1661" s="4"/>
      <c r="EB1661" s="4"/>
      <c r="EC1661" s="4"/>
      <c r="ED1661" s="4"/>
      <c r="EE1661" s="4"/>
      <c r="EF1661" s="4"/>
      <c r="EG1661" s="4"/>
      <c r="EH1661" s="4"/>
      <c r="EI1661" s="4"/>
      <c r="EJ1661" s="4"/>
      <c r="EK1661" s="4"/>
      <c r="EL1661" s="4"/>
      <c r="EM1661" s="4"/>
      <c r="EN1661" s="4"/>
      <c r="EO1661" s="4"/>
      <c r="EP1661" s="4"/>
      <c r="EQ1661" s="4"/>
      <c r="ER1661" s="4"/>
      <c r="ES1661" s="4"/>
      <c r="ET1661" s="4"/>
      <c r="EU1661" s="4"/>
      <c r="EV1661" s="4"/>
      <c r="EW1661" s="4"/>
      <c r="EX1661" s="4"/>
      <c r="EY1661" s="4"/>
      <c r="EZ1661" s="4"/>
      <c r="FA1661" s="4"/>
      <c r="FB1661" s="4"/>
      <c r="FC1661" s="4"/>
      <c r="FD1661" s="4"/>
      <c r="FE1661" s="4"/>
      <c r="FF1661" s="4"/>
      <c r="FG1661" s="4"/>
      <c r="FH1661" s="4"/>
      <c r="FI1661" s="4"/>
      <c r="FJ1661" s="4">
        <v>332</v>
      </c>
      <c r="FK1661" s="4"/>
      <c r="FL1661" s="4"/>
      <c r="FM1661" s="4"/>
      <c r="FN1661" s="4"/>
      <c r="FO1661" s="4"/>
      <c r="FP1661" s="4"/>
      <c r="FQ1661" s="4"/>
      <c r="FR1661" s="4"/>
      <c r="FS1661" s="4">
        <v>364</v>
      </c>
      <c r="FT1661" s="4"/>
      <c r="FU1661" s="4"/>
      <c r="FV1661" s="4"/>
      <c r="FW1661" s="4"/>
      <c r="FX1661" s="4"/>
      <c r="FY1661" s="4"/>
      <c r="FZ1661" s="4"/>
      <c r="GA1661" s="4"/>
      <c r="GB1661" s="4"/>
      <c r="GC1661" s="4"/>
      <c r="GD1661" s="4"/>
      <c r="GE1661" s="4"/>
      <c r="GF1661" s="4"/>
      <c r="GG1661" s="4"/>
      <c r="GH1661" s="4"/>
    </row>
    <row r="1662">
      <c r="A1662" s="2" t="s">
        <v>8590</v>
      </c>
      <c r="B1662" s="2" t="s">
        <v>1099</v>
      </c>
      <c r="C1662" s="2" t="s">
        <v>607</v>
      </c>
      <c r="D1662" s="2" t="s">
        <v>1100</v>
      </c>
      <c r="E1662" s="2" t="s">
        <v>1101</v>
      </c>
      <c r="F1662" s="2" t="s">
        <v>8551</v>
      </c>
      <c r="G1662" s="2" t="s">
        <v>8551</v>
      </c>
      <c r="H1662" s="2" t="s">
        <v>8551</v>
      </c>
      <c r="I1662" s="2" t="s">
        <v>8552</v>
      </c>
      <c r="J1662" s="2" t="s">
        <v>8555</v>
      </c>
      <c r="K1662" s="2" t="s">
        <v>601</v>
      </c>
      <c r="L1662" s="3">
        <v>18.5</v>
      </c>
      <c r="M1662" s="3">
        <v>19.43</v>
      </c>
      <c r="N1662" s="3">
        <v>39.99</v>
      </c>
      <c r="O1662" s="2" t="s">
        <v>212</v>
      </c>
      <c r="P1662" s="2" t="s">
        <v>205</v>
      </c>
      <c r="Q1662" s="2" t="s">
        <v>206</v>
      </c>
      <c r="R1662" s="2" t="s">
        <v>200</v>
      </c>
      <c r="S1662" s="2" t="s">
        <v>200</v>
      </c>
      <c r="T1662" s="2" t="s">
        <v>312</v>
      </c>
      <c r="U1662" s="2" t="s">
        <v>270</v>
      </c>
      <c r="V1662" s="2" t="s">
        <v>208</v>
      </c>
      <c r="W1662" s="2" t="s">
        <v>241</v>
      </c>
      <c r="X1662" s="2" t="s">
        <v>200</v>
      </c>
      <c r="Y1662" s="2" t="s">
        <v>200</v>
      </c>
      <c r="Z1662" s="4"/>
      <c r="AA1662" s="4">
        <f>=ROUNDDOWN({0},0)</f>
      </c>
      <c r="AB1662" s="5"/>
      <c r="AC1662" s="2" t="s">
        <v>5688</v>
      </c>
      <c r="AD1662" s="4">
        <v>288</v>
      </c>
      <c r="AE1662" s="4">
        <v>608</v>
      </c>
      <c r="AF1662" s="6">
        <v>69</v>
      </c>
      <c r="AG1662" s="6"/>
      <c r="AH1662" s="7"/>
      <c r="AI1662" s="4"/>
      <c r="AJ1662" s="4">
        <f>=ROUNDDOWN({0},0)</f>
      </c>
      <c r="AK1662" s="5"/>
      <c r="AL1662" s="2" t="s">
        <v>200</v>
      </c>
      <c r="AM1662" s="4"/>
      <c r="AN1662" s="4"/>
      <c r="AO1662" s="7"/>
      <c r="AP1662" s="4"/>
      <c r="AQ1662" s="8"/>
      <c r="AR1662" s="4"/>
      <c r="AS1662" s="8"/>
      <c r="AT1662" s="7"/>
      <c r="AU1662" s="7"/>
      <c r="AV1662" s="4" t="s">
        <v>200</v>
      </c>
      <c r="AW1662" s="8" t="s">
        <v>200</v>
      </c>
      <c r="AX1662" s="4" t="s">
        <v>200</v>
      </c>
      <c r="AY1662" s="8" t="s">
        <v>200</v>
      </c>
      <c r="AZ1662" s="7" t="s">
        <v>200</v>
      </c>
      <c r="BA1662" s="7" t="s">
        <v>200</v>
      </c>
      <c r="BB1662" s="7"/>
      <c r="BC1662" s="4" t="s">
        <v>200</v>
      </c>
      <c r="BD1662" s="8" t="s">
        <v>200</v>
      </c>
      <c r="BE1662" s="4" t="s">
        <v>200</v>
      </c>
      <c r="BF1662" s="8" t="s">
        <v>200</v>
      </c>
      <c r="BG1662" s="7" t="s">
        <v>200</v>
      </c>
      <c r="BH1662" s="7" t="s">
        <v>200</v>
      </c>
      <c r="BI1662" s="7"/>
      <c r="BJ1662" s="4"/>
      <c r="BK1662" s="8"/>
      <c r="BL1662" s="2" t="s">
        <v>200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210</v>
      </c>
      <c r="BV1662" s="2" t="s">
        <v>200</v>
      </c>
      <c r="BW1662" s="2" t="s">
        <v>200</v>
      </c>
      <c r="BX1662" s="2" t="s">
        <v>210</v>
      </c>
      <c r="BY1662" s="2" t="s">
        <v>211</v>
      </c>
      <c r="BZ1662" s="2" t="s">
        <v>212</v>
      </c>
      <c r="CA1662" s="2" t="s">
        <v>200</v>
      </c>
      <c r="CB1662" s="2" t="s">
        <v>200</v>
      </c>
      <c r="CC1662" s="2" t="s">
        <v>213</v>
      </c>
      <c r="CD1662" s="2" t="s">
        <v>200</v>
      </c>
      <c r="CE1662" s="4"/>
      <c r="CF1662" s="4"/>
      <c r="CG1662" s="4"/>
      <c r="CH1662" s="4"/>
      <c r="CI1662" s="4"/>
      <c r="CJ1662" s="4"/>
      <c r="CK1662" s="4"/>
      <c r="CL1662" s="4"/>
      <c r="CM1662" s="4"/>
      <c r="CN1662" s="4"/>
      <c r="CO1662" s="4"/>
      <c r="CP1662" s="4"/>
      <c r="CQ1662" s="4"/>
      <c r="CR1662" s="4"/>
      <c r="CS1662" s="4"/>
      <c r="CT1662" s="4"/>
      <c r="CU1662" s="4"/>
      <c r="CV1662" s="4"/>
      <c r="CW1662" s="4"/>
      <c r="CX1662" s="4"/>
      <c r="CY1662" s="4"/>
      <c r="CZ1662" s="4"/>
      <c r="DA1662" s="4"/>
      <c r="DB1662" s="4"/>
      <c r="DC1662" s="4"/>
      <c r="DD1662" s="4"/>
      <c r="DE1662" s="4"/>
      <c r="DF1662" s="4"/>
      <c r="DG1662" s="4"/>
      <c r="DH1662" s="4"/>
      <c r="DI1662" s="4"/>
      <c r="DJ1662" s="4"/>
      <c r="DK1662" s="4"/>
      <c r="DL1662" s="4"/>
      <c r="DM1662" s="4"/>
      <c r="DN1662" s="4"/>
      <c r="DO1662" s="4"/>
      <c r="DP1662" s="4"/>
      <c r="DQ1662" s="4"/>
      <c r="DR1662" s="4"/>
      <c r="DS1662" s="4"/>
      <c r="DT1662" s="4"/>
      <c r="DU1662" s="4"/>
      <c r="DV1662" s="4"/>
      <c r="DW1662" s="4"/>
      <c r="DX1662" s="4"/>
      <c r="DY1662" s="4"/>
      <c r="DZ1662" s="4"/>
      <c r="EA1662" s="4"/>
      <c r="EB1662" s="4"/>
      <c r="EC1662" s="4"/>
      <c r="ED1662" s="4"/>
      <c r="EE1662" s="4"/>
      <c r="EF1662" s="4"/>
      <c r="EG1662" s="4"/>
      <c r="EH1662" s="4"/>
      <c r="EI1662" s="4"/>
      <c r="EJ1662" s="4"/>
      <c r="EK1662" s="4"/>
      <c r="EL1662" s="4"/>
      <c r="EM1662" s="4"/>
      <c r="EN1662" s="4"/>
      <c r="EO1662" s="4"/>
      <c r="EP1662" s="4"/>
      <c r="EQ1662" s="4"/>
      <c r="ER1662" s="4"/>
      <c r="ES1662" s="4"/>
      <c r="ET1662" s="4"/>
      <c r="EU1662" s="4"/>
      <c r="EV1662" s="4"/>
      <c r="EW1662" s="4"/>
      <c r="EX1662" s="4"/>
      <c r="EY1662" s="4"/>
      <c r="EZ1662" s="4"/>
      <c r="FA1662" s="4"/>
      <c r="FB1662" s="4"/>
      <c r="FC1662" s="4"/>
      <c r="FD1662" s="4"/>
      <c r="FE1662" s="4"/>
      <c r="FF1662" s="4"/>
      <c r="FG1662" s="4"/>
      <c r="FH1662" s="4"/>
      <c r="FI1662" s="4"/>
      <c r="FJ1662" s="4">
        <v>288</v>
      </c>
      <c r="FK1662" s="4"/>
      <c r="FL1662" s="4"/>
      <c r="FM1662" s="4"/>
      <c r="FN1662" s="4"/>
      <c r="FO1662" s="4"/>
      <c r="FP1662" s="4"/>
      <c r="FQ1662" s="4"/>
      <c r="FR1662" s="4"/>
      <c r="FS1662" s="4">
        <v>320</v>
      </c>
      <c r="FT1662" s="4"/>
      <c r="FU1662" s="4"/>
      <c r="FV1662" s="4"/>
      <c r="FW1662" s="4"/>
      <c r="FX1662" s="4"/>
      <c r="FY1662" s="4"/>
      <c r="FZ1662" s="4"/>
      <c r="GA1662" s="4"/>
      <c r="GB1662" s="4"/>
      <c r="GC1662" s="4"/>
      <c r="GD1662" s="4"/>
      <c r="GE1662" s="4"/>
      <c r="GF1662" s="4"/>
      <c r="GG1662" s="4"/>
      <c r="GH1662" s="4"/>
    </row>
    <row r="1663">
      <c r="A1663" s="2" t="s">
        <v>8591</v>
      </c>
      <c r="B1663" s="2" t="s">
        <v>1099</v>
      </c>
      <c r="C1663" s="2" t="s">
        <v>607</v>
      </c>
      <c r="D1663" s="2" t="s">
        <v>1100</v>
      </c>
      <c r="E1663" s="2" t="s">
        <v>1101</v>
      </c>
      <c r="F1663" s="2" t="s">
        <v>8551</v>
      </c>
      <c r="G1663" s="2" t="s">
        <v>8551</v>
      </c>
      <c r="H1663" s="2" t="s">
        <v>8551</v>
      </c>
      <c r="I1663" s="2" t="s">
        <v>8552</v>
      </c>
      <c r="J1663" s="2" t="s">
        <v>1110</v>
      </c>
      <c r="K1663" s="2" t="s">
        <v>601</v>
      </c>
      <c r="L1663" s="3">
        <v>27</v>
      </c>
      <c r="M1663" s="3">
        <v>28.35</v>
      </c>
      <c r="N1663" s="3">
        <v>56.99</v>
      </c>
      <c r="O1663" s="2" t="s">
        <v>212</v>
      </c>
      <c r="P1663" s="2" t="s">
        <v>205</v>
      </c>
      <c r="Q1663" s="2" t="s">
        <v>206</v>
      </c>
      <c r="R1663" s="2" t="s">
        <v>200</v>
      </c>
      <c r="S1663" s="2" t="s">
        <v>200</v>
      </c>
      <c r="T1663" s="2" t="s">
        <v>312</v>
      </c>
      <c r="U1663" s="2" t="s">
        <v>270</v>
      </c>
      <c r="V1663" s="2" t="s">
        <v>208</v>
      </c>
      <c r="W1663" s="2" t="s">
        <v>241</v>
      </c>
      <c r="X1663" s="2" t="s">
        <v>200</v>
      </c>
      <c r="Y1663" s="2" t="s">
        <v>200</v>
      </c>
      <c r="Z1663" s="4"/>
      <c r="AA1663" s="4">
        <f>=ROUNDDOWN({0},0)</f>
      </c>
      <c r="AB1663" s="5"/>
      <c r="AC1663" s="2" t="s">
        <v>5688</v>
      </c>
      <c r="AD1663" s="4">
        <v>188</v>
      </c>
      <c r="AE1663" s="4">
        <v>408</v>
      </c>
      <c r="AF1663" s="6">
        <v>69</v>
      </c>
      <c r="AG1663" s="6"/>
      <c r="AH1663" s="7"/>
      <c r="AI1663" s="4"/>
      <c r="AJ1663" s="4">
        <f>=ROUNDDOWN({0},0)</f>
      </c>
      <c r="AK1663" s="5"/>
      <c r="AL1663" s="2" t="s">
        <v>200</v>
      </c>
      <c r="AM1663" s="4"/>
      <c r="AN1663" s="4"/>
      <c r="AO1663" s="7"/>
      <c r="AP1663" s="4"/>
      <c r="AQ1663" s="8"/>
      <c r="AR1663" s="4"/>
      <c r="AS1663" s="8"/>
      <c r="AT1663" s="7"/>
      <c r="AU1663" s="7"/>
      <c r="AV1663" s="4" t="s">
        <v>200</v>
      </c>
      <c r="AW1663" s="8" t="s">
        <v>200</v>
      </c>
      <c r="AX1663" s="4" t="s">
        <v>200</v>
      </c>
      <c r="AY1663" s="8" t="s">
        <v>200</v>
      </c>
      <c r="AZ1663" s="7" t="s">
        <v>200</v>
      </c>
      <c r="BA1663" s="7" t="s">
        <v>200</v>
      </c>
      <c r="BB1663" s="7"/>
      <c r="BC1663" s="4" t="s">
        <v>200</v>
      </c>
      <c r="BD1663" s="8" t="s">
        <v>200</v>
      </c>
      <c r="BE1663" s="4" t="s">
        <v>200</v>
      </c>
      <c r="BF1663" s="8" t="s">
        <v>200</v>
      </c>
      <c r="BG1663" s="7" t="s">
        <v>200</v>
      </c>
      <c r="BH1663" s="7" t="s">
        <v>200</v>
      </c>
      <c r="BI1663" s="7"/>
      <c r="BJ1663" s="4"/>
      <c r="BK1663" s="8"/>
      <c r="BL1663" s="2" t="s">
        <v>200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210</v>
      </c>
      <c r="BV1663" s="2" t="s">
        <v>200</v>
      </c>
      <c r="BW1663" s="2" t="s">
        <v>200</v>
      </c>
      <c r="BX1663" s="2" t="s">
        <v>210</v>
      </c>
      <c r="BY1663" s="2" t="s">
        <v>211</v>
      </c>
      <c r="BZ1663" s="2" t="s">
        <v>212</v>
      </c>
      <c r="CA1663" s="2" t="s">
        <v>200</v>
      </c>
      <c r="CB1663" s="2" t="s">
        <v>200</v>
      </c>
      <c r="CC1663" s="2" t="s">
        <v>213</v>
      </c>
      <c r="CD1663" s="2" t="s">
        <v>200</v>
      </c>
      <c r="CE1663" s="4"/>
      <c r="CF1663" s="4"/>
      <c r="CG1663" s="4"/>
      <c r="CH1663" s="4"/>
      <c r="CI1663" s="4"/>
      <c r="CJ1663" s="4"/>
      <c r="CK1663" s="4"/>
      <c r="CL1663" s="4"/>
      <c r="CM1663" s="4"/>
      <c r="CN1663" s="4"/>
      <c r="CO1663" s="4"/>
      <c r="CP1663" s="4"/>
      <c r="CQ1663" s="4"/>
      <c r="CR1663" s="4"/>
      <c r="CS1663" s="4"/>
      <c r="CT1663" s="4"/>
      <c r="CU1663" s="4"/>
      <c r="CV1663" s="4"/>
      <c r="CW1663" s="4"/>
      <c r="CX1663" s="4"/>
      <c r="CY1663" s="4"/>
      <c r="CZ1663" s="4"/>
      <c r="DA1663" s="4"/>
      <c r="DB1663" s="4"/>
      <c r="DC1663" s="4"/>
      <c r="DD1663" s="4"/>
      <c r="DE1663" s="4"/>
      <c r="DF1663" s="4"/>
      <c r="DG1663" s="4"/>
      <c r="DH1663" s="4"/>
      <c r="DI1663" s="4"/>
      <c r="DJ1663" s="4"/>
      <c r="DK1663" s="4"/>
      <c r="DL1663" s="4"/>
      <c r="DM1663" s="4"/>
      <c r="DN1663" s="4"/>
      <c r="DO1663" s="4"/>
      <c r="DP1663" s="4"/>
      <c r="DQ1663" s="4"/>
      <c r="DR1663" s="4"/>
      <c r="DS1663" s="4"/>
      <c r="DT1663" s="4"/>
      <c r="DU1663" s="4"/>
      <c r="DV1663" s="4"/>
      <c r="DW1663" s="4"/>
      <c r="DX1663" s="4"/>
      <c r="DY1663" s="4"/>
      <c r="DZ1663" s="4"/>
      <c r="EA1663" s="4"/>
      <c r="EB1663" s="4"/>
      <c r="EC1663" s="4"/>
      <c r="ED1663" s="4"/>
      <c r="EE1663" s="4"/>
      <c r="EF1663" s="4"/>
      <c r="EG1663" s="4"/>
      <c r="EH1663" s="4"/>
      <c r="EI1663" s="4"/>
      <c r="EJ1663" s="4"/>
      <c r="EK1663" s="4"/>
      <c r="EL1663" s="4"/>
      <c r="EM1663" s="4"/>
      <c r="EN1663" s="4"/>
      <c r="EO1663" s="4"/>
      <c r="EP1663" s="4"/>
      <c r="EQ1663" s="4"/>
      <c r="ER1663" s="4"/>
      <c r="ES1663" s="4"/>
      <c r="ET1663" s="4"/>
      <c r="EU1663" s="4"/>
      <c r="EV1663" s="4"/>
      <c r="EW1663" s="4"/>
      <c r="EX1663" s="4"/>
      <c r="EY1663" s="4"/>
      <c r="EZ1663" s="4"/>
      <c r="FA1663" s="4"/>
      <c r="FB1663" s="4"/>
      <c r="FC1663" s="4"/>
      <c r="FD1663" s="4"/>
      <c r="FE1663" s="4"/>
      <c r="FF1663" s="4"/>
      <c r="FG1663" s="4"/>
      <c r="FH1663" s="4"/>
      <c r="FI1663" s="4"/>
      <c r="FJ1663" s="4">
        <v>188</v>
      </c>
      <c r="FK1663" s="4"/>
      <c r="FL1663" s="4"/>
      <c r="FM1663" s="4"/>
      <c r="FN1663" s="4"/>
      <c r="FO1663" s="4"/>
      <c r="FP1663" s="4"/>
      <c r="FQ1663" s="4"/>
      <c r="FR1663" s="4"/>
      <c r="FS1663" s="4">
        <v>220</v>
      </c>
      <c r="FT1663" s="4"/>
      <c r="FU1663" s="4"/>
      <c r="FV1663" s="4"/>
      <c r="FW1663" s="4"/>
      <c r="FX1663" s="4"/>
      <c r="FY1663" s="4"/>
      <c r="FZ1663" s="4"/>
      <c r="GA1663" s="4"/>
      <c r="GB1663" s="4"/>
      <c r="GC1663" s="4"/>
      <c r="GD1663" s="4"/>
      <c r="GE1663" s="4"/>
      <c r="GF1663" s="4"/>
      <c r="GG1663" s="4"/>
      <c r="GH1663" s="4"/>
    </row>
    <row r="1664">
      <c r="A1664" s="2" t="s">
        <v>8592</v>
      </c>
      <c r="B1664" s="2" t="s">
        <v>1099</v>
      </c>
      <c r="C1664" s="2" t="s">
        <v>607</v>
      </c>
      <c r="D1664" s="2" t="s">
        <v>1100</v>
      </c>
      <c r="E1664" s="2" t="s">
        <v>1101</v>
      </c>
      <c r="F1664" s="2" t="s">
        <v>8551</v>
      </c>
      <c r="G1664" s="2" t="s">
        <v>8551</v>
      </c>
      <c r="H1664" s="2" t="s">
        <v>8551</v>
      </c>
      <c r="I1664" s="2" t="s">
        <v>8552</v>
      </c>
      <c r="J1664" s="2" t="s">
        <v>8560</v>
      </c>
      <c r="K1664" s="2" t="s">
        <v>601</v>
      </c>
      <c r="L1664" s="3">
        <v>14.8</v>
      </c>
      <c r="M1664" s="3">
        <v>15.54</v>
      </c>
      <c r="N1664" s="3">
        <v>31.99</v>
      </c>
      <c r="O1664" s="2" t="s">
        <v>212</v>
      </c>
      <c r="P1664" s="2" t="s">
        <v>205</v>
      </c>
      <c r="Q1664" s="2" t="s">
        <v>206</v>
      </c>
      <c r="R1664" s="2" t="s">
        <v>200</v>
      </c>
      <c r="S1664" s="2" t="s">
        <v>200</v>
      </c>
      <c r="T1664" s="2" t="s">
        <v>312</v>
      </c>
      <c r="U1664" s="2" t="s">
        <v>270</v>
      </c>
      <c r="V1664" s="2" t="s">
        <v>208</v>
      </c>
      <c r="W1664" s="2" t="s">
        <v>241</v>
      </c>
      <c r="X1664" s="2" t="s">
        <v>200</v>
      </c>
      <c r="Y1664" s="2" t="s">
        <v>200</v>
      </c>
      <c r="Z1664" s="4"/>
      <c r="AA1664" s="4">
        <f>=ROUNDDOWN({0},0)</f>
      </c>
      <c r="AB1664" s="5"/>
      <c r="AC1664" s="2" t="s">
        <v>5688</v>
      </c>
      <c r="AD1664" s="4">
        <v>692</v>
      </c>
      <c r="AE1664" s="4">
        <v>1416</v>
      </c>
      <c r="AF1664" s="6">
        <v>69</v>
      </c>
      <c r="AG1664" s="6"/>
      <c r="AH1664" s="7"/>
      <c r="AI1664" s="4"/>
      <c r="AJ1664" s="4">
        <f>=ROUNDDOWN({0},0)</f>
      </c>
      <c r="AK1664" s="5"/>
      <c r="AL1664" s="2" t="s">
        <v>200</v>
      </c>
      <c r="AM1664" s="4"/>
      <c r="AN1664" s="4"/>
      <c r="AO1664" s="7"/>
      <c r="AP1664" s="4"/>
      <c r="AQ1664" s="8"/>
      <c r="AR1664" s="4"/>
      <c r="AS1664" s="8"/>
      <c r="AT1664" s="7"/>
      <c r="AU1664" s="7"/>
      <c r="AV1664" s="4" t="s">
        <v>200</v>
      </c>
      <c r="AW1664" s="8" t="s">
        <v>200</v>
      </c>
      <c r="AX1664" s="4" t="s">
        <v>200</v>
      </c>
      <c r="AY1664" s="8" t="s">
        <v>200</v>
      </c>
      <c r="AZ1664" s="7" t="s">
        <v>200</v>
      </c>
      <c r="BA1664" s="7" t="s">
        <v>200</v>
      </c>
      <c r="BB1664" s="7"/>
      <c r="BC1664" s="4" t="s">
        <v>200</v>
      </c>
      <c r="BD1664" s="8" t="s">
        <v>200</v>
      </c>
      <c r="BE1664" s="4" t="s">
        <v>200</v>
      </c>
      <c r="BF1664" s="8" t="s">
        <v>200</v>
      </c>
      <c r="BG1664" s="7" t="s">
        <v>200</v>
      </c>
      <c r="BH1664" s="7" t="s">
        <v>200</v>
      </c>
      <c r="BI1664" s="7"/>
      <c r="BJ1664" s="4"/>
      <c r="BK1664" s="8"/>
      <c r="BL1664" s="2" t="s">
        <v>200</v>
      </c>
      <c r="BM1664" s="7"/>
      <c r="BN1664" s="7"/>
      <c r="BO1664" s="4"/>
      <c r="BP1664" s="8"/>
      <c r="BQ1664" s="4"/>
      <c r="BR1664" s="8"/>
      <c r="BS1664" s="7"/>
      <c r="BT1664" s="7"/>
      <c r="BU1664" s="2" t="s">
        <v>210</v>
      </c>
      <c r="BV1664" s="2" t="s">
        <v>200</v>
      </c>
      <c r="BW1664" s="2" t="s">
        <v>200</v>
      </c>
      <c r="BX1664" s="2" t="s">
        <v>210</v>
      </c>
      <c r="BY1664" s="2" t="s">
        <v>211</v>
      </c>
      <c r="BZ1664" s="2" t="s">
        <v>212</v>
      </c>
      <c r="CA1664" s="2" t="s">
        <v>200</v>
      </c>
      <c r="CB1664" s="2" t="s">
        <v>200</v>
      </c>
      <c r="CC1664" s="2" t="s">
        <v>213</v>
      </c>
      <c r="CD1664" s="2" t="s">
        <v>200</v>
      </c>
      <c r="CE1664" s="4"/>
      <c r="CF1664" s="4"/>
      <c r="CG1664" s="4"/>
      <c r="CH1664" s="4"/>
      <c r="CI1664" s="4"/>
      <c r="CJ1664" s="4"/>
      <c r="CK1664" s="4"/>
      <c r="CL1664" s="4"/>
      <c r="CM1664" s="4"/>
      <c r="CN1664" s="4"/>
      <c r="CO1664" s="4"/>
      <c r="CP1664" s="4"/>
      <c r="CQ1664" s="4"/>
      <c r="CR1664" s="4"/>
      <c r="CS1664" s="4"/>
      <c r="CT1664" s="4"/>
      <c r="CU1664" s="4"/>
      <c r="CV1664" s="4"/>
      <c r="CW1664" s="4"/>
      <c r="CX1664" s="4"/>
      <c r="CY1664" s="4"/>
      <c r="CZ1664" s="4"/>
      <c r="DA1664" s="4"/>
      <c r="DB1664" s="4"/>
      <c r="DC1664" s="4"/>
      <c r="DD1664" s="4"/>
      <c r="DE1664" s="4"/>
      <c r="DF1664" s="4"/>
      <c r="DG1664" s="4"/>
      <c r="DH1664" s="4"/>
      <c r="DI1664" s="4"/>
      <c r="DJ1664" s="4"/>
      <c r="DK1664" s="4"/>
      <c r="DL1664" s="4"/>
      <c r="DM1664" s="4"/>
      <c r="DN1664" s="4"/>
      <c r="DO1664" s="4"/>
      <c r="DP1664" s="4"/>
      <c r="DQ1664" s="4"/>
      <c r="DR1664" s="4"/>
      <c r="DS1664" s="4"/>
      <c r="DT1664" s="4"/>
      <c r="DU1664" s="4"/>
      <c r="DV1664" s="4"/>
      <c r="DW1664" s="4"/>
      <c r="DX1664" s="4"/>
      <c r="DY1664" s="4"/>
      <c r="DZ1664" s="4"/>
      <c r="EA1664" s="4"/>
      <c r="EB1664" s="4"/>
      <c r="EC1664" s="4"/>
      <c r="ED1664" s="4"/>
      <c r="EE1664" s="4"/>
      <c r="EF1664" s="4"/>
      <c r="EG1664" s="4"/>
      <c r="EH1664" s="4"/>
      <c r="EI1664" s="4"/>
      <c r="EJ1664" s="4"/>
      <c r="EK1664" s="4"/>
      <c r="EL1664" s="4"/>
      <c r="EM1664" s="4"/>
      <c r="EN1664" s="4"/>
      <c r="EO1664" s="4"/>
      <c r="EP1664" s="4"/>
      <c r="EQ1664" s="4"/>
      <c r="ER1664" s="4"/>
      <c r="ES1664" s="4"/>
      <c r="ET1664" s="4"/>
      <c r="EU1664" s="4"/>
      <c r="EV1664" s="4"/>
      <c r="EW1664" s="4"/>
      <c r="EX1664" s="4"/>
      <c r="EY1664" s="4"/>
      <c r="EZ1664" s="4"/>
      <c r="FA1664" s="4"/>
      <c r="FB1664" s="4"/>
      <c r="FC1664" s="4"/>
      <c r="FD1664" s="4"/>
      <c r="FE1664" s="4"/>
      <c r="FF1664" s="4"/>
      <c r="FG1664" s="4"/>
      <c r="FH1664" s="4"/>
      <c r="FI1664" s="4"/>
      <c r="FJ1664" s="4">
        <v>692</v>
      </c>
      <c r="FK1664" s="4"/>
      <c r="FL1664" s="4"/>
      <c r="FM1664" s="4"/>
      <c r="FN1664" s="4"/>
      <c r="FO1664" s="4"/>
      <c r="FP1664" s="4"/>
      <c r="FQ1664" s="4"/>
      <c r="FR1664" s="4"/>
      <c r="FS1664" s="4">
        <v>724</v>
      </c>
      <c r="FT1664" s="4"/>
      <c r="FU1664" s="4"/>
      <c r="FV1664" s="4"/>
      <c r="FW1664" s="4"/>
      <c r="FX1664" s="4"/>
      <c r="FY1664" s="4"/>
      <c r="FZ1664" s="4"/>
      <c r="GA1664" s="4"/>
      <c r="GB1664" s="4"/>
      <c r="GC1664" s="4"/>
      <c r="GD1664" s="4"/>
      <c r="GE1664" s="4"/>
      <c r="GF1664" s="4"/>
      <c r="GG1664" s="4"/>
      <c r="GH1664" s="4"/>
    </row>
    <row r="1665">
      <c r="A1665" s="2" t="s">
        <v>8593</v>
      </c>
      <c r="B1665" s="2" t="s">
        <v>1099</v>
      </c>
      <c r="C1665" s="2" t="s">
        <v>607</v>
      </c>
      <c r="D1665" s="2" t="s">
        <v>1100</v>
      </c>
      <c r="E1665" s="2" t="s">
        <v>1101</v>
      </c>
      <c r="F1665" s="2" t="s">
        <v>8551</v>
      </c>
      <c r="G1665" s="2" t="s">
        <v>8551</v>
      </c>
      <c r="H1665" s="2" t="s">
        <v>8551</v>
      </c>
      <c r="I1665" s="2" t="s">
        <v>8552</v>
      </c>
      <c r="J1665" s="2" t="s">
        <v>5836</v>
      </c>
      <c r="K1665" s="2" t="s">
        <v>223</v>
      </c>
      <c r="L1665" s="3">
        <v>12</v>
      </c>
      <c r="M1665" s="3">
        <v>12.6</v>
      </c>
      <c r="N1665" s="3">
        <v>25.99</v>
      </c>
      <c r="O1665" s="2" t="s">
        <v>212</v>
      </c>
      <c r="P1665" s="2" t="s">
        <v>205</v>
      </c>
      <c r="Q1665" s="2" t="s">
        <v>206</v>
      </c>
      <c r="R1665" s="2" t="s">
        <v>200</v>
      </c>
      <c r="S1665" s="2" t="s">
        <v>200</v>
      </c>
      <c r="T1665" s="2" t="s">
        <v>312</v>
      </c>
      <c r="U1665" s="2" t="s">
        <v>270</v>
      </c>
      <c r="V1665" s="2" t="s">
        <v>208</v>
      </c>
      <c r="W1665" s="2" t="s">
        <v>241</v>
      </c>
      <c r="X1665" s="2" t="s">
        <v>200</v>
      </c>
      <c r="Y1665" s="2" t="s">
        <v>200</v>
      </c>
      <c r="Z1665" s="4"/>
      <c r="AA1665" s="4">
        <f>=ROUNDDOWN({0},0)</f>
      </c>
      <c r="AB1665" s="5"/>
      <c r="AC1665" s="2" t="s">
        <v>5688</v>
      </c>
      <c r="AD1665" s="4">
        <v>396</v>
      </c>
      <c r="AE1665" s="4">
        <v>824</v>
      </c>
      <c r="AF1665" s="6">
        <v>69</v>
      </c>
      <c r="AG1665" s="6"/>
      <c r="AH1665" s="7"/>
      <c r="AI1665" s="4"/>
      <c r="AJ1665" s="4">
        <f>=ROUNDDOWN({0},0)</f>
      </c>
      <c r="AK1665" s="5"/>
      <c r="AL1665" s="2" t="s">
        <v>200</v>
      </c>
      <c r="AM1665" s="4"/>
      <c r="AN1665" s="4"/>
      <c r="AO1665" s="7"/>
      <c r="AP1665" s="4"/>
      <c r="AQ1665" s="8"/>
      <c r="AR1665" s="4"/>
      <c r="AS1665" s="8"/>
      <c r="AT1665" s="7"/>
      <c r="AU1665" s="7"/>
      <c r="AV1665" s="4" t="s">
        <v>200</v>
      </c>
      <c r="AW1665" s="8" t="s">
        <v>200</v>
      </c>
      <c r="AX1665" s="4" t="s">
        <v>200</v>
      </c>
      <c r="AY1665" s="8" t="s">
        <v>200</v>
      </c>
      <c r="AZ1665" s="7" t="s">
        <v>200</v>
      </c>
      <c r="BA1665" s="7" t="s">
        <v>200</v>
      </c>
      <c r="BB1665" s="7"/>
      <c r="BC1665" s="4" t="s">
        <v>200</v>
      </c>
      <c r="BD1665" s="8" t="s">
        <v>200</v>
      </c>
      <c r="BE1665" s="4" t="s">
        <v>200</v>
      </c>
      <c r="BF1665" s="8" t="s">
        <v>200</v>
      </c>
      <c r="BG1665" s="7" t="s">
        <v>200</v>
      </c>
      <c r="BH1665" s="7" t="s">
        <v>200</v>
      </c>
      <c r="BI1665" s="7"/>
      <c r="BJ1665" s="4"/>
      <c r="BK1665" s="8"/>
      <c r="BL1665" s="2" t="s">
        <v>200</v>
      </c>
      <c r="BM1665" s="7"/>
      <c r="BN1665" s="7"/>
      <c r="BO1665" s="4"/>
      <c r="BP1665" s="8"/>
      <c r="BQ1665" s="4"/>
      <c r="BR1665" s="8"/>
      <c r="BS1665" s="7"/>
      <c r="BT1665" s="7"/>
      <c r="BU1665" s="2" t="s">
        <v>210</v>
      </c>
      <c r="BV1665" s="2" t="s">
        <v>200</v>
      </c>
      <c r="BW1665" s="2" t="s">
        <v>200</v>
      </c>
      <c r="BX1665" s="2" t="s">
        <v>210</v>
      </c>
      <c r="BY1665" s="2" t="s">
        <v>211</v>
      </c>
      <c r="BZ1665" s="2" t="s">
        <v>212</v>
      </c>
      <c r="CA1665" s="2" t="s">
        <v>200</v>
      </c>
      <c r="CB1665" s="2" t="s">
        <v>200</v>
      </c>
      <c r="CC1665" s="2" t="s">
        <v>213</v>
      </c>
      <c r="CD1665" s="2" t="s">
        <v>200</v>
      </c>
      <c r="CE1665" s="4"/>
      <c r="CF1665" s="4"/>
      <c r="CG1665" s="4"/>
      <c r="CH1665" s="4"/>
      <c r="CI1665" s="4"/>
      <c r="CJ1665" s="4"/>
      <c r="CK1665" s="4"/>
      <c r="CL1665" s="4"/>
      <c r="CM1665" s="4"/>
      <c r="CN1665" s="4"/>
      <c r="CO1665" s="4"/>
      <c r="CP1665" s="4"/>
      <c r="CQ1665" s="4"/>
      <c r="CR1665" s="4"/>
      <c r="CS1665" s="4"/>
      <c r="CT1665" s="4"/>
      <c r="CU1665" s="4"/>
      <c r="CV1665" s="4"/>
      <c r="CW1665" s="4"/>
      <c r="CX1665" s="4"/>
      <c r="CY1665" s="4"/>
      <c r="CZ1665" s="4"/>
      <c r="DA1665" s="4"/>
      <c r="DB1665" s="4"/>
      <c r="DC1665" s="4"/>
      <c r="DD1665" s="4"/>
      <c r="DE1665" s="4"/>
      <c r="DF1665" s="4"/>
      <c r="DG1665" s="4"/>
      <c r="DH1665" s="4"/>
      <c r="DI1665" s="4"/>
      <c r="DJ1665" s="4"/>
      <c r="DK1665" s="4"/>
      <c r="DL1665" s="4"/>
      <c r="DM1665" s="4"/>
      <c r="DN1665" s="4"/>
      <c r="DO1665" s="4"/>
      <c r="DP1665" s="4"/>
      <c r="DQ1665" s="4"/>
      <c r="DR1665" s="4"/>
      <c r="DS1665" s="4"/>
      <c r="DT1665" s="4"/>
      <c r="DU1665" s="4"/>
      <c r="DV1665" s="4"/>
      <c r="DW1665" s="4"/>
      <c r="DX1665" s="4"/>
      <c r="DY1665" s="4"/>
      <c r="DZ1665" s="4"/>
      <c r="EA1665" s="4"/>
      <c r="EB1665" s="4"/>
      <c r="EC1665" s="4"/>
      <c r="ED1665" s="4"/>
      <c r="EE1665" s="4"/>
      <c r="EF1665" s="4"/>
      <c r="EG1665" s="4"/>
      <c r="EH1665" s="4"/>
      <c r="EI1665" s="4"/>
      <c r="EJ1665" s="4"/>
      <c r="EK1665" s="4"/>
      <c r="EL1665" s="4"/>
      <c r="EM1665" s="4"/>
      <c r="EN1665" s="4"/>
      <c r="EO1665" s="4"/>
      <c r="EP1665" s="4"/>
      <c r="EQ1665" s="4"/>
      <c r="ER1665" s="4"/>
      <c r="ES1665" s="4"/>
      <c r="ET1665" s="4"/>
      <c r="EU1665" s="4"/>
      <c r="EV1665" s="4"/>
      <c r="EW1665" s="4"/>
      <c r="EX1665" s="4"/>
      <c r="EY1665" s="4"/>
      <c r="EZ1665" s="4"/>
      <c r="FA1665" s="4"/>
      <c r="FB1665" s="4"/>
      <c r="FC1665" s="4"/>
      <c r="FD1665" s="4"/>
      <c r="FE1665" s="4"/>
      <c r="FF1665" s="4"/>
      <c r="FG1665" s="4"/>
      <c r="FH1665" s="4"/>
      <c r="FI1665" s="4"/>
      <c r="FJ1665" s="4">
        <v>396</v>
      </c>
      <c r="FK1665" s="4"/>
      <c r="FL1665" s="4"/>
      <c r="FM1665" s="4"/>
      <c r="FN1665" s="4"/>
      <c r="FO1665" s="4"/>
      <c r="FP1665" s="4"/>
      <c r="FQ1665" s="4"/>
      <c r="FR1665" s="4"/>
      <c r="FS1665" s="4">
        <v>428</v>
      </c>
      <c r="FT1665" s="4"/>
      <c r="FU1665" s="4"/>
      <c r="FV1665" s="4"/>
      <c r="FW1665" s="4"/>
      <c r="FX1665" s="4"/>
      <c r="FY1665" s="4"/>
      <c r="FZ1665" s="4"/>
      <c r="GA1665" s="4"/>
      <c r="GB1665" s="4"/>
      <c r="GC1665" s="4"/>
      <c r="GD1665" s="4"/>
      <c r="GE1665" s="4"/>
      <c r="GF1665" s="4"/>
      <c r="GG1665" s="4"/>
      <c r="GH1665" s="4"/>
    </row>
    <row r="1666">
      <c r="A1666" s="2" t="s">
        <v>8594</v>
      </c>
      <c r="B1666" s="2" t="s">
        <v>1099</v>
      </c>
      <c r="C1666" s="2" t="s">
        <v>607</v>
      </c>
      <c r="D1666" s="2" t="s">
        <v>1100</v>
      </c>
      <c r="E1666" s="2" t="s">
        <v>1101</v>
      </c>
      <c r="F1666" s="2" t="s">
        <v>8551</v>
      </c>
      <c r="G1666" s="2" t="s">
        <v>8551</v>
      </c>
      <c r="H1666" s="2" t="s">
        <v>8551</v>
      </c>
      <c r="I1666" s="2" t="s">
        <v>8552</v>
      </c>
      <c r="J1666" s="2" t="s">
        <v>1103</v>
      </c>
      <c r="K1666" s="2" t="s">
        <v>223</v>
      </c>
      <c r="L1666" s="3">
        <v>21.3</v>
      </c>
      <c r="M1666" s="3">
        <v>22.37</v>
      </c>
      <c r="N1666" s="3">
        <v>45.99</v>
      </c>
      <c r="O1666" s="2" t="s">
        <v>212</v>
      </c>
      <c r="P1666" s="2" t="s">
        <v>205</v>
      </c>
      <c r="Q1666" s="2" t="s">
        <v>206</v>
      </c>
      <c r="R1666" s="2" t="s">
        <v>200</v>
      </c>
      <c r="S1666" s="2" t="s">
        <v>200</v>
      </c>
      <c r="T1666" s="2" t="s">
        <v>312</v>
      </c>
      <c r="U1666" s="2" t="s">
        <v>270</v>
      </c>
      <c r="V1666" s="2" t="s">
        <v>208</v>
      </c>
      <c r="W1666" s="2" t="s">
        <v>241</v>
      </c>
      <c r="X1666" s="2" t="s">
        <v>200</v>
      </c>
      <c r="Y1666" s="2" t="s">
        <v>200</v>
      </c>
      <c r="Z1666" s="4"/>
      <c r="AA1666" s="4">
        <f>=ROUNDDOWN({0},0)</f>
      </c>
      <c r="AB1666" s="5"/>
      <c r="AC1666" s="2" t="s">
        <v>5688</v>
      </c>
      <c r="AD1666" s="4">
        <v>344</v>
      </c>
      <c r="AE1666" s="4">
        <v>720</v>
      </c>
      <c r="AF1666" s="6">
        <v>69</v>
      </c>
      <c r="AG1666" s="6"/>
      <c r="AH1666" s="7"/>
      <c r="AI1666" s="4"/>
      <c r="AJ1666" s="4">
        <f>=ROUNDDOWN({0},0)</f>
      </c>
      <c r="AK1666" s="5"/>
      <c r="AL1666" s="2" t="s">
        <v>200</v>
      </c>
      <c r="AM1666" s="4"/>
      <c r="AN1666" s="4"/>
      <c r="AO1666" s="7"/>
      <c r="AP1666" s="4"/>
      <c r="AQ1666" s="8"/>
      <c r="AR1666" s="4"/>
      <c r="AS1666" s="8"/>
      <c r="AT1666" s="7"/>
      <c r="AU1666" s="7"/>
      <c r="AV1666" s="4" t="s">
        <v>200</v>
      </c>
      <c r="AW1666" s="8" t="s">
        <v>200</v>
      </c>
      <c r="AX1666" s="4" t="s">
        <v>200</v>
      </c>
      <c r="AY1666" s="8" t="s">
        <v>200</v>
      </c>
      <c r="AZ1666" s="7" t="s">
        <v>200</v>
      </c>
      <c r="BA1666" s="7" t="s">
        <v>200</v>
      </c>
      <c r="BB1666" s="7"/>
      <c r="BC1666" s="4" t="s">
        <v>200</v>
      </c>
      <c r="BD1666" s="8" t="s">
        <v>200</v>
      </c>
      <c r="BE1666" s="4" t="s">
        <v>200</v>
      </c>
      <c r="BF1666" s="8" t="s">
        <v>200</v>
      </c>
      <c r="BG1666" s="7" t="s">
        <v>200</v>
      </c>
      <c r="BH1666" s="7" t="s">
        <v>200</v>
      </c>
      <c r="BI1666" s="7"/>
      <c r="BJ1666" s="4"/>
      <c r="BK1666" s="8"/>
      <c r="BL1666" s="2" t="s">
        <v>200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210</v>
      </c>
      <c r="BV1666" s="2" t="s">
        <v>200</v>
      </c>
      <c r="BW1666" s="2" t="s">
        <v>200</v>
      </c>
      <c r="BX1666" s="2" t="s">
        <v>210</v>
      </c>
      <c r="BY1666" s="2" t="s">
        <v>211</v>
      </c>
      <c r="BZ1666" s="2" t="s">
        <v>212</v>
      </c>
      <c r="CA1666" s="2" t="s">
        <v>200</v>
      </c>
      <c r="CB1666" s="2" t="s">
        <v>200</v>
      </c>
      <c r="CC1666" s="2" t="s">
        <v>213</v>
      </c>
      <c r="CD1666" s="2" t="s">
        <v>200</v>
      </c>
      <c r="CE1666" s="4"/>
      <c r="CF1666" s="4"/>
      <c r="CG1666" s="4"/>
      <c r="CH1666" s="4"/>
      <c r="CI1666" s="4"/>
      <c r="CJ1666" s="4"/>
      <c r="CK1666" s="4"/>
      <c r="CL1666" s="4"/>
      <c r="CM1666" s="4"/>
      <c r="CN1666" s="4"/>
      <c r="CO1666" s="4"/>
      <c r="CP1666" s="4"/>
      <c r="CQ1666" s="4"/>
      <c r="CR1666" s="4"/>
      <c r="CS1666" s="4"/>
      <c r="CT1666" s="4"/>
      <c r="CU1666" s="4"/>
      <c r="CV1666" s="4"/>
      <c r="CW1666" s="4"/>
      <c r="CX1666" s="4"/>
      <c r="CY1666" s="4"/>
      <c r="CZ1666" s="4"/>
      <c r="DA1666" s="4"/>
      <c r="DB1666" s="4"/>
      <c r="DC1666" s="4"/>
      <c r="DD1666" s="4"/>
      <c r="DE1666" s="4"/>
      <c r="DF1666" s="4"/>
      <c r="DG1666" s="4"/>
      <c r="DH1666" s="4"/>
      <c r="DI1666" s="4"/>
      <c r="DJ1666" s="4"/>
      <c r="DK1666" s="4"/>
      <c r="DL1666" s="4"/>
      <c r="DM1666" s="4"/>
      <c r="DN1666" s="4"/>
      <c r="DO1666" s="4"/>
      <c r="DP1666" s="4"/>
      <c r="DQ1666" s="4"/>
      <c r="DR1666" s="4"/>
      <c r="DS1666" s="4"/>
      <c r="DT1666" s="4"/>
      <c r="DU1666" s="4"/>
      <c r="DV1666" s="4"/>
      <c r="DW1666" s="4"/>
      <c r="DX1666" s="4"/>
      <c r="DY1666" s="4"/>
      <c r="DZ1666" s="4"/>
      <c r="EA1666" s="4"/>
      <c r="EB1666" s="4"/>
      <c r="EC1666" s="4"/>
      <c r="ED1666" s="4"/>
      <c r="EE1666" s="4"/>
      <c r="EF1666" s="4"/>
      <c r="EG1666" s="4"/>
      <c r="EH1666" s="4"/>
      <c r="EI1666" s="4"/>
      <c r="EJ1666" s="4"/>
      <c r="EK1666" s="4"/>
      <c r="EL1666" s="4"/>
      <c r="EM1666" s="4"/>
      <c r="EN1666" s="4"/>
      <c r="EO1666" s="4"/>
      <c r="EP1666" s="4"/>
      <c r="EQ1666" s="4"/>
      <c r="ER1666" s="4"/>
      <c r="ES1666" s="4"/>
      <c r="ET1666" s="4"/>
      <c r="EU1666" s="4"/>
      <c r="EV1666" s="4"/>
      <c r="EW1666" s="4"/>
      <c r="EX1666" s="4"/>
      <c r="EY1666" s="4"/>
      <c r="EZ1666" s="4"/>
      <c r="FA1666" s="4"/>
      <c r="FB1666" s="4"/>
      <c r="FC1666" s="4"/>
      <c r="FD1666" s="4"/>
      <c r="FE1666" s="4"/>
      <c r="FF1666" s="4"/>
      <c r="FG1666" s="4"/>
      <c r="FH1666" s="4"/>
      <c r="FI1666" s="4"/>
      <c r="FJ1666" s="4">
        <v>344</v>
      </c>
      <c r="FK1666" s="4"/>
      <c r="FL1666" s="4"/>
      <c r="FM1666" s="4"/>
      <c r="FN1666" s="4"/>
      <c r="FO1666" s="4"/>
      <c r="FP1666" s="4"/>
      <c r="FQ1666" s="4"/>
      <c r="FR1666" s="4"/>
      <c r="FS1666" s="4">
        <v>376</v>
      </c>
      <c r="FT1666" s="4"/>
      <c r="FU1666" s="4"/>
      <c r="FV1666" s="4"/>
      <c r="FW1666" s="4"/>
      <c r="FX1666" s="4"/>
      <c r="FY1666" s="4"/>
      <c r="FZ1666" s="4"/>
      <c r="GA1666" s="4"/>
      <c r="GB1666" s="4"/>
      <c r="GC1666" s="4"/>
      <c r="GD1666" s="4"/>
      <c r="GE1666" s="4"/>
      <c r="GF1666" s="4"/>
      <c r="GG1666" s="4"/>
      <c r="GH1666" s="4"/>
    </row>
    <row r="1667">
      <c r="A1667" s="2" t="s">
        <v>8595</v>
      </c>
      <c r="B1667" s="2" t="s">
        <v>1099</v>
      </c>
      <c r="C1667" s="2" t="s">
        <v>607</v>
      </c>
      <c r="D1667" s="2" t="s">
        <v>1100</v>
      </c>
      <c r="E1667" s="2" t="s">
        <v>1101</v>
      </c>
      <c r="F1667" s="2" t="s">
        <v>8551</v>
      </c>
      <c r="G1667" s="2" t="s">
        <v>8551</v>
      </c>
      <c r="H1667" s="2" t="s">
        <v>8551</v>
      </c>
      <c r="I1667" s="2" t="s">
        <v>8552</v>
      </c>
      <c r="J1667" s="2" t="s">
        <v>8555</v>
      </c>
      <c r="K1667" s="2" t="s">
        <v>223</v>
      </c>
      <c r="L1667" s="3">
        <v>18.5</v>
      </c>
      <c r="M1667" s="3">
        <v>19.43</v>
      </c>
      <c r="N1667" s="3">
        <v>39.99</v>
      </c>
      <c r="O1667" s="2" t="s">
        <v>212</v>
      </c>
      <c r="P1667" s="2" t="s">
        <v>205</v>
      </c>
      <c r="Q1667" s="2" t="s">
        <v>206</v>
      </c>
      <c r="R1667" s="2" t="s">
        <v>200</v>
      </c>
      <c r="S1667" s="2" t="s">
        <v>200</v>
      </c>
      <c r="T1667" s="2" t="s">
        <v>312</v>
      </c>
      <c r="U1667" s="2" t="s">
        <v>270</v>
      </c>
      <c r="V1667" s="2" t="s">
        <v>208</v>
      </c>
      <c r="W1667" s="2" t="s">
        <v>241</v>
      </c>
      <c r="X1667" s="2" t="s">
        <v>200</v>
      </c>
      <c r="Y1667" s="2" t="s">
        <v>200</v>
      </c>
      <c r="Z1667" s="4"/>
      <c r="AA1667" s="4">
        <f>=ROUNDDOWN({0},0)</f>
      </c>
      <c r="AB1667" s="5"/>
      <c r="AC1667" s="2" t="s">
        <v>5688</v>
      </c>
      <c r="AD1667" s="4">
        <v>284</v>
      </c>
      <c r="AE1667" s="4">
        <v>600</v>
      </c>
      <c r="AF1667" s="6">
        <v>69</v>
      </c>
      <c r="AG1667" s="6"/>
      <c r="AH1667" s="7"/>
      <c r="AI1667" s="4"/>
      <c r="AJ1667" s="4">
        <f>=ROUNDDOWN({0},0)</f>
      </c>
      <c r="AK1667" s="5"/>
      <c r="AL1667" s="2" t="s">
        <v>200</v>
      </c>
      <c r="AM1667" s="4"/>
      <c r="AN1667" s="4"/>
      <c r="AO1667" s="7"/>
      <c r="AP1667" s="4"/>
      <c r="AQ1667" s="8"/>
      <c r="AR1667" s="4"/>
      <c r="AS1667" s="8"/>
      <c r="AT1667" s="7"/>
      <c r="AU1667" s="7"/>
      <c r="AV1667" s="4" t="s">
        <v>200</v>
      </c>
      <c r="AW1667" s="8" t="s">
        <v>200</v>
      </c>
      <c r="AX1667" s="4" t="s">
        <v>200</v>
      </c>
      <c r="AY1667" s="8" t="s">
        <v>200</v>
      </c>
      <c r="AZ1667" s="7" t="s">
        <v>200</v>
      </c>
      <c r="BA1667" s="7" t="s">
        <v>200</v>
      </c>
      <c r="BB1667" s="7"/>
      <c r="BC1667" s="4" t="s">
        <v>200</v>
      </c>
      <c r="BD1667" s="8" t="s">
        <v>200</v>
      </c>
      <c r="BE1667" s="4" t="s">
        <v>200</v>
      </c>
      <c r="BF1667" s="8" t="s">
        <v>200</v>
      </c>
      <c r="BG1667" s="7" t="s">
        <v>200</v>
      </c>
      <c r="BH1667" s="7" t="s">
        <v>200</v>
      </c>
      <c r="BI1667" s="7"/>
      <c r="BJ1667" s="4"/>
      <c r="BK1667" s="8"/>
      <c r="BL1667" s="2" t="s">
        <v>200</v>
      </c>
      <c r="BM1667" s="7"/>
      <c r="BN1667" s="7"/>
      <c r="BO1667" s="4"/>
      <c r="BP1667" s="8"/>
      <c r="BQ1667" s="4"/>
      <c r="BR1667" s="8"/>
      <c r="BS1667" s="7"/>
      <c r="BT1667" s="7"/>
      <c r="BU1667" s="2" t="s">
        <v>210</v>
      </c>
      <c r="BV1667" s="2" t="s">
        <v>200</v>
      </c>
      <c r="BW1667" s="2" t="s">
        <v>200</v>
      </c>
      <c r="BX1667" s="2" t="s">
        <v>210</v>
      </c>
      <c r="BY1667" s="2" t="s">
        <v>211</v>
      </c>
      <c r="BZ1667" s="2" t="s">
        <v>212</v>
      </c>
      <c r="CA1667" s="2" t="s">
        <v>200</v>
      </c>
      <c r="CB1667" s="2" t="s">
        <v>200</v>
      </c>
      <c r="CC1667" s="2" t="s">
        <v>213</v>
      </c>
      <c r="CD1667" s="2" t="s">
        <v>200</v>
      </c>
      <c r="CE1667" s="4"/>
      <c r="CF1667" s="4"/>
      <c r="CG1667" s="4"/>
      <c r="CH1667" s="4"/>
      <c r="CI1667" s="4"/>
      <c r="CJ1667" s="4"/>
      <c r="CK1667" s="4"/>
      <c r="CL1667" s="4"/>
      <c r="CM1667" s="4"/>
      <c r="CN1667" s="4"/>
      <c r="CO1667" s="4"/>
      <c r="CP1667" s="4"/>
      <c r="CQ1667" s="4"/>
      <c r="CR1667" s="4"/>
      <c r="CS1667" s="4"/>
      <c r="CT1667" s="4"/>
      <c r="CU1667" s="4"/>
      <c r="CV1667" s="4"/>
      <c r="CW1667" s="4"/>
      <c r="CX1667" s="4"/>
      <c r="CY1667" s="4"/>
      <c r="CZ1667" s="4"/>
      <c r="DA1667" s="4"/>
      <c r="DB1667" s="4"/>
      <c r="DC1667" s="4"/>
      <c r="DD1667" s="4"/>
      <c r="DE1667" s="4"/>
      <c r="DF1667" s="4"/>
      <c r="DG1667" s="4"/>
      <c r="DH1667" s="4"/>
      <c r="DI1667" s="4"/>
      <c r="DJ1667" s="4"/>
      <c r="DK1667" s="4"/>
      <c r="DL1667" s="4"/>
      <c r="DM1667" s="4"/>
      <c r="DN1667" s="4"/>
      <c r="DO1667" s="4"/>
      <c r="DP1667" s="4"/>
      <c r="DQ1667" s="4"/>
      <c r="DR1667" s="4"/>
      <c r="DS1667" s="4"/>
      <c r="DT1667" s="4"/>
      <c r="DU1667" s="4"/>
      <c r="DV1667" s="4"/>
      <c r="DW1667" s="4"/>
      <c r="DX1667" s="4"/>
      <c r="DY1667" s="4"/>
      <c r="DZ1667" s="4"/>
      <c r="EA1667" s="4"/>
      <c r="EB1667" s="4"/>
      <c r="EC1667" s="4"/>
      <c r="ED1667" s="4"/>
      <c r="EE1667" s="4"/>
      <c r="EF1667" s="4"/>
      <c r="EG1667" s="4"/>
      <c r="EH1667" s="4"/>
      <c r="EI1667" s="4"/>
      <c r="EJ1667" s="4"/>
      <c r="EK1667" s="4"/>
      <c r="EL1667" s="4"/>
      <c r="EM1667" s="4"/>
      <c r="EN1667" s="4"/>
      <c r="EO1667" s="4"/>
      <c r="EP1667" s="4"/>
      <c r="EQ1667" s="4"/>
      <c r="ER1667" s="4"/>
      <c r="ES1667" s="4"/>
      <c r="ET1667" s="4"/>
      <c r="EU1667" s="4"/>
      <c r="EV1667" s="4"/>
      <c r="EW1667" s="4"/>
      <c r="EX1667" s="4"/>
      <c r="EY1667" s="4"/>
      <c r="EZ1667" s="4"/>
      <c r="FA1667" s="4"/>
      <c r="FB1667" s="4"/>
      <c r="FC1667" s="4"/>
      <c r="FD1667" s="4"/>
      <c r="FE1667" s="4"/>
      <c r="FF1667" s="4"/>
      <c r="FG1667" s="4"/>
      <c r="FH1667" s="4"/>
      <c r="FI1667" s="4"/>
      <c r="FJ1667" s="4">
        <v>284</v>
      </c>
      <c r="FK1667" s="4"/>
      <c r="FL1667" s="4"/>
      <c r="FM1667" s="4"/>
      <c r="FN1667" s="4"/>
      <c r="FO1667" s="4"/>
      <c r="FP1667" s="4"/>
      <c r="FQ1667" s="4"/>
      <c r="FR1667" s="4"/>
      <c r="FS1667" s="4">
        <v>316</v>
      </c>
      <c r="FT1667" s="4"/>
      <c r="FU1667" s="4"/>
      <c r="FV1667" s="4"/>
      <c r="FW1667" s="4"/>
      <c r="FX1667" s="4"/>
      <c r="FY1667" s="4"/>
      <c r="FZ1667" s="4"/>
      <c r="GA1667" s="4"/>
      <c r="GB1667" s="4"/>
      <c r="GC1667" s="4"/>
      <c r="GD1667" s="4"/>
      <c r="GE1667" s="4"/>
      <c r="GF1667" s="4"/>
      <c r="GG1667" s="4"/>
      <c r="GH1667" s="4"/>
    </row>
    <row r="1668">
      <c r="A1668" s="2" t="s">
        <v>8596</v>
      </c>
      <c r="B1668" s="2" t="s">
        <v>1099</v>
      </c>
      <c r="C1668" s="2" t="s">
        <v>607</v>
      </c>
      <c r="D1668" s="2" t="s">
        <v>1100</v>
      </c>
      <c r="E1668" s="2" t="s">
        <v>1101</v>
      </c>
      <c r="F1668" s="2" t="s">
        <v>8551</v>
      </c>
      <c r="G1668" s="2" t="s">
        <v>8551</v>
      </c>
      <c r="H1668" s="2" t="s">
        <v>8551</v>
      </c>
      <c r="I1668" s="2" t="s">
        <v>8552</v>
      </c>
      <c r="J1668" s="2" t="s">
        <v>1110</v>
      </c>
      <c r="K1668" s="2" t="s">
        <v>223</v>
      </c>
      <c r="L1668" s="3">
        <v>27</v>
      </c>
      <c r="M1668" s="3">
        <v>28.35</v>
      </c>
      <c r="N1668" s="3">
        <v>56.99</v>
      </c>
      <c r="O1668" s="2" t="s">
        <v>212</v>
      </c>
      <c r="P1668" s="2" t="s">
        <v>205</v>
      </c>
      <c r="Q1668" s="2" t="s">
        <v>206</v>
      </c>
      <c r="R1668" s="2" t="s">
        <v>200</v>
      </c>
      <c r="S1668" s="2" t="s">
        <v>200</v>
      </c>
      <c r="T1668" s="2" t="s">
        <v>312</v>
      </c>
      <c r="U1668" s="2" t="s">
        <v>270</v>
      </c>
      <c r="V1668" s="2" t="s">
        <v>208</v>
      </c>
      <c r="W1668" s="2" t="s">
        <v>241</v>
      </c>
      <c r="X1668" s="2" t="s">
        <v>200</v>
      </c>
      <c r="Y1668" s="2" t="s">
        <v>200</v>
      </c>
      <c r="Z1668" s="4"/>
      <c r="AA1668" s="4">
        <f>=ROUNDDOWN({0},0)</f>
      </c>
      <c r="AB1668" s="5"/>
      <c r="AC1668" s="2" t="s">
        <v>5688</v>
      </c>
      <c r="AD1668" s="4">
        <v>184</v>
      </c>
      <c r="AE1668" s="4">
        <v>400</v>
      </c>
      <c r="AF1668" s="6">
        <v>69</v>
      </c>
      <c r="AG1668" s="6"/>
      <c r="AH1668" s="7"/>
      <c r="AI1668" s="4"/>
      <c r="AJ1668" s="4">
        <f>=ROUNDDOWN({0},0)</f>
      </c>
      <c r="AK1668" s="5"/>
      <c r="AL1668" s="2" t="s">
        <v>200</v>
      </c>
      <c r="AM1668" s="4"/>
      <c r="AN1668" s="4"/>
      <c r="AO1668" s="7"/>
      <c r="AP1668" s="4"/>
      <c r="AQ1668" s="8"/>
      <c r="AR1668" s="4"/>
      <c r="AS1668" s="8"/>
      <c r="AT1668" s="7"/>
      <c r="AU1668" s="7"/>
      <c r="AV1668" s="4" t="s">
        <v>200</v>
      </c>
      <c r="AW1668" s="8" t="s">
        <v>200</v>
      </c>
      <c r="AX1668" s="4" t="s">
        <v>200</v>
      </c>
      <c r="AY1668" s="8" t="s">
        <v>200</v>
      </c>
      <c r="AZ1668" s="7" t="s">
        <v>200</v>
      </c>
      <c r="BA1668" s="7" t="s">
        <v>200</v>
      </c>
      <c r="BB1668" s="7"/>
      <c r="BC1668" s="4" t="s">
        <v>200</v>
      </c>
      <c r="BD1668" s="8" t="s">
        <v>200</v>
      </c>
      <c r="BE1668" s="4" t="s">
        <v>200</v>
      </c>
      <c r="BF1668" s="8" t="s">
        <v>200</v>
      </c>
      <c r="BG1668" s="7" t="s">
        <v>200</v>
      </c>
      <c r="BH1668" s="7" t="s">
        <v>200</v>
      </c>
      <c r="BI1668" s="7"/>
      <c r="BJ1668" s="4"/>
      <c r="BK1668" s="8"/>
      <c r="BL1668" s="2" t="s">
        <v>200</v>
      </c>
      <c r="BM1668" s="7"/>
      <c r="BN1668" s="7"/>
      <c r="BO1668" s="4"/>
      <c r="BP1668" s="8"/>
      <c r="BQ1668" s="4"/>
      <c r="BR1668" s="8"/>
      <c r="BS1668" s="7"/>
      <c r="BT1668" s="7"/>
      <c r="BU1668" s="2" t="s">
        <v>210</v>
      </c>
      <c r="BV1668" s="2" t="s">
        <v>200</v>
      </c>
      <c r="BW1668" s="2" t="s">
        <v>200</v>
      </c>
      <c r="BX1668" s="2" t="s">
        <v>210</v>
      </c>
      <c r="BY1668" s="2" t="s">
        <v>211</v>
      </c>
      <c r="BZ1668" s="2" t="s">
        <v>212</v>
      </c>
      <c r="CA1668" s="2" t="s">
        <v>200</v>
      </c>
      <c r="CB1668" s="2" t="s">
        <v>200</v>
      </c>
      <c r="CC1668" s="2" t="s">
        <v>213</v>
      </c>
      <c r="CD1668" s="2" t="s">
        <v>200</v>
      </c>
      <c r="CE1668" s="4"/>
      <c r="CF1668" s="4"/>
      <c r="CG1668" s="4"/>
      <c r="CH1668" s="4"/>
      <c r="CI1668" s="4"/>
      <c r="CJ1668" s="4"/>
      <c r="CK1668" s="4"/>
      <c r="CL1668" s="4"/>
      <c r="CM1668" s="4"/>
      <c r="CN1668" s="4"/>
      <c r="CO1668" s="4"/>
      <c r="CP1668" s="4"/>
      <c r="CQ1668" s="4"/>
      <c r="CR1668" s="4"/>
      <c r="CS1668" s="4"/>
      <c r="CT1668" s="4"/>
      <c r="CU1668" s="4"/>
      <c r="CV1668" s="4"/>
      <c r="CW1668" s="4"/>
      <c r="CX1668" s="4"/>
      <c r="CY1668" s="4"/>
      <c r="CZ1668" s="4"/>
      <c r="DA1668" s="4"/>
      <c r="DB1668" s="4"/>
      <c r="DC1668" s="4"/>
      <c r="DD1668" s="4"/>
      <c r="DE1668" s="4"/>
      <c r="DF1668" s="4"/>
      <c r="DG1668" s="4"/>
      <c r="DH1668" s="4"/>
      <c r="DI1668" s="4"/>
      <c r="DJ1668" s="4"/>
      <c r="DK1668" s="4"/>
      <c r="DL1668" s="4"/>
      <c r="DM1668" s="4"/>
      <c r="DN1668" s="4"/>
      <c r="DO1668" s="4"/>
      <c r="DP1668" s="4"/>
      <c r="DQ1668" s="4"/>
      <c r="DR1668" s="4"/>
      <c r="DS1668" s="4"/>
      <c r="DT1668" s="4"/>
      <c r="DU1668" s="4"/>
      <c r="DV1668" s="4"/>
      <c r="DW1668" s="4"/>
      <c r="DX1668" s="4"/>
      <c r="DY1668" s="4"/>
      <c r="DZ1668" s="4"/>
      <c r="EA1668" s="4"/>
      <c r="EB1668" s="4"/>
      <c r="EC1668" s="4"/>
      <c r="ED1668" s="4"/>
      <c r="EE1668" s="4"/>
      <c r="EF1668" s="4"/>
      <c r="EG1668" s="4"/>
      <c r="EH1668" s="4"/>
      <c r="EI1668" s="4"/>
      <c r="EJ1668" s="4"/>
      <c r="EK1668" s="4"/>
      <c r="EL1668" s="4"/>
      <c r="EM1668" s="4"/>
      <c r="EN1668" s="4"/>
      <c r="EO1668" s="4"/>
      <c r="EP1668" s="4"/>
      <c r="EQ1668" s="4"/>
      <c r="ER1668" s="4"/>
      <c r="ES1668" s="4"/>
      <c r="ET1668" s="4"/>
      <c r="EU1668" s="4"/>
      <c r="EV1668" s="4"/>
      <c r="EW1668" s="4"/>
      <c r="EX1668" s="4"/>
      <c r="EY1668" s="4"/>
      <c r="EZ1668" s="4"/>
      <c r="FA1668" s="4"/>
      <c r="FB1668" s="4"/>
      <c r="FC1668" s="4"/>
      <c r="FD1668" s="4"/>
      <c r="FE1668" s="4"/>
      <c r="FF1668" s="4"/>
      <c r="FG1668" s="4"/>
      <c r="FH1668" s="4"/>
      <c r="FI1668" s="4"/>
      <c r="FJ1668" s="4">
        <v>184</v>
      </c>
      <c r="FK1668" s="4"/>
      <c r="FL1668" s="4"/>
      <c r="FM1668" s="4"/>
      <c r="FN1668" s="4"/>
      <c r="FO1668" s="4"/>
      <c r="FP1668" s="4"/>
      <c r="FQ1668" s="4"/>
      <c r="FR1668" s="4"/>
      <c r="FS1668" s="4">
        <v>216</v>
      </c>
      <c r="FT1668" s="4"/>
      <c r="FU1668" s="4"/>
      <c r="FV1668" s="4"/>
      <c r="FW1668" s="4"/>
      <c r="FX1668" s="4"/>
      <c r="FY1668" s="4"/>
      <c r="FZ1668" s="4"/>
      <c r="GA1668" s="4"/>
      <c r="GB1668" s="4"/>
      <c r="GC1668" s="4"/>
      <c r="GD1668" s="4"/>
      <c r="GE1668" s="4"/>
      <c r="GF1668" s="4"/>
      <c r="GG1668" s="4"/>
      <c r="GH1668" s="4"/>
    </row>
    <row r="1669">
      <c r="A1669" s="2" t="s">
        <v>8597</v>
      </c>
      <c r="B1669" s="2" t="s">
        <v>1099</v>
      </c>
      <c r="C1669" s="2" t="s">
        <v>607</v>
      </c>
      <c r="D1669" s="2" t="s">
        <v>1100</v>
      </c>
      <c r="E1669" s="2" t="s">
        <v>1101</v>
      </c>
      <c r="F1669" s="2" t="s">
        <v>8551</v>
      </c>
      <c r="G1669" s="2" t="s">
        <v>8551</v>
      </c>
      <c r="H1669" s="2" t="s">
        <v>8551</v>
      </c>
      <c r="I1669" s="2" t="s">
        <v>8552</v>
      </c>
      <c r="J1669" s="2" t="s">
        <v>8558</v>
      </c>
      <c r="K1669" s="2" t="s">
        <v>223</v>
      </c>
      <c r="L1669" s="3">
        <v>30.24</v>
      </c>
      <c r="M1669" s="3">
        <v>31.75</v>
      </c>
      <c r="N1669" s="3">
        <v>64.99</v>
      </c>
      <c r="O1669" s="2" t="s">
        <v>212</v>
      </c>
      <c r="P1669" s="2" t="s">
        <v>205</v>
      </c>
      <c r="Q1669" s="2" t="s">
        <v>206</v>
      </c>
      <c r="R1669" s="2" t="s">
        <v>200</v>
      </c>
      <c r="S1669" s="2" t="s">
        <v>200</v>
      </c>
      <c r="T1669" s="2" t="s">
        <v>312</v>
      </c>
      <c r="U1669" s="2" t="s">
        <v>270</v>
      </c>
      <c r="V1669" s="2" t="s">
        <v>208</v>
      </c>
      <c r="W1669" s="2" t="s">
        <v>241</v>
      </c>
      <c r="X1669" s="2" t="s">
        <v>200</v>
      </c>
      <c r="Y1669" s="2" t="s">
        <v>200</v>
      </c>
      <c r="Z1669" s="4"/>
      <c r="AA1669" s="4">
        <f>=ROUNDDOWN({0},0)</f>
      </c>
      <c r="AB1669" s="5"/>
      <c r="AC1669" s="2" t="s">
        <v>5688</v>
      </c>
      <c r="AD1669" s="4">
        <v>156</v>
      </c>
      <c r="AE1669" s="4">
        <v>344</v>
      </c>
      <c r="AF1669" s="6">
        <v>69</v>
      </c>
      <c r="AG1669" s="6"/>
      <c r="AH1669" s="7"/>
      <c r="AI1669" s="4"/>
      <c r="AJ1669" s="4">
        <f>=ROUNDDOWN({0},0)</f>
      </c>
      <c r="AK1669" s="5"/>
      <c r="AL1669" s="2" t="s">
        <v>200</v>
      </c>
      <c r="AM1669" s="4"/>
      <c r="AN1669" s="4"/>
      <c r="AO1669" s="7"/>
      <c r="AP1669" s="4"/>
      <c r="AQ1669" s="8"/>
      <c r="AR1669" s="4"/>
      <c r="AS1669" s="8"/>
      <c r="AT1669" s="7"/>
      <c r="AU1669" s="7"/>
      <c r="AV1669" s="4" t="s">
        <v>200</v>
      </c>
      <c r="AW1669" s="8" t="s">
        <v>200</v>
      </c>
      <c r="AX1669" s="4" t="s">
        <v>200</v>
      </c>
      <c r="AY1669" s="8" t="s">
        <v>200</v>
      </c>
      <c r="AZ1669" s="7" t="s">
        <v>200</v>
      </c>
      <c r="BA1669" s="7" t="s">
        <v>200</v>
      </c>
      <c r="BB1669" s="7"/>
      <c r="BC1669" s="4" t="s">
        <v>200</v>
      </c>
      <c r="BD1669" s="8" t="s">
        <v>200</v>
      </c>
      <c r="BE1669" s="4" t="s">
        <v>200</v>
      </c>
      <c r="BF1669" s="8" t="s">
        <v>200</v>
      </c>
      <c r="BG1669" s="7" t="s">
        <v>200</v>
      </c>
      <c r="BH1669" s="7" t="s">
        <v>200</v>
      </c>
      <c r="BI1669" s="7"/>
      <c r="BJ1669" s="4"/>
      <c r="BK1669" s="8"/>
      <c r="BL1669" s="2" t="s">
        <v>200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210</v>
      </c>
      <c r="BV1669" s="2" t="s">
        <v>200</v>
      </c>
      <c r="BW1669" s="2" t="s">
        <v>200</v>
      </c>
      <c r="BX1669" s="2" t="s">
        <v>210</v>
      </c>
      <c r="BY1669" s="2" t="s">
        <v>211</v>
      </c>
      <c r="BZ1669" s="2" t="s">
        <v>212</v>
      </c>
      <c r="CA1669" s="2" t="s">
        <v>200</v>
      </c>
      <c r="CB1669" s="2" t="s">
        <v>200</v>
      </c>
      <c r="CC1669" s="2" t="s">
        <v>213</v>
      </c>
      <c r="CD1669" s="2" t="s">
        <v>200</v>
      </c>
      <c r="CE1669" s="4"/>
      <c r="CF1669" s="4"/>
      <c r="CG1669" s="4"/>
      <c r="CH1669" s="4"/>
      <c r="CI1669" s="4"/>
      <c r="CJ1669" s="4"/>
      <c r="CK1669" s="4"/>
      <c r="CL1669" s="4"/>
      <c r="CM1669" s="4"/>
      <c r="CN1669" s="4"/>
      <c r="CO1669" s="4"/>
      <c r="CP1669" s="4"/>
      <c r="CQ1669" s="4"/>
      <c r="CR1669" s="4"/>
      <c r="CS1669" s="4"/>
      <c r="CT1669" s="4"/>
      <c r="CU1669" s="4"/>
      <c r="CV1669" s="4"/>
      <c r="CW1669" s="4"/>
      <c r="CX1669" s="4"/>
      <c r="CY1669" s="4"/>
      <c r="CZ1669" s="4"/>
      <c r="DA1669" s="4"/>
      <c r="DB1669" s="4"/>
      <c r="DC1669" s="4"/>
      <c r="DD1669" s="4"/>
      <c r="DE1669" s="4"/>
      <c r="DF1669" s="4"/>
      <c r="DG1669" s="4"/>
      <c r="DH1669" s="4"/>
      <c r="DI1669" s="4"/>
      <c r="DJ1669" s="4"/>
      <c r="DK1669" s="4"/>
      <c r="DL1669" s="4"/>
      <c r="DM1669" s="4"/>
      <c r="DN1669" s="4"/>
      <c r="DO1669" s="4"/>
      <c r="DP1669" s="4"/>
      <c r="DQ1669" s="4"/>
      <c r="DR1669" s="4"/>
      <c r="DS1669" s="4"/>
      <c r="DT1669" s="4"/>
      <c r="DU1669" s="4"/>
      <c r="DV1669" s="4"/>
      <c r="DW1669" s="4"/>
      <c r="DX1669" s="4"/>
      <c r="DY1669" s="4"/>
      <c r="DZ1669" s="4"/>
      <c r="EA1669" s="4"/>
      <c r="EB1669" s="4"/>
      <c r="EC1669" s="4"/>
      <c r="ED1669" s="4"/>
      <c r="EE1669" s="4"/>
      <c r="EF1669" s="4"/>
      <c r="EG1669" s="4"/>
      <c r="EH1669" s="4"/>
      <c r="EI1669" s="4"/>
      <c r="EJ1669" s="4"/>
      <c r="EK1669" s="4"/>
      <c r="EL1669" s="4"/>
      <c r="EM1669" s="4"/>
      <c r="EN1669" s="4"/>
      <c r="EO1669" s="4"/>
      <c r="EP1669" s="4"/>
      <c r="EQ1669" s="4"/>
      <c r="ER1669" s="4"/>
      <c r="ES1669" s="4"/>
      <c r="ET1669" s="4"/>
      <c r="EU1669" s="4"/>
      <c r="EV1669" s="4"/>
      <c r="EW1669" s="4"/>
      <c r="EX1669" s="4"/>
      <c r="EY1669" s="4"/>
      <c r="EZ1669" s="4"/>
      <c r="FA1669" s="4"/>
      <c r="FB1669" s="4"/>
      <c r="FC1669" s="4"/>
      <c r="FD1669" s="4"/>
      <c r="FE1669" s="4"/>
      <c r="FF1669" s="4"/>
      <c r="FG1669" s="4"/>
      <c r="FH1669" s="4"/>
      <c r="FI1669" s="4"/>
      <c r="FJ1669" s="4">
        <v>156</v>
      </c>
      <c r="FK1669" s="4"/>
      <c r="FL1669" s="4"/>
      <c r="FM1669" s="4"/>
      <c r="FN1669" s="4"/>
      <c r="FO1669" s="4"/>
      <c r="FP1669" s="4"/>
      <c r="FQ1669" s="4"/>
      <c r="FR1669" s="4"/>
      <c r="FS1669" s="4">
        <v>188</v>
      </c>
      <c r="FT1669" s="4"/>
      <c r="FU1669" s="4"/>
      <c r="FV1669" s="4"/>
      <c r="FW1669" s="4"/>
      <c r="FX1669" s="4"/>
      <c r="FY1669" s="4"/>
      <c r="FZ1669" s="4"/>
      <c r="GA1669" s="4"/>
      <c r="GB1669" s="4"/>
      <c r="GC1669" s="4"/>
      <c r="GD1669" s="4"/>
      <c r="GE1669" s="4"/>
      <c r="GF1669" s="4"/>
      <c r="GG1669" s="4"/>
      <c r="GH1669" s="4"/>
    </row>
    <row r="1670">
      <c r="A1670" s="2" t="s">
        <v>8598</v>
      </c>
      <c r="B1670" s="2" t="s">
        <v>1099</v>
      </c>
      <c r="C1670" s="2" t="s">
        <v>607</v>
      </c>
      <c r="D1670" s="2" t="s">
        <v>1100</v>
      </c>
      <c r="E1670" s="2" t="s">
        <v>1101</v>
      </c>
      <c r="F1670" s="2" t="s">
        <v>8551</v>
      </c>
      <c r="G1670" s="2" t="s">
        <v>8551</v>
      </c>
      <c r="H1670" s="2" t="s">
        <v>8551</v>
      </c>
      <c r="I1670" s="2" t="s">
        <v>8552</v>
      </c>
      <c r="J1670" s="2" t="s">
        <v>8560</v>
      </c>
      <c r="K1670" s="2" t="s">
        <v>223</v>
      </c>
      <c r="L1670" s="3">
        <v>14.8</v>
      </c>
      <c r="M1670" s="3">
        <v>15.54</v>
      </c>
      <c r="N1670" s="3">
        <v>31.99</v>
      </c>
      <c r="O1670" s="2" t="s">
        <v>212</v>
      </c>
      <c r="P1670" s="2" t="s">
        <v>205</v>
      </c>
      <c r="Q1670" s="2" t="s">
        <v>206</v>
      </c>
      <c r="R1670" s="2" t="s">
        <v>200</v>
      </c>
      <c r="S1670" s="2" t="s">
        <v>200</v>
      </c>
      <c r="T1670" s="2" t="s">
        <v>312</v>
      </c>
      <c r="U1670" s="2" t="s">
        <v>270</v>
      </c>
      <c r="V1670" s="2" t="s">
        <v>208</v>
      </c>
      <c r="W1670" s="2" t="s">
        <v>241</v>
      </c>
      <c r="X1670" s="2" t="s">
        <v>200</v>
      </c>
      <c r="Y1670" s="2" t="s">
        <v>200</v>
      </c>
      <c r="Z1670" s="4"/>
      <c r="AA1670" s="4">
        <f>=ROUNDDOWN({0},0)</f>
      </c>
      <c r="AB1670" s="5"/>
      <c r="AC1670" s="2" t="s">
        <v>5688</v>
      </c>
      <c r="AD1670" s="4">
        <v>640</v>
      </c>
      <c r="AE1670" s="4">
        <v>1312</v>
      </c>
      <c r="AF1670" s="6">
        <v>69</v>
      </c>
      <c r="AG1670" s="6"/>
      <c r="AH1670" s="7"/>
      <c r="AI1670" s="4"/>
      <c r="AJ1670" s="4">
        <f>=ROUNDDOWN({0},0)</f>
      </c>
      <c r="AK1670" s="5"/>
      <c r="AL1670" s="2" t="s">
        <v>200</v>
      </c>
      <c r="AM1670" s="4"/>
      <c r="AN1670" s="4"/>
      <c r="AO1670" s="7"/>
      <c r="AP1670" s="4"/>
      <c r="AQ1670" s="8"/>
      <c r="AR1670" s="4"/>
      <c r="AS1670" s="8"/>
      <c r="AT1670" s="7"/>
      <c r="AU1670" s="7"/>
      <c r="AV1670" s="4" t="s">
        <v>200</v>
      </c>
      <c r="AW1670" s="8" t="s">
        <v>200</v>
      </c>
      <c r="AX1670" s="4" t="s">
        <v>200</v>
      </c>
      <c r="AY1670" s="8" t="s">
        <v>200</v>
      </c>
      <c r="AZ1670" s="7" t="s">
        <v>200</v>
      </c>
      <c r="BA1670" s="7" t="s">
        <v>200</v>
      </c>
      <c r="BB1670" s="7"/>
      <c r="BC1670" s="4" t="s">
        <v>200</v>
      </c>
      <c r="BD1670" s="8" t="s">
        <v>200</v>
      </c>
      <c r="BE1670" s="4" t="s">
        <v>200</v>
      </c>
      <c r="BF1670" s="8" t="s">
        <v>200</v>
      </c>
      <c r="BG1670" s="7" t="s">
        <v>200</v>
      </c>
      <c r="BH1670" s="7" t="s">
        <v>200</v>
      </c>
      <c r="BI1670" s="7"/>
      <c r="BJ1670" s="4"/>
      <c r="BK1670" s="8"/>
      <c r="BL1670" s="2" t="s">
        <v>200</v>
      </c>
      <c r="BM1670" s="7"/>
      <c r="BN1670" s="7"/>
      <c r="BO1670" s="4"/>
      <c r="BP1670" s="8"/>
      <c r="BQ1670" s="4"/>
      <c r="BR1670" s="8"/>
      <c r="BS1670" s="7"/>
      <c r="BT1670" s="7"/>
      <c r="BU1670" s="2" t="s">
        <v>210</v>
      </c>
      <c r="BV1670" s="2" t="s">
        <v>200</v>
      </c>
      <c r="BW1670" s="2" t="s">
        <v>200</v>
      </c>
      <c r="BX1670" s="2" t="s">
        <v>210</v>
      </c>
      <c r="BY1670" s="2" t="s">
        <v>211</v>
      </c>
      <c r="BZ1670" s="2" t="s">
        <v>212</v>
      </c>
      <c r="CA1670" s="2" t="s">
        <v>200</v>
      </c>
      <c r="CB1670" s="2" t="s">
        <v>200</v>
      </c>
      <c r="CC1670" s="2" t="s">
        <v>213</v>
      </c>
      <c r="CD1670" s="2" t="s">
        <v>200</v>
      </c>
      <c r="CE1670" s="4"/>
      <c r="CF1670" s="4"/>
      <c r="CG1670" s="4"/>
      <c r="CH1670" s="4"/>
      <c r="CI1670" s="4"/>
      <c r="CJ1670" s="4"/>
      <c r="CK1670" s="4"/>
      <c r="CL1670" s="4"/>
      <c r="CM1670" s="4"/>
      <c r="CN1670" s="4"/>
      <c r="CO1670" s="4"/>
      <c r="CP1670" s="4"/>
      <c r="CQ1670" s="4"/>
      <c r="CR1670" s="4"/>
      <c r="CS1670" s="4"/>
      <c r="CT1670" s="4"/>
      <c r="CU1670" s="4"/>
      <c r="CV1670" s="4"/>
      <c r="CW1670" s="4"/>
      <c r="CX1670" s="4"/>
      <c r="CY1670" s="4"/>
      <c r="CZ1670" s="4"/>
      <c r="DA1670" s="4"/>
      <c r="DB1670" s="4"/>
      <c r="DC1670" s="4"/>
      <c r="DD1670" s="4"/>
      <c r="DE1670" s="4"/>
      <c r="DF1670" s="4"/>
      <c r="DG1670" s="4"/>
      <c r="DH1670" s="4"/>
      <c r="DI1670" s="4"/>
      <c r="DJ1670" s="4"/>
      <c r="DK1670" s="4"/>
      <c r="DL1670" s="4"/>
      <c r="DM1670" s="4"/>
      <c r="DN1670" s="4"/>
      <c r="DO1670" s="4"/>
      <c r="DP1670" s="4"/>
      <c r="DQ1670" s="4"/>
      <c r="DR1670" s="4"/>
      <c r="DS1670" s="4"/>
      <c r="DT1670" s="4"/>
      <c r="DU1670" s="4"/>
      <c r="DV1670" s="4"/>
      <c r="DW1670" s="4"/>
      <c r="DX1670" s="4"/>
      <c r="DY1670" s="4"/>
      <c r="DZ1670" s="4"/>
      <c r="EA1670" s="4"/>
      <c r="EB1670" s="4"/>
      <c r="EC1670" s="4"/>
      <c r="ED1670" s="4"/>
      <c r="EE1670" s="4"/>
      <c r="EF1670" s="4"/>
      <c r="EG1670" s="4"/>
      <c r="EH1670" s="4"/>
      <c r="EI1670" s="4"/>
      <c r="EJ1670" s="4"/>
      <c r="EK1670" s="4"/>
      <c r="EL1670" s="4"/>
      <c r="EM1670" s="4"/>
      <c r="EN1670" s="4"/>
      <c r="EO1670" s="4"/>
      <c r="EP1670" s="4"/>
      <c r="EQ1670" s="4"/>
      <c r="ER1670" s="4"/>
      <c r="ES1670" s="4"/>
      <c r="ET1670" s="4"/>
      <c r="EU1670" s="4"/>
      <c r="EV1670" s="4"/>
      <c r="EW1670" s="4"/>
      <c r="EX1670" s="4"/>
      <c r="EY1670" s="4"/>
      <c r="EZ1670" s="4"/>
      <c r="FA1670" s="4"/>
      <c r="FB1670" s="4"/>
      <c r="FC1670" s="4"/>
      <c r="FD1670" s="4"/>
      <c r="FE1670" s="4"/>
      <c r="FF1670" s="4"/>
      <c r="FG1670" s="4"/>
      <c r="FH1670" s="4"/>
      <c r="FI1670" s="4"/>
      <c r="FJ1670" s="4">
        <v>640</v>
      </c>
      <c r="FK1670" s="4"/>
      <c r="FL1670" s="4"/>
      <c r="FM1670" s="4"/>
      <c r="FN1670" s="4"/>
      <c r="FO1670" s="4"/>
      <c r="FP1670" s="4"/>
      <c r="FQ1670" s="4"/>
      <c r="FR1670" s="4"/>
      <c r="FS1670" s="4">
        <v>672</v>
      </c>
      <c r="FT1670" s="4"/>
      <c r="FU1670" s="4"/>
      <c r="FV1670" s="4"/>
      <c r="FW1670" s="4"/>
      <c r="FX1670" s="4"/>
      <c r="FY1670" s="4"/>
      <c r="FZ1670" s="4"/>
      <c r="GA1670" s="4"/>
      <c r="GB1670" s="4"/>
      <c r="GC1670" s="4"/>
      <c r="GD1670" s="4"/>
      <c r="GE1670" s="4"/>
      <c r="GF1670" s="4"/>
      <c r="GG1670" s="4"/>
      <c r="GH1670" s="4"/>
    </row>
    <row r="1671">
      <c r="A1671" s="2" t="s">
        <v>8599</v>
      </c>
      <c r="B1671" s="2" t="s">
        <v>719</v>
      </c>
      <c r="C1671" s="2" t="s">
        <v>730</v>
      </c>
      <c r="D1671" s="2" t="s">
        <v>1542</v>
      </c>
      <c r="E1671" s="2" t="s">
        <v>2060</v>
      </c>
      <c r="F1671" s="2" t="s">
        <v>8600</v>
      </c>
      <c r="G1671" s="2" t="s">
        <v>8600</v>
      </c>
      <c r="H1671" s="2" t="s">
        <v>8600</v>
      </c>
      <c r="I1671" s="2" t="s">
        <v>8601</v>
      </c>
      <c r="J1671" s="2" t="s">
        <v>711</v>
      </c>
      <c r="K1671" s="2" t="s">
        <v>387</v>
      </c>
      <c r="L1671" s="3">
        <v>32</v>
      </c>
      <c r="M1671" s="3">
        <v>33.6</v>
      </c>
      <c r="N1671" s="3">
        <v>69.99</v>
      </c>
      <c r="O1671" s="2" t="s">
        <v>212</v>
      </c>
      <c r="P1671" s="2" t="s">
        <v>750</v>
      </c>
      <c r="Q1671" s="2" t="s">
        <v>206</v>
      </c>
      <c r="R1671" s="2" t="s">
        <v>200</v>
      </c>
      <c r="S1671" s="2" t="s">
        <v>200</v>
      </c>
      <c r="T1671" s="2" t="s">
        <v>200</v>
      </c>
      <c r="U1671" s="2" t="s">
        <v>270</v>
      </c>
      <c r="V1671" s="2" t="s">
        <v>724</v>
      </c>
      <c r="W1671" s="2" t="s">
        <v>4808</v>
      </c>
      <c r="X1671" s="2" t="s">
        <v>379</v>
      </c>
      <c r="Y1671" s="2" t="s">
        <v>8419</v>
      </c>
      <c r="Z1671" s="4">
        <v>50</v>
      </c>
      <c r="AA1671" s="4">
        <f>=ROUNDDOWN(16.6666666666667,0)</f>
      </c>
      <c r="AB1671" s="5">
        <v>3</v>
      </c>
      <c r="AC1671" s="2" t="s">
        <v>8602</v>
      </c>
      <c r="AD1671" s="4">
        <v>50</v>
      </c>
      <c r="AE1671" s="4">
        <v>50</v>
      </c>
      <c r="AF1671" s="6">
        <v>63</v>
      </c>
      <c r="AG1671" s="6"/>
      <c r="AH1671" s="7">
        <v>1</v>
      </c>
      <c r="AI1671" s="4"/>
      <c r="AJ1671" s="4">
        <f>=ROUNDDOWN({0},0)</f>
      </c>
      <c r="AK1671" s="5"/>
      <c r="AL1671" s="2" t="s">
        <v>200</v>
      </c>
      <c r="AM1671" s="4"/>
      <c r="AN1671" s="4"/>
      <c r="AO1671" s="7"/>
      <c r="AP1671" s="4"/>
      <c r="AQ1671" s="8"/>
      <c r="AR1671" s="4"/>
      <c r="AS1671" s="8"/>
      <c r="AT1671" s="7"/>
      <c r="AU1671" s="7"/>
      <c r="AV1671" s="4"/>
      <c r="AW1671" s="8"/>
      <c r="AX1671" s="4"/>
      <c r="AY1671" s="8"/>
      <c r="AZ1671" s="7"/>
      <c r="BA1671" s="7"/>
      <c r="BB1671" s="7"/>
      <c r="BC1671" s="4" t="s">
        <v>200</v>
      </c>
      <c r="BD1671" s="8" t="s">
        <v>200</v>
      </c>
      <c r="BE1671" s="4" t="s">
        <v>200</v>
      </c>
      <c r="BF1671" s="8" t="s">
        <v>200</v>
      </c>
      <c r="BG1671" s="7" t="s">
        <v>200</v>
      </c>
      <c r="BH1671" s="7" t="s">
        <v>200</v>
      </c>
      <c r="BI1671" s="7"/>
      <c r="BJ1671" s="4">
        <v>10</v>
      </c>
      <c r="BK1671" s="8">
        <v>352.47</v>
      </c>
      <c r="BL1671" s="2" t="s">
        <v>7750</v>
      </c>
      <c r="BM1671" s="7"/>
      <c r="BN1671" s="7"/>
      <c r="BO1671" s="4"/>
      <c r="BP1671" s="8"/>
      <c r="BQ1671" s="4"/>
      <c r="BR1671" s="8"/>
      <c r="BS1671" s="7"/>
      <c r="BT1671" s="7"/>
      <c r="BU1671" s="2" t="s">
        <v>8603</v>
      </c>
      <c r="BV1671" s="2" t="s">
        <v>200</v>
      </c>
      <c r="BW1671" s="2" t="s">
        <v>200</v>
      </c>
      <c r="BX1671" s="2" t="s">
        <v>264</v>
      </c>
      <c r="BY1671" s="2" t="s">
        <v>247</v>
      </c>
      <c r="BZ1671" s="2" t="s">
        <v>212</v>
      </c>
      <c r="CA1671" s="2" t="s">
        <v>8508</v>
      </c>
      <c r="CB1671" s="2" t="s">
        <v>2567</v>
      </c>
      <c r="CC1671" s="2" t="s">
        <v>213</v>
      </c>
      <c r="CD1671" s="2" t="s">
        <v>200</v>
      </c>
      <c r="CE1671" s="4"/>
      <c r="CF1671" s="4">
        <v>50</v>
      </c>
      <c r="CG1671" s="4"/>
      <c r="CH1671" s="4"/>
      <c r="CI1671" s="4"/>
      <c r="CJ1671" s="4"/>
      <c r="CK1671" s="4"/>
      <c r="CL1671" s="4"/>
      <c r="CM1671" s="4"/>
      <c r="CN1671" s="4"/>
      <c r="CO1671" s="4"/>
      <c r="CP1671" s="4"/>
      <c r="CQ1671" s="4"/>
      <c r="CR1671" s="4"/>
      <c r="CS1671" s="4"/>
      <c r="CT1671" s="4"/>
      <c r="CU1671" s="4"/>
      <c r="CV1671" s="4"/>
      <c r="CW1671" s="4"/>
      <c r="CX1671" s="4"/>
      <c r="CY1671" s="4"/>
      <c r="CZ1671" s="4"/>
      <c r="DA1671" s="4"/>
      <c r="DB1671" s="4"/>
      <c r="DC1671" s="4"/>
      <c r="DD1671" s="4"/>
      <c r="DE1671" s="4"/>
      <c r="DF1671" s="4"/>
      <c r="DG1671" s="4"/>
      <c r="DH1671" s="4"/>
      <c r="DI1671" s="4"/>
      <c r="DJ1671" s="4"/>
      <c r="DK1671" s="4"/>
      <c r="DL1671" s="4"/>
      <c r="DM1671" s="4"/>
      <c r="DN1671" s="4"/>
      <c r="DO1671" s="4"/>
      <c r="DP1671" s="4"/>
      <c r="DQ1671" s="4"/>
      <c r="DR1671" s="4"/>
      <c r="DS1671" s="4"/>
      <c r="DT1671" s="4"/>
      <c r="DU1671" s="4"/>
      <c r="DV1671" s="4"/>
      <c r="DW1671" s="4"/>
      <c r="DX1671" s="4"/>
      <c r="DY1671" s="4"/>
      <c r="DZ1671" s="4"/>
      <c r="EA1671" s="4"/>
      <c r="EB1671" s="4"/>
      <c r="EC1671" s="4"/>
      <c r="ED1671" s="4"/>
      <c r="EE1671" s="4"/>
      <c r="EF1671" s="4"/>
      <c r="EG1671" s="4"/>
      <c r="EH1671" s="4"/>
      <c r="EI1671" s="4"/>
      <c r="EJ1671" s="4"/>
      <c r="EK1671" s="4"/>
      <c r="EL1671" s="4"/>
      <c r="EM1671" s="4"/>
      <c r="EN1671" s="4"/>
      <c r="EO1671" s="4"/>
      <c r="EP1671" s="4"/>
      <c r="EQ1671" s="4"/>
      <c r="ER1671" s="4"/>
      <c r="ES1671" s="4"/>
      <c r="ET1671" s="4"/>
      <c r="EU1671" s="4"/>
      <c r="EV1671" s="4"/>
      <c r="EW1671" s="4"/>
      <c r="EX1671" s="4"/>
      <c r="EY1671" s="4"/>
      <c r="EZ1671" s="4"/>
      <c r="FA1671" s="4"/>
      <c r="FB1671" s="4"/>
      <c r="FC1671" s="4"/>
      <c r="FD1671" s="4"/>
      <c r="FE1671" s="4"/>
      <c r="FF1671" s="4"/>
      <c r="FG1671" s="4"/>
      <c r="FH1671" s="4"/>
      <c r="FI1671" s="4"/>
      <c r="FJ1671" s="4"/>
      <c r="FK1671" s="4">
        <v>50</v>
      </c>
      <c r="FL1671" s="4"/>
      <c r="FM1671" s="4"/>
      <c r="FN1671" s="4"/>
      <c r="FO1671" s="4"/>
      <c r="FP1671" s="4"/>
      <c r="FQ1671" s="4"/>
      <c r="FR1671" s="4"/>
      <c r="FS1671" s="4"/>
      <c r="FT1671" s="4"/>
      <c r="FU1671" s="4"/>
      <c r="FV1671" s="4"/>
      <c r="FW1671" s="4"/>
      <c r="FX1671" s="4"/>
      <c r="FY1671" s="4"/>
      <c r="FZ1671" s="4"/>
      <c r="GA1671" s="4"/>
      <c r="GB1671" s="4"/>
      <c r="GC1671" s="4"/>
      <c r="GD1671" s="4"/>
      <c r="GE1671" s="4"/>
      <c r="GF1671" s="4"/>
      <c r="GG1671" s="4"/>
      <c r="GH1671" s="4"/>
    </row>
    <row r="1672">
      <c r="A1672" s="2" t="s">
        <v>8604</v>
      </c>
      <c r="B1672" s="2" t="s">
        <v>719</v>
      </c>
      <c r="C1672" s="2" t="s">
        <v>730</v>
      </c>
      <c r="D1672" s="2" t="s">
        <v>1542</v>
      </c>
      <c r="E1672" s="2" t="s">
        <v>2060</v>
      </c>
      <c r="F1672" s="2" t="s">
        <v>8600</v>
      </c>
      <c r="G1672" s="2" t="s">
        <v>8600</v>
      </c>
      <c r="H1672" s="2" t="s">
        <v>8600</v>
      </c>
      <c r="I1672" s="2" t="s">
        <v>8605</v>
      </c>
      <c r="J1672" s="2" t="s">
        <v>711</v>
      </c>
      <c r="K1672" s="2" t="s">
        <v>1843</v>
      </c>
      <c r="L1672" s="3">
        <v>32</v>
      </c>
      <c r="M1672" s="3">
        <v>33.6</v>
      </c>
      <c r="N1672" s="3">
        <v>69.99</v>
      </c>
      <c r="O1672" s="2" t="s">
        <v>212</v>
      </c>
      <c r="P1672" s="2" t="s">
        <v>205</v>
      </c>
      <c r="Q1672" s="2" t="s">
        <v>206</v>
      </c>
      <c r="R1672" s="2" t="s">
        <v>200</v>
      </c>
      <c r="S1672" s="2" t="s">
        <v>200</v>
      </c>
      <c r="T1672" s="2" t="s">
        <v>200</v>
      </c>
      <c r="U1672" s="2" t="s">
        <v>270</v>
      </c>
      <c r="V1672" s="2" t="s">
        <v>724</v>
      </c>
      <c r="W1672" s="2" t="s">
        <v>4808</v>
      </c>
      <c r="X1672" s="2" t="s">
        <v>379</v>
      </c>
      <c r="Y1672" s="2" t="s">
        <v>8419</v>
      </c>
      <c r="Z1672" s="4"/>
      <c r="AA1672" s="4">
        <f>=ROUNDDOWN({0},0)</f>
      </c>
      <c r="AB1672" s="5">
        <v>5</v>
      </c>
      <c r="AC1672" s="2" t="s">
        <v>691</v>
      </c>
      <c r="AD1672" s="4">
        <v>100</v>
      </c>
      <c r="AE1672" s="4">
        <v>100</v>
      </c>
      <c r="AF1672" s="6">
        <v>63</v>
      </c>
      <c r="AG1672" s="6"/>
      <c r="AH1672" s="7">
        <v>0.6333</v>
      </c>
      <c r="AI1672" s="4"/>
      <c r="AJ1672" s="4">
        <f>=ROUNDDOWN({0},0)</f>
      </c>
      <c r="AK1672" s="5"/>
      <c r="AL1672" s="2" t="s">
        <v>200</v>
      </c>
      <c r="AM1672" s="4"/>
      <c r="AN1672" s="4"/>
      <c r="AO1672" s="7"/>
      <c r="AP1672" s="4"/>
      <c r="AQ1672" s="8"/>
      <c r="AR1672" s="4"/>
      <c r="AS1672" s="8"/>
      <c r="AT1672" s="7"/>
      <c r="AU1672" s="7"/>
      <c r="AV1672" s="4"/>
      <c r="AW1672" s="8"/>
      <c r="AX1672" s="4"/>
      <c r="AY1672" s="8"/>
      <c r="AZ1672" s="7"/>
      <c r="BA1672" s="7"/>
      <c r="BB1672" s="7"/>
      <c r="BC1672" s="4" t="s">
        <v>200</v>
      </c>
      <c r="BD1672" s="8" t="s">
        <v>200</v>
      </c>
      <c r="BE1672" s="4" t="s">
        <v>200</v>
      </c>
      <c r="BF1672" s="8" t="s">
        <v>200</v>
      </c>
      <c r="BG1672" s="7" t="s">
        <v>200</v>
      </c>
      <c r="BH1672" s="7" t="s">
        <v>200</v>
      </c>
      <c r="BI1672" s="7"/>
      <c r="BJ1672" s="4">
        <v>24</v>
      </c>
      <c r="BK1672" s="8">
        <v>878.93</v>
      </c>
      <c r="BL1672" s="2" t="s">
        <v>8606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8607</v>
      </c>
      <c r="BV1672" s="2" t="s">
        <v>200</v>
      </c>
      <c r="BW1672" s="2" t="s">
        <v>200</v>
      </c>
      <c r="BX1672" s="2" t="s">
        <v>264</v>
      </c>
      <c r="BY1672" s="2" t="s">
        <v>247</v>
      </c>
      <c r="BZ1672" s="2" t="s">
        <v>212</v>
      </c>
      <c r="CA1672" s="2" t="s">
        <v>8508</v>
      </c>
      <c r="CB1672" s="2" t="s">
        <v>2567</v>
      </c>
      <c r="CC1672" s="2" t="s">
        <v>213</v>
      </c>
      <c r="CD1672" s="2" t="s">
        <v>200</v>
      </c>
      <c r="CE1672" s="4"/>
      <c r="CF1672" s="4"/>
      <c r="CG1672" s="4"/>
      <c r="CH1672" s="4"/>
      <c r="CI1672" s="4"/>
      <c r="CJ1672" s="4"/>
      <c r="CK1672" s="4"/>
      <c r="CL1672" s="4"/>
      <c r="CM1672" s="4"/>
      <c r="CN1672" s="4"/>
      <c r="CO1672" s="4"/>
      <c r="CP1672" s="4"/>
      <c r="CQ1672" s="4"/>
      <c r="CR1672" s="4"/>
      <c r="CS1672" s="4"/>
      <c r="CT1672" s="4"/>
      <c r="CU1672" s="4"/>
      <c r="CV1672" s="4"/>
      <c r="CW1672" s="4"/>
      <c r="CX1672" s="4"/>
      <c r="CY1672" s="4"/>
      <c r="CZ1672" s="4"/>
      <c r="DA1672" s="4"/>
      <c r="DB1672" s="4"/>
      <c r="DC1672" s="4"/>
      <c r="DD1672" s="4"/>
      <c r="DE1672" s="4"/>
      <c r="DF1672" s="4"/>
      <c r="DG1672" s="4"/>
      <c r="DH1672" s="4"/>
      <c r="DI1672" s="4"/>
      <c r="DJ1672" s="4"/>
      <c r="DK1672" s="4"/>
      <c r="DL1672" s="4"/>
      <c r="DM1672" s="4"/>
      <c r="DN1672" s="4"/>
      <c r="DO1672" s="4"/>
      <c r="DP1672" s="4"/>
      <c r="DQ1672" s="4"/>
      <c r="DR1672" s="4"/>
      <c r="DS1672" s="4"/>
      <c r="DT1672" s="4"/>
      <c r="DU1672" s="4"/>
      <c r="DV1672" s="4"/>
      <c r="DW1672" s="4"/>
      <c r="DX1672" s="4"/>
      <c r="DY1672" s="4"/>
      <c r="DZ1672" s="4"/>
      <c r="EA1672" s="4"/>
      <c r="EB1672" s="4"/>
      <c r="EC1672" s="4"/>
      <c r="ED1672" s="4"/>
      <c r="EE1672" s="4"/>
      <c r="EF1672" s="4"/>
      <c r="EG1672" s="4"/>
      <c r="EH1672" s="4"/>
      <c r="EI1672" s="4"/>
      <c r="EJ1672" s="4"/>
      <c r="EK1672" s="4"/>
      <c r="EL1672" s="4"/>
      <c r="EM1672" s="4"/>
      <c r="EN1672" s="4"/>
      <c r="EO1672" s="4"/>
      <c r="EP1672" s="4"/>
      <c r="EQ1672" s="4"/>
      <c r="ER1672" s="4"/>
      <c r="ES1672" s="4"/>
      <c r="ET1672" s="4"/>
      <c r="EU1672" s="4"/>
      <c r="EV1672" s="4"/>
      <c r="EW1672" s="4"/>
      <c r="EX1672" s="4"/>
      <c r="EY1672" s="4"/>
      <c r="EZ1672" s="4"/>
      <c r="FA1672" s="4"/>
      <c r="FB1672" s="4"/>
      <c r="FC1672" s="4"/>
      <c r="FD1672" s="4"/>
      <c r="FE1672" s="4"/>
      <c r="FF1672" s="4">
        <v>100</v>
      </c>
      <c r="FG1672" s="4"/>
      <c r="FH1672" s="4"/>
      <c r="FI1672" s="4"/>
      <c r="FJ1672" s="4"/>
      <c r="FK1672" s="4"/>
      <c r="FL1672" s="4"/>
      <c r="FM1672" s="4"/>
      <c r="FN1672" s="4"/>
      <c r="FO1672" s="4"/>
      <c r="FP1672" s="4"/>
      <c r="FQ1672" s="4"/>
      <c r="FR1672" s="4"/>
      <c r="FS1672" s="4"/>
      <c r="FT1672" s="4"/>
      <c r="FU1672" s="4"/>
      <c r="FV1672" s="4"/>
      <c r="FW1672" s="4"/>
      <c r="FX1672" s="4"/>
      <c r="FY1672" s="4"/>
      <c r="FZ1672" s="4"/>
      <c r="GA1672" s="4"/>
      <c r="GB1672" s="4"/>
      <c r="GC1672" s="4"/>
      <c r="GD1672" s="4"/>
      <c r="GE1672" s="4"/>
      <c r="GF1672" s="4"/>
      <c r="GG1672" s="4"/>
      <c r="GH1672" s="4"/>
    </row>
    <row r="1673">
      <c r="A1673" s="2" t="s">
        <v>8608</v>
      </c>
      <c r="B1673" s="2" t="s">
        <v>250</v>
      </c>
      <c r="C1673" s="2" t="s">
        <v>231</v>
      </c>
      <c r="D1673" s="2" t="s">
        <v>2171</v>
      </c>
      <c r="E1673" s="2" t="s">
        <v>8609</v>
      </c>
      <c r="F1673" s="2" t="s">
        <v>8610</v>
      </c>
      <c r="G1673" s="2" t="s">
        <v>8610</v>
      </c>
      <c r="H1673" s="2" t="s">
        <v>8610</v>
      </c>
      <c r="I1673" s="2" t="s">
        <v>8611</v>
      </c>
      <c r="J1673" s="2" t="s">
        <v>302</v>
      </c>
      <c r="K1673" s="2" t="s">
        <v>2163</v>
      </c>
      <c r="L1673" s="3">
        <v>15</v>
      </c>
      <c r="M1673" s="3">
        <v>15.75</v>
      </c>
      <c r="N1673" s="3">
        <v>34.99</v>
      </c>
      <c r="O1673" s="2" t="s">
        <v>212</v>
      </c>
      <c r="P1673" s="2" t="s">
        <v>205</v>
      </c>
      <c r="Q1673" s="2" t="s">
        <v>206</v>
      </c>
      <c r="R1673" s="2" t="s">
        <v>200</v>
      </c>
      <c r="S1673" s="2" t="s">
        <v>8612</v>
      </c>
      <c r="T1673" s="2" t="s">
        <v>378</v>
      </c>
      <c r="U1673" s="2" t="s">
        <v>270</v>
      </c>
      <c r="V1673" s="2" t="s">
        <v>208</v>
      </c>
      <c r="W1673" s="2" t="s">
        <v>241</v>
      </c>
      <c r="X1673" s="2" t="s">
        <v>242</v>
      </c>
      <c r="Y1673" s="2" t="s">
        <v>5950</v>
      </c>
      <c r="Z1673" s="4">
        <v>82</v>
      </c>
      <c r="AA1673" s="4">
        <f>=ROUNDDOWN(13.6666666666667,0)</f>
      </c>
      <c r="AB1673" s="5">
        <v>6</v>
      </c>
      <c r="AC1673" s="2" t="s">
        <v>1088</v>
      </c>
      <c r="AD1673" s="4">
        <v>100</v>
      </c>
      <c r="AE1673" s="4">
        <v>100</v>
      </c>
      <c r="AF1673" s="6">
        <v>65</v>
      </c>
      <c r="AG1673" s="6"/>
      <c r="AH1673" s="7">
        <v>1</v>
      </c>
      <c r="AI1673" s="4"/>
      <c r="AJ1673" s="4">
        <f>=ROUNDDOWN({0},0)</f>
      </c>
      <c r="AK1673" s="5"/>
      <c r="AL1673" s="2" t="s">
        <v>200</v>
      </c>
      <c r="AM1673" s="4"/>
      <c r="AN1673" s="4"/>
      <c r="AO1673" s="7"/>
      <c r="AP1673" s="4"/>
      <c r="AQ1673" s="8"/>
      <c r="AR1673" s="4"/>
      <c r="AS1673" s="8"/>
      <c r="AT1673" s="7"/>
      <c r="AU1673" s="7"/>
      <c r="AV1673" s="4" t="s">
        <v>200</v>
      </c>
      <c r="AW1673" s="8" t="s">
        <v>200</v>
      </c>
      <c r="AX1673" s="4" t="s">
        <v>200</v>
      </c>
      <c r="AY1673" s="8" t="s">
        <v>200</v>
      </c>
      <c r="AZ1673" s="7" t="s">
        <v>200</v>
      </c>
      <c r="BA1673" s="7" t="s">
        <v>200</v>
      </c>
      <c r="BB1673" s="7"/>
      <c r="BC1673" s="4" t="s">
        <v>200</v>
      </c>
      <c r="BD1673" s="8" t="s">
        <v>200</v>
      </c>
      <c r="BE1673" s="4" t="s">
        <v>200</v>
      </c>
      <c r="BF1673" s="8" t="s">
        <v>200</v>
      </c>
      <c r="BG1673" s="7" t="s">
        <v>200</v>
      </c>
      <c r="BH1673" s="7" t="s">
        <v>200</v>
      </c>
      <c r="BI1673" s="7"/>
      <c r="BJ1673" s="4">
        <v>46</v>
      </c>
      <c r="BK1673" s="8">
        <v>771.43</v>
      </c>
      <c r="BL1673" s="2" t="s">
        <v>1184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8613</v>
      </c>
      <c r="BV1673" s="2" t="s">
        <v>200</v>
      </c>
      <c r="BW1673" s="2" t="s">
        <v>200</v>
      </c>
      <c r="BX1673" s="2" t="s">
        <v>264</v>
      </c>
      <c r="BY1673" s="2" t="s">
        <v>247</v>
      </c>
      <c r="BZ1673" s="2" t="s">
        <v>212</v>
      </c>
      <c r="CA1673" s="2" t="s">
        <v>2993</v>
      </c>
      <c r="CB1673" s="2" t="s">
        <v>2438</v>
      </c>
      <c r="CC1673" s="2" t="s">
        <v>213</v>
      </c>
      <c r="CD1673" s="2" t="s">
        <v>200</v>
      </c>
      <c r="CE1673" s="4">
        <v>82</v>
      </c>
      <c r="CF1673" s="4"/>
      <c r="CG1673" s="4"/>
      <c r="CH1673" s="4"/>
      <c r="CI1673" s="4"/>
      <c r="CJ1673" s="4"/>
      <c r="CK1673" s="4"/>
      <c r="CL1673" s="4"/>
      <c r="CM1673" s="4"/>
      <c r="CN1673" s="4"/>
      <c r="CO1673" s="4"/>
      <c r="CP1673" s="4"/>
      <c r="CQ1673" s="4"/>
      <c r="CR1673" s="4"/>
      <c r="CS1673" s="4"/>
      <c r="CT1673" s="4"/>
      <c r="CU1673" s="4"/>
      <c r="CV1673" s="4"/>
      <c r="CW1673" s="4"/>
      <c r="CX1673" s="4"/>
      <c r="CY1673" s="4"/>
      <c r="CZ1673" s="4"/>
      <c r="DA1673" s="4"/>
      <c r="DB1673" s="4"/>
      <c r="DC1673" s="4"/>
      <c r="DD1673" s="4"/>
      <c r="DE1673" s="4"/>
      <c r="DF1673" s="4"/>
      <c r="DG1673" s="4"/>
      <c r="DH1673" s="4"/>
      <c r="DI1673" s="4"/>
      <c r="DJ1673" s="4"/>
      <c r="DK1673" s="4"/>
      <c r="DL1673" s="4"/>
      <c r="DM1673" s="4"/>
      <c r="DN1673" s="4"/>
      <c r="DO1673" s="4"/>
      <c r="DP1673" s="4"/>
      <c r="DQ1673" s="4"/>
      <c r="DR1673" s="4"/>
      <c r="DS1673" s="4"/>
      <c r="DT1673" s="4"/>
      <c r="DU1673" s="4"/>
      <c r="DV1673" s="4"/>
      <c r="DW1673" s="4"/>
      <c r="DX1673" s="4"/>
      <c r="DY1673" s="4"/>
      <c r="DZ1673" s="4"/>
      <c r="EA1673" s="4"/>
      <c r="EB1673" s="4"/>
      <c r="EC1673" s="4"/>
      <c r="ED1673" s="4"/>
      <c r="EE1673" s="4"/>
      <c r="EF1673" s="4"/>
      <c r="EG1673" s="4"/>
      <c r="EH1673" s="4"/>
      <c r="EI1673" s="4"/>
      <c r="EJ1673" s="4"/>
      <c r="EK1673" s="4"/>
      <c r="EL1673" s="4"/>
      <c r="EM1673" s="4"/>
      <c r="EN1673" s="4"/>
      <c r="EO1673" s="4"/>
      <c r="EP1673" s="4"/>
      <c r="EQ1673" s="4"/>
      <c r="ER1673" s="4"/>
      <c r="ES1673" s="4"/>
      <c r="ET1673" s="4"/>
      <c r="EU1673" s="4"/>
      <c r="EV1673" s="4"/>
      <c r="EW1673" s="4"/>
      <c r="EX1673" s="4"/>
      <c r="EY1673" s="4"/>
      <c r="EZ1673" s="4"/>
      <c r="FA1673" s="4"/>
      <c r="FB1673" s="4"/>
      <c r="FC1673" s="4">
        <v>100</v>
      </c>
      <c r="FD1673" s="4"/>
      <c r="FE1673" s="4"/>
      <c r="FF1673" s="4"/>
      <c r="FG1673" s="4"/>
      <c r="FH1673" s="4"/>
      <c r="FI1673" s="4"/>
      <c r="FJ1673" s="4"/>
      <c r="FK1673" s="4"/>
      <c r="FL1673" s="4"/>
      <c r="FM1673" s="4"/>
      <c r="FN1673" s="4"/>
      <c r="FO1673" s="4"/>
      <c r="FP1673" s="4"/>
      <c r="FQ1673" s="4"/>
      <c r="FR1673" s="4"/>
      <c r="FS1673" s="4"/>
      <c r="FT1673" s="4"/>
      <c r="FU1673" s="4"/>
      <c r="FV1673" s="4"/>
      <c r="FW1673" s="4"/>
      <c r="FX1673" s="4"/>
      <c r="FY1673" s="4"/>
      <c r="FZ1673" s="4"/>
      <c r="GA1673" s="4"/>
      <c r="GB1673" s="4"/>
      <c r="GC1673" s="4"/>
      <c r="GD1673" s="4"/>
      <c r="GE1673" s="4"/>
      <c r="GF1673" s="4"/>
      <c r="GG1673" s="4"/>
      <c r="GH1673" s="4"/>
    </row>
    <row r="1674">
      <c r="A1674" s="2" t="s">
        <v>8614</v>
      </c>
      <c r="B1674" s="2" t="s">
        <v>250</v>
      </c>
      <c r="C1674" s="2" t="s">
        <v>231</v>
      </c>
      <c r="D1674" s="2" t="s">
        <v>2171</v>
      </c>
      <c r="E1674" s="2" t="s">
        <v>8609</v>
      </c>
      <c r="F1674" s="2" t="s">
        <v>8610</v>
      </c>
      <c r="G1674" s="2" t="s">
        <v>8610</v>
      </c>
      <c r="H1674" s="2" t="s">
        <v>8610</v>
      </c>
      <c r="I1674" s="2" t="s">
        <v>8611</v>
      </c>
      <c r="J1674" s="2" t="s">
        <v>6138</v>
      </c>
      <c r="K1674" s="2" t="s">
        <v>2163</v>
      </c>
      <c r="L1674" s="3">
        <v>13.71</v>
      </c>
      <c r="M1674" s="3">
        <v>14.4</v>
      </c>
      <c r="N1674" s="3">
        <v>31.99</v>
      </c>
      <c r="O1674" s="2" t="s">
        <v>212</v>
      </c>
      <c r="P1674" s="2" t="s">
        <v>205</v>
      </c>
      <c r="Q1674" s="2" t="s">
        <v>206</v>
      </c>
      <c r="R1674" s="2" t="s">
        <v>200</v>
      </c>
      <c r="S1674" s="2" t="s">
        <v>8612</v>
      </c>
      <c r="T1674" s="2" t="s">
        <v>378</v>
      </c>
      <c r="U1674" s="2" t="s">
        <v>270</v>
      </c>
      <c r="V1674" s="2" t="s">
        <v>208</v>
      </c>
      <c r="W1674" s="2" t="s">
        <v>241</v>
      </c>
      <c r="X1674" s="2" t="s">
        <v>242</v>
      </c>
      <c r="Y1674" s="2" t="s">
        <v>5950</v>
      </c>
      <c r="Z1674" s="4">
        <v>23</v>
      </c>
      <c r="AA1674" s="4">
        <f>=ROUNDDOWN(5.75,0)</f>
      </c>
      <c r="AB1674" s="5">
        <v>4</v>
      </c>
      <c r="AC1674" s="2" t="s">
        <v>1088</v>
      </c>
      <c r="AD1674" s="4">
        <v>130</v>
      </c>
      <c r="AE1674" s="4">
        <v>130</v>
      </c>
      <c r="AF1674" s="6">
        <v>65</v>
      </c>
      <c r="AG1674" s="6"/>
      <c r="AH1674" s="7">
        <v>1</v>
      </c>
      <c r="AI1674" s="4"/>
      <c r="AJ1674" s="4">
        <f>=ROUNDDOWN({0},0)</f>
      </c>
      <c r="AK1674" s="5"/>
      <c r="AL1674" s="2" t="s">
        <v>200</v>
      </c>
      <c r="AM1674" s="4"/>
      <c r="AN1674" s="4"/>
      <c r="AO1674" s="7"/>
      <c r="AP1674" s="4"/>
      <c r="AQ1674" s="8"/>
      <c r="AR1674" s="4"/>
      <c r="AS1674" s="8"/>
      <c r="AT1674" s="7"/>
      <c r="AU1674" s="7"/>
      <c r="AV1674" s="4" t="s">
        <v>200</v>
      </c>
      <c r="AW1674" s="8" t="s">
        <v>200</v>
      </c>
      <c r="AX1674" s="4" t="s">
        <v>200</v>
      </c>
      <c r="AY1674" s="8" t="s">
        <v>200</v>
      </c>
      <c r="AZ1674" s="7" t="s">
        <v>200</v>
      </c>
      <c r="BA1674" s="7" t="s">
        <v>200</v>
      </c>
      <c r="BB1674" s="7"/>
      <c r="BC1674" s="4" t="s">
        <v>200</v>
      </c>
      <c r="BD1674" s="8" t="s">
        <v>200</v>
      </c>
      <c r="BE1674" s="4" t="s">
        <v>200</v>
      </c>
      <c r="BF1674" s="8" t="s">
        <v>200</v>
      </c>
      <c r="BG1674" s="7" t="s">
        <v>200</v>
      </c>
      <c r="BH1674" s="7" t="s">
        <v>200</v>
      </c>
      <c r="BI1674" s="7"/>
      <c r="BJ1674" s="4">
        <v>41</v>
      </c>
      <c r="BK1674" s="8">
        <v>631.63</v>
      </c>
      <c r="BL1674" s="2" t="s">
        <v>8615</v>
      </c>
      <c r="BM1674" s="7"/>
      <c r="BN1674" s="7"/>
      <c r="BO1674" s="4"/>
      <c r="BP1674" s="8"/>
      <c r="BQ1674" s="4"/>
      <c r="BR1674" s="8"/>
      <c r="BS1674" s="7"/>
      <c r="BT1674" s="7"/>
      <c r="BU1674" s="2" t="s">
        <v>8616</v>
      </c>
      <c r="BV1674" s="2" t="s">
        <v>200</v>
      </c>
      <c r="BW1674" s="2" t="s">
        <v>200</v>
      </c>
      <c r="BX1674" s="2" t="s">
        <v>264</v>
      </c>
      <c r="BY1674" s="2" t="s">
        <v>247</v>
      </c>
      <c r="BZ1674" s="2" t="s">
        <v>212</v>
      </c>
      <c r="CA1674" s="2" t="s">
        <v>2993</v>
      </c>
      <c r="CB1674" s="2" t="s">
        <v>7412</v>
      </c>
      <c r="CC1674" s="2" t="s">
        <v>213</v>
      </c>
      <c r="CD1674" s="2" t="s">
        <v>200</v>
      </c>
      <c r="CE1674" s="4">
        <v>23</v>
      </c>
      <c r="CF1674" s="4"/>
      <c r="CG1674" s="4"/>
      <c r="CH1674" s="4"/>
      <c r="CI1674" s="4"/>
      <c r="CJ1674" s="4"/>
      <c r="CK1674" s="4"/>
      <c r="CL1674" s="4"/>
      <c r="CM1674" s="4"/>
      <c r="CN1674" s="4"/>
      <c r="CO1674" s="4"/>
      <c r="CP1674" s="4"/>
      <c r="CQ1674" s="4"/>
      <c r="CR1674" s="4"/>
      <c r="CS1674" s="4"/>
      <c r="CT1674" s="4"/>
      <c r="CU1674" s="4"/>
      <c r="CV1674" s="4"/>
      <c r="CW1674" s="4"/>
      <c r="CX1674" s="4"/>
      <c r="CY1674" s="4"/>
      <c r="CZ1674" s="4"/>
      <c r="DA1674" s="4"/>
      <c r="DB1674" s="4"/>
      <c r="DC1674" s="4"/>
      <c r="DD1674" s="4"/>
      <c r="DE1674" s="4"/>
      <c r="DF1674" s="4"/>
      <c r="DG1674" s="4"/>
      <c r="DH1674" s="4"/>
      <c r="DI1674" s="4"/>
      <c r="DJ1674" s="4"/>
      <c r="DK1674" s="4"/>
      <c r="DL1674" s="4"/>
      <c r="DM1674" s="4"/>
      <c r="DN1674" s="4"/>
      <c r="DO1674" s="4"/>
      <c r="DP1674" s="4"/>
      <c r="DQ1674" s="4"/>
      <c r="DR1674" s="4"/>
      <c r="DS1674" s="4"/>
      <c r="DT1674" s="4"/>
      <c r="DU1674" s="4"/>
      <c r="DV1674" s="4"/>
      <c r="DW1674" s="4"/>
      <c r="DX1674" s="4"/>
      <c r="DY1674" s="4"/>
      <c r="DZ1674" s="4"/>
      <c r="EA1674" s="4"/>
      <c r="EB1674" s="4"/>
      <c r="EC1674" s="4"/>
      <c r="ED1674" s="4"/>
      <c r="EE1674" s="4"/>
      <c r="EF1674" s="4"/>
      <c r="EG1674" s="4"/>
      <c r="EH1674" s="4"/>
      <c r="EI1674" s="4"/>
      <c r="EJ1674" s="4"/>
      <c r="EK1674" s="4"/>
      <c r="EL1674" s="4"/>
      <c r="EM1674" s="4"/>
      <c r="EN1674" s="4"/>
      <c r="EO1674" s="4"/>
      <c r="EP1674" s="4"/>
      <c r="EQ1674" s="4"/>
      <c r="ER1674" s="4"/>
      <c r="ES1674" s="4"/>
      <c r="ET1674" s="4"/>
      <c r="EU1674" s="4"/>
      <c r="EV1674" s="4"/>
      <c r="EW1674" s="4"/>
      <c r="EX1674" s="4"/>
      <c r="EY1674" s="4"/>
      <c r="EZ1674" s="4"/>
      <c r="FA1674" s="4"/>
      <c r="FB1674" s="4"/>
      <c r="FC1674" s="4">
        <v>130</v>
      </c>
      <c r="FD1674" s="4"/>
      <c r="FE1674" s="4"/>
      <c r="FF1674" s="4"/>
      <c r="FG1674" s="4"/>
      <c r="FH1674" s="4"/>
      <c r="FI1674" s="4"/>
      <c r="FJ1674" s="4"/>
      <c r="FK1674" s="4"/>
      <c r="FL1674" s="4"/>
      <c r="FM1674" s="4"/>
      <c r="FN1674" s="4"/>
      <c r="FO1674" s="4"/>
      <c r="FP1674" s="4"/>
      <c r="FQ1674" s="4"/>
      <c r="FR1674" s="4"/>
      <c r="FS1674" s="4"/>
      <c r="FT1674" s="4"/>
      <c r="FU1674" s="4"/>
      <c r="FV1674" s="4"/>
      <c r="FW1674" s="4"/>
      <c r="FX1674" s="4"/>
      <c r="FY1674" s="4"/>
      <c r="FZ1674" s="4"/>
      <c r="GA1674" s="4"/>
      <c r="GB1674" s="4"/>
      <c r="GC1674" s="4"/>
      <c r="GD1674" s="4"/>
      <c r="GE1674" s="4"/>
      <c r="GF1674" s="4"/>
      <c r="GG1674" s="4"/>
      <c r="GH1674" s="4"/>
    </row>
    <row r="1675">
      <c r="A1675" s="2" t="s">
        <v>8617</v>
      </c>
      <c r="B1675" s="2" t="s">
        <v>719</v>
      </c>
      <c r="C1675" s="2" t="s">
        <v>231</v>
      </c>
      <c r="D1675" s="2" t="s">
        <v>1554</v>
      </c>
      <c r="E1675" s="2" t="s">
        <v>1555</v>
      </c>
      <c r="F1675" s="2" t="s">
        <v>8618</v>
      </c>
      <c r="G1675" s="2" t="s">
        <v>8618</v>
      </c>
      <c r="H1675" s="2" t="s">
        <v>8618</v>
      </c>
      <c r="I1675" s="2" t="s">
        <v>8619</v>
      </c>
      <c r="J1675" s="2" t="s">
        <v>711</v>
      </c>
      <c r="K1675" s="2" t="s">
        <v>221</v>
      </c>
      <c r="L1675" s="3">
        <v>68.02</v>
      </c>
      <c r="M1675" s="3">
        <v>71.42</v>
      </c>
      <c r="N1675" s="3">
        <v>146.99</v>
      </c>
      <c r="O1675" s="2" t="s">
        <v>417</v>
      </c>
      <c r="P1675" s="2" t="s">
        <v>285</v>
      </c>
      <c r="Q1675" s="2" t="s">
        <v>206</v>
      </c>
      <c r="R1675" s="2" t="s">
        <v>200</v>
      </c>
      <c r="S1675" s="2" t="s">
        <v>8620</v>
      </c>
      <c r="T1675" s="2" t="s">
        <v>200</v>
      </c>
      <c r="U1675" s="2" t="s">
        <v>454</v>
      </c>
      <c r="V1675" s="2" t="s">
        <v>724</v>
      </c>
      <c r="W1675" s="2" t="s">
        <v>242</v>
      </c>
      <c r="X1675" s="2" t="s">
        <v>8621</v>
      </c>
      <c r="Y1675" s="2" t="s">
        <v>8622</v>
      </c>
      <c r="Z1675" s="4">
        <v>7</v>
      </c>
      <c r="AA1675" s="4">
        <f>=ROUNDDOWN(4.375,0)</f>
      </c>
      <c r="AB1675" s="5">
        <v>1.6</v>
      </c>
      <c r="AC1675" s="2" t="s">
        <v>200</v>
      </c>
      <c r="AD1675" s="4"/>
      <c r="AE1675" s="4"/>
      <c r="AF1675" s="6">
        <v>63</v>
      </c>
      <c r="AG1675" s="6"/>
      <c r="AH1675" s="7">
        <v>1</v>
      </c>
      <c r="AI1675" s="4"/>
      <c r="AJ1675" s="4">
        <f>=ROUNDDOWN({0},0)</f>
      </c>
      <c r="AK1675" s="5"/>
      <c r="AL1675" s="2" t="s">
        <v>200</v>
      </c>
      <c r="AM1675" s="4"/>
      <c r="AN1675" s="4"/>
      <c r="AO1675" s="7"/>
      <c r="AP1675" s="4"/>
      <c r="AQ1675" s="8"/>
      <c r="AR1675" s="4"/>
      <c r="AS1675" s="8"/>
      <c r="AT1675" s="7"/>
      <c r="AU1675" s="7"/>
      <c r="AV1675" s="4"/>
      <c r="AW1675" s="8"/>
      <c r="AX1675" s="4"/>
      <c r="AY1675" s="8"/>
      <c r="AZ1675" s="7"/>
      <c r="BA1675" s="7"/>
      <c r="BB1675" s="7"/>
      <c r="BC1675" s="4"/>
      <c r="BD1675" s="8"/>
      <c r="BE1675" s="4"/>
      <c r="BF1675" s="8"/>
      <c r="BG1675" s="7"/>
      <c r="BH1675" s="7"/>
      <c r="BI1675" s="7"/>
      <c r="BJ1675" s="4">
        <v>2</v>
      </c>
      <c r="BK1675" s="8">
        <v>124.42</v>
      </c>
      <c r="BL1675" s="2" t="s">
        <v>8623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8624</v>
      </c>
      <c r="BV1675" s="2" t="s">
        <v>200</v>
      </c>
      <c r="BW1675" s="2" t="s">
        <v>200</v>
      </c>
      <c r="BX1675" s="2" t="s">
        <v>289</v>
      </c>
      <c r="BY1675" s="2" t="s">
        <v>247</v>
      </c>
      <c r="BZ1675" s="2" t="s">
        <v>212</v>
      </c>
      <c r="CA1675" s="2" t="s">
        <v>8625</v>
      </c>
      <c r="CB1675" s="2" t="s">
        <v>7292</v>
      </c>
      <c r="CC1675" s="2" t="s">
        <v>213</v>
      </c>
      <c r="CD1675" s="2" t="s">
        <v>200</v>
      </c>
      <c r="CE1675" s="4"/>
      <c r="CF1675" s="4">
        <v>7</v>
      </c>
      <c r="CG1675" s="4"/>
      <c r="CH1675" s="4"/>
      <c r="CI1675" s="4"/>
      <c r="CJ1675" s="4"/>
      <c r="CK1675" s="4"/>
      <c r="CL1675" s="4"/>
      <c r="CM1675" s="4"/>
      <c r="CN1675" s="4"/>
      <c r="CO1675" s="4"/>
      <c r="CP1675" s="4"/>
      <c r="CQ1675" s="4"/>
      <c r="CR1675" s="4"/>
      <c r="CS1675" s="4"/>
      <c r="CT1675" s="4"/>
      <c r="CU1675" s="4"/>
      <c r="CV1675" s="4"/>
      <c r="CW1675" s="4"/>
      <c r="CX1675" s="4"/>
      <c r="CY1675" s="4"/>
      <c r="CZ1675" s="4"/>
      <c r="DA1675" s="4"/>
      <c r="DB1675" s="4"/>
      <c r="DC1675" s="4"/>
      <c r="DD1675" s="4"/>
      <c r="DE1675" s="4"/>
      <c r="DF1675" s="4"/>
      <c r="DG1675" s="4"/>
      <c r="DH1675" s="4"/>
      <c r="DI1675" s="4"/>
      <c r="DJ1675" s="4"/>
      <c r="DK1675" s="4"/>
      <c r="DL1675" s="4"/>
      <c r="DM1675" s="4"/>
      <c r="DN1675" s="4"/>
      <c r="DO1675" s="4"/>
      <c r="DP1675" s="4"/>
      <c r="DQ1675" s="4"/>
      <c r="DR1675" s="4"/>
      <c r="DS1675" s="4"/>
      <c r="DT1675" s="4"/>
      <c r="DU1675" s="4"/>
      <c r="DV1675" s="4"/>
      <c r="DW1675" s="4"/>
      <c r="DX1675" s="4"/>
      <c r="DY1675" s="4"/>
      <c r="DZ1675" s="4"/>
      <c r="EA1675" s="4"/>
      <c r="EB1675" s="4"/>
      <c r="EC1675" s="4"/>
      <c r="ED1675" s="4"/>
      <c r="EE1675" s="4"/>
      <c r="EF1675" s="4"/>
      <c r="EG1675" s="4"/>
      <c r="EH1675" s="4"/>
      <c r="EI1675" s="4"/>
      <c r="EJ1675" s="4"/>
      <c r="EK1675" s="4"/>
      <c r="EL1675" s="4"/>
      <c r="EM1675" s="4"/>
      <c r="EN1675" s="4"/>
      <c r="EO1675" s="4"/>
      <c r="EP1675" s="4"/>
      <c r="EQ1675" s="4"/>
      <c r="ER1675" s="4"/>
      <c r="ES1675" s="4"/>
      <c r="ET1675" s="4"/>
      <c r="EU1675" s="4"/>
      <c r="EV1675" s="4"/>
      <c r="EW1675" s="4"/>
      <c r="EX1675" s="4"/>
      <c r="EY1675" s="4"/>
      <c r="EZ1675" s="4"/>
      <c r="FA1675" s="4"/>
      <c r="FB1675" s="4"/>
      <c r="FC1675" s="4"/>
      <c r="FD1675" s="4"/>
      <c r="FE1675" s="4"/>
      <c r="FF1675" s="4"/>
      <c r="FG1675" s="4"/>
      <c r="FH1675" s="4"/>
      <c r="FI1675" s="4"/>
      <c r="FJ1675" s="4"/>
      <c r="FK1675" s="4"/>
      <c r="FL1675" s="4"/>
      <c r="FM1675" s="4"/>
      <c r="FN1675" s="4"/>
      <c r="FO1675" s="4"/>
      <c r="FP1675" s="4"/>
      <c r="FQ1675" s="4"/>
      <c r="FR1675" s="4"/>
      <c r="FS1675" s="4"/>
      <c r="FT1675" s="4"/>
      <c r="FU1675" s="4"/>
      <c r="FV1675" s="4"/>
      <c r="FW1675" s="4"/>
      <c r="FX1675" s="4"/>
      <c r="FY1675" s="4"/>
      <c r="FZ1675" s="4"/>
      <c r="GA1675" s="4"/>
      <c r="GB1675" s="4"/>
      <c r="GC1675" s="4"/>
      <c r="GD1675" s="4"/>
      <c r="GE1675" s="4"/>
      <c r="GF1675" s="4"/>
      <c r="GG1675" s="4"/>
      <c r="GH1675" s="4"/>
    </row>
    <row r="1676">
      <c r="A1676" s="2" t="s">
        <v>8626</v>
      </c>
      <c r="B1676" s="2" t="s">
        <v>719</v>
      </c>
      <c r="C1676" s="2" t="s">
        <v>877</v>
      </c>
      <c r="D1676" s="2" t="s">
        <v>1542</v>
      </c>
      <c r="E1676" s="2" t="s">
        <v>5927</v>
      </c>
      <c r="F1676" s="2" t="s">
        <v>8627</v>
      </c>
      <c r="G1676" s="2" t="s">
        <v>8627</v>
      </c>
      <c r="H1676" s="2" t="s">
        <v>8627</v>
      </c>
      <c r="I1676" s="2" t="s">
        <v>8628</v>
      </c>
      <c r="J1676" s="2" t="s">
        <v>711</v>
      </c>
      <c r="K1676" s="2" t="s">
        <v>733</v>
      </c>
      <c r="L1676" s="3">
        <v>9.61</v>
      </c>
      <c r="M1676" s="3">
        <v>10.09</v>
      </c>
      <c r="N1676" s="3">
        <v>29.99</v>
      </c>
      <c r="O1676" s="2" t="s">
        <v>417</v>
      </c>
      <c r="P1676" s="2" t="s">
        <v>285</v>
      </c>
      <c r="Q1676" s="2" t="s">
        <v>206</v>
      </c>
      <c r="R1676" s="2" t="s">
        <v>200</v>
      </c>
      <c r="S1676" s="2" t="s">
        <v>8629</v>
      </c>
      <c r="T1676" s="2" t="s">
        <v>200</v>
      </c>
      <c r="U1676" s="2" t="s">
        <v>454</v>
      </c>
      <c r="V1676" s="2" t="s">
        <v>940</v>
      </c>
      <c r="W1676" s="2" t="s">
        <v>241</v>
      </c>
      <c r="X1676" s="2" t="s">
        <v>200</v>
      </c>
      <c r="Y1676" s="2" t="s">
        <v>261</v>
      </c>
      <c r="Z1676" s="4">
        <v>26</v>
      </c>
      <c r="AA1676" s="4">
        <f>=ROUNDDOWN(5.77777777777778,0)</f>
      </c>
      <c r="AB1676" s="5">
        <v>4.5</v>
      </c>
      <c r="AC1676" s="2" t="s">
        <v>200</v>
      </c>
      <c r="AD1676" s="4"/>
      <c r="AE1676" s="4"/>
      <c r="AF1676" s="6">
        <v>63</v>
      </c>
      <c r="AG1676" s="6"/>
      <c r="AH1676" s="7">
        <v>1</v>
      </c>
      <c r="AI1676" s="4"/>
      <c r="AJ1676" s="4">
        <f>=ROUNDDOWN({0},0)</f>
      </c>
      <c r="AK1676" s="5"/>
      <c r="AL1676" s="2" t="s">
        <v>200</v>
      </c>
      <c r="AM1676" s="4"/>
      <c r="AN1676" s="4"/>
      <c r="AO1676" s="7"/>
      <c r="AP1676" s="4"/>
      <c r="AQ1676" s="8"/>
      <c r="AR1676" s="4"/>
      <c r="AS1676" s="8"/>
      <c r="AT1676" s="7"/>
      <c r="AU1676" s="7"/>
      <c r="AV1676" s="4"/>
      <c r="AW1676" s="8"/>
      <c r="AX1676" s="4"/>
      <c r="AY1676" s="8"/>
      <c r="AZ1676" s="7"/>
      <c r="BA1676" s="7"/>
      <c r="BB1676" s="7"/>
      <c r="BC1676" s="4"/>
      <c r="BD1676" s="8"/>
      <c r="BE1676" s="4"/>
      <c r="BF1676" s="8"/>
      <c r="BG1676" s="7"/>
      <c r="BH1676" s="7"/>
      <c r="BI1676" s="7"/>
      <c r="BJ1676" s="4">
        <v>11</v>
      </c>
      <c r="BK1676" s="8">
        <v>132.31</v>
      </c>
      <c r="BL1676" s="2" t="s">
        <v>8630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8631</v>
      </c>
      <c r="BV1676" s="2" t="s">
        <v>200</v>
      </c>
      <c r="BW1676" s="2" t="s">
        <v>200</v>
      </c>
      <c r="BX1676" s="2" t="s">
        <v>289</v>
      </c>
      <c r="BY1676" s="2" t="s">
        <v>247</v>
      </c>
      <c r="BZ1676" s="2" t="s">
        <v>212</v>
      </c>
      <c r="CA1676" s="2" t="s">
        <v>1597</v>
      </c>
      <c r="CB1676" s="2" t="s">
        <v>8632</v>
      </c>
      <c r="CC1676" s="2" t="s">
        <v>213</v>
      </c>
      <c r="CD1676" s="2" t="s">
        <v>200</v>
      </c>
      <c r="CE1676" s="4"/>
      <c r="CF1676" s="4">
        <v>26</v>
      </c>
      <c r="CG1676" s="4"/>
      <c r="CH1676" s="4"/>
      <c r="CI1676" s="4"/>
      <c r="CJ1676" s="4"/>
      <c r="CK1676" s="4"/>
      <c r="CL1676" s="4"/>
      <c r="CM1676" s="4"/>
      <c r="CN1676" s="4"/>
      <c r="CO1676" s="4"/>
      <c r="CP1676" s="4"/>
      <c r="CQ1676" s="4"/>
      <c r="CR1676" s="4"/>
      <c r="CS1676" s="4"/>
      <c r="CT1676" s="4"/>
      <c r="CU1676" s="4"/>
      <c r="CV1676" s="4"/>
      <c r="CW1676" s="4"/>
      <c r="CX1676" s="4"/>
      <c r="CY1676" s="4"/>
      <c r="CZ1676" s="4"/>
      <c r="DA1676" s="4"/>
      <c r="DB1676" s="4"/>
      <c r="DC1676" s="4"/>
      <c r="DD1676" s="4"/>
      <c r="DE1676" s="4"/>
      <c r="DF1676" s="4"/>
      <c r="DG1676" s="4"/>
      <c r="DH1676" s="4"/>
      <c r="DI1676" s="4"/>
      <c r="DJ1676" s="4"/>
      <c r="DK1676" s="4"/>
      <c r="DL1676" s="4"/>
      <c r="DM1676" s="4"/>
      <c r="DN1676" s="4"/>
      <c r="DO1676" s="4"/>
      <c r="DP1676" s="4"/>
      <c r="DQ1676" s="4"/>
      <c r="DR1676" s="4"/>
      <c r="DS1676" s="4"/>
      <c r="DT1676" s="4"/>
      <c r="DU1676" s="4"/>
      <c r="DV1676" s="4"/>
      <c r="DW1676" s="4"/>
      <c r="DX1676" s="4"/>
      <c r="DY1676" s="4"/>
      <c r="DZ1676" s="4"/>
      <c r="EA1676" s="4"/>
      <c r="EB1676" s="4"/>
      <c r="EC1676" s="4"/>
      <c r="ED1676" s="4"/>
      <c r="EE1676" s="4"/>
      <c r="EF1676" s="4"/>
      <c r="EG1676" s="4"/>
      <c r="EH1676" s="4"/>
      <c r="EI1676" s="4"/>
      <c r="EJ1676" s="4"/>
      <c r="EK1676" s="4"/>
      <c r="EL1676" s="4"/>
      <c r="EM1676" s="4"/>
      <c r="EN1676" s="4"/>
      <c r="EO1676" s="4"/>
      <c r="EP1676" s="4"/>
      <c r="EQ1676" s="4"/>
      <c r="ER1676" s="4"/>
      <c r="ES1676" s="4"/>
      <c r="ET1676" s="4"/>
      <c r="EU1676" s="4"/>
      <c r="EV1676" s="4"/>
      <c r="EW1676" s="4"/>
      <c r="EX1676" s="4"/>
      <c r="EY1676" s="4"/>
      <c r="EZ1676" s="4"/>
      <c r="FA1676" s="4"/>
      <c r="FB1676" s="4"/>
      <c r="FC1676" s="4"/>
      <c r="FD1676" s="4"/>
      <c r="FE1676" s="4"/>
      <c r="FF1676" s="4"/>
      <c r="FG1676" s="4"/>
      <c r="FH1676" s="4"/>
      <c r="FI1676" s="4"/>
      <c r="FJ1676" s="4"/>
      <c r="FK1676" s="4"/>
      <c r="FL1676" s="4"/>
      <c r="FM1676" s="4"/>
      <c r="FN1676" s="4"/>
      <c r="FO1676" s="4"/>
      <c r="FP1676" s="4"/>
      <c r="FQ1676" s="4"/>
      <c r="FR1676" s="4"/>
      <c r="FS1676" s="4"/>
      <c r="FT1676" s="4"/>
      <c r="FU1676" s="4"/>
      <c r="FV1676" s="4"/>
      <c r="FW1676" s="4"/>
      <c r="FX1676" s="4"/>
      <c r="FY1676" s="4"/>
      <c r="FZ1676" s="4"/>
      <c r="GA1676" s="4"/>
      <c r="GB1676" s="4"/>
      <c r="GC1676" s="4"/>
      <c r="GD1676" s="4"/>
      <c r="GE1676" s="4"/>
      <c r="GF1676" s="4"/>
      <c r="GG1676" s="4"/>
      <c r="GH1676" s="4"/>
    </row>
    <row r="1677">
      <c r="A1677" s="2" t="s">
        <v>8633</v>
      </c>
      <c r="B1677" s="2" t="s">
        <v>719</v>
      </c>
      <c r="C1677" s="2" t="s">
        <v>607</v>
      </c>
      <c r="D1677" s="2" t="s">
        <v>1542</v>
      </c>
      <c r="E1677" s="2" t="s">
        <v>6247</v>
      </c>
      <c r="F1677" s="2" t="s">
        <v>8634</v>
      </c>
      <c r="G1677" s="2" t="s">
        <v>8634</v>
      </c>
      <c r="H1677" s="2" t="s">
        <v>8634</v>
      </c>
      <c r="I1677" s="2" t="s">
        <v>8635</v>
      </c>
      <c r="J1677" s="2" t="s">
        <v>8636</v>
      </c>
      <c r="K1677" s="2" t="s">
        <v>637</v>
      </c>
      <c r="L1677" s="3">
        <v>47.09</v>
      </c>
      <c r="M1677" s="3">
        <v>49.44</v>
      </c>
      <c r="N1677" s="3">
        <v>98.99</v>
      </c>
      <c r="O1677" s="2" t="s">
        <v>212</v>
      </c>
      <c r="P1677" s="2" t="s">
        <v>258</v>
      </c>
      <c r="Q1677" s="2" t="s">
        <v>206</v>
      </c>
      <c r="R1677" s="2" t="s">
        <v>200</v>
      </c>
      <c r="S1677" s="2" t="s">
        <v>8637</v>
      </c>
      <c r="T1677" s="2" t="s">
        <v>200</v>
      </c>
      <c r="U1677" s="2" t="s">
        <v>270</v>
      </c>
      <c r="V1677" s="2" t="s">
        <v>724</v>
      </c>
      <c r="W1677" s="2" t="s">
        <v>242</v>
      </c>
      <c r="X1677" s="2" t="s">
        <v>200</v>
      </c>
      <c r="Y1677" s="2" t="s">
        <v>3406</v>
      </c>
      <c r="Z1677" s="4">
        <v>171</v>
      </c>
      <c r="AA1677" s="4">
        <f>=ROUNDDOWN(23.75,0)</f>
      </c>
      <c r="AB1677" s="5">
        <v>7.2</v>
      </c>
      <c r="AC1677" s="2" t="s">
        <v>1568</v>
      </c>
      <c r="AD1677" s="4">
        <v>100</v>
      </c>
      <c r="AE1677" s="4">
        <v>100</v>
      </c>
      <c r="AF1677" s="6">
        <v>63</v>
      </c>
      <c r="AG1677" s="6"/>
      <c r="AH1677" s="7">
        <v>1</v>
      </c>
      <c r="AI1677" s="4"/>
      <c r="AJ1677" s="4">
        <f>=ROUNDDOWN({0},0)</f>
      </c>
      <c r="AK1677" s="5"/>
      <c r="AL1677" s="2" t="s">
        <v>200</v>
      </c>
      <c r="AM1677" s="4"/>
      <c r="AN1677" s="4"/>
      <c r="AO1677" s="7"/>
      <c r="AP1677" s="4"/>
      <c r="AQ1677" s="8"/>
      <c r="AR1677" s="4"/>
      <c r="AS1677" s="8"/>
      <c r="AT1677" s="7"/>
      <c r="AU1677" s="7"/>
      <c r="AV1677" s="4"/>
      <c r="AW1677" s="8"/>
      <c r="AX1677" s="4"/>
      <c r="AY1677" s="8"/>
      <c r="AZ1677" s="7"/>
      <c r="BA1677" s="7"/>
      <c r="BB1677" s="7"/>
      <c r="BC1677" s="4" t="s">
        <v>200</v>
      </c>
      <c r="BD1677" s="8" t="s">
        <v>200</v>
      </c>
      <c r="BE1677" s="4" t="s">
        <v>200</v>
      </c>
      <c r="BF1677" s="8" t="s">
        <v>200</v>
      </c>
      <c r="BG1677" s="7" t="s">
        <v>200</v>
      </c>
      <c r="BH1677" s="7" t="s">
        <v>200</v>
      </c>
      <c r="BI1677" s="7"/>
      <c r="BJ1677" s="4">
        <v>25</v>
      </c>
      <c r="BK1677" s="8">
        <v>1361.6</v>
      </c>
      <c r="BL1677" s="2" t="s">
        <v>8638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8639</v>
      </c>
      <c r="BV1677" s="2" t="s">
        <v>200</v>
      </c>
      <c r="BW1677" s="2" t="s">
        <v>200</v>
      </c>
      <c r="BX1677" s="2" t="s">
        <v>620</v>
      </c>
      <c r="BY1677" s="2" t="s">
        <v>247</v>
      </c>
      <c r="BZ1677" s="2" t="s">
        <v>212</v>
      </c>
      <c r="CA1677" s="2" t="s">
        <v>4870</v>
      </c>
      <c r="CB1677" s="2" t="s">
        <v>8640</v>
      </c>
      <c r="CC1677" s="2" t="s">
        <v>213</v>
      </c>
      <c r="CD1677" s="2" t="s">
        <v>200</v>
      </c>
      <c r="CE1677" s="4"/>
      <c r="CF1677" s="4">
        <v>171</v>
      </c>
      <c r="CG1677" s="4"/>
      <c r="CH1677" s="4"/>
      <c r="CI1677" s="4"/>
      <c r="CJ1677" s="4"/>
      <c r="CK1677" s="4"/>
      <c r="CL1677" s="4"/>
      <c r="CM1677" s="4"/>
      <c r="CN1677" s="4"/>
      <c r="CO1677" s="4"/>
      <c r="CP1677" s="4"/>
      <c r="CQ1677" s="4"/>
      <c r="CR1677" s="4"/>
      <c r="CS1677" s="4"/>
      <c r="CT1677" s="4"/>
      <c r="CU1677" s="4"/>
      <c r="CV1677" s="4"/>
      <c r="CW1677" s="4"/>
      <c r="CX1677" s="4"/>
      <c r="CY1677" s="4"/>
      <c r="CZ1677" s="4"/>
      <c r="DA1677" s="4"/>
      <c r="DB1677" s="4"/>
      <c r="DC1677" s="4"/>
      <c r="DD1677" s="4"/>
      <c r="DE1677" s="4"/>
      <c r="DF1677" s="4"/>
      <c r="DG1677" s="4"/>
      <c r="DH1677" s="4"/>
      <c r="DI1677" s="4"/>
      <c r="DJ1677" s="4"/>
      <c r="DK1677" s="4"/>
      <c r="DL1677" s="4"/>
      <c r="DM1677" s="4"/>
      <c r="DN1677" s="4"/>
      <c r="DO1677" s="4"/>
      <c r="DP1677" s="4"/>
      <c r="DQ1677" s="4"/>
      <c r="DR1677" s="4"/>
      <c r="DS1677" s="4"/>
      <c r="DT1677" s="4"/>
      <c r="DU1677" s="4"/>
      <c r="DV1677" s="4"/>
      <c r="DW1677" s="4"/>
      <c r="DX1677" s="4"/>
      <c r="DY1677" s="4"/>
      <c r="DZ1677" s="4"/>
      <c r="EA1677" s="4"/>
      <c r="EB1677" s="4"/>
      <c r="EC1677" s="4"/>
      <c r="ED1677" s="4"/>
      <c r="EE1677" s="4"/>
      <c r="EF1677" s="4"/>
      <c r="EG1677" s="4"/>
      <c r="EH1677" s="4"/>
      <c r="EI1677" s="4"/>
      <c r="EJ1677" s="4"/>
      <c r="EK1677" s="4"/>
      <c r="EL1677" s="4"/>
      <c r="EM1677" s="4"/>
      <c r="EN1677" s="4"/>
      <c r="EO1677" s="4">
        <v>100</v>
      </c>
      <c r="EP1677" s="4"/>
      <c r="EQ1677" s="4"/>
      <c r="ER1677" s="4"/>
      <c r="ES1677" s="4"/>
      <c r="ET1677" s="4"/>
      <c r="EU1677" s="4"/>
      <c r="EV1677" s="4"/>
      <c r="EW1677" s="4"/>
      <c r="EX1677" s="4"/>
      <c r="EY1677" s="4"/>
      <c r="EZ1677" s="4"/>
      <c r="FA1677" s="4"/>
      <c r="FB1677" s="4"/>
      <c r="FC1677" s="4"/>
      <c r="FD1677" s="4"/>
      <c r="FE1677" s="4"/>
      <c r="FF1677" s="4"/>
      <c r="FG1677" s="4"/>
      <c r="FH1677" s="4"/>
      <c r="FI1677" s="4"/>
      <c r="FJ1677" s="4"/>
      <c r="FK1677" s="4"/>
      <c r="FL1677" s="4"/>
      <c r="FM1677" s="4"/>
      <c r="FN1677" s="4"/>
      <c r="FO1677" s="4"/>
      <c r="FP1677" s="4"/>
      <c r="FQ1677" s="4"/>
      <c r="FR1677" s="4"/>
      <c r="FS1677" s="4"/>
      <c r="FT1677" s="4"/>
      <c r="FU1677" s="4"/>
      <c r="FV1677" s="4"/>
      <c r="FW1677" s="4"/>
      <c r="FX1677" s="4"/>
      <c r="FY1677" s="4"/>
      <c r="FZ1677" s="4"/>
      <c r="GA1677" s="4"/>
      <c r="GB1677" s="4"/>
      <c r="GC1677" s="4"/>
      <c r="GD1677" s="4"/>
      <c r="GE1677" s="4"/>
      <c r="GF1677" s="4"/>
      <c r="GG1677" s="4"/>
      <c r="GH1677" s="4"/>
    </row>
    <row r="1678">
      <c r="A1678" s="2" t="s">
        <v>8641</v>
      </c>
      <c r="B1678" s="2" t="s">
        <v>719</v>
      </c>
      <c r="C1678" s="2" t="s">
        <v>607</v>
      </c>
      <c r="D1678" s="2" t="s">
        <v>1542</v>
      </c>
      <c r="E1678" s="2" t="s">
        <v>5927</v>
      </c>
      <c r="F1678" s="2" t="s">
        <v>8634</v>
      </c>
      <c r="G1678" s="2" t="s">
        <v>8634</v>
      </c>
      <c r="H1678" s="2" t="s">
        <v>8634</v>
      </c>
      <c r="I1678" s="2" t="s">
        <v>8642</v>
      </c>
      <c r="J1678" s="2" t="s">
        <v>8643</v>
      </c>
      <c r="K1678" s="2" t="s">
        <v>1380</v>
      </c>
      <c r="L1678" s="3">
        <v>93.25</v>
      </c>
      <c r="M1678" s="3">
        <v>97.91</v>
      </c>
      <c r="N1678" s="3">
        <v>206.99</v>
      </c>
      <c r="O1678" s="2" t="s">
        <v>212</v>
      </c>
      <c r="P1678" s="2" t="s">
        <v>750</v>
      </c>
      <c r="Q1678" s="2" t="s">
        <v>206</v>
      </c>
      <c r="R1678" s="2" t="s">
        <v>200</v>
      </c>
      <c r="S1678" s="2" t="s">
        <v>200</v>
      </c>
      <c r="T1678" s="2" t="s">
        <v>200</v>
      </c>
      <c r="U1678" s="2" t="s">
        <v>454</v>
      </c>
      <c r="V1678" s="2" t="s">
        <v>616</v>
      </c>
      <c r="W1678" s="2" t="s">
        <v>242</v>
      </c>
      <c r="X1678" s="2" t="s">
        <v>379</v>
      </c>
      <c r="Y1678" s="2" t="s">
        <v>4548</v>
      </c>
      <c r="Z1678" s="4">
        <v>25</v>
      </c>
      <c r="AA1678" s="4">
        <f>=ROUNDDOWN(8.33333333333333,0)</f>
      </c>
      <c r="AB1678" s="5">
        <v>3</v>
      </c>
      <c r="AC1678" s="2" t="s">
        <v>200</v>
      </c>
      <c r="AD1678" s="4"/>
      <c r="AE1678" s="4"/>
      <c r="AF1678" s="6">
        <v>63</v>
      </c>
      <c r="AG1678" s="6"/>
      <c r="AH1678" s="7">
        <v>1</v>
      </c>
      <c r="AI1678" s="4"/>
      <c r="AJ1678" s="4">
        <f>=ROUNDDOWN({0},0)</f>
      </c>
      <c r="AK1678" s="5"/>
      <c r="AL1678" s="2" t="s">
        <v>200</v>
      </c>
      <c r="AM1678" s="4"/>
      <c r="AN1678" s="4"/>
      <c r="AO1678" s="7"/>
      <c r="AP1678" s="4"/>
      <c r="AQ1678" s="8"/>
      <c r="AR1678" s="4"/>
      <c r="AS1678" s="8"/>
      <c r="AT1678" s="7"/>
      <c r="AU1678" s="7"/>
      <c r="AV1678" s="4"/>
      <c r="AW1678" s="8"/>
      <c r="AX1678" s="4"/>
      <c r="AY1678" s="8"/>
      <c r="AZ1678" s="7"/>
      <c r="BA1678" s="7"/>
      <c r="BB1678" s="7"/>
      <c r="BC1678" s="4" t="s">
        <v>200</v>
      </c>
      <c r="BD1678" s="8" t="s">
        <v>200</v>
      </c>
      <c r="BE1678" s="4" t="s">
        <v>200</v>
      </c>
      <c r="BF1678" s="8" t="s">
        <v>200</v>
      </c>
      <c r="BG1678" s="7" t="s">
        <v>200</v>
      </c>
      <c r="BH1678" s="7" t="s">
        <v>200</v>
      </c>
      <c r="BI1678" s="7"/>
      <c r="BJ1678" s="4">
        <v>26</v>
      </c>
      <c r="BK1678" s="8">
        <v>2225.08</v>
      </c>
      <c r="BL1678" s="2" t="s">
        <v>8644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8645</v>
      </c>
      <c r="BV1678" s="2" t="s">
        <v>200</v>
      </c>
      <c r="BW1678" s="2" t="s">
        <v>200</v>
      </c>
      <c r="BX1678" s="2" t="s">
        <v>620</v>
      </c>
      <c r="BY1678" s="2" t="s">
        <v>247</v>
      </c>
      <c r="BZ1678" s="2" t="s">
        <v>212</v>
      </c>
      <c r="CA1678" s="2" t="s">
        <v>1209</v>
      </c>
      <c r="CB1678" s="2" t="s">
        <v>365</v>
      </c>
      <c r="CC1678" s="2" t="s">
        <v>213</v>
      </c>
      <c r="CD1678" s="2" t="s">
        <v>200</v>
      </c>
      <c r="CE1678" s="4"/>
      <c r="CF1678" s="4">
        <v>25</v>
      </c>
      <c r="CG1678" s="4"/>
      <c r="CH1678" s="4"/>
      <c r="CI1678" s="4"/>
      <c r="CJ1678" s="4"/>
      <c r="CK1678" s="4"/>
      <c r="CL1678" s="4"/>
      <c r="CM1678" s="4"/>
      <c r="CN1678" s="4"/>
      <c r="CO1678" s="4"/>
      <c r="CP1678" s="4"/>
      <c r="CQ1678" s="4"/>
      <c r="CR1678" s="4"/>
      <c r="CS1678" s="4"/>
      <c r="CT1678" s="4"/>
      <c r="CU1678" s="4"/>
      <c r="CV1678" s="4"/>
      <c r="CW1678" s="4"/>
      <c r="CX1678" s="4"/>
      <c r="CY1678" s="4"/>
      <c r="CZ1678" s="4"/>
      <c r="DA1678" s="4"/>
      <c r="DB1678" s="4"/>
      <c r="DC1678" s="4"/>
      <c r="DD1678" s="4"/>
      <c r="DE1678" s="4"/>
      <c r="DF1678" s="4"/>
      <c r="DG1678" s="4"/>
      <c r="DH1678" s="4"/>
      <c r="DI1678" s="4"/>
      <c r="DJ1678" s="4"/>
      <c r="DK1678" s="4"/>
      <c r="DL1678" s="4"/>
      <c r="DM1678" s="4"/>
      <c r="DN1678" s="4"/>
      <c r="DO1678" s="4"/>
      <c r="DP1678" s="4"/>
      <c r="DQ1678" s="4"/>
      <c r="DR1678" s="4"/>
      <c r="DS1678" s="4"/>
      <c r="DT1678" s="4"/>
      <c r="DU1678" s="4"/>
      <c r="DV1678" s="4"/>
      <c r="DW1678" s="4"/>
      <c r="DX1678" s="4"/>
      <c r="DY1678" s="4"/>
      <c r="DZ1678" s="4"/>
      <c r="EA1678" s="4"/>
      <c r="EB1678" s="4"/>
      <c r="EC1678" s="4"/>
      <c r="ED1678" s="4"/>
      <c r="EE1678" s="4"/>
      <c r="EF1678" s="4"/>
      <c r="EG1678" s="4"/>
      <c r="EH1678" s="4"/>
      <c r="EI1678" s="4"/>
      <c r="EJ1678" s="4"/>
      <c r="EK1678" s="4"/>
      <c r="EL1678" s="4"/>
      <c r="EM1678" s="4"/>
      <c r="EN1678" s="4"/>
      <c r="EO1678" s="4"/>
      <c r="EP1678" s="4"/>
      <c r="EQ1678" s="4"/>
      <c r="ER1678" s="4"/>
      <c r="ES1678" s="4"/>
      <c r="ET1678" s="4"/>
      <c r="EU1678" s="4"/>
      <c r="EV1678" s="4"/>
      <c r="EW1678" s="4"/>
      <c r="EX1678" s="4"/>
      <c r="EY1678" s="4"/>
      <c r="EZ1678" s="4"/>
      <c r="FA1678" s="4"/>
      <c r="FB1678" s="4"/>
      <c r="FC1678" s="4"/>
      <c r="FD1678" s="4"/>
      <c r="FE1678" s="4"/>
      <c r="FF1678" s="4"/>
      <c r="FG1678" s="4"/>
      <c r="FH1678" s="4"/>
      <c r="FI1678" s="4"/>
      <c r="FJ1678" s="4"/>
      <c r="FK1678" s="4"/>
      <c r="FL1678" s="4"/>
      <c r="FM1678" s="4"/>
      <c r="FN1678" s="4"/>
      <c r="FO1678" s="4"/>
      <c r="FP1678" s="4"/>
      <c r="FQ1678" s="4"/>
      <c r="FR1678" s="4"/>
      <c r="FS1678" s="4"/>
      <c r="FT1678" s="4"/>
      <c r="FU1678" s="4"/>
      <c r="FV1678" s="4"/>
      <c r="FW1678" s="4"/>
      <c r="FX1678" s="4"/>
      <c r="FY1678" s="4"/>
      <c r="FZ1678" s="4"/>
      <c r="GA1678" s="4"/>
      <c r="GB1678" s="4"/>
      <c r="GC1678" s="4"/>
      <c r="GD1678" s="4"/>
      <c r="GE1678" s="4"/>
      <c r="GF1678" s="4"/>
      <c r="GG1678" s="4"/>
      <c r="GH1678" s="4"/>
    </row>
    <row r="1679">
      <c r="A1679" s="2" t="s">
        <v>8646</v>
      </c>
      <c r="B1679" s="2" t="s">
        <v>744</v>
      </c>
      <c r="C1679" s="2" t="s">
        <v>745</v>
      </c>
      <c r="D1679" s="2" t="s">
        <v>988</v>
      </c>
      <c r="E1679" s="2" t="s">
        <v>2832</v>
      </c>
      <c r="F1679" s="2" t="s">
        <v>8647</v>
      </c>
      <c r="G1679" s="2" t="s">
        <v>8647</v>
      </c>
      <c r="H1679" s="2" t="s">
        <v>8647</v>
      </c>
      <c r="I1679" s="2" t="s">
        <v>8648</v>
      </c>
      <c r="J1679" s="2" t="s">
        <v>297</v>
      </c>
      <c r="K1679" s="2" t="s">
        <v>1174</v>
      </c>
      <c r="L1679" s="3">
        <v>390</v>
      </c>
      <c r="M1679" s="3">
        <v>409.5</v>
      </c>
      <c r="N1679" s="3">
        <v>829</v>
      </c>
      <c r="O1679" s="2" t="s">
        <v>460</v>
      </c>
      <c r="P1679" s="2" t="s">
        <v>285</v>
      </c>
      <c r="Q1679" s="2" t="s">
        <v>206</v>
      </c>
      <c r="R1679" s="2" t="s">
        <v>200</v>
      </c>
      <c r="S1679" s="2" t="s">
        <v>200</v>
      </c>
      <c r="T1679" s="2" t="s">
        <v>200</v>
      </c>
      <c r="U1679" s="2" t="s">
        <v>200</v>
      </c>
      <c r="V1679" s="2" t="s">
        <v>616</v>
      </c>
      <c r="W1679" s="2" t="s">
        <v>379</v>
      </c>
      <c r="X1679" s="2" t="s">
        <v>200</v>
      </c>
      <c r="Y1679" s="2" t="s">
        <v>8649</v>
      </c>
      <c r="Z1679" s="4">
        <v>72</v>
      </c>
      <c r="AA1679" s="4">
        <f>=ROUNDDOWN(240,0)</f>
      </c>
      <c r="AB1679" s="5">
        <v>0.3</v>
      </c>
      <c r="AC1679" s="2" t="s">
        <v>200</v>
      </c>
      <c r="AD1679" s="4"/>
      <c r="AE1679" s="4"/>
      <c r="AF1679" s="6">
        <v>74</v>
      </c>
      <c r="AG1679" s="6"/>
      <c r="AH1679" s="7">
        <v>1</v>
      </c>
      <c r="AI1679" s="4"/>
      <c r="AJ1679" s="4">
        <f>=ROUNDDOWN({0},0)</f>
      </c>
      <c r="AK1679" s="5"/>
      <c r="AL1679" s="2" t="s">
        <v>200</v>
      </c>
      <c r="AM1679" s="4"/>
      <c r="AN1679" s="4"/>
      <c r="AO1679" s="7"/>
      <c r="AP1679" s="4"/>
      <c r="AQ1679" s="8"/>
      <c r="AR1679" s="4"/>
      <c r="AS1679" s="8"/>
      <c r="AT1679" s="7"/>
      <c r="AU1679" s="7"/>
      <c r="AV1679" s="4" t="s">
        <v>200</v>
      </c>
      <c r="AW1679" s="8" t="s">
        <v>200</v>
      </c>
      <c r="AX1679" s="4" t="s">
        <v>200</v>
      </c>
      <c r="AY1679" s="8" t="s">
        <v>200</v>
      </c>
      <c r="AZ1679" s="7" t="s">
        <v>200</v>
      </c>
      <c r="BA1679" s="7" t="s">
        <v>200</v>
      </c>
      <c r="BB1679" s="7"/>
      <c r="BC1679" s="4" t="s">
        <v>200</v>
      </c>
      <c r="BD1679" s="8" t="s">
        <v>200</v>
      </c>
      <c r="BE1679" s="4" t="s">
        <v>200</v>
      </c>
      <c r="BF1679" s="8" t="s">
        <v>200</v>
      </c>
      <c r="BG1679" s="7" t="s">
        <v>200</v>
      </c>
      <c r="BH1679" s="7" t="s">
        <v>200</v>
      </c>
      <c r="BI1679" s="7"/>
      <c r="BJ1679" s="4">
        <v>4</v>
      </c>
      <c r="BK1679" s="8">
        <v>126.52</v>
      </c>
      <c r="BL1679" s="2" t="s">
        <v>303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8650</v>
      </c>
      <c r="BV1679" s="2" t="s">
        <v>200</v>
      </c>
      <c r="BW1679" s="2" t="s">
        <v>200</v>
      </c>
      <c r="BX1679" s="2" t="s">
        <v>289</v>
      </c>
      <c r="BY1679" s="2" t="s">
        <v>247</v>
      </c>
      <c r="BZ1679" s="2" t="s">
        <v>212</v>
      </c>
      <c r="CA1679" s="2" t="s">
        <v>3025</v>
      </c>
      <c r="CB1679" s="2" t="s">
        <v>2790</v>
      </c>
      <c r="CC1679" s="2" t="s">
        <v>213</v>
      </c>
      <c r="CD1679" s="2" t="s">
        <v>200</v>
      </c>
      <c r="CE1679" s="4"/>
      <c r="CF1679" s="4">
        <v>72</v>
      </c>
      <c r="CG1679" s="4"/>
      <c r="CH1679" s="4"/>
      <c r="CI1679" s="4"/>
      <c r="CJ1679" s="4"/>
      <c r="CK1679" s="4"/>
      <c r="CL1679" s="4"/>
      <c r="CM1679" s="4"/>
      <c r="CN1679" s="4"/>
      <c r="CO1679" s="4"/>
      <c r="CP1679" s="4"/>
      <c r="CQ1679" s="4"/>
      <c r="CR1679" s="4"/>
      <c r="CS1679" s="4"/>
      <c r="CT1679" s="4"/>
      <c r="CU1679" s="4"/>
      <c r="CV1679" s="4"/>
      <c r="CW1679" s="4"/>
      <c r="CX1679" s="4"/>
      <c r="CY1679" s="4"/>
      <c r="CZ1679" s="4"/>
      <c r="DA1679" s="4"/>
      <c r="DB1679" s="4"/>
      <c r="DC1679" s="4"/>
      <c r="DD1679" s="4"/>
      <c r="DE1679" s="4"/>
      <c r="DF1679" s="4"/>
      <c r="DG1679" s="4"/>
      <c r="DH1679" s="4"/>
      <c r="DI1679" s="4"/>
      <c r="DJ1679" s="4"/>
      <c r="DK1679" s="4"/>
      <c r="DL1679" s="4"/>
      <c r="DM1679" s="4"/>
      <c r="DN1679" s="4"/>
      <c r="DO1679" s="4"/>
      <c r="DP1679" s="4"/>
      <c r="DQ1679" s="4"/>
      <c r="DR1679" s="4"/>
      <c r="DS1679" s="4"/>
      <c r="DT1679" s="4"/>
      <c r="DU1679" s="4"/>
      <c r="DV1679" s="4"/>
      <c r="DW1679" s="4"/>
      <c r="DX1679" s="4"/>
      <c r="DY1679" s="4"/>
      <c r="DZ1679" s="4"/>
      <c r="EA1679" s="4"/>
      <c r="EB1679" s="4"/>
      <c r="EC1679" s="4"/>
      <c r="ED1679" s="4"/>
      <c r="EE1679" s="4"/>
      <c r="EF1679" s="4"/>
      <c r="EG1679" s="4"/>
      <c r="EH1679" s="4"/>
      <c r="EI1679" s="4"/>
      <c r="EJ1679" s="4"/>
      <c r="EK1679" s="4"/>
      <c r="EL1679" s="4"/>
      <c r="EM1679" s="4"/>
      <c r="EN1679" s="4"/>
      <c r="EO1679" s="4"/>
      <c r="EP1679" s="4"/>
      <c r="EQ1679" s="4"/>
      <c r="ER1679" s="4"/>
      <c r="ES1679" s="4"/>
      <c r="ET1679" s="4"/>
      <c r="EU1679" s="4"/>
      <c r="EV1679" s="4"/>
      <c r="EW1679" s="4"/>
      <c r="EX1679" s="4"/>
      <c r="EY1679" s="4"/>
      <c r="EZ1679" s="4"/>
      <c r="FA1679" s="4"/>
      <c r="FB1679" s="4"/>
      <c r="FC1679" s="4"/>
      <c r="FD1679" s="4"/>
      <c r="FE1679" s="4"/>
      <c r="FF1679" s="4"/>
      <c r="FG1679" s="4"/>
      <c r="FH1679" s="4"/>
      <c r="FI1679" s="4"/>
      <c r="FJ1679" s="4"/>
      <c r="FK1679" s="4"/>
      <c r="FL1679" s="4"/>
      <c r="FM1679" s="4"/>
      <c r="FN1679" s="4"/>
      <c r="FO1679" s="4"/>
      <c r="FP1679" s="4"/>
      <c r="FQ1679" s="4"/>
      <c r="FR1679" s="4"/>
      <c r="FS1679" s="4"/>
      <c r="FT1679" s="4"/>
      <c r="FU1679" s="4"/>
      <c r="FV1679" s="4"/>
      <c r="FW1679" s="4"/>
      <c r="FX1679" s="4"/>
      <c r="FY1679" s="4"/>
      <c r="FZ1679" s="4"/>
      <c r="GA1679" s="4"/>
      <c r="GB1679" s="4"/>
      <c r="GC1679" s="4"/>
      <c r="GD1679" s="4"/>
      <c r="GE1679" s="4"/>
      <c r="GF1679" s="4"/>
      <c r="GG1679" s="4"/>
      <c r="GH1679" s="4"/>
    </row>
    <row r="1680">
      <c r="A1680" s="2" t="s">
        <v>8651</v>
      </c>
      <c r="B1680" s="2" t="s">
        <v>744</v>
      </c>
      <c r="C1680" s="2" t="s">
        <v>745</v>
      </c>
      <c r="D1680" s="2" t="s">
        <v>8652</v>
      </c>
      <c r="E1680" s="2" t="s">
        <v>8653</v>
      </c>
      <c r="F1680" s="2" t="s">
        <v>8647</v>
      </c>
      <c r="G1680" s="2" t="s">
        <v>8647</v>
      </c>
      <c r="H1680" s="2" t="s">
        <v>8647</v>
      </c>
      <c r="I1680" s="2" t="s">
        <v>8654</v>
      </c>
      <c r="J1680" s="2" t="s">
        <v>711</v>
      </c>
      <c r="K1680" s="2" t="s">
        <v>1174</v>
      </c>
      <c r="L1680" s="3">
        <v>143</v>
      </c>
      <c r="M1680" s="3">
        <v>150.15</v>
      </c>
      <c r="N1680" s="3">
        <v>299</v>
      </c>
      <c r="O1680" s="2" t="s">
        <v>212</v>
      </c>
      <c r="P1680" s="2" t="s">
        <v>285</v>
      </c>
      <c r="Q1680" s="2" t="s">
        <v>206</v>
      </c>
      <c r="R1680" s="2" t="s">
        <v>200</v>
      </c>
      <c r="S1680" s="2" t="s">
        <v>200</v>
      </c>
      <c r="T1680" s="2" t="s">
        <v>200</v>
      </c>
      <c r="U1680" s="2" t="s">
        <v>200</v>
      </c>
      <c r="V1680" s="2" t="s">
        <v>616</v>
      </c>
      <c r="W1680" s="2" t="s">
        <v>379</v>
      </c>
      <c r="X1680" s="2" t="s">
        <v>200</v>
      </c>
      <c r="Y1680" s="2" t="s">
        <v>1813</v>
      </c>
      <c r="Z1680" s="4">
        <v>90</v>
      </c>
      <c r="AA1680" s="4">
        <f>=ROUNDDOWN(45,0)</f>
      </c>
      <c r="AB1680" s="5">
        <v>2</v>
      </c>
      <c r="AC1680" s="2" t="s">
        <v>200</v>
      </c>
      <c r="AD1680" s="4"/>
      <c r="AE1680" s="4"/>
      <c r="AF1680" s="6">
        <v>74</v>
      </c>
      <c r="AG1680" s="6"/>
      <c r="AH1680" s="7">
        <v>1</v>
      </c>
      <c r="AI1680" s="4"/>
      <c r="AJ1680" s="4">
        <f>=ROUNDDOWN({0},0)</f>
      </c>
      <c r="AK1680" s="5"/>
      <c r="AL1680" s="2" t="s">
        <v>200</v>
      </c>
      <c r="AM1680" s="4"/>
      <c r="AN1680" s="4"/>
      <c r="AO1680" s="7"/>
      <c r="AP1680" s="4"/>
      <c r="AQ1680" s="8"/>
      <c r="AR1680" s="4"/>
      <c r="AS1680" s="8"/>
      <c r="AT1680" s="7"/>
      <c r="AU1680" s="7"/>
      <c r="AV1680" s="4" t="s">
        <v>200</v>
      </c>
      <c r="AW1680" s="8" t="s">
        <v>200</v>
      </c>
      <c r="AX1680" s="4" t="s">
        <v>200</v>
      </c>
      <c r="AY1680" s="8" t="s">
        <v>200</v>
      </c>
      <c r="AZ1680" s="7" t="s">
        <v>200</v>
      </c>
      <c r="BA1680" s="7" t="s">
        <v>200</v>
      </c>
      <c r="BB1680" s="7"/>
      <c r="BC1680" s="4" t="s">
        <v>200</v>
      </c>
      <c r="BD1680" s="8" t="s">
        <v>200</v>
      </c>
      <c r="BE1680" s="4" t="s">
        <v>200</v>
      </c>
      <c r="BF1680" s="8" t="s">
        <v>200</v>
      </c>
      <c r="BG1680" s="7" t="s">
        <v>200</v>
      </c>
      <c r="BH1680" s="7" t="s">
        <v>200</v>
      </c>
      <c r="BI1680" s="7"/>
      <c r="BJ1680" s="4">
        <v>2</v>
      </c>
      <c r="BK1680" s="8">
        <v>315.32</v>
      </c>
      <c r="BL1680" s="2" t="s">
        <v>1518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8655</v>
      </c>
      <c r="BV1680" s="2" t="s">
        <v>200</v>
      </c>
      <c r="BW1680" s="2" t="s">
        <v>200</v>
      </c>
      <c r="BX1680" s="2" t="s">
        <v>289</v>
      </c>
      <c r="BY1680" s="2" t="s">
        <v>247</v>
      </c>
      <c r="BZ1680" s="2" t="s">
        <v>212</v>
      </c>
      <c r="CA1680" s="2" t="s">
        <v>3025</v>
      </c>
      <c r="CB1680" s="2" t="s">
        <v>2790</v>
      </c>
      <c r="CC1680" s="2" t="s">
        <v>213</v>
      </c>
      <c r="CD1680" s="2" t="s">
        <v>200</v>
      </c>
      <c r="CE1680" s="4"/>
      <c r="CF1680" s="4">
        <v>90</v>
      </c>
      <c r="CG1680" s="4"/>
      <c r="CH1680" s="4"/>
      <c r="CI1680" s="4"/>
      <c r="CJ1680" s="4"/>
      <c r="CK1680" s="4"/>
      <c r="CL1680" s="4"/>
      <c r="CM1680" s="4"/>
      <c r="CN1680" s="4"/>
      <c r="CO1680" s="4"/>
      <c r="CP1680" s="4"/>
      <c r="CQ1680" s="4"/>
      <c r="CR1680" s="4"/>
      <c r="CS1680" s="4"/>
      <c r="CT1680" s="4"/>
      <c r="CU1680" s="4"/>
      <c r="CV1680" s="4"/>
      <c r="CW1680" s="4"/>
      <c r="CX1680" s="4"/>
      <c r="CY1680" s="4"/>
      <c r="CZ1680" s="4"/>
      <c r="DA1680" s="4"/>
      <c r="DB1680" s="4"/>
      <c r="DC1680" s="4"/>
      <c r="DD1680" s="4"/>
      <c r="DE1680" s="4"/>
      <c r="DF1680" s="4"/>
      <c r="DG1680" s="4"/>
      <c r="DH1680" s="4"/>
      <c r="DI1680" s="4"/>
      <c r="DJ1680" s="4"/>
      <c r="DK1680" s="4"/>
      <c r="DL1680" s="4"/>
      <c r="DM1680" s="4"/>
      <c r="DN1680" s="4"/>
      <c r="DO1680" s="4"/>
      <c r="DP1680" s="4"/>
      <c r="DQ1680" s="4"/>
      <c r="DR1680" s="4"/>
      <c r="DS1680" s="4"/>
      <c r="DT1680" s="4"/>
      <c r="DU1680" s="4"/>
      <c r="DV1680" s="4"/>
      <c r="DW1680" s="4"/>
      <c r="DX1680" s="4"/>
      <c r="DY1680" s="4"/>
      <c r="DZ1680" s="4"/>
      <c r="EA1680" s="4"/>
      <c r="EB1680" s="4"/>
      <c r="EC1680" s="4"/>
      <c r="ED1680" s="4"/>
      <c r="EE1680" s="4"/>
      <c r="EF1680" s="4"/>
      <c r="EG1680" s="4"/>
      <c r="EH1680" s="4"/>
      <c r="EI1680" s="4"/>
      <c r="EJ1680" s="4"/>
      <c r="EK1680" s="4"/>
      <c r="EL1680" s="4"/>
      <c r="EM1680" s="4"/>
      <c r="EN1680" s="4"/>
      <c r="EO1680" s="4"/>
      <c r="EP1680" s="4"/>
      <c r="EQ1680" s="4"/>
      <c r="ER1680" s="4"/>
      <c r="ES1680" s="4"/>
      <c r="ET1680" s="4"/>
      <c r="EU1680" s="4"/>
      <c r="EV1680" s="4"/>
      <c r="EW1680" s="4"/>
      <c r="EX1680" s="4"/>
      <c r="EY1680" s="4"/>
      <c r="EZ1680" s="4"/>
      <c r="FA1680" s="4"/>
      <c r="FB1680" s="4"/>
      <c r="FC1680" s="4"/>
      <c r="FD1680" s="4"/>
      <c r="FE1680" s="4"/>
      <c r="FF1680" s="4"/>
      <c r="FG1680" s="4"/>
      <c r="FH1680" s="4"/>
      <c r="FI1680" s="4"/>
      <c r="FJ1680" s="4"/>
      <c r="FK1680" s="4"/>
      <c r="FL1680" s="4"/>
      <c r="FM1680" s="4"/>
      <c r="FN1680" s="4"/>
      <c r="FO1680" s="4"/>
      <c r="FP1680" s="4"/>
      <c r="FQ1680" s="4"/>
      <c r="FR1680" s="4"/>
      <c r="FS1680" s="4"/>
      <c r="FT1680" s="4"/>
      <c r="FU1680" s="4"/>
      <c r="FV1680" s="4"/>
      <c r="FW1680" s="4"/>
      <c r="FX1680" s="4"/>
      <c r="FY1680" s="4"/>
      <c r="FZ1680" s="4"/>
      <c r="GA1680" s="4"/>
      <c r="GB1680" s="4"/>
      <c r="GC1680" s="4"/>
      <c r="GD1680" s="4"/>
      <c r="GE1680" s="4"/>
      <c r="GF1680" s="4"/>
      <c r="GG1680" s="4"/>
      <c r="GH1680" s="4"/>
    </row>
    <row r="1681">
      <c r="A1681" s="2" t="s">
        <v>8656</v>
      </c>
      <c r="B1681" s="2" t="s">
        <v>719</v>
      </c>
      <c r="C1681" s="2" t="s">
        <v>231</v>
      </c>
      <c r="D1681" s="2" t="s">
        <v>1554</v>
      </c>
      <c r="E1681" s="2" t="s">
        <v>1555</v>
      </c>
      <c r="F1681" s="2" t="s">
        <v>8657</v>
      </c>
      <c r="G1681" s="2" t="s">
        <v>8657</v>
      </c>
      <c r="H1681" s="2" t="s">
        <v>8657</v>
      </c>
      <c r="I1681" s="2" t="s">
        <v>8658</v>
      </c>
      <c r="J1681" s="2" t="s">
        <v>711</v>
      </c>
      <c r="K1681" s="2" t="s">
        <v>8659</v>
      </c>
      <c r="L1681" s="3">
        <v>6.66</v>
      </c>
      <c r="M1681" s="3">
        <v>6.99</v>
      </c>
      <c r="N1681" s="3">
        <v>19.99</v>
      </c>
      <c r="O1681" s="2" t="s">
        <v>212</v>
      </c>
      <c r="P1681" s="2" t="s">
        <v>285</v>
      </c>
      <c r="Q1681" s="2" t="s">
        <v>206</v>
      </c>
      <c r="R1681" s="2" t="s">
        <v>200</v>
      </c>
      <c r="S1681" s="2" t="s">
        <v>200</v>
      </c>
      <c r="T1681" s="2" t="s">
        <v>200</v>
      </c>
      <c r="U1681" s="2" t="s">
        <v>270</v>
      </c>
      <c r="V1681" s="2" t="s">
        <v>1726</v>
      </c>
      <c r="W1681" s="2" t="s">
        <v>241</v>
      </c>
      <c r="X1681" s="2" t="s">
        <v>1271</v>
      </c>
      <c r="Y1681" s="2" t="s">
        <v>1734</v>
      </c>
      <c r="Z1681" s="4">
        <v>157</v>
      </c>
      <c r="AA1681" s="4">
        <f>=ROUNDDOWN(142.727272727273,0)</f>
      </c>
      <c r="AB1681" s="5">
        <v>1.1</v>
      </c>
      <c r="AC1681" s="2" t="s">
        <v>200</v>
      </c>
      <c r="AD1681" s="4"/>
      <c r="AE1681" s="4"/>
      <c r="AF1681" s="6">
        <v>63</v>
      </c>
      <c r="AG1681" s="6"/>
      <c r="AH1681" s="7">
        <v>1</v>
      </c>
      <c r="AI1681" s="4"/>
      <c r="AJ1681" s="4">
        <f>=ROUNDDOWN({0},0)</f>
      </c>
      <c r="AK1681" s="5"/>
      <c r="AL1681" s="2" t="s">
        <v>200</v>
      </c>
      <c r="AM1681" s="4"/>
      <c r="AN1681" s="4"/>
      <c r="AO1681" s="7"/>
      <c r="AP1681" s="4"/>
      <c r="AQ1681" s="8"/>
      <c r="AR1681" s="4"/>
      <c r="AS1681" s="8"/>
      <c r="AT1681" s="7"/>
      <c r="AU1681" s="7"/>
      <c r="AV1681" s="4"/>
      <c r="AW1681" s="8"/>
      <c r="AX1681" s="4"/>
      <c r="AY1681" s="8"/>
      <c r="AZ1681" s="7"/>
      <c r="BA1681" s="7"/>
      <c r="BB1681" s="7"/>
      <c r="BC1681" s="4" t="s">
        <v>200</v>
      </c>
      <c r="BD1681" s="8" t="s">
        <v>200</v>
      </c>
      <c r="BE1681" s="4" t="s">
        <v>200</v>
      </c>
      <c r="BF1681" s="8" t="s">
        <v>200</v>
      </c>
      <c r="BG1681" s="7" t="s">
        <v>200</v>
      </c>
      <c r="BH1681" s="7" t="s">
        <v>200</v>
      </c>
      <c r="BI1681" s="7"/>
      <c r="BJ1681" s="4">
        <v>4</v>
      </c>
      <c r="BK1681" s="8">
        <v>30.83</v>
      </c>
      <c r="BL1681" s="2" t="s">
        <v>3355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8660</v>
      </c>
      <c r="BV1681" s="2" t="s">
        <v>200</v>
      </c>
      <c r="BW1681" s="2" t="s">
        <v>200</v>
      </c>
      <c r="BX1681" s="2" t="s">
        <v>289</v>
      </c>
      <c r="BY1681" s="2" t="s">
        <v>247</v>
      </c>
      <c r="BZ1681" s="2" t="s">
        <v>212</v>
      </c>
      <c r="CA1681" s="2" t="s">
        <v>1730</v>
      </c>
      <c r="CB1681" s="2" t="s">
        <v>200</v>
      </c>
      <c r="CC1681" s="2" t="s">
        <v>213</v>
      </c>
      <c r="CD1681" s="2" t="s">
        <v>200</v>
      </c>
      <c r="CE1681" s="4"/>
      <c r="CF1681" s="4">
        <v>157</v>
      </c>
      <c r="CG1681" s="4"/>
      <c r="CH1681" s="4"/>
      <c r="CI1681" s="4"/>
      <c r="CJ1681" s="4"/>
      <c r="CK1681" s="4"/>
      <c r="CL1681" s="4"/>
      <c r="CM1681" s="4"/>
      <c r="CN1681" s="4"/>
      <c r="CO1681" s="4"/>
      <c r="CP1681" s="4"/>
      <c r="CQ1681" s="4"/>
      <c r="CR1681" s="4"/>
      <c r="CS1681" s="4"/>
      <c r="CT1681" s="4"/>
      <c r="CU1681" s="4"/>
      <c r="CV1681" s="4"/>
      <c r="CW1681" s="4"/>
      <c r="CX1681" s="4"/>
      <c r="CY1681" s="4"/>
      <c r="CZ1681" s="4"/>
      <c r="DA1681" s="4"/>
      <c r="DB1681" s="4"/>
      <c r="DC1681" s="4"/>
      <c r="DD1681" s="4"/>
      <c r="DE1681" s="4"/>
      <c r="DF1681" s="4"/>
      <c r="DG1681" s="4"/>
      <c r="DH1681" s="4"/>
      <c r="DI1681" s="4"/>
      <c r="DJ1681" s="4"/>
      <c r="DK1681" s="4"/>
      <c r="DL1681" s="4"/>
      <c r="DM1681" s="4"/>
      <c r="DN1681" s="4"/>
      <c r="DO1681" s="4"/>
      <c r="DP1681" s="4"/>
      <c r="DQ1681" s="4"/>
      <c r="DR1681" s="4"/>
      <c r="DS1681" s="4"/>
      <c r="DT1681" s="4"/>
      <c r="DU1681" s="4"/>
      <c r="DV1681" s="4"/>
      <c r="DW1681" s="4"/>
      <c r="DX1681" s="4"/>
      <c r="DY1681" s="4"/>
      <c r="DZ1681" s="4"/>
      <c r="EA1681" s="4"/>
      <c r="EB1681" s="4"/>
      <c r="EC1681" s="4"/>
      <c r="ED1681" s="4"/>
      <c r="EE1681" s="4"/>
      <c r="EF1681" s="4"/>
      <c r="EG1681" s="4"/>
      <c r="EH1681" s="4"/>
      <c r="EI1681" s="4"/>
      <c r="EJ1681" s="4"/>
      <c r="EK1681" s="4"/>
      <c r="EL1681" s="4"/>
      <c r="EM1681" s="4"/>
      <c r="EN1681" s="4"/>
      <c r="EO1681" s="4"/>
      <c r="EP1681" s="4"/>
      <c r="EQ1681" s="4"/>
      <c r="ER1681" s="4"/>
      <c r="ES1681" s="4"/>
      <c r="ET1681" s="4"/>
      <c r="EU1681" s="4"/>
      <c r="EV1681" s="4"/>
      <c r="EW1681" s="4"/>
      <c r="EX1681" s="4"/>
      <c r="EY1681" s="4"/>
      <c r="EZ1681" s="4"/>
      <c r="FA1681" s="4"/>
      <c r="FB1681" s="4"/>
      <c r="FC1681" s="4"/>
      <c r="FD1681" s="4"/>
      <c r="FE1681" s="4"/>
      <c r="FF1681" s="4"/>
      <c r="FG1681" s="4"/>
      <c r="FH1681" s="4"/>
      <c r="FI1681" s="4"/>
      <c r="FJ1681" s="4"/>
      <c r="FK1681" s="4"/>
      <c r="FL1681" s="4"/>
      <c r="FM1681" s="4"/>
      <c r="FN1681" s="4"/>
      <c r="FO1681" s="4"/>
      <c r="FP1681" s="4"/>
      <c r="FQ1681" s="4"/>
      <c r="FR1681" s="4"/>
      <c r="FS1681" s="4"/>
      <c r="FT1681" s="4"/>
      <c r="FU1681" s="4"/>
      <c r="FV1681" s="4"/>
      <c r="FW1681" s="4"/>
      <c r="FX1681" s="4"/>
      <c r="FY1681" s="4"/>
      <c r="FZ1681" s="4"/>
      <c r="GA1681" s="4"/>
      <c r="GB1681" s="4"/>
      <c r="GC1681" s="4"/>
      <c r="GD1681" s="4"/>
      <c r="GE1681" s="4"/>
      <c r="GF1681" s="4"/>
      <c r="GG1681" s="4"/>
      <c r="GH1681" s="4"/>
    </row>
    <row r="1682">
      <c r="A1682" s="2" t="s">
        <v>8661</v>
      </c>
      <c r="B1682" s="2" t="s">
        <v>719</v>
      </c>
      <c r="C1682" s="2" t="s">
        <v>231</v>
      </c>
      <c r="D1682" s="2" t="s">
        <v>1554</v>
      </c>
      <c r="E1682" s="2" t="s">
        <v>1555</v>
      </c>
      <c r="F1682" s="2" t="s">
        <v>8657</v>
      </c>
      <c r="G1682" s="2" t="s">
        <v>8657</v>
      </c>
      <c r="H1682" s="2" t="s">
        <v>8657</v>
      </c>
      <c r="I1682" s="2" t="s">
        <v>8662</v>
      </c>
      <c r="J1682" s="2" t="s">
        <v>711</v>
      </c>
      <c r="K1682" s="2" t="s">
        <v>8663</v>
      </c>
      <c r="L1682" s="3">
        <v>6.66</v>
      </c>
      <c r="M1682" s="3">
        <v>6.99</v>
      </c>
      <c r="N1682" s="3">
        <v>19.99</v>
      </c>
      <c r="O1682" s="2" t="s">
        <v>212</v>
      </c>
      <c r="P1682" s="2" t="s">
        <v>285</v>
      </c>
      <c r="Q1682" s="2" t="s">
        <v>206</v>
      </c>
      <c r="R1682" s="2" t="s">
        <v>200</v>
      </c>
      <c r="S1682" s="2" t="s">
        <v>200</v>
      </c>
      <c r="T1682" s="2" t="s">
        <v>200</v>
      </c>
      <c r="U1682" s="2" t="s">
        <v>270</v>
      </c>
      <c r="V1682" s="2" t="s">
        <v>1726</v>
      </c>
      <c r="W1682" s="2" t="s">
        <v>241</v>
      </c>
      <c r="X1682" s="2" t="s">
        <v>1271</v>
      </c>
      <c r="Y1682" s="2" t="s">
        <v>1734</v>
      </c>
      <c r="Z1682" s="4">
        <v>108</v>
      </c>
      <c r="AA1682" s="4">
        <f>=ROUNDDOWN(30,0)</f>
      </c>
      <c r="AB1682" s="5">
        <v>3.6</v>
      </c>
      <c r="AC1682" s="2" t="s">
        <v>200</v>
      </c>
      <c r="AD1682" s="4"/>
      <c r="AE1682" s="4"/>
      <c r="AF1682" s="6">
        <v>63</v>
      </c>
      <c r="AG1682" s="6"/>
      <c r="AH1682" s="7">
        <v>1</v>
      </c>
      <c r="AI1682" s="4"/>
      <c r="AJ1682" s="4">
        <f>=ROUNDDOWN({0},0)</f>
      </c>
      <c r="AK1682" s="5"/>
      <c r="AL1682" s="2" t="s">
        <v>200</v>
      </c>
      <c r="AM1682" s="4"/>
      <c r="AN1682" s="4"/>
      <c r="AO1682" s="7"/>
      <c r="AP1682" s="4"/>
      <c r="AQ1682" s="8"/>
      <c r="AR1682" s="4"/>
      <c r="AS1682" s="8"/>
      <c r="AT1682" s="7"/>
      <c r="AU1682" s="7"/>
      <c r="AV1682" s="4"/>
      <c r="AW1682" s="8"/>
      <c r="AX1682" s="4"/>
      <c r="AY1682" s="8"/>
      <c r="AZ1682" s="7"/>
      <c r="BA1682" s="7"/>
      <c r="BB1682" s="7"/>
      <c r="BC1682" s="4" t="s">
        <v>200</v>
      </c>
      <c r="BD1682" s="8" t="s">
        <v>200</v>
      </c>
      <c r="BE1682" s="4" t="s">
        <v>200</v>
      </c>
      <c r="BF1682" s="8" t="s">
        <v>200</v>
      </c>
      <c r="BG1682" s="7" t="s">
        <v>200</v>
      </c>
      <c r="BH1682" s="7" t="s">
        <v>200</v>
      </c>
      <c r="BI1682" s="7"/>
      <c r="BJ1682" s="4">
        <v>10</v>
      </c>
      <c r="BK1682" s="8">
        <v>77.46</v>
      </c>
      <c r="BL1682" s="2" t="s">
        <v>8664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8665</v>
      </c>
      <c r="BV1682" s="2" t="s">
        <v>200</v>
      </c>
      <c r="BW1682" s="2" t="s">
        <v>200</v>
      </c>
      <c r="BX1682" s="2" t="s">
        <v>289</v>
      </c>
      <c r="BY1682" s="2" t="s">
        <v>247</v>
      </c>
      <c r="BZ1682" s="2" t="s">
        <v>212</v>
      </c>
      <c r="CA1682" s="2" t="s">
        <v>1730</v>
      </c>
      <c r="CB1682" s="2" t="s">
        <v>200</v>
      </c>
      <c r="CC1682" s="2" t="s">
        <v>213</v>
      </c>
      <c r="CD1682" s="2" t="s">
        <v>200</v>
      </c>
      <c r="CE1682" s="4"/>
      <c r="CF1682" s="4">
        <v>108</v>
      </c>
      <c r="CG1682" s="4"/>
      <c r="CH1682" s="4"/>
      <c r="CI1682" s="4"/>
      <c r="CJ1682" s="4"/>
      <c r="CK1682" s="4"/>
      <c r="CL1682" s="4"/>
      <c r="CM1682" s="4"/>
      <c r="CN1682" s="4"/>
      <c r="CO1682" s="4"/>
      <c r="CP1682" s="4"/>
      <c r="CQ1682" s="4"/>
      <c r="CR1682" s="4"/>
      <c r="CS1682" s="4"/>
      <c r="CT1682" s="4"/>
      <c r="CU1682" s="4"/>
      <c r="CV1682" s="4"/>
      <c r="CW1682" s="4"/>
      <c r="CX1682" s="4"/>
      <c r="CY1682" s="4"/>
      <c r="CZ1682" s="4"/>
      <c r="DA1682" s="4"/>
      <c r="DB1682" s="4"/>
      <c r="DC1682" s="4"/>
      <c r="DD1682" s="4"/>
      <c r="DE1682" s="4"/>
      <c r="DF1682" s="4"/>
      <c r="DG1682" s="4"/>
      <c r="DH1682" s="4"/>
      <c r="DI1682" s="4"/>
      <c r="DJ1682" s="4"/>
      <c r="DK1682" s="4"/>
      <c r="DL1682" s="4"/>
      <c r="DM1682" s="4"/>
      <c r="DN1682" s="4"/>
      <c r="DO1682" s="4"/>
      <c r="DP1682" s="4"/>
      <c r="DQ1682" s="4"/>
      <c r="DR1682" s="4"/>
      <c r="DS1682" s="4"/>
      <c r="DT1682" s="4"/>
      <c r="DU1682" s="4"/>
      <c r="DV1682" s="4"/>
      <c r="DW1682" s="4"/>
      <c r="DX1682" s="4"/>
      <c r="DY1682" s="4"/>
      <c r="DZ1682" s="4"/>
      <c r="EA1682" s="4"/>
      <c r="EB1682" s="4"/>
      <c r="EC1682" s="4"/>
      <c r="ED1682" s="4"/>
      <c r="EE1682" s="4"/>
      <c r="EF1682" s="4"/>
      <c r="EG1682" s="4"/>
      <c r="EH1682" s="4"/>
      <c r="EI1682" s="4"/>
      <c r="EJ1682" s="4"/>
      <c r="EK1682" s="4"/>
      <c r="EL1682" s="4"/>
      <c r="EM1682" s="4"/>
      <c r="EN1682" s="4"/>
      <c r="EO1682" s="4"/>
      <c r="EP1682" s="4"/>
      <c r="EQ1682" s="4"/>
      <c r="ER1682" s="4"/>
      <c r="ES1682" s="4"/>
      <c r="ET1682" s="4"/>
      <c r="EU1682" s="4"/>
      <c r="EV1682" s="4"/>
      <c r="EW1682" s="4"/>
      <c r="EX1682" s="4"/>
      <c r="EY1682" s="4"/>
      <c r="EZ1682" s="4"/>
      <c r="FA1682" s="4"/>
      <c r="FB1682" s="4"/>
      <c r="FC1682" s="4"/>
      <c r="FD1682" s="4"/>
      <c r="FE1682" s="4"/>
      <c r="FF1682" s="4"/>
      <c r="FG1682" s="4"/>
      <c r="FH1682" s="4"/>
      <c r="FI1682" s="4"/>
      <c r="FJ1682" s="4"/>
      <c r="FK1682" s="4"/>
      <c r="FL1682" s="4"/>
      <c r="FM1682" s="4"/>
      <c r="FN1682" s="4"/>
      <c r="FO1682" s="4"/>
      <c r="FP1682" s="4"/>
      <c r="FQ1682" s="4"/>
      <c r="FR1682" s="4"/>
      <c r="FS1682" s="4"/>
      <c r="FT1682" s="4"/>
      <c r="FU1682" s="4"/>
      <c r="FV1682" s="4"/>
      <c r="FW1682" s="4"/>
      <c r="FX1682" s="4"/>
      <c r="FY1682" s="4"/>
      <c r="FZ1682" s="4"/>
      <c r="GA1682" s="4"/>
      <c r="GB1682" s="4"/>
      <c r="GC1682" s="4"/>
      <c r="GD1682" s="4"/>
      <c r="GE1682" s="4"/>
      <c r="GF1682" s="4"/>
      <c r="GG1682" s="4"/>
      <c r="GH1682" s="4"/>
    </row>
    <row r="1683">
      <c r="A1683" s="2" t="s">
        <v>8666</v>
      </c>
      <c r="B1683" s="2" t="s">
        <v>719</v>
      </c>
      <c r="C1683" s="2" t="s">
        <v>231</v>
      </c>
      <c r="D1683" s="2" t="s">
        <v>1554</v>
      </c>
      <c r="E1683" s="2" t="s">
        <v>1555</v>
      </c>
      <c r="F1683" s="2" t="s">
        <v>8657</v>
      </c>
      <c r="G1683" s="2" t="s">
        <v>8657</v>
      </c>
      <c r="H1683" s="2" t="s">
        <v>8657</v>
      </c>
      <c r="I1683" s="2" t="s">
        <v>8667</v>
      </c>
      <c r="J1683" s="2" t="s">
        <v>711</v>
      </c>
      <c r="K1683" s="2" t="s">
        <v>8668</v>
      </c>
      <c r="L1683" s="3">
        <v>6.66</v>
      </c>
      <c r="M1683" s="3">
        <v>6.99</v>
      </c>
      <c r="N1683" s="3">
        <v>19.99</v>
      </c>
      <c r="O1683" s="2" t="s">
        <v>212</v>
      </c>
      <c r="P1683" s="2" t="s">
        <v>285</v>
      </c>
      <c r="Q1683" s="2" t="s">
        <v>206</v>
      </c>
      <c r="R1683" s="2" t="s">
        <v>200</v>
      </c>
      <c r="S1683" s="2" t="s">
        <v>200</v>
      </c>
      <c r="T1683" s="2" t="s">
        <v>200</v>
      </c>
      <c r="U1683" s="2" t="s">
        <v>270</v>
      </c>
      <c r="V1683" s="2" t="s">
        <v>1726</v>
      </c>
      <c r="W1683" s="2" t="s">
        <v>241</v>
      </c>
      <c r="X1683" s="2" t="s">
        <v>1271</v>
      </c>
      <c r="Y1683" s="2" t="s">
        <v>1734</v>
      </c>
      <c r="Z1683" s="4">
        <v>141</v>
      </c>
      <c r="AA1683" s="4">
        <f>=ROUNDDOWN(74.2105263157895,0)</f>
      </c>
      <c r="AB1683" s="5">
        <v>1.9</v>
      </c>
      <c r="AC1683" s="2" t="s">
        <v>200</v>
      </c>
      <c r="AD1683" s="4"/>
      <c r="AE1683" s="4"/>
      <c r="AF1683" s="6">
        <v>63</v>
      </c>
      <c r="AG1683" s="6"/>
      <c r="AH1683" s="7">
        <v>1</v>
      </c>
      <c r="AI1683" s="4"/>
      <c r="AJ1683" s="4">
        <f>=ROUNDDOWN({0},0)</f>
      </c>
      <c r="AK1683" s="5"/>
      <c r="AL1683" s="2" t="s">
        <v>200</v>
      </c>
      <c r="AM1683" s="4"/>
      <c r="AN1683" s="4"/>
      <c r="AO1683" s="7"/>
      <c r="AP1683" s="4"/>
      <c r="AQ1683" s="8"/>
      <c r="AR1683" s="4"/>
      <c r="AS1683" s="8"/>
      <c r="AT1683" s="7"/>
      <c r="AU1683" s="7"/>
      <c r="AV1683" s="4"/>
      <c r="AW1683" s="8"/>
      <c r="AX1683" s="4"/>
      <c r="AY1683" s="8"/>
      <c r="AZ1683" s="7"/>
      <c r="BA1683" s="7"/>
      <c r="BB1683" s="7"/>
      <c r="BC1683" s="4" t="s">
        <v>200</v>
      </c>
      <c r="BD1683" s="8" t="s">
        <v>200</v>
      </c>
      <c r="BE1683" s="4" t="s">
        <v>200</v>
      </c>
      <c r="BF1683" s="8" t="s">
        <v>200</v>
      </c>
      <c r="BG1683" s="7" t="s">
        <v>200</v>
      </c>
      <c r="BH1683" s="7" t="s">
        <v>200</v>
      </c>
      <c r="BI1683" s="7"/>
      <c r="BJ1683" s="4">
        <v>5</v>
      </c>
      <c r="BK1683" s="8">
        <v>42.17</v>
      </c>
      <c r="BL1683" s="2" t="s">
        <v>2639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8669</v>
      </c>
      <c r="BV1683" s="2" t="s">
        <v>200</v>
      </c>
      <c r="BW1683" s="2" t="s">
        <v>200</v>
      </c>
      <c r="BX1683" s="2" t="s">
        <v>289</v>
      </c>
      <c r="BY1683" s="2" t="s">
        <v>247</v>
      </c>
      <c r="BZ1683" s="2" t="s">
        <v>212</v>
      </c>
      <c r="CA1683" s="2" t="s">
        <v>1730</v>
      </c>
      <c r="CB1683" s="2" t="s">
        <v>200</v>
      </c>
      <c r="CC1683" s="2" t="s">
        <v>213</v>
      </c>
      <c r="CD1683" s="2" t="s">
        <v>200</v>
      </c>
      <c r="CE1683" s="4"/>
      <c r="CF1683" s="4">
        <v>141</v>
      </c>
      <c r="CG1683" s="4"/>
      <c r="CH1683" s="4"/>
      <c r="CI1683" s="4"/>
      <c r="CJ1683" s="4"/>
      <c r="CK1683" s="4"/>
      <c r="CL1683" s="4"/>
      <c r="CM1683" s="4"/>
      <c r="CN1683" s="4"/>
      <c r="CO1683" s="4"/>
      <c r="CP1683" s="4"/>
      <c r="CQ1683" s="4"/>
      <c r="CR1683" s="4"/>
      <c r="CS1683" s="4"/>
      <c r="CT1683" s="4"/>
      <c r="CU1683" s="4"/>
      <c r="CV1683" s="4"/>
      <c r="CW1683" s="4"/>
      <c r="CX1683" s="4"/>
      <c r="CY1683" s="4"/>
      <c r="CZ1683" s="4"/>
      <c r="DA1683" s="4"/>
      <c r="DB1683" s="4"/>
      <c r="DC1683" s="4"/>
      <c r="DD1683" s="4"/>
      <c r="DE1683" s="4"/>
      <c r="DF1683" s="4"/>
      <c r="DG1683" s="4"/>
      <c r="DH1683" s="4"/>
      <c r="DI1683" s="4"/>
      <c r="DJ1683" s="4"/>
      <c r="DK1683" s="4"/>
      <c r="DL1683" s="4"/>
      <c r="DM1683" s="4"/>
      <c r="DN1683" s="4"/>
      <c r="DO1683" s="4"/>
      <c r="DP1683" s="4"/>
      <c r="DQ1683" s="4"/>
      <c r="DR1683" s="4"/>
      <c r="DS1683" s="4"/>
      <c r="DT1683" s="4"/>
      <c r="DU1683" s="4"/>
      <c r="DV1683" s="4"/>
      <c r="DW1683" s="4"/>
      <c r="DX1683" s="4"/>
      <c r="DY1683" s="4"/>
      <c r="DZ1683" s="4"/>
      <c r="EA1683" s="4"/>
      <c r="EB1683" s="4"/>
      <c r="EC1683" s="4"/>
      <c r="ED1683" s="4"/>
      <c r="EE1683" s="4"/>
      <c r="EF1683" s="4"/>
      <c r="EG1683" s="4"/>
      <c r="EH1683" s="4"/>
      <c r="EI1683" s="4"/>
      <c r="EJ1683" s="4"/>
      <c r="EK1683" s="4"/>
      <c r="EL1683" s="4"/>
      <c r="EM1683" s="4"/>
      <c r="EN1683" s="4"/>
      <c r="EO1683" s="4"/>
      <c r="EP1683" s="4"/>
      <c r="EQ1683" s="4"/>
      <c r="ER1683" s="4"/>
      <c r="ES1683" s="4"/>
      <c r="ET1683" s="4"/>
      <c r="EU1683" s="4"/>
      <c r="EV1683" s="4"/>
      <c r="EW1683" s="4"/>
      <c r="EX1683" s="4"/>
      <c r="EY1683" s="4"/>
      <c r="EZ1683" s="4"/>
      <c r="FA1683" s="4"/>
      <c r="FB1683" s="4"/>
      <c r="FC1683" s="4"/>
      <c r="FD1683" s="4"/>
      <c r="FE1683" s="4"/>
      <c r="FF1683" s="4"/>
      <c r="FG1683" s="4"/>
      <c r="FH1683" s="4"/>
      <c r="FI1683" s="4"/>
      <c r="FJ1683" s="4"/>
      <c r="FK1683" s="4"/>
      <c r="FL1683" s="4"/>
      <c r="FM1683" s="4"/>
      <c r="FN1683" s="4"/>
      <c r="FO1683" s="4"/>
      <c r="FP1683" s="4"/>
      <c r="FQ1683" s="4"/>
      <c r="FR1683" s="4"/>
      <c r="FS1683" s="4"/>
      <c r="FT1683" s="4"/>
      <c r="FU1683" s="4"/>
      <c r="FV1683" s="4"/>
      <c r="FW1683" s="4"/>
      <c r="FX1683" s="4"/>
      <c r="FY1683" s="4"/>
      <c r="FZ1683" s="4"/>
      <c r="GA1683" s="4"/>
      <c r="GB1683" s="4"/>
      <c r="GC1683" s="4"/>
      <c r="GD1683" s="4"/>
      <c r="GE1683" s="4"/>
      <c r="GF1683" s="4"/>
      <c r="GG1683" s="4"/>
      <c r="GH1683" s="4"/>
    </row>
    <row r="1684">
      <c r="A1684" s="2" t="s">
        <v>8670</v>
      </c>
      <c r="B1684" s="2" t="s">
        <v>719</v>
      </c>
      <c r="C1684" s="2" t="s">
        <v>231</v>
      </c>
      <c r="D1684" s="2" t="s">
        <v>1554</v>
      </c>
      <c r="E1684" s="2" t="s">
        <v>1555</v>
      </c>
      <c r="F1684" s="2" t="s">
        <v>8657</v>
      </c>
      <c r="G1684" s="2" t="s">
        <v>8657</v>
      </c>
      <c r="H1684" s="2" t="s">
        <v>8657</v>
      </c>
      <c r="I1684" s="2" t="s">
        <v>8671</v>
      </c>
      <c r="J1684" s="2" t="s">
        <v>711</v>
      </c>
      <c r="K1684" s="2" t="s">
        <v>8672</v>
      </c>
      <c r="L1684" s="3">
        <v>6.66</v>
      </c>
      <c r="M1684" s="3">
        <v>6.99</v>
      </c>
      <c r="N1684" s="3">
        <v>19.99</v>
      </c>
      <c r="O1684" s="2" t="s">
        <v>212</v>
      </c>
      <c r="P1684" s="2" t="s">
        <v>750</v>
      </c>
      <c r="Q1684" s="2" t="s">
        <v>206</v>
      </c>
      <c r="R1684" s="2" t="s">
        <v>200</v>
      </c>
      <c r="S1684" s="2" t="s">
        <v>200</v>
      </c>
      <c r="T1684" s="2" t="s">
        <v>200</v>
      </c>
      <c r="U1684" s="2" t="s">
        <v>270</v>
      </c>
      <c r="V1684" s="2" t="s">
        <v>1726</v>
      </c>
      <c r="W1684" s="2" t="s">
        <v>241</v>
      </c>
      <c r="X1684" s="2" t="s">
        <v>1271</v>
      </c>
      <c r="Y1684" s="2" t="s">
        <v>1727</v>
      </c>
      <c r="Z1684" s="4">
        <v>200</v>
      </c>
      <c r="AA1684" s="4">
        <f>=ROUNDDOWN(40,0)</f>
      </c>
      <c r="AB1684" s="5">
        <v>5</v>
      </c>
      <c r="AC1684" s="2" t="s">
        <v>200</v>
      </c>
      <c r="AD1684" s="4"/>
      <c r="AE1684" s="4"/>
      <c r="AF1684" s="6">
        <v>61</v>
      </c>
      <c r="AG1684" s="6"/>
      <c r="AH1684" s="7">
        <v>1</v>
      </c>
      <c r="AI1684" s="4"/>
      <c r="AJ1684" s="4">
        <f>=ROUNDDOWN({0},0)</f>
      </c>
      <c r="AK1684" s="5"/>
      <c r="AL1684" s="2" t="s">
        <v>200</v>
      </c>
      <c r="AM1684" s="4"/>
      <c r="AN1684" s="4"/>
      <c r="AO1684" s="7"/>
      <c r="AP1684" s="4"/>
      <c r="AQ1684" s="8"/>
      <c r="AR1684" s="4"/>
      <c r="AS1684" s="8"/>
      <c r="AT1684" s="7"/>
      <c r="AU1684" s="7"/>
      <c r="AV1684" s="4"/>
      <c r="AW1684" s="8"/>
      <c r="AX1684" s="4"/>
      <c r="AY1684" s="8"/>
      <c r="AZ1684" s="7"/>
      <c r="BA1684" s="7"/>
      <c r="BB1684" s="7"/>
      <c r="BC1684" s="4" t="s">
        <v>200</v>
      </c>
      <c r="BD1684" s="8" t="s">
        <v>200</v>
      </c>
      <c r="BE1684" s="4" t="s">
        <v>200</v>
      </c>
      <c r="BF1684" s="8" t="s">
        <v>200</v>
      </c>
      <c r="BG1684" s="7" t="s">
        <v>200</v>
      </c>
      <c r="BH1684" s="7" t="s">
        <v>200</v>
      </c>
      <c r="BI1684" s="7"/>
      <c r="BJ1684" s="4">
        <v>8</v>
      </c>
      <c r="BK1684" s="8">
        <v>61.66</v>
      </c>
      <c r="BL1684" s="2" t="s">
        <v>1993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8673</v>
      </c>
      <c r="BV1684" s="2" t="s">
        <v>200</v>
      </c>
      <c r="BW1684" s="2" t="s">
        <v>200</v>
      </c>
      <c r="BX1684" s="2" t="s">
        <v>264</v>
      </c>
      <c r="BY1684" s="2" t="s">
        <v>247</v>
      </c>
      <c r="BZ1684" s="2" t="s">
        <v>212</v>
      </c>
      <c r="CA1684" s="2" t="s">
        <v>1730</v>
      </c>
      <c r="CB1684" s="2" t="s">
        <v>200</v>
      </c>
      <c r="CC1684" s="2" t="s">
        <v>213</v>
      </c>
      <c r="CD1684" s="2" t="s">
        <v>200</v>
      </c>
      <c r="CE1684" s="4"/>
      <c r="CF1684" s="4">
        <v>200</v>
      </c>
      <c r="CG1684" s="4"/>
      <c r="CH1684" s="4"/>
      <c r="CI1684" s="4"/>
      <c r="CJ1684" s="4"/>
      <c r="CK1684" s="4"/>
      <c r="CL1684" s="4"/>
      <c r="CM1684" s="4"/>
      <c r="CN1684" s="4"/>
      <c r="CO1684" s="4"/>
      <c r="CP1684" s="4"/>
      <c r="CQ1684" s="4"/>
      <c r="CR1684" s="4"/>
      <c r="CS1684" s="4"/>
      <c r="CT1684" s="4"/>
      <c r="CU1684" s="4"/>
      <c r="CV1684" s="4"/>
      <c r="CW1684" s="4"/>
      <c r="CX1684" s="4"/>
      <c r="CY1684" s="4"/>
      <c r="CZ1684" s="4"/>
      <c r="DA1684" s="4"/>
      <c r="DB1684" s="4"/>
      <c r="DC1684" s="4"/>
      <c r="DD1684" s="4"/>
      <c r="DE1684" s="4"/>
      <c r="DF1684" s="4"/>
      <c r="DG1684" s="4"/>
      <c r="DH1684" s="4"/>
      <c r="DI1684" s="4"/>
      <c r="DJ1684" s="4"/>
      <c r="DK1684" s="4"/>
      <c r="DL1684" s="4"/>
      <c r="DM1684" s="4"/>
      <c r="DN1684" s="4"/>
      <c r="DO1684" s="4"/>
      <c r="DP1684" s="4"/>
      <c r="DQ1684" s="4"/>
      <c r="DR1684" s="4"/>
      <c r="DS1684" s="4"/>
      <c r="DT1684" s="4"/>
      <c r="DU1684" s="4"/>
      <c r="DV1684" s="4"/>
      <c r="DW1684" s="4"/>
      <c r="DX1684" s="4"/>
      <c r="DY1684" s="4"/>
      <c r="DZ1684" s="4"/>
      <c r="EA1684" s="4"/>
      <c r="EB1684" s="4"/>
      <c r="EC1684" s="4"/>
      <c r="ED1684" s="4"/>
      <c r="EE1684" s="4"/>
      <c r="EF1684" s="4"/>
      <c r="EG1684" s="4"/>
      <c r="EH1684" s="4"/>
      <c r="EI1684" s="4"/>
      <c r="EJ1684" s="4"/>
      <c r="EK1684" s="4"/>
      <c r="EL1684" s="4"/>
      <c r="EM1684" s="4"/>
      <c r="EN1684" s="4"/>
      <c r="EO1684" s="4"/>
      <c r="EP1684" s="4"/>
      <c r="EQ1684" s="4"/>
      <c r="ER1684" s="4"/>
      <c r="ES1684" s="4"/>
      <c r="ET1684" s="4"/>
      <c r="EU1684" s="4"/>
      <c r="EV1684" s="4"/>
      <c r="EW1684" s="4"/>
      <c r="EX1684" s="4"/>
      <c r="EY1684" s="4"/>
      <c r="EZ1684" s="4"/>
      <c r="FA1684" s="4"/>
      <c r="FB1684" s="4"/>
      <c r="FC1684" s="4"/>
      <c r="FD1684" s="4"/>
      <c r="FE1684" s="4"/>
      <c r="FF1684" s="4"/>
      <c r="FG1684" s="4"/>
      <c r="FH1684" s="4"/>
      <c r="FI1684" s="4"/>
      <c r="FJ1684" s="4"/>
      <c r="FK1684" s="4"/>
      <c r="FL1684" s="4"/>
      <c r="FM1684" s="4"/>
      <c r="FN1684" s="4"/>
      <c r="FO1684" s="4"/>
      <c r="FP1684" s="4"/>
      <c r="FQ1684" s="4"/>
      <c r="FR1684" s="4"/>
      <c r="FS1684" s="4"/>
      <c r="FT1684" s="4"/>
      <c r="FU1684" s="4"/>
      <c r="FV1684" s="4"/>
      <c r="FW1684" s="4"/>
      <c r="FX1684" s="4"/>
      <c r="FY1684" s="4"/>
      <c r="FZ1684" s="4"/>
      <c r="GA1684" s="4"/>
      <c r="GB1684" s="4"/>
      <c r="GC1684" s="4"/>
      <c r="GD1684" s="4"/>
      <c r="GE1684" s="4"/>
      <c r="GF1684" s="4"/>
      <c r="GG1684" s="4"/>
      <c r="GH1684" s="4"/>
    </row>
    <row r="1685">
      <c r="A1685" s="2" t="s">
        <v>8674</v>
      </c>
      <c r="B1685" s="2" t="s">
        <v>719</v>
      </c>
      <c r="C1685" s="2" t="s">
        <v>231</v>
      </c>
      <c r="D1685" s="2" t="s">
        <v>1554</v>
      </c>
      <c r="E1685" s="2" t="s">
        <v>1555</v>
      </c>
      <c r="F1685" s="2" t="s">
        <v>8657</v>
      </c>
      <c r="G1685" s="2" t="s">
        <v>8657</v>
      </c>
      <c r="H1685" s="2" t="s">
        <v>8657</v>
      </c>
      <c r="I1685" s="2" t="s">
        <v>8675</v>
      </c>
      <c r="J1685" s="2" t="s">
        <v>711</v>
      </c>
      <c r="K1685" s="2" t="s">
        <v>8676</v>
      </c>
      <c r="L1685" s="3">
        <v>6.66</v>
      </c>
      <c r="M1685" s="3">
        <v>6.99</v>
      </c>
      <c r="N1685" s="3">
        <v>19.99</v>
      </c>
      <c r="O1685" s="2" t="s">
        <v>212</v>
      </c>
      <c r="P1685" s="2" t="s">
        <v>285</v>
      </c>
      <c r="Q1685" s="2" t="s">
        <v>206</v>
      </c>
      <c r="R1685" s="2" t="s">
        <v>200</v>
      </c>
      <c r="S1685" s="2" t="s">
        <v>200</v>
      </c>
      <c r="T1685" s="2" t="s">
        <v>200</v>
      </c>
      <c r="U1685" s="2" t="s">
        <v>270</v>
      </c>
      <c r="V1685" s="2" t="s">
        <v>1726</v>
      </c>
      <c r="W1685" s="2" t="s">
        <v>241</v>
      </c>
      <c r="X1685" s="2" t="s">
        <v>1271</v>
      </c>
      <c r="Y1685" s="2" t="s">
        <v>1727</v>
      </c>
      <c r="Z1685" s="4">
        <v>189</v>
      </c>
      <c r="AA1685" s="4">
        <f>=ROUNDDOWN(189,0)</f>
      </c>
      <c r="AB1685" s="5">
        <v>1</v>
      </c>
      <c r="AC1685" s="2" t="s">
        <v>200</v>
      </c>
      <c r="AD1685" s="4"/>
      <c r="AE1685" s="4"/>
      <c r="AF1685" s="6">
        <v>63</v>
      </c>
      <c r="AG1685" s="6"/>
      <c r="AH1685" s="7">
        <v>1</v>
      </c>
      <c r="AI1685" s="4"/>
      <c r="AJ1685" s="4">
        <f>=ROUNDDOWN({0},0)</f>
      </c>
      <c r="AK1685" s="5"/>
      <c r="AL1685" s="2" t="s">
        <v>200</v>
      </c>
      <c r="AM1685" s="4"/>
      <c r="AN1685" s="4"/>
      <c r="AO1685" s="7"/>
      <c r="AP1685" s="4"/>
      <c r="AQ1685" s="8"/>
      <c r="AR1685" s="4"/>
      <c r="AS1685" s="8"/>
      <c r="AT1685" s="7"/>
      <c r="AU1685" s="7"/>
      <c r="AV1685" s="4"/>
      <c r="AW1685" s="8"/>
      <c r="AX1685" s="4"/>
      <c r="AY1685" s="8"/>
      <c r="AZ1685" s="7"/>
      <c r="BA1685" s="7"/>
      <c r="BB1685" s="7"/>
      <c r="BC1685" s="4" t="s">
        <v>200</v>
      </c>
      <c r="BD1685" s="8" t="s">
        <v>200</v>
      </c>
      <c r="BE1685" s="4" t="s">
        <v>200</v>
      </c>
      <c r="BF1685" s="8" t="s">
        <v>200</v>
      </c>
      <c r="BG1685" s="7" t="s">
        <v>200</v>
      </c>
      <c r="BH1685" s="7" t="s">
        <v>200</v>
      </c>
      <c r="BI1685" s="7"/>
      <c r="BJ1685" s="4">
        <v>4</v>
      </c>
      <c r="BK1685" s="8">
        <v>30.34</v>
      </c>
      <c r="BL1685" s="2" t="s">
        <v>3348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8677</v>
      </c>
      <c r="BV1685" s="2" t="s">
        <v>200</v>
      </c>
      <c r="BW1685" s="2" t="s">
        <v>200</v>
      </c>
      <c r="BX1685" s="2" t="s">
        <v>289</v>
      </c>
      <c r="BY1685" s="2" t="s">
        <v>247</v>
      </c>
      <c r="BZ1685" s="2" t="s">
        <v>212</v>
      </c>
      <c r="CA1685" s="2" t="s">
        <v>1730</v>
      </c>
      <c r="CB1685" s="2" t="s">
        <v>200</v>
      </c>
      <c r="CC1685" s="2" t="s">
        <v>213</v>
      </c>
      <c r="CD1685" s="2" t="s">
        <v>200</v>
      </c>
      <c r="CE1685" s="4"/>
      <c r="CF1685" s="4">
        <v>189</v>
      </c>
      <c r="CG1685" s="4"/>
      <c r="CH1685" s="4"/>
      <c r="CI1685" s="4"/>
      <c r="CJ1685" s="4"/>
      <c r="CK1685" s="4"/>
      <c r="CL1685" s="4"/>
      <c r="CM1685" s="4"/>
      <c r="CN1685" s="4"/>
      <c r="CO1685" s="4"/>
      <c r="CP1685" s="4"/>
      <c r="CQ1685" s="4"/>
      <c r="CR1685" s="4"/>
      <c r="CS1685" s="4"/>
      <c r="CT1685" s="4"/>
      <c r="CU1685" s="4"/>
      <c r="CV1685" s="4"/>
      <c r="CW1685" s="4"/>
      <c r="CX1685" s="4"/>
      <c r="CY1685" s="4"/>
      <c r="CZ1685" s="4"/>
      <c r="DA1685" s="4"/>
      <c r="DB1685" s="4"/>
      <c r="DC1685" s="4"/>
      <c r="DD1685" s="4"/>
      <c r="DE1685" s="4"/>
      <c r="DF1685" s="4"/>
      <c r="DG1685" s="4"/>
      <c r="DH1685" s="4"/>
      <c r="DI1685" s="4"/>
      <c r="DJ1685" s="4"/>
      <c r="DK1685" s="4"/>
      <c r="DL1685" s="4"/>
      <c r="DM1685" s="4"/>
      <c r="DN1685" s="4"/>
      <c r="DO1685" s="4"/>
      <c r="DP1685" s="4"/>
      <c r="DQ1685" s="4"/>
      <c r="DR1685" s="4"/>
      <c r="DS1685" s="4"/>
      <c r="DT1685" s="4"/>
      <c r="DU1685" s="4"/>
      <c r="DV1685" s="4"/>
      <c r="DW1685" s="4"/>
      <c r="DX1685" s="4"/>
      <c r="DY1685" s="4"/>
      <c r="DZ1685" s="4"/>
      <c r="EA1685" s="4"/>
      <c r="EB1685" s="4"/>
      <c r="EC1685" s="4"/>
      <c r="ED1685" s="4"/>
      <c r="EE1685" s="4"/>
      <c r="EF1685" s="4"/>
      <c r="EG1685" s="4"/>
      <c r="EH1685" s="4"/>
      <c r="EI1685" s="4"/>
      <c r="EJ1685" s="4"/>
      <c r="EK1685" s="4"/>
      <c r="EL1685" s="4"/>
      <c r="EM1685" s="4"/>
      <c r="EN1685" s="4"/>
      <c r="EO1685" s="4"/>
      <c r="EP1685" s="4"/>
      <c r="EQ1685" s="4"/>
      <c r="ER1685" s="4"/>
      <c r="ES1685" s="4"/>
      <c r="ET1685" s="4"/>
      <c r="EU1685" s="4"/>
      <c r="EV1685" s="4"/>
      <c r="EW1685" s="4"/>
      <c r="EX1685" s="4"/>
      <c r="EY1685" s="4"/>
      <c r="EZ1685" s="4"/>
      <c r="FA1685" s="4"/>
      <c r="FB1685" s="4"/>
      <c r="FC1685" s="4"/>
      <c r="FD1685" s="4"/>
      <c r="FE1685" s="4"/>
      <c r="FF1685" s="4"/>
      <c r="FG1685" s="4"/>
      <c r="FH1685" s="4"/>
      <c r="FI1685" s="4"/>
      <c r="FJ1685" s="4"/>
      <c r="FK1685" s="4"/>
      <c r="FL1685" s="4"/>
      <c r="FM1685" s="4"/>
      <c r="FN1685" s="4"/>
      <c r="FO1685" s="4"/>
      <c r="FP1685" s="4"/>
      <c r="FQ1685" s="4"/>
      <c r="FR1685" s="4"/>
      <c r="FS1685" s="4"/>
      <c r="FT1685" s="4"/>
      <c r="FU1685" s="4"/>
      <c r="FV1685" s="4"/>
      <c r="FW1685" s="4"/>
      <c r="FX1685" s="4"/>
      <c r="FY1685" s="4"/>
      <c r="FZ1685" s="4"/>
      <c r="GA1685" s="4"/>
      <c r="GB1685" s="4"/>
      <c r="GC1685" s="4"/>
      <c r="GD1685" s="4"/>
      <c r="GE1685" s="4"/>
      <c r="GF1685" s="4"/>
      <c r="GG1685" s="4"/>
      <c r="GH1685" s="4"/>
    </row>
    <row r="1686">
      <c r="A1686" s="2" t="s">
        <v>8678</v>
      </c>
      <c r="B1686" s="2" t="s">
        <v>719</v>
      </c>
      <c r="C1686" s="2" t="s">
        <v>231</v>
      </c>
      <c r="D1686" s="2" t="s">
        <v>1554</v>
      </c>
      <c r="E1686" s="2" t="s">
        <v>1555</v>
      </c>
      <c r="F1686" s="2" t="s">
        <v>8657</v>
      </c>
      <c r="G1686" s="2" t="s">
        <v>8657</v>
      </c>
      <c r="H1686" s="2" t="s">
        <v>8657</v>
      </c>
      <c r="I1686" s="2" t="s">
        <v>8679</v>
      </c>
      <c r="J1686" s="2" t="s">
        <v>711</v>
      </c>
      <c r="K1686" s="2" t="s">
        <v>8680</v>
      </c>
      <c r="L1686" s="3">
        <v>6.66</v>
      </c>
      <c r="M1686" s="3">
        <v>6.99</v>
      </c>
      <c r="N1686" s="3">
        <v>19.99</v>
      </c>
      <c r="O1686" s="2" t="s">
        <v>212</v>
      </c>
      <c r="P1686" s="2" t="s">
        <v>285</v>
      </c>
      <c r="Q1686" s="2" t="s">
        <v>206</v>
      </c>
      <c r="R1686" s="2" t="s">
        <v>200</v>
      </c>
      <c r="S1686" s="2" t="s">
        <v>200</v>
      </c>
      <c r="T1686" s="2" t="s">
        <v>200</v>
      </c>
      <c r="U1686" s="2" t="s">
        <v>270</v>
      </c>
      <c r="V1686" s="2" t="s">
        <v>1726</v>
      </c>
      <c r="W1686" s="2" t="s">
        <v>241</v>
      </c>
      <c r="X1686" s="2" t="s">
        <v>1271</v>
      </c>
      <c r="Y1686" s="2" t="s">
        <v>1727</v>
      </c>
      <c r="Z1686" s="4">
        <v>116</v>
      </c>
      <c r="AA1686" s="4">
        <f>=ROUNDDOWN(58,0)</f>
      </c>
      <c r="AB1686" s="5">
        <v>2</v>
      </c>
      <c r="AC1686" s="2" t="s">
        <v>200</v>
      </c>
      <c r="AD1686" s="4"/>
      <c r="AE1686" s="4"/>
      <c r="AF1686" s="6">
        <v>63</v>
      </c>
      <c r="AG1686" s="6"/>
      <c r="AH1686" s="7">
        <v>1</v>
      </c>
      <c r="AI1686" s="4"/>
      <c r="AJ1686" s="4">
        <f>=ROUNDDOWN({0},0)</f>
      </c>
      <c r="AK1686" s="5"/>
      <c r="AL1686" s="2" t="s">
        <v>200</v>
      </c>
      <c r="AM1686" s="4"/>
      <c r="AN1686" s="4"/>
      <c r="AO1686" s="7"/>
      <c r="AP1686" s="4"/>
      <c r="AQ1686" s="8"/>
      <c r="AR1686" s="4"/>
      <c r="AS1686" s="8"/>
      <c r="AT1686" s="7"/>
      <c r="AU1686" s="7"/>
      <c r="AV1686" s="4"/>
      <c r="AW1686" s="8"/>
      <c r="AX1686" s="4"/>
      <c r="AY1686" s="8"/>
      <c r="AZ1686" s="7"/>
      <c r="BA1686" s="7"/>
      <c r="BB1686" s="7"/>
      <c r="BC1686" s="4" t="s">
        <v>200</v>
      </c>
      <c r="BD1686" s="8" t="s">
        <v>200</v>
      </c>
      <c r="BE1686" s="4" t="s">
        <v>200</v>
      </c>
      <c r="BF1686" s="8" t="s">
        <v>200</v>
      </c>
      <c r="BG1686" s="7" t="s">
        <v>200</v>
      </c>
      <c r="BH1686" s="7" t="s">
        <v>200</v>
      </c>
      <c r="BI1686" s="7"/>
      <c r="BJ1686" s="4">
        <v>4</v>
      </c>
      <c r="BK1686" s="8">
        <v>31.32</v>
      </c>
      <c r="BL1686" s="2" t="s">
        <v>8681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8682</v>
      </c>
      <c r="BV1686" s="2" t="s">
        <v>200</v>
      </c>
      <c r="BW1686" s="2" t="s">
        <v>200</v>
      </c>
      <c r="BX1686" s="2" t="s">
        <v>289</v>
      </c>
      <c r="BY1686" s="2" t="s">
        <v>247</v>
      </c>
      <c r="BZ1686" s="2" t="s">
        <v>212</v>
      </c>
      <c r="CA1686" s="2" t="s">
        <v>1730</v>
      </c>
      <c r="CB1686" s="2" t="s">
        <v>424</v>
      </c>
      <c r="CC1686" s="2" t="s">
        <v>213</v>
      </c>
      <c r="CD1686" s="2" t="s">
        <v>200</v>
      </c>
      <c r="CE1686" s="4"/>
      <c r="CF1686" s="4">
        <v>116</v>
      </c>
      <c r="CG1686" s="4"/>
      <c r="CH1686" s="4"/>
      <c r="CI1686" s="4"/>
      <c r="CJ1686" s="4"/>
      <c r="CK1686" s="4"/>
      <c r="CL1686" s="4"/>
      <c r="CM1686" s="4"/>
      <c r="CN1686" s="4"/>
      <c r="CO1686" s="4"/>
      <c r="CP1686" s="4"/>
      <c r="CQ1686" s="4"/>
      <c r="CR1686" s="4"/>
      <c r="CS1686" s="4"/>
      <c r="CT1686" s="4"/>
      <c r="CU1686" s="4"/>
      <c r="CV1686" s="4"/>
      <c r="CW1686" s="4"/>
      <c r="CX1686" s="4"/>
      <c r="CY1686" s="4"/>
      <c r="CZ1686" s="4"/>
      <c r="DA1686" s="4"/>
      <c r="DB1686" s="4"/>
      <c r="DC1686" s="4"/>
      <c r="DD1686" s="4"/>
      <c r="DE1686" s="4"/>
      <c r="DF1686" s="4"/>
      <c r="DG1686" s="4"/>
      <c r="DH1686" s="4"/>
      <c r="DI1686" s="4"/>
      <c r="DJ1686" s="4"/>
      <c r="DK1686" s="4"/>
      <c r="DL1686" s="4"/>
      <c r="DM1686" s="4"/>
      <c r="DN1686" s="4"/>
      <c r="DO1686" s="4"/>
      <c r="DP1686" s="4"/>
      <c r="DQ1686" s="4"/>
      <c r="DR1686" s="4"/>
      <c r="DS1686" s="4"/>
      <c r="DT1686" s="4"/>
      <c r="DU1686" s="4"/>
      <c r="DV1686" s="4"/>
      <c r="DW1686" s="4"/>
      <c r="DX1686" s="4"/>
      <c r="DY1686" s="4"/>
      <c r="DZ1686" s="4"/>
      <c r="EA1686" s="4"/>
      <c r="EB1686" s="4"/>
      <c r="EC1686" s="4"/>
      <c r="ED1686" s="4"/>
      <c r="EE1686" s="4"/>
      <c r="EF1686" s="4"/>
      <c r="EG1686" s="4"/>
      <c r="EH1686" s="4"/>
      <c r="EI1686" s="4"/>
      <c r="EJ1686" s="4"/>
      <c r="EK1686" s="4"/>
      <c r="EL1686" s="4"/>
      <c r="EM1686" s="4"/>
      <c r="EN1686" s="4"/>
      <c r="EO1686" s="4"/>
      <c r="EP1686" s="4"/>
      <c r="EQ1686" s="4"/>
      <c r="ER1686" s="4"/>
      <c r="ES1686" s="4"/>
      <c r="ET1686" s="4"/>
      <c r="EU1686" s="4"/>
      <c r="EV1686" s="4"/>
      <c r="EW1686" s="4"/>
      <c r="EX1686" s="4"/>
      <c r="EY1686" s="4"/>
      <c r="EZ1686" s="4"/>
      <c r="FA1686" s="4"/>
      <c r="FB1686" s="4"/>
      <c r="FC1686" s="4"/>
      <c r="FD1686" s="4"/>
      <c r="FE1686" s="4"/>
      <c r="FF1686" s="4"/>
      <c r="FG1686" s="4"/>
      <c r="FH1686" s="4"/>
      <c r="FI1686" s="4"/>
      <c r="FJ1686" s="4"/>
      <c r="FK1686" s="4"/>
      <c r="FL1686" s="4"/>
      <c r="FM1686" s="4"/>
      <c r="FN1686" s="4"/>
      <c r="FO1686" s="4"/>
      <c r="FP1686" s="4"/>
      <c r="FQ1686" s="4"/>
      <c r="FR1686" s="4"/>
      <c r="FS1686" s="4"/>
      <c r="FT1686" s="4"/>
      <c r="FU1686" s="4"/>
      <c r="FV1686" s="4"/>
      <c r="FW1686" s="4"/>
      <c r="FX1686" s="4"/>
      <c r="FY1686" s="4"/>
      <c r="FZ1686" s="4"/>
      <c r="GA1686" s="4"/>
      <c r="GB1686" s="4"/>
      <c r="GC1686" s="4"/>
      <c r="GD1686" s="4"/>
      <c r="GE1686" s="4"/>
      <c r="GF1686" s="4"/>
      <c r="GG1686" s="4"/>
      <c r="GH1686" s="4"/>
    </row>
    <row r="1687">
      <c r="A1687" s="2" t="s">
        <v>8683</v>
      </c>
      <c r="B1687" s="2" t="s">
        <v>903</v>
      </c>
      <c r="C1687" s="2" t="s">
        <v>745</v>
      </c>
      <c r="D1687" s="2" t="s">
        <v>608</v>
      </c>
      <c r="E1687" s="2" t="s">
        <v>609</v>
      </c>
      <c r="F1687" s="2" t="s">
        <v>7760</v>
      </c>
      <c r="G1687" s="2" t="s">
        <v>7760</v>
      </c>
      <c r="H1687" s="2" t="s">
        <v>7760</v>
      </c>
      <c r="I1687" s="2" t="s">
        <v>8684</v>
      </c>
      <c r="J1687" s="2" t="s">
        <v>612</v>
      </c>
      <c r="K1687" s="2" t="s">
        <v>387</v>
      </c>
      <c r="L1687" s="3">
        <v>70</v>
      </c>
      <c r="M1687" s="3">
        <v>73.49</v>
      </c>
      <c r="N1687" s="3">
        <v>139.99</v>
      </c>
      <c r="O1687" s="2" t="s">
        <v>460</v>
      </c>
      <c r="P1687" s="2" t="s">
        <v>285</v>
      </c>
      <c r="Q1687" s="2" t="s">
        <v>206</v>
      </c>
      <c r="R1687" s="2" t="s">
        <v>200</v>
      </c>
      <c r="S1687" s="2" t="s">
        <v>8685</v>
      </c>
      <c r="T1687" s="2" t="s">
        <v>200</v>
      </c>
      <c r="U1687" s="2" t="s">
        <v>200</v>
      </c>
      <c r="V1687" s="2" t="s">
        <v>339</v>
      </c>
      <c r="W1687" s="2" t="s">
        <v>8686</v>
      </c>
      <c r="X1687" s="2" t="s">
        <v>8687</v>
      </c>
      <c r="Y1687" s="2" t="s">
        <v>261</v>
      </c>
      <c r="Z1687" s="4">
        <v>82</v>
      </c>
      <c r="AA1687" s="4">
        <f>=ROUNDDOWN(19.0697674418605,0)</f>
      </c>
      <c r="AB1687" s="5">
        <v>4.3</v>
      </c>
      <c r="AC1687" s="2" t="s">
        <v>200</v>
      </c>
      <c r="AD1687" s="4"/>
      <c r="AE1687" s="4"/>
      <c r="AF1687" s="6">
        <v>66</v>
      </c>
      <c r="AG1687" s="6"/>
      <c r="AH1687" s="7">
        <v>1</v>
      </c>
      <c r="AI1687" s="4"/>
      <c r="AJ1687" s="4">
        <f>=ROUNDDOWN({0},0)</f>
      </c>
      <c r="AK1687" s="5"/>
      <c r="AL1687" s="2" t="s">
        <v>200</v>
      </c>
      <c r="AM1687" s="4"/>
      <c r="AN1687" s="4"/>
      <c r="AO1687" s="7"/>
      <c r="AP1687" s="4"/>
      <c r="AQ1687" s="8"/>
      <c r="AR1687" s="4"/>
      <c r="AS1687" s="8"/>
      <c r="AT1687" s="7"/>
      <c r="AU1687" s="7"/>
      <c r="AV1687" s="4"/>
      <c r="AW1687" s="8"/>
      <c r="AX1687" s="4"/>
      <c r="AY1687" s="8"/>
      <c r="AZ1687" s="7"/>
      <c r="BA1687" s="7"/>
      <c r="BB1687" s="7"/>
      <c r="BC1687" s="4"/>
      <c r="BD1687" s="8"/>
      <c r="BE1687" s="4"/>
      <c r="BF1687" s="8"/>
      <c r="BG1687" s="7"/>
      <c r="BH1687" s="7"/>
      <c r="BI1687" s="7"/>
      <c r="BJ1687" s="4">
        <v>15</v>
      </c>
      <c r="BK1687" s="8">
        <v>901.03</v>
      </c>
      <c r="BL1687" s="2" t="s">
        <v>8688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8689</v>
      </c>
      <c r="BV1687" s="2" t="s">
        <v>200</v>
      </c>
      <c r="BW1687" s="2" t="s">
        <v>200</v>
      </c>
      <c r="BX1687" s="2" t="s">
        <v>289</v>
      </c>
      <c r="BY1687" s="2" t="s">
        <v>247</v>
      </c>
      <c r="BZ1687" s="2" t="s">
        <v>212</v>
      </c>
      <c r="CA1687" s="2" t="s">
        <v>265</v>
      </c>
      <c r="CB1687" s="2" t="s">
        <v>8690</v>
      </c>
      <c r="CC1687" s="2" t="s">
        <v>213</v>
      </c>
      <c r="CD1687" s="2" t="s">
        <v>200</v>
      </c>
      <c r="CE1687" s="4">
        <v>82</v>
      </c>
      <c r="CF1687" s="4"/>
      <c r="CG1687" s="4"/>
      <c r="CH1687" s="4"/>
      <c r="CI1687" s="4"/>
      <c r="CJ1687" s="4"/>
      <c r="CK1687" s="4"/>
      <c r="CL1687" s="4"/>
      <c r="CM1687" s="4"/>
      <c r="CN1687" s="4"/>
      <c r="CO1687" s="4"/>
      <c r="CP1687" s="4"/>
      <c r="CQ1687" s="4"/>
      <c r="CR1687" s="4"/>
      <c r="CS1687" s="4"/>
      <c r="CT1687" s="4"/>
      <c r="CU1687" s="4"/>
      <c r="CV1687" s="4"/>
      <c r="CW1687" s="4"/>
      <c r="CX1687" s="4"/>
      <c r="CY1687" s="4"/>
      <c r="CZ1687" s="4"/>
      <c r="DA1687" s="4"/>
      <c r="DB1687" s="4"/>
      <c r="DC1687" s="4"/>
      <c r="DD1687" s="4"/>
      <c r="DE1687" s="4"/>
      <c r="DF1687" s="4"/>
      <c r="DG1687" s="4"/>
      <c r="DH1687" s="4"/>
      <c r="DI1687" s="4"/>
      <c r="DJ1687" s="4"/>
      <c r="DK1687" s="4"/>
      <c r="DL1687" s="4"/>
      <c r="DM1687" s="4"/>
      <c r="DN1687" s="4"/>
      <c r="DO1687" s="4"/>
      <c r="DP1687" s="4"/>
      <c r="DQ1687" s="4"/>
      <c r="DR1687" s="4"/>
      <c r="DS1687" s="4"/>
      <c r="DT1687" s="4"/>
      <c r="DU1687" s="4"/>
      <c r="DV1687" s="4"/>
      <c r="DW1687" s="4"/>
      <c r="DX1687" s="4"/>
      <c r="DY1687" s="4"/>
      <c r="DZ1687" s="4"/>
      <c r="EA1687" s="4"/>
      <c r="EB1687" s="4"/>
      <c r="EC1687" s="4"/>
      <c r="ED1687" s="4"/>
      <c r="EE1687" s="4"/>
      <c r="EF1687" s="4"/>
      <c r="EG1687" s="4"/>
      <c r="EH1687" s="4"/>
      <c r="EI1687" s="4"/>
      <c r="EJ1687" s="4"/>
      <c r="EK1687" s="4"/>
      <c r="EL1687" s="4"/>
      <c r="EM1687" s="4"/>
      <c r="EN1687" s="4"/>
      <c r="EO1687" s="4"/>
      <c r="EP1687" s="4"/>
      <c r="EQ1687" s="4"/>
      <c r="ER1687" s="4"/>
      <c r="ES1687" s="4"/>
      <c r="ET1687" s="4"/>
      <c r="EU1687" s="4"/>
      <c r="EV1687" s="4"/>
      <c r="EW1687" s="4"/>
      <c r="EX1687" s="4"/>
      <c r="EY1687" s="4"/>
      <c r="EZ1687" s="4"/>
      <c r="FA1687" s="4"/>
      <c r="FB1687" s="4"/>
      <c r="FC1687" s="4"/>
      <c r="FD1687" s="4"/>
      <c r="FE1687" s="4"/>
      <c r="FF1687" s="4"/>
      <c r="FG1687" s="4"/>
      <c r="FH1687" s="4"/>
      <c r="FI1687" s="4"/>
      <c r="FJ1687" s="4"/>
      <c r="FK1687" s="4"/>
      <c r="FL1687" s="4"/>
      <c r="FM1687" s="4"/>
      <c r="FN1687" s="4"/>
      <c r="FO1687" s="4"/>
      <c r="FP1687" s="4"/>
      <c r="FQ1687" s="4"/>
      <c r="FR1687" s="4"/>
      <c r="FS1687" s="4"/>
      <c r="FT1687" s="4"/>
      <c r="FU1687" s="4"/>
      <c r="FV1687" s="4"/>
      <c r="FW1687" s="4"/>
      <c r="FX1687" s="4"/>
      <c r="FY1687" s="4"/>
      <c r="FZ1687" s="4"/>
      <c r="GA1687" s="4"/>
      <c r="GB1687" s="4"/>
      <c r="GC1687" s="4"/>
      <c r="GD1687" s="4"/>
      <c r="GE1687" s="4"/>
      <c r="GF1687" s="4"/>
      <c r="GG1687" s="4"/>
      <c r="GH1687" s="4"/>
    </row>
    <row r="1688">
      <c r="A1688" s="2" t="s">
        <v>8691</v>
      </c>
      <c r="B1688" s="2" t="s">
        <v>744</v>
      </c>
      <c r="C1688" s="2" t="s">
        <v>745</v>
      </c>
      <c r="D1688" s="2" t="s">
        <v>746</v>
      </c>
      <c r="E1688" s="2" t="s">
        <v>1422</v>
      </c>
      <c r="F1688" s="2" t="s">
        <v>8692</v>
      </c>
      <c r="G1688" s="2" t="s">
        <v>8692</v>
      </c>
      <c r="H1688" s="2" t="s">
        <v>8692</v>
      </c>
      <c r="I1688" s="2" t="s">
        <v>8693</v>
      </c>
      <c r="J1688" s="2" t="s">
        <v>711</v>
      </c>
      <c r="K1688" s="2" t="s">
        <v>237</v>
      </c>
      <c r="L1688" s="3">
        <v>114</v>
      </c>
      <c r="M1688" s="3">
        <v>119.7</v>
      </c>
      <c r="N1688" s="3">
        <v>239</v>
      </c>
      <c r="O1688" s="2" t="s">
        <v>212</v>
      </c>
      <c r="P1688" s="2" t="s">
        <v>285</v>
      </c>
      <c r="Q1688" s="2" t="s">
        <v>206</v>
      </c>
      <c r="R1688" s="2" t="s">
        <v>200</v>
      </c>
      <c r="S1688" s="2" t="s">
        <v>8694</v>
      </c>
      <c r="T1688" s="2" t="s">
        <v>200</v>
      </c>
      <c r="U1688" s="2" t="s">
        <v>200</v>
      </c>
      <c r="V1688" s="2" t="s">
        <v>208</v>
      </c>
      <c r="W1688" s="2" t="s">
        <v>2095</v>
      </c>
      <c r="X1688" s="2" t="s">
        <v>200</v>
      </c>
      <c r="Y1688" s="2" t="s">
        <v>8695</v>
      </c>
      <c r="Z1688" s="4">
        <v>168</v>
      </c>
      <c r="AA1688" s="4">
        <f>=ROUNDDOWN(84,0)</f>
      </c>
      <c r="AB1688" s="5">
        <v>2</v>
      </c>
      <c r="AC1688" s="2" t="s">
        <v>200</v>
      </c>
      <c r="AD1688" s="4"/>
      <c r="AE1688" s="4"/>
      <c r="AF1688" s="6">
        <v>76</v>
      </c>
      <c r="AG1688" s="6">
        <v>62</v>
      </c>
      <c r="AH1688" s="7">
        <v>1</v>
      </c>
      <c r="AI1688" s="4"/>
      <c r="AJ1688" s="4">
        <f>=ROUNDDOWN({0},0)</f>
      </c>
      <c r="AK1688" s="5"/>
      <c r="AL1688" s="2" t="s">
        <v>200</v>
      </c>
      <c r="AM1688" s="4"/>
      <c r="AN1688" s="4"/>
      <c r="AO1688" s="7"/>
      <c r="AP1688" s="4"/>
      <c r="AQ1688" s="8"/>
      <c r="AR1688" s="4"/>
      <c r="AS1688" s="8"/>
      <c r="AT1688" s="7"/>
      <c r="AU1688" s="7"/>
      <c r="AV1688" s="4"/>
      <c r="AW1688" s="8"/>
      <c r="AX1688" s="4"/>
      <c r="AY1688" s="8"/>
      <c r="AZ1688" s="7"/>
      <c r="BA1688" s="7"/>
      <c r="BB1688" s="7"/>
      <c r="BC1688" s="4" t="s">
        <v>200</v>
      </c>
      <c r="BD1688" s="8" t="s">
        <v>200</v>
      </c>
      <c r="BE1688" s="4" t="s">
        <v>200</v>
      </c>
      <c r="BF1688" s="8" t="s">
        <v>200</v>
      </c>
      <c r="BG1688" s="7" t="s">
        <v>200</v>
      </c>
      <c r="BH1688" s="7" t="s">
        <v>200</v>
      </c>
      <c r="BI1688" s="7"/>
      <c r="BJ1688" s="4">
        <v>3</v>
      </c>
      <c r="BK1688" s="8">
        <v>305.22</v>
      </c>
      <c r="BL1688" s="2" t="s">
        <v>752</v>
      </c>
      <c r="BM1688" s="7"/>
      <c r="BN1688" s="7"/>
      <c r="BO1688" s="4"/>
      <c r="BP1688" s="8"/>
      <c r="BQ1688" s="4"/>
      <c r="BR1688" s="8"/>
      <c r="BS1688" s="7"/>
      <c r="BT1688" s="7"/>
      <c r="BU1688" s="2" t="s">
        <v>8696</v>
      </c>
      <c r="BV1688" s="2" t="s">
        <v>200</v>
      </c>
      <c r="BW1688" s="2" t="s">
        <v>200</v>
      </c>
      <c r="BX1688" s="2" t="s">
        <v>289</v>
      </c>
      <c r="BY1688" s="2" t="s">
        <v>247</v>
      </c>
      <c r="BZ1688" s="2" t="s">
        <v>212</v>
      </c>
      <c r="CA1688" s="2" t="s">
        <v>2335</v>
      </c>
      <c r="CB1688" s="2" t="s">
        <v>8697</v>
      </c>
      <c r="CC1688" s="2" t="s">
        <v>213</v>
      </c>
      <c r="CD1688" s="2" t="s">
        <v>200</v>
      </c>
      <c r="CE1688" s="4"/>
      <c r="CF1688" s="4">
        <v>167</v>
      </c>
      <c r="CG1688" s="4"/>
      <c r="CH1688" s="4">
        <v>1</v>
      </c>
      <c r="CI1688" s="4"/>
      <c r="CJ1688" s="4"/>
      <c r="CK1688" s="4"/>
      <c r="CL1688" s="4"/>
      <c r="CM1688" s="4"/>
      <c r="CN1688" s="4"/>
      <c r="CO1688" s="4"/>
      <c r="CP1688" s="4"/>
      <c r="CQ1688" s="4"/>
      <c r="CR1688" s="4"/>
      <c r="CS1688" s="4"/>
      <c r="CT1688" s="4"/>
      <c r="CU1688" s="4"/>
      <c r="CV1688" s="4"/>
      <c r="CW1688" s="4"/>
      <c r="CX1688" s="4"/>
      <c r="CY1688" s="4"/>
      <c r="CZ1688" s="4"/>
      <c r="DA1688" s="4"/>
      <c r="DB1688" s="4"/>
      <c r="DC1688" s="4"/>
      <c r="DD1688" s="4"/>
      <c r="DE1688" s="4"/>
      <c r="DF1688" s="4"/>
      <c r="DG1688" s="4"/>
      <c r="DH1688" s="4"/>
      <c r="DI1688" s="4"/>
      <c r="DJ1688" s="4"/>
      <c r="DK1688" s="4"/>
      <c r="DL1688" s="4"/>
      <c r="DM1688" s="4"/>
      <c r="DN1688" s="4"/>
      <c r="DO1688" s="4"/>
      <c r="DP1688" s="4"/>
      <c r="DQ1688" s="4"/>
      <c r="DR1688" s="4"/>
      <c r="DS1688" s="4"/>
      <c r="DT1688" s="4"/>
      <c r="DU1688" s="4"/>
      <c r="DV1688" s="4"/>
      <c r="DW1688" s="4"/>
      <c r="DX1688" s="4"/>
      <c r="DY1688" s="4"/>
      <c r="DZ1688" s="4"/>
      <c r="EA1688" s="4"/>
      <c r="EB1688" s="4"/>
      <c r="EC1688" s="4"/>
      <c r="ED1688" s="4"/>
      <c r="EE1688" s="4"/>
      <c r="EF1688" s="4"/>
      <c r="EG1688" s="4"/>
      <c r="EH1688" s="4"/>
      <c r="EI1688" s="4"/>
      <c r="EJ1688" s="4"/>
      <c r="EK1688" s="4"/>
      <c r="EL1688" s="4"/>
      <c r="EM1688" s="4"/>
      <c r="EN1688" s="4"/>
      <c r="EO1688" s="4"/>
      <c r="EP1688" s="4"/>
      <c r="EQ1688" s="4"/>
      <c r="ER1688" s="4"/>
      <c r="ES1688" s="4"/>
      <c r="ET1688" s="4"/>
      <c r="EU1688" s="4"/>
      <c r="EV1688" s="4"/>
      <c r="EW1688" s="4"/>
      <c r="EX1688" s="4"/>
      <c r="EY1688" s="4"/>
      <c r="EZ1688" s="4"/>
      <c r="FA1688" s="4"/>
      <c r="FB1688" s="4"/>
      <c r="FC1688" s="4"/>
      <c r="FD1688" s="4"/>
      <c r="FE1688" s="4"/>
      <c r="FF1688" s="4"/>
      <c r="FG1688" s="4"/>
      <c r="FH1688" s="4"/>
      <c r="FI1688" s="4"/>
      <c r="FJ1688" s="4"/>
      <c r="FK1688" s="4"/>
      <c r="FL1688" s="4"/>
      <c r="FM1688" s="4"/>
      <c r="FN1688" s="4"/>
      <c r="FO1688" s="4"/>
      <c r="FP1688" s="4"/>
      <c r="FQ1688" s="4"/>
      <c r="FR1688" s="4"/>
      <c r="FS1688" s="4"/>
      <c r="FT1688" s="4"/>
      <c r="FU1688" s="4"/>
      <c r="FV1688" s="4"/>
      <c r="FW1688" s="4"/>
      <c r="FX1688" s="4"/>
      <c r="FY1688" s="4"/>
      <c r="FZ1688" s="4"/>
      <c r="GA1688" s="4"/>
      <c r="GB1688" s="4"/>
      <c r="GC1688" s="4"/>
      <c r="GD1688" s="4"/>
      <c r="GE1688" s="4"/>
      <c r="GF1688" s="4"/>
      <c r="GG1688" s="4"/>
      <c r="GH1688" s="4"/>
    </row>
    <row r="1689">
      <c r="A1689" s="2" t="s">
        <v>8698</v>
      </c>
      <c r="B1689" s="2" t="s">
        <v>744</v>
      </c>
      <c r="C1689" s="2" t="s">
        <v>745</v>
      </c>
      <c r="D1689" s="2" t="s">
        <v>1462</v>
      </c>
      <c r="E1689" s="2" t="s">
        <v>1463</v>
      </c>
      <c r="F1689" s="2" t="s">
        <v>8692</v>
      </c>
      <c r="G1689" s="2" t="s">
        <v>8692</v>
      </c>
      <c r="H1689" s="2" t="s">
        <v>8692</v>
      </c>
      <c r="I1689" s="2" t="s">
        <v>2815</v>
      </c>
      <c r="J1689" s="2" t="s">
        <v>711</v>
      </c>
      <c r="K1689" s="2" t="s">
        <v>221</v>
      </c>
      <c r="L1689" s="3">
        <v>195</v>
      </c>
      <c r="M1689" s="3">
        <v>204.75</v>
      </c>
      <c r="N1689" s="3">
        <v>409</v>
      </c>
      <c r="O1689" s="2" t="s">
        <v>212</v>
      </c>
      <c r="P1689" s="2" t="s">
        <v>750</v>
      </c>
      <c r="Q1689" s="2" t="s">
        <v>206</v>
      </c>
      <c r="R1689" s="2" t="s">
        <v>200</v>
      </c>
      <c r="S1689" s="2" t="s">
        <v>8699</v>
      </c>
      <c r="T1689" s="2" t="s">
        <v>200</v>
      </c>
      <c r="U1689" s="2" t="s">
        <v>200</v>
      </c>
      <c r="V1689" s="2" t="s">
        <v>208</v>
      </c>
      <c r="W1689" s="2" t="s">
        <v>2095</v>
      </c>
      <c r="X1689" s="2" t="s">
        <v>200</v>
      </c>
      <c r="Y1689" s="2" t="s">
        <v>261</v>
      </c>
      <c r="Z1689" s="4">
        <v>94</v>
      </c>
      <c r="AA1689" s="4">
        <f>=ROUNDDOWN(94,0)</f>
      </c>
      <c r="AB1689" s="5">
        <v>1</v>
      </c>
      <c r="AC1689" s="2" t="s">
        <v>200</v>
      </c>
      <c r="AD1689" s="4"/>
      <c r="AE1689" s="4"/>
      <c r="AF1689" s="6">
        <v>76</v>
      </c>
      <c r="AG1689" s="6"/>
      <c r="AH1689" s="7">
        <v>1</v>
      </c>
      <c r="AI1689" s="4"/>
      <c r="AJ1689" s="4">
        <f>=ROUNDDOWN({0},0)</f>
      </c>
      <c r="AK1689" s="5"/>
      <c r="AL1689" s="2" t="s">
        <v>200</v>
      </c>
      <c r="AM1689" s="4"/>
      <c r="AN1689" s="4"/>
      <c r="AO1689" s="7"/>
      <c r="AP1689" s="4"/>
      <c r="AQ1689" s="8"/>
      <c r="AR1689" s="4"/>
      <c r="AS1689" s="8"/>
      <c r="AT1689" s="7"/>
      <c r="AU1689" s="7"/>
      <c r="AV1689" s="4"/>
      <c r="AW1689" s="8"/>
      <c r="AX1689" s="4"/>
      <c r="AY1689" s="8"/>
      <c r="AZ1689" s="7"/>
      <c r="BA1689" s="7"/>
      <c r="BB1689" s="7"/>
      <c r="BC1689" s="4" t="s">
        <v>200</v>
      </c>
      <c r="BD1689" s="8" t="s">
        <v>200</v>
      </c>
      <c r="BE1689" s="4" t="s">
        <v>200</v>
      </c>
      <c r="BF1689" s="8" t="s">
        <v>200</v>
      </c>
      <c r="BG1689" s="7" t="s">
        <v>200</v>
      </c>
      <c r="BH1689" s="7" t="s">
        <v>200</v>
      </c>
      <c r="BI1689" s="7"/>
      <c r="BJ1689" s="4">
        <v>1</v>
      </c>
      <c r="BK1689" s="8">
        <v>214.99</v>
      </c>
      <c r="BL1689" s="2" t="s">
        <v>1581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8700</v>
      </c>
      <c r="BV1689" s="2" t="s">
        <v>200</v>
      </c>
      <c r="BW1689" s="2" t="s">
        <v>200</v>
      </c>
      <c r="BX1689" s="2" t="s">
        <v>264</v>
      </c>
      <c r="BY1689" s="2" t="s">
        <v>247</v>
      </c>
      <c r="BZ1689" s="2" t="s">
        <v>212</v>
      </c>
      <c r="CA1689" s="2" t="s">
        <v>2846</v>
      </c>
      <c r="CB1689" s="2" t="s">
        <v>3547</v>
      </c>
      <c r="CC1689" s="2" t="s">
        <v>213</v>
      </c>
      <c r="CD1689" s="2" t="s">
        <v>200</v>
      </c>
      <c r="CE1689" s="4"/>
      <c r="CF1689" s="4">
        <v>94</v>
      </c>
      <c r="CG1689" s="4"/>
      <c r="CH1689" s="4"/>
      <c r="CI1689" s="4"/>
      <c r="CJ1689" s="4"/>
      <c r="CK1689" s="4"/>
      <c r="CL1689" s="4"/>
      <c r="CM1689" s="4"/>
      <c r="CN1689" s="4"/>
      <c r="CO1689" s="4"/>
      <c r="CP1689" s="4"/>
      <c r="CQ1689" s="4"/>
      <c r="CR1689" s="4"/>
      <c r="CS1689" s="4"/>
      <c r="CT1689" s="4"/>
      <c r="CU1689" s="4"/>
      <c r="CV1689" s="4"/>
      <c r="CW1689" s="4"/>
      <c r="CX1689" s="4"/>
      <c r="CY1689" s="4"/>
      <c r="CZ1689" s="4"/>
      <c r="DA1689" s="4"/>
      <c r="DB1689" s="4"/>
      <c r="DC1689" s="4"/>
      <c r="DD1689" s="4"/>
      <c r="DE1689" s="4"/>
      <c r="DF1689" s="4"/>
      <c r="DG1689" s="4"/>
      <c r="DH1689" s="4"/>
      <c r="DI1689" s="4"/>
      <c r="DJ1689" s="4"/>
      <c r="DK1689" s="4"/>
      <c r="DL1689" s="4"/>
      <c r="DM1689" s="4"/>
      <c r="DN1689" s="4"/>
      <c r="DO1689" s="4"/>
      <c r="DP1689" s="4"/>
      <c r="DQ1689" s="4"/>
      <c r="DR1689" s="4"/>
      <c r="DS1689" s="4"/>
      <c r="DT1689" s="4"/>
      <c r="DU1689" s="4"/>
      <c r="DV1689" s="4"/>
      <c r="DW1689" s="4"/>
      <c r="DX1689" s="4"/>
      <c r="DY1689" s="4"/>
      <c r="DZ1689" s="4"/>
      <c r="EA1689" s="4"/>
      <c r="EB1689" s="4"/>
      <c r="EC1689" s="4"/>
      <c r="ED1689" s="4"/>
      <c r="EE1689" s="4"/>
      <c r="EF1689" s="4"/>
      <c r="EG1689" s="4"/>
      <c r="EH1689" s="4"/>
      <c r="EI1689" s="4"/>
      <c r="EJ1689" s="4"/>
      <c r="EK1689" s="4"/>
      <c r="EL1689" s="4"/>
      <c r="EM1689" s="4"/>
      <c r="EN1689" s="4"/>
      <c r="EO1689" s="4"/>
      <c r="EP1689" s="4"/>
      <c r="EQ1689" s="4"/>
      <c r="ER1689" s="4"/>
      <c r="ES1689" s="4"/>
      <c r="ET1689" s="4"/>
      <c r="EU1689" s="4"/>
      <c r="EV1689" s="4"/>
      <c r="EW1689" s="4"/>
      <c r="EX1689" s="4"/>
      <c r="EY1689" s="4"/>
      <c r="EZ1689" s="4"/>
      <c r="FA1689" s="4"/>
      <c r="FB1689" s="4"/>
      <c r="FC1689" s="4"/>
      <c r="FD1689" s="4"/>
      <c r="FE1689" s="4"/>
      <c r="FF1689" s="4"/>
      <c r="FG1689" s="4"/>
      <c r="FH1689" s="4"/>
      <c r="FI1689" s="4"/>
      <c r="FJ1689" s="4"/>
      <c r="FK1689" s="4"/>
      <c r="FL1689" s="4"/>
      <c r="FM1689" s="4"/>
      <c r="FN1689" s="4"/>
      <c r="FO1689" s="4"/>
      <c r="FP1689" s="4"/>
      <c r="FQ1689" s="4"/>
      <c r="FR1689" s="4"/>
      <c r="FS1689" s="4"/>
      <c r="FT1689" s="4"/>
      <c r="FU1689" s="4"/>
      <c r="FV1689" s="4"/>
      <c r="FW1689" s="4"/>
      <c r="FX1689" s="4"/>
      <c r="FY1689" s="4"/>
      <c r="FZ1689" s="4"/>
      <c r="GA1689" s="4"/>
      <c r="GB1689" s="4"/>
      <c r="GC1689" s="4"/>
      <c r="GD1689" s="4"/>
      <c r="GE1689" s="4"/>
      <c r="GF1689" s="4"/>
      <c r="GG1689" s="4"/>
      <c r="GH1689" s="4"/>
    </row>
    <row r="1690">
      <c r="A1690" s="2" t="s">
        <v>8701</v>
      </c>
      <c r="B1690" s="2" t="s">
        <v>744</v>
      </c>
      <c r="C1690" s="2" t="s">
        <v>231</v>
      </c>
      <c r="D1690" s="2" t="s">
        <v>1275</v>
      </c>
      <c r="E1690" s="2" t="s">
        <v>1276</v>
      </c>
      <c r="F1690" s="2" t="s">
        <v>8702</v>
      </c>
      <c r="G1690" s="2" t="s">
        <v>1575</v>
      </c>
      <c r="H1690" s="2" t="s">
        <v>8703</v>
      </c>
      <c r="I1690" s="2" t="s">
        <v>5622</v>
      </c>
      <c r="J1690" s="2" t="s">
        <v>711</v>
      </c>
      <c r="K1690" s="2" t="s">
        <v>436</v>
      </c>
      <c r="L1690" s="3">
        <v>172.8</v>
      </c>
      <c r="M1690" s="3">
        <v>181.44</v>
      </c>
      <c r="N1690" s="3">
        <v>359</v>
      </c>
      <c r="O1690" s="2" t="s">
        <v>212</v>
      </c>
      <c r="P1690" s="2" t="s">
        <v>750</v>
      </c>
      <c r="Q1690" s="2" t="s">
        <v>206</v>
      </c>
      <c r="R1690" s="2" t="s">
        <v>200</v>
      </c>
      <c r="S1690" s="2" t="s">
        <v>200</v>
      </c>
      <c r="T1690" s="2" t="s">
        <v>200</v>
      </c>
      <c r="U1690" s="2" t="s">
        <v>270</v>
      </c>
      <c r="V1690" s="2" t="s">
        <v>616</v>
      </c>
      <c r="W1690" s="2" t="s">
        <v>419</v>
      </c>
      <c r="X1690" s="2" t="s">
        <v>736</v>
      </c>
      <c r="Y1690" s="2" t="s">
        <v>3064</v>
      </c>
      <c r="Z1690" s="4">
        <v>105</v>
      </c>
      <c r="AA1690" s="4">
        <f>=ROUNDDOWN(52.5,0)</f>
      </c>
      <c r="AB1690" s="5">
        <v>2</v>
      </c>
      <c r="AC1690" s="2" t="s">
        <v>691</v>
      </c>
      <c r="AD1690" s="4">
        <v>93</v>
      </c>
      <c r="AE1690" s="4">
        <v>93</v>
      </c>
      <c r="AF1690" s="6">
        <v>66</v>
      </c>
      <c r="AG1690" s="6">
        <v>49</v>
      </c>
      <c r="AH1690" s="7">
        <v>1</v>
      </c>
      <c r="AI1690" s="4"/>
      <c r="AJ1690" s="4">
        <f>=ROUNDDOWN({0},0)</f>
      </c>
      <c r="AK1690" s="5"/>
      <c r="AL1690" s="2" t="s">
        <v>200</v>
      </c>
      <c r="AM1690" s="4"/>
      <c r="AN1690" s="4"/>
      <c r="AO1690" s="7"/>
      <c r="AP1690" s="4"/>
      <c r="AQ1690" s="8"/>
      <c r="AR1690" s="4"/>
      <c r="AS1690" s="8"/>
      <c r="AT1690" s="7"/>
      <c r="AU1690" s="7"/>
      <c r="AV1690" s="4"/>
      <c r="AW1690" s="8"/>
      <c r="AX1690" s="4"/>
      <c r="AY1690" s="8"/>
      <c r="AZ1690" s="7"/>
      <c r="BA1690" s="7"/>
      <c r="BB1690" s="7"/>
      <c r="BC1690" s="4"/>
      <c r="BD1690" s="8"/>
      <c r="BE1690" s="4"/>
      <c r="BF1690" s="8"/>
      <c r="BG1690" s="7"/>
      <c r="BH1690" s="7"/>
      <c r="BI1690" s="7"/>
      <c r="BJ1690" s="4">
        <v>7</v>
      </c>
      <c r="BK1690" s="8">
        <v>1436.78</v>
      </c>
      <c r="BL1690" s="2" t="s">
        <v>8704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8705</v>
      </c>
      <c r="BV1690" s="2" t="s">
        <v>200</v>
      </c>
      <c r="BW1690" s="2" t="s">
        <v>200</v>
      </c>
      <c r="BX1690" s="2" t="s">
        <v>264</v>
      </c>
      <c r="BY1690" s="2" t="s">
        <v>247</v>
      </c>
      <c r="BZ1690" s="2" t="s">
        <v>212</v>
      </c>
      <c r="CA1690" s="2" t="s">
        <v>2913</v>
      </c>
      <c r="CB1690" s="2" t="s">
        <v>8706</v>
      </c>
      <c r="CC1690" s="2" t="s">
        <v>213</v>
      </c>
      <c r="CD1690" s="2" t="s">
        <v>200</v>
      </c>
      <c r="CE1690" s="4"/>
      <c r="CF1690" s="4">
        <v>85</v>
      </c>
      <c r="CG1690" s="4"/>
      <c r="CH1690" s="4">
        <v>20</v>
      </c>
      <c r="CI1690" s="4"/>
      <c r="CJ1690" s="4"/>
      <c r="CK1690" s="4"/>
      <c r="CL1690" s="4"/>
      <c r="CM1690" s="4"/>
      <c r="CN1690" s="4"/>
      <c r="CO1690" s="4"/>
      <c r="CP1690" s="4"/>
      <c r="CQ1690" s="4"/>
      <c r="CR1690" s="4"/>
      <c r="CS1690" s="4"/>
      <c r="CT1690" s="4"/>
      <c r="CU1690" s="4"/>
      <c r="CV1690" s="4"/>
      <c r="CW1690" s="4"/>
      <c r="CX1690" s="4"/>
      <c r="CY1690" s="4"/>
      <c r="CZ1690" s="4"/>
      <c r="DA1690" s="4"/>
      <c r="DB1690" s="4"/>
      <c r="DC1690" s="4"/>
      <c r="DD1690" s="4"/>
      <c r="DE1690" s="4"/>
      <c r="DF1690" s="4"/>
      <c r="DG1690" s="4"/>
      <c r="DH1690" s="4"/>
      <c r="DI1690" s="4"/>
      <c r="DJ1690" s="4"/>
      <c r="DK1690" s="4"/>
      <c r="DL1690" s="4"/>
      <c r="DM1690" s="4"/>
      <c r="DN1690" s="4"/>
      <c r="DO1690" s="4"/>
      <c r="DP1690" s="4"/>
      <c r="DQ1690" s="4"/>
      <c r="DR1690" s="4"/>
      <c r="DS1690" s="4"/>
      <c r="DT1690" s="4"/>
      <c r="DU1690" s="4"/>
      <c r="DV1690" s="4"/>
      <c r="DW1690" s="4"/>
      <c r="DX1690" s="4"/>
      <c r="DY1690" s="4"/>
      <c r="DZ1690" s="4"/>
      <c r="EA1690" s="4"/>
      <c r="EB1690" s="4"/>
      <c r="EC1690" s="4"/>
      <c r="ED1690" s="4"/>
      <c r="EE1690" s="4"/>
      <c r="EF1690" s="4"/>
      <c r="EG1690" s="4"/>
      <c r="EH1690" s="4"/>
      <c r="EI1690" s="4"/>
      <c r="EJ1690" s="4"/>
      <c r="EK1690" s="4"/>
      <c r="EL1690" s="4"/>
      <c r="EM1690" s="4"/>
      <c r="EN1690" s="4"/>
      <c r="EO1690" s="4"/>
      <c r="EP1690" s="4"/>
      <c r="EQ1690" s="4"/>
      <c r="ER1690" s="4"/>
      <c r="ES1690" s="4"/>
      <c r="ET1690" s="4"/>
      <c r="EU1690" s="4"/>
      <c r="EV1690" s="4"/>
      <c r="EW1690" s="4"/>
      <c r="EX1690" s="4"/>
      <c r="EY1690" s="4"/>
      <c r="EZ1690" s="4"/>
      <c r="FA1690" s="4"/>
      <c r="FB1690" s="4"/>
      <c r="FC1690" s="4"/>
      <c r="FD1690" s="4"/>
      <c r="FE1690" s="4"/>
      <c r="FF1690" s="4">
        <v>93</v>
      </c>
      <c r="FG1690" s="4"/>
      <c r="FH1690" s="4"/>
      <c r="FI1690" s="4"/>
      <c r="FJ1690" s="4"/>
      <c r="FK1690" s="4"/>
      <c r="FL1690" s="4"/>
      <c r="FM1690" s="4"/>
      <c r="FN1690" s="4"/>
      <c r="FO1690" s="4"/>
      <c r="FP1690" s="4"/>
      <c r="FQ1690" s="4"/>
      <c r="FR1690" s="4"/>
      <c r="FS1690" s="4"/>
      <c r="FT1690" s="4"/>
      <c r="FU1690" s="4"/>
      <c r="FV1690" s="4"/>
      <c r="FW1690" s="4"/>
      <c r="FX1690" s="4"/>
      <c r="FY1690" s="4"/>
      <c r="FZ1690" s="4"/>
      <c r="GA1690" s="4"/>
      <c r="GB1690" s="4"/>
      <c r="GC1690" s="4"/>
      <c r="GD1690" s="4"/>
      <c r="GE1690" s="4"/>
      <c r="GF1690" s="4"/>
      <c r="GG1690" s="4"/>
      <c r="GH1690" s="4"/>
    </row>
    <row r="1691">
      <c r="A1691" s="2" t="s">
        <v>8707</v>
      </c>
      <c r="B1691" s="2" t="s">
        <v>903</v>
      </c>
      <c r="C1691" s="2" t="s">
        <v>745</v>
      </c>
      <c r="D1691" s="2" t="s">
        <v>918</v>
      </c>
      <c r="E1691" s="2" t="s">
        <v>919</v>
      </c>
      <c r="F1691" s="2" t="s">
        <v>8708</v>
      </c>
      <c r="G1691" s="2" t="s">
        <v>8708</v>
      </c>
      <c r="H1691" s="2" t="s">
        <v>8708</v>
      </c>
      <c r="I1691" s="2" t="s">
        <v>8709</v>
      </c>
      <c r="J1691" s="2" t="s">
        <v>612</v>
      </c>
      <c r="K1691" s="2" t="s">
        <v>8710</v>
      </c>
      <c r="L1691" s="3">
        <v>53.9</v>
      </c>
      <c r="M1691" s="3">
        <v>56.6</v>
      </c>
      <c r="N1691" s="3">
        <v>109.99</v>
      </c>
      <c r="O1691" s="2" t="s">
        <v>212</v>
      </c>
      <c r="P1691" s="2" t="s">
        <v>258</v>
      </c>
      <c r="Q1691" s="2" t="s">
        <v>206</v>
      </c>
      <c r="R1691" s="2" t="s">
        <v>200</v>
      </c>
      <c r="S1691" s="2" t="s">
        <v>8711</v>
      </c>
      <c r="T1691" s="2" t="s">
        <v>2165</v>
      </c>
      <c r="U1691" s="2" t="s">
        <v>454</v>
      </c>
      <c r="V1691" s="2" t="s">
        <v>885</v>
      </c>
      <c r="W1691" s="2" t="s">
        <v>2826</v>
      </c>
      <c r="X1691" s="2" t="s">
        <v>241</v>
      </c>
      <c r="Y1691" s="2" t="s">
        <v>2083</v>
      </c>
      <c r="Z1691" s="4">
        <v>4</v>
      </c>
      <c r="AA1691" s="4">
        <f>=ROUNDDOWN(0.666666666666667,0)</f>
      </c>
      <c r="AB1691" s="5">
        <v>6</v>
      </c>
      <c r="AC1691" s="2" t="s">
        <v>121</v>
      </c>
      <c r="AD1691" s="4">
        <v>100</v>
      </c>
      <c r="AE1691" s="4">
        <v>170</v>
      </c>
      <c r="AF1691" s="6">
        <v>67</v>
      </c>
      <c r="AG1691" s="6"/>
      <c r="AH1691" s="7">
        <v>1</v>
      </c>
      <c r="AI1691" s="4"/>
      <c r="AJ1691" s="4">
        <f>=ROUNDDOWN({0},0)</f>
      </c>
      <c r="AK1691" s="5"/>
      <c r="AL1691" s="2" t="s">
        <v>200</v>
      </c>
      <c r="AM1691" s="4"/>
      <c r="AN1691" s="4"/>
      <c r="AO1691" s="7"/>
      <c r="AP1691" s="4"/>
      <c r="AQ1691" s="8"/>
      <c r="AR1691" s="4"/>
      <c r="AS1691" s="8"/>
      <c r="AT1691" s="7"/>
      <c r="AU1691" s="7"/>
      <c r="AV1691" s="4"/>
      <c r="AW1691" s="8"/>
      <c r="AX1691" s="4"/>
      <c r="AY1691" s="8"/>
      <c r="AZ1691" s="7"/>
      <c r="BA1691" s="7"/>
      <c r="BB1691" s="7"/>
      <c r="BC1691" s="4"/>
      <c r="BD1691" s="8"/>
      <c r="BE1691" s="4"/>
      <c r="BF1691" s="8"/>
      <c r="BG1691" s="7"/>
      <c r="BH1691" s="7"/>
      <c r="BI1691" s="7"/>
      <c r="BJ1691" s="4">
        <v>82</v>
      </c>
      <c r="BK1691" s="8">
        <v>5213.08</v>
      </c>
      <c r="BL1691" s="2" t="s">
        <v>5804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8712</v>
      </c>
      <c r="BV1691" s="2" t="s">
        <v>200</v>
      </c>
      <c r="BW1691" s="2" t="s">
        <v>200</v>
      </c>
      <c r="BX1691" s="2" t="s">
        <v>264</v>
      </c>
      <c r="BY1691" s="2" t="s">
        <v>247</v>
      </c>
      <c r="BZ1691" s="2" t="s">
        <v>212</v>
      </c>
      <c r="CA1691" s="2" t="s">
        <v>8713</v>
      </c>
      <c r="CB1691" s="2" t="s">
        <v>840</v>
      </c>
      <c r="CC1691" s="2" t="s">
        <v>213</v>
      </c>
      <c r="CD1691" s="2" t="s">
        <v>200</v>
      </c>
      <c r="CE1691" s="4">
        <v>4</v>
      </c>
      <c r="CF1691" s="4"/>
      <c r="CG1691" s="4"/>
      <c r="CH1691" s="4"/>
      <c r="CI1691" s="4"/>
      <c r="CJ1691" s="4"/>
      <c r="CK1691" s="4"/>
      <c r="CL1691" s="4"/>
      <c r="CM1691" s="4"/>
      <c r="CN1691" s="4"/>
      <c r="CO1691" s="4"/>
      <c r="CP1691" s="4"/>
      <c r="CQ1691" s="4"/>
      <c r="CR1691" s="4"/>
      <c r="CS1691" s="4"/>
      <c r="CT1691" s="4"/>
      <c r="CU1691" s="4"/>
      <c r="CV1691" s="4"/>
      <c r="CW1691" s="4"/>
      <c r="CX1691" s="4"/>
      <c r="CY1691" s="4"/>
      <c r="CZ1691" s="4"/>
      <c r="DA1691" s="4"/>
      <c r="DB1691" s="4"/>
      <c r="DC1691" s="4"/>
      <c r="DD1691" s="4"/>
      <c r="DE1691" s="4"/>
      <c r="DF1691" s="4"/>
      <c r="DG1691" s="4"/>
      <c r="DH1691" s="4">
        <v>100</v>
      </c>
      <c r="DI1691" s="4"/>
      <c r="DJ1691" s="4"/>
      <c r="DK1691" s="4"/>
      <c r="DL1691" s="4"/>
      <c r="DM1691" s="4"/>
      <c r="DN1691" s="4"/>
      <c r="DO1691" s="4"/>
      <c r="DP1691" s="4"/>
      <c r="DQ1691" s="4"/>
      <c r="DR1691" s="4"/>
      <c r="DS1691" s="4"/>
      <c r="DT1691" s="4"/>
      <c r="DU1691" s="4"/>
      <c r="DV1691" s="4"/>
      <c r="DW1691" s="4"/>
      <c r="DX1691" s="4"/>
      <c r="DY1691" s="4"/>
      <c r="DZ1691" s="4"/>
      <c r="EA1691" s="4"/>
      <c r="EB1691" s="4"/>
      <c r="EC1691" s="4"/>
      <c r="ED1691" s="4"/>
      <c r="EE1691" s="4"/>
      <c r="EF1691" s="4"/>
      <c r="EG1691" s="4"/>
      <c r="EH1691" s="4"/>
      <c r="EI1691" s="4"/>
      <c r="EJ1691" s="4"/>
      <c r="EK1691" s="4"/>
      <c r="EL1691" s="4">
        <v>70</v>
      </c>
      <c r="EM1691" s="4"/>
      <c r="EN1691" s="4"/>
      <c r="EO1691" s="4"/>
      <c r="EP1691" s="4"/>
      <c r="EQ1691" s="4"/>
      <c r="ER1691" s="4"/>
      <c r="ES1691" s="4"/>
      <c r="ET1691" s="4"/>
      <c r="EU1691" s="4"/>
      <c r="EV1691" s="4"/>
      <c r="EW1691" s="4"/>
      <c r="EX1691" s="4"/>
      <c r="EY1691" s="4"/>
      <c r="EZ1691" s="4"/>
      <c r="FA1691" s="4"/>
      <c r="FB1691" s="4"/>
      <c r="FC1691" s="4"/>
      <c r="FD1691" s="4"/>
      <c r="FE1691" s="4"/>
      <c r="FF1691" s="4"/>
      <c r="FG1691" s="4"/>
      <c r="FH1691" s="4"/>
      <c r="FI1691" s="4"/>
      <c r="FJ1691" s="4"/>
      <c r="FK1691" s="4"/>
      <c r="FL1691" s="4"/>
      <c r="FM1691" s="4"/>
      <c r="FN1691" s="4"/>
      <c r="FO1691" s="4"/>
      <c r="FP1691" s="4"/>
      <c r="FQ1691" s="4"/>
      <c r="FR1691" s="4"/>
      <c r="FS1691" s="4"/>
      <c r="FT1691" s="4"/>
      <c r="FU1691" s="4"/>
      <c r="FV1691" s="4"/>
      <c r="FW1691" s="4"/>
      <c r="FX1691" s="4"/>
      <c r="FY1691" s="4"/>
      <c r="FZ1691" s="4"/>
      <c r="GA1691" s="4"/>
      <c r="GB1691" s="4"/>
      <c r="GC1691" s="4"/>
      <c r="GD1691" s="4"/>
      <c r="GE1691" s="4"/>
      <c r="GF1691" s="4"/>
      <c r="GG1691" s="4"/>
      <c r="GH1691" s="4"/>
    </row>
    <row r="1692">
      <c r="A1692" s="2" t="s">
        <v>8714</v>
      </c>
      <c r="B1692" s="2" t="s">
        <v>932</v>
      </c>
      <c r="C1692" s="2" t="s">
        <v>933</v>
      </c>
      <c r="D1692" s="2" t="s">
        <v>1818</v>
      </c>
      <c r="E1692" s="2" t="s">
        <v>2020</v>
      </c>
      <c r="F1692" s="2" t="s">
        <v>8715</v>
      </c>
      <c r="G1692" s="2" t="s">
        <v>8716</v>
      </c>
      <c r="H1692" s="2" t="s">
        <v>8717</v>
      </c>
      <c r="I1692" s="2" t="s">
        <v>8718</v>
      </c>
      <c r="J1692" s="2" t="s">
        <v>1390</v>
      </c>
      <c r="K1692" s="2" t="s">
        <v>733</v>
      </c>
      <c r="L1692" s="3">
        <v>27.6</v>
      </c>
      <c r="M1692" s="3">
        <v>28.98</v>
      </c>
      <c r="N1692" s="3">
        <v>59.99</v>
      </c>
      <c r="O1692" s="2" t="s">
        <v>212</v>
      </c>
      <c r="P1692" s="2" t="s">
        <v>285</v>
      </c>
      <c r="Q1692" s="2" t="s">
        <v>206</v>
      </c>
      <c r="R1692" s="2" t="s">
        <v>200</v>
      </c>
      <c r="S1692" s="2" t="s">
        <v>8719</v>
      </c>
      <c r="T1692" s="2" t="s">
        <v>378</v>
      </c>
      <c r="U1692" s="2" t="s">
        <v>454</v>
      </c>
      <c r="V1692" s="2" t="s">
        <v>2826</v>
      </c>
      <c r="W1692" s="2" t="s">
        <v>1975</v>
      </c>
      <c r="X1692" s="2" t="s">
        <v>241</v>
      </c>
      <c r="Y1692" s="2" t="s">
        <v>261</v>
      </c>
      <c r="Z1692" s="4">
        <v>118</v>
      </c>
      <c r="AA1692" s="4">
        <f>=ROUNDDOWN(29.5,0)</f>
      </c>
      <c r="AB1692" s="5">
        <v>4</v>
      </c>
      <c r="AC1692" s="2" t="s">
        <v>200</v>
      </c>
      <c r="AD1692" s="4"/>
      <c r="AE1692" s="4"/>
      <c r="AF1692" s="6">
        <v>65</v>
      </c>
      <c r="AG1692" s="6"/>
      <c r="AH1692" s="7">
        <v>1</v>
      </c>
      <c r="AI1692" s="4"/>
      <c r="AJ1692" s="4">
        <f>=ROUNDDOWN({0},0)</f>
      </c>
      <c r="AK1692" s="5"/>
      <c r="AL1692" s="2" t="s">
        <v>200</v>
      </c>
      <c r="AM1692" s="4"/>
      <c r="AN1692" s="4"/>
      <c r="AO1692" s="7"/>
      <c r="AP1692" s="4"/>
      <c r="AQ1692" s="8"/>
      <c r="AR1692" s="4"/>
      <c r="AS1692" s="8"/>
      <c r="AT1692" s="7"/>
      <c r="AU1692" s="7"/>
      <c r="AV1692" s="4"/>
      <c r="AW1692" s="8"/>
      <c r="AX1692" s="4"/>
      <c r="AY1692" s="8"/>
      <c r="AZ1692" s="7"/>
      <c r="BA1692" s="7"/>
      <c r="BB1692" s="7"/>
      <c r="BC1692" s="4"/>
      <c r="BD1692" s="8"/>
      <c r="BE1692" s="4"/>
      <c r="BF1692" s="8"/>
      <c r="BG1692" s="7"/>
      <c r="BH1692" s="7"/>
      <c r="BI1692" s="7"/>
      <c r="BJ1692" s="4">
        <v>14</v>
      </c>
      <c r="BK1692" s="8">
        <v>443.12</v>
      </c>
      <c r="BL1692" s="2" t="s">
        <v>8720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8721</v>
      </c>
      <c r="BV1692" s="2" t="s">
        <v>200</v>
      </c>
      <c r="BW1692" s="2" t="s">
        <v>200</v>
      </c>
      <c r="BX1692" s="2" t="s">
        <v>289</v>
      </c>
      <c r="BY1692" s="2" t="s">
        <v>247</v>
      </c>
      <c r="BZ1692" s="2" t="s">
        <v>212</v>
      </c>
      <c r="CA1692" s="2" t="s">
        <v>265</v>
      </c>
      <c r="CB1692" s="2" t="s">
        <v>1108</v>
      </c>
      <c r="CC1692" s="2" t="s">
        <v>213</v>
      </c>
      <c r="CD1692" s="2" t="s">
        <v>200</v>
      </c>
      <c r="CE1692" s="4">
        <v>118</v>
      </c>
      <c r="CF1692" s="4"/>
      <c r="CG1692" s="4"/>
      <c r="CH1692" s="4"/>
      <c r="CI1692" s="4"/>
      <c r="CJ1692" s="4"/>
      <c r="CK1692" s="4"/>
      <c r="CL1692" s="4"/>
      <c r="CM1692" s="4"/>
      <c r="CN1692" s="4"/>
      <c r="CO1692" s="4"/>
      <c r="CP1692" s="4"/>
      <c r="CQ1692" s="4"/>
      <c r="CR1692" s="4"/>
      <c r="CS1692" s="4"/>
      <c r="CT1692" s="4"/>
      <c r="CU1692" s="4"/>
      <c r="CV1692" s="4"/>
      <c r="CW1692" s="4"/>
      <c r="CX1692" s="4"/>
      <c r="CY1692" s="4"/>
      <c r="CZ1692" s="4"/>
      <c r="DA1692" s="4"/>
      <c r="DB1692" s="4"/>
      <c r="DC1692" s="4"/>
      <c r="DD1692" s="4"/>
      <c r="DE1692" s="4"/>
      <c r="DF1692" s="4"/>
      <c r="DG1692" s="4"/>
      <c r="DH1692" s="4"/>
      <c r="DI1692" s="4"/>
      <c r="DJ1692" s="4"/>
      <c r="DK1692" s="4"/>
      <c r="DL1692" s="4"/>
      <c r="DM1692" s="4"/>
      <c r="DN1692" s="4"/>
      <c r="DO1692" s="4"/>
      <c r="DP1692" s="4"/>
      <c r="DQ1692" s="4"/>
      <c r="DR1692" s="4"/>
      <c r="DS1692" s="4"/>
      <c r="DT1692" s="4"/>
      <c r="DU1692" s="4"/>
      <c r="DV1692" s="4"/>
      <c r="DW1692" s="4"/>
      <c r="DX1692" s="4"/>
      <c r="DY1692" s="4"/>
      <c r="DZ1692" s="4"/>
      <c r="EA1692" s="4"/>
      <c r="EB1692" s="4"/>
      <c r="EC1692" s="4"/>
      <c r="ED1692" s="4"/>
      <c r="EE1692" s="4"/>
      <c r="EF1692" s="4"/>
      <c r="EG1692" s="4"/>
      <c r="EH1692" s="4"/>
      <c r="EI1692" s="4"/>
      <c r="EJ1692" s="4"/>
      <c r="EK1692" s="4"/>
      <c r="EL1692" s="4"/>
      <c r="EM1692" s="4"/>
      <c r="EN1692" s="4"/>
      <c r="EO1692" s="4"/>
      <c r="EP1692" s="4"/>
      <c r="EQ1692" s="4"/>
      <c r="ER1692" s="4"/>
      <c r="ES1692" s="4"/>
      <c r="ET1692" s="4"/>
      <c r="EU1692" s="4"/>
      <c r="EV1692" s="4"/>
      <c r="EW1692" s="4"/>
      <c r="EX1692" s="4"/>
      <c r="EY1692" s="4"/>
      <c r="EZ1692" s="4"/>
      <c r="FA1692" s="4"/>
      <c r="FB1692" s="4"/>
      <c r="FC1692" s="4"/>
      <c r="FD1692" s="4"/>
      <c r="FE1692" s="4"/>
      <c r="FF1692" s="4"/>
      <c r="FG1692" s="4"/>
      <c r="FH1692" s="4"/>
      <c r="FI1692" s="4"/>
      <c r="FJ1692" s="4"/>
      <c r="FK1692" s="4"/>
      <c r="FL1692" s="4"/>
      <c r="FM1692" s="4"/>
      <c r="FN1692" s="4"/>
      <c r="FO1692" s="4"/>
      <c r="FP1692" s="4"/>
      <c r="FQ1692" s="4"/>
      <c r="FR1692" s="4"/>
      <c r="FS1692" s="4"/>
      <c r="FT1692" s="4"/>
      <c r="FU1692" s="4"/>
      <c r="FV1692" s="4"/>
      <c r="FW1692" s="4"/>
      <c r="FX1692" s="4"/>
      <c r="FY1692" s="4"/>
      <c r="FZ1692" s="4"/>
      <c r="GA1692" s="4"/>
      <c r="GB1692" s="4"/>
      <c r="GC1692" s="4"/>
      <c r="GD1692" s="4"/>
      <c r="GE1692" s="4"/>
      <c r="GF1692" s="4"/>
      <c r="GG1692" s="4"/>
      <c r="GH1692" s="4"/>
    </row>
    <row r="1693">
      <c r="A1693" s="2" t="s">
        <v>8722</v>
      </c>
      <c r="B1693" s="2" t="s">
        <v>932</v>
      </c>
      <c r="C1693" s="2" t="s">
        <v>877</v>
      </c>
      <c r="D1693" s="2" t="s">
        <v>1818</v>
      </c>
      <c r="E1693" s="2" t="s">
        <v>2020</v>
      </c>
      <c r="F1693" s="2" t="s">
        <v>8723</v>
      </c>
      <c r="G1693" s="2" t="s">
        <v>8724</v>
      </c>
      <c r="H1693" s="2" t="s">
        <v>8725</v>
      </c>
      <c r="I1693" s="2" t="s">
        <v>8726</v>
      </c>
      <c r="J1693" s="2" t="s">
        <v>1390</v>
      </c>
      <c r="K1693" s="2" t="s">
        <v>733</v>
      </c>
      <c r="L1693" s="3">
        <v>34.4</v>
      </c>
      <c r="M1693" s="3">
        <v>36.12</v>
      </c>
      <c r="N1693" s="3">
        <v>79.99</v>
      </c>
      <c r="O1693" s="2" t="s">
        <v>460</v>
      </c>
      <c r="P1693" s="2" t="s">
        <v>285</v>
      </c>
      <c r="Q1693" s="2" t="s">
        <v>206</v>
      </c>
      <c r="R1693" s="2" t="s">
        <v>200</v>
      </c>
      <c r="S1693" s="2" t="s">
        <v>8727</v>
      </c>
      <c r="T1693" s="2" t="s">
        <v>378</v>
      </c>
      <c r="U1693" s="2" t="s">
        <v>240</v>
      </c>
      <c r="V1693" s="2" t="s">
        <v>3675</v>
      </c>
      <c r="W1693" s="2" t="s">
        <v>1975</v>
      </c>
      <c r="X1693" s="2" t="s">
        <v>241</v>
      </c>
      <c r="Y1693" s="2" t="s">
        <v>261</v>
      </c>
      <c r="Z1693" s="4">
        <v>75</v>
      </c>
      <c r="AA1693" s="4">
        <f>=ROUNDDOWN(30,0)</f>
      </c>
      <c r="AB1693" s="5">
        <v>2.5</v>
      </c>
      <c r="AC1693" s="2" t="s">
        <v>200</v>
      </c>
      <c r="AD1693" s="4"/>
      <c r="AE1693" s="4"/>
      <c r="AF1693" s="6">
        <v>64</v>
      </c>
      <c r="AG1693" s="6"/>
      <c r="AH1693" s="7">
        <v>1</v>
      </c>
      <c r="AI1693" s="4"/>
      <c r="AJ1693" s="4">
        <f>=ROUNDDOWN({0},0)</f>
      </c>
      <c r="AK1693" s="5"/>
      <c r="AL1693" s="2" t="s">
        <v>200</v>
      </c>
      <c r="AM1693" s="4"/>
      <c r="AN1693" s="4"/>
      <c r="AO1693" s="7"/>
      <c r="AP1693" s="4"/>
      <c r="AQ1693" s="8"/>
      <c r="AR1693" s="4"/>
      <c r="AS1693" s="8"/>
      <c r="AT1693" s="7"/>
      <c r="AU1693" s="7"/>
      <c r="AV1693" s="4"/>
      <c r="AW1693" s="8"/>
      <c r="AX1693" s="4"/>
      <c r="AY1693" s="8"/>
      <c r="AZ1693" s="7"/>
      <c r="BA1693" s="7"/>
      <c r="BB1693" s="7"/>
      <c r="BC1693" s="4"/>
      <c r="BD1693" s="8"/>
      <c r="BE1693" s="4"/>
      <c r="BF1693" s="8"/>
      <c r="BG1693" s="7"/>
      <c r="BH1693" s="7"/>
      <c r="BI1693" s="7"/>
      <c r="BJ1693" s="4">
        <v>24</v>
      </c>
      <c r="BK1693" s="8">
        <v>489.06</v>
      </c>
      <c r="BL1693" s="2" t="s">
        <v>3641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8728</v>
      </c>
      <c r="BV1693" s="2" t="s">
        <v>200</v>
      </c>
      <c r="BW1693" s="2" t="s">
        <v>200</v>
      </c>
      <c r="BX1693" s="2" t="s">
        <v>289</v>
      </c>
      <c r="BY1693" s="2" t="s">
        <v>247</v>
      </c>
      <c r="BZ1693" s="2" t="s">
        <v>212</v>
      </c>
      <c r="CA1693" s="2" t="s">
        <v>265</v>
      </c>
      <c r="CB1693" s="2" t="s">
        <v>8264</v>
      </c>
      <c r="CC1693" s="2" t="s">
        <v>213</v>
      </c>
      <c r="CD1693" s="2" t="s">
        <v>200</v>
      </c>
      <c r="CE1693" s="4">
        <v>75</v>
      </c>
      <c r="CF1693" s="4"/>
      <c r="CG1693" s="4"/>
      <c r="CH1693" s="4"/>
      <c r="CI1693" s="4"/>
      <c r="CJ1693" s="4"/>
      <c r="CK1693" s="4"/>
      <c r="CL1693" s="4"/>
      <c r="CM1693" s="4"/>
      <c r="CN1693" s="4"/>
      <c r="CO1693" s="4"/>
      <c r="CP1693" s="4"/>
      <c r="CQ1693" s="4"/>
      <c r="CR1693" s="4"/>
      <c r="CS1693" s="4"/>
      <c r="CT1693" s="4"/>
      <c r="CU1693" s="4"/>
      <c r="CV1693" s="4"/>
      <c r="CW1693" s="4"/>
      <c r="CX1693" s="4"/>
      <c r="CY1693" s="4"/>
      <c r="CZ1693" s="4"/>
      <c r="DA1693" s="4"/>
      <c r="DB1693" s="4"/>
      <c r="DC1693" s="4"/>
      <c r="DD1693" s="4"/>
      <c r="DE1693" s="4"/>
      <c r="DF1693" s="4"/>
      <c r="DG1693" s="4"/>
      <c r="DH1693" s="4"/>
      <c r="DI1693" s="4"/>
      <c r="DJ1693" s="4"/>
      <c r="DK1693" s="4"/>
      <c r="DL1693" s="4"/>
      <c r="DM1693" s="4"/>
      <c r="DN1693" s="4"/>
      <c r="DO1693" s="4"/>
      <c r="DP1693" s="4"/>
      <c r="DQ1693" s="4"/>
      <c r="DR1693" s="4"/>
      <c r="DS1693" s="4"/>
      <c r="DT1693" s="4"/>
      <c r="DU1693" s="4"/>
      <c r="DV1693" s="4"/>
      <c r="DW1693" s="4"/>
      <c r="DX1693" s="4"/>
      <c r="DY1693" s="4"/>
      <c r="DZ1693" s="4"/>
      <c r="EA1693" s="4"/>
      <c r="EB1693" s="4"/>
      <c r="EC1693" s="4"/>
      <c r="ED1693" s="4"/>
      <c r="EE1693" s="4"/>
      <c r="EF1693" s="4"/>
      <c r="EG1693" s="4"/>
      <c r="EH1693" s="4"/>
      <c r="EI1693" s="4"/>
      <c r="EJ1693" s="4"/>
      <c r="EK1693" s="4"/>
      <c r="EL1693" s="4"/>
      <c r="EM1693" s="4"/>
      <c r="EN1693" s="4"/>
      <c r="EO1693" s="4"/>
      <c r="EP1693" s="4"/>
      <c r="EQ1693" s="4"/>
      <c r="ER1693" s="4"/>
      <c r="ES1693" s="4"/>
      <c r="ET1693" s="4"/>
      <c r="EU1693" s="4"/>
      <c r="EV1693" s="4"/>
      <c r="EW1693" s="4"/>
      <c r="EX1693" s="4"/>
      <c r="EY1693" s="4"/>
      <c r="EZ1693" s="4"/>
      <c r="FA1693" s="4"/>
      <c r="FB1693" s="4"/>
      <c r="FC1693" s="4"/>
      <c r="FD1693" s="4"/>
      <c r="FE1693" s="4"/>
      <c r="FF1693" s="4"/>
      <c r="FG1693" s="4"/>
      <c r="FH1693" s="4"/>
      <c r="FI1693" s="4"/>
      <c r="FJ1693" s="4"/>
      <c r="FK1693" s="4"/>
      <c r="FL1693" s="4"/>
      <c r="FM1693" s="4"/>
      <c r="FN1693" s="4"/>
      <c r="FO1693" s="4"/>
      <c r="FP1693" s="4"/>
      <c r="FQ1693" s="4"/>
      <c r="FR1693" s="4"/>
      <c r="FS1693" s="4"/>
      <c r="FT1693" s="4"/>
      <c r="FU1693" s="4"/>
      <c r="FV1693" s="4"/>
      <c r="FW1693" s="4"/>
      <c r="FX1693" s="4"/>
      <c r="FY1693" s="4"/>
      <c r="FZ1693" s="4"/>
      <c r="GA1693" s="4"/>
      <c r="GB1693" s="4"/>
      <c r="GC1693" s="4"/>
      <c r="GD1693" s="4"/>
      <c r="GE1693" s="4"/>
      <c r="GF1693" s="4"/>
      <c r="GG1693" s="4"/>
      <c r="GH1693" s="4"/>
    </row>
    <row r="1694">
      <c r="A1694" s="2" t="s">
        <v>8729</v>
      </c>
      <c r="B1694" s="2" t="s">
        <v>230</v>
      </c>
      <c r="C1694" s="2" t="s">
        <v>624</v>
      </c>
      <c r="D1694" s="2" t="s">
        <v>232</v>
      </c>
      <c r="E1694" s="2" t="s">
        <v>233</v>
      </c>
      <c r="F1694" s="2" t="s">
        <v>8730</v>
      </c>
      <c r="G1694" s="2" t="s">
        <v>8730</v>
      </c>
      <c r="H1694" s="2" t="s">
        <v>8730</v>
      </c>
      <c r="I1694" s="2" t="s">
        <v>309</v>
      </c>
      <c r="J1694" s="2" t="s">
        <v>256</v>
      </c>
      <c r="K1694" s="2" t="s">
        <v>387</v>
      </c>
      <c r="L1694" s="3">
        <v>22.15</v>
      </c>
      <c r="M1694" s="3">
        <v>23.26</v>
      </c>
      <c r="N1694" s="3">
        <v>49.99</v>
      </c>
      <c r="O1694" s="2" t="s">
        <v>460</v>
      </c>
      <c r="P1694" s="2" t="s">
        <v>285</v>
      </c>
      <c r="Q1694" s="2" t="s">
        <v>206</v>
      </c>
      <c r="R1694" s="2" t="s">
        <v>200</v>
      </c>
      <c r="S1694" s="2" t="s">
        <v>8731</v>
      </c>
      <c r="T1694" s="2" t="s">
        <v>8732</v>
      </c>
      <c r="U1694" s="2" t="s">
        <v>454</v>
      </c>
      <c r="V1694" s="2" t="s">
        <v>208</v>
      </c>
      <c r="W1694" s="2" t="s">
        <v>241</v>
      </c>
      <c r="X1694" s="2" t="s">
        <v>200</v>
      </c>
      <c r="Y1694" s="2" t="s">
        <v>8733</v>
      </c>
      <c r="Z1694" s="4">
        <v>19</v>
      </c>
      <c r="AA1694" s="4">
        <f>=ROUNDDOWN(19,0)</f>
      </c>
      <c r="AB1694" s="5">
        <v>1</v>
      </c>
      <c r="AC1694" s="2" t="s">
        <v>200</v>
      </c>
      <c r="AD1694" s="4"/>
      <c r="AE1694" s="4"/>
      <c r="AF1694" s="6">
        <v>67</v>
      </c>
      <c r="AG1694" s="6"/>
      <c r="AH1694" s="7">
        <v>1</v>
      </c>
      <c r="AI1694" s="4"/>
      <c r="AJ1694" s="4">
        <f>=ROUNDDOWN({0},0)</f>
      </c>
      <c r="AK1694" s="5"/>
      <c r="AL1694" s="2" t="s">
        <v>200</v>
      </c>
      <c r="AM1694" s="4"/>
      <c r="AN1694" s="4"/>
      <c r="AO1694" s="7"/>
      <c r="AP1694" s="4"/>
      <c r="AQ1694" s="8"/>
      <c r="AR1694" s="4"/>
      <c r="AS1694" s="8"/>
      <c r="AT1694" s="7"/>
      <c r="AU1694" s="7"/>
      <c r="AV1694" s="4" t="s">
        <v>200</v>
      </c>
      <c r="AW1694" s="8" t="s">
        <v>200</v>
      </c>
      <c r="AX1694" s="4" t="s">
        <v>200</v>
      </c>
      <c r="AY1694" s="8" t="s">
        <v>200</v>
      </c>
      <c r="AZ1694" s="7" t="s">
        <v>200</v>
      </c>
      <c r="BA1694" s="7" t="s">
        <v>200</v>
      </c>
      <c r="BB1694" s="7"/>
      <c r="BC1694" s="4" t="s">
        <v>200</v>
      </c>
      <c r="BD1694" s="8" t="s">
        <v>200</v>
      </c>
      <c r="BE1694" s="4" t="s">
        <v>200</v>
      </c>
      <c r="BF1694" s="8" t="s">
        <v>200</v>
      </c>
      <c r="BG1694" s="7" t="s">
        <v>200</v>
      </c>
      <c r="BH1694" s="7" t="s">
        <v>200</v>
      </c>
      <c r="BI1694" s="7"/>
      <c r="BJ1694" s="4">
        <v>1</v>
      </c>
      <c r="BK1694" s="8">
        <v>17.09</v>
      </c>
      <c r="BL1694" s="2" t="s">
        <v>3355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8734</v>
      </c>
      <c r="BV1694" s="2" t="s">
        <v>200</v>
      </c>
      <c r="BW1694" s="2" t="s">
        <v>200</v>
      </c>
      <c r="BX1694" s="2" t="s">
        <v>289</v>
      </c>
      <c r="BY1694" s="2" t="s">
        <v>247</v>
      </c>
      <c r="BZ1694" s="2" t="s">
        <v>212</v>
      </c>
      <c r="CA1694" s="2" t="s">
        <v>4845</v>
      </c>
      <c r="CB1694" s="2" t="s">
        <v>840</v>
      </c>
      <c r="CC1694" s="2" t="s">
        <v>213</v>
      </c>
      <c r="CD1694" s="2" t="s">
        <v>200</v>
      </c>
      <c r="CE1694" s="4">
        <v>19</v>
      </c>
      <c r="CF1694" s="4"/>
      <c r="CG1694" s="4"/>
      <c r="CH1694" s="4"/>
      <c r="CI1694" s="4"/>
      <c r="CJ1694" s="4"/>
      <c r="CK1694" s="4"/>
      <c r="CL1694" s="4"/>
      <c r="CM1694" s="4"/>
      <c r="CN1694" s="4"/>
      <c r="CO1694" s="4"/>
      <c r="CP1694" s="4"/>
      <c r="CQ1694" s="4"/>
      <c r="CR1694" s="4"/>
      <c r="CS1694" s="4"/>
      <c r="CT1694" s="4"/>
      <c r="CU1694" s="4"/>
      <c r="CV1694" s="4"/>
      <c r="CW1694" s="4"/>
      <c r="CX1694" s="4"/>
      <c r="CY1694" s="4"/>
      <c r="CZ1694" s="4"/>
      <c r="DA1694" s="4"/>
      <c r="DB1694" s="4"/>
      <c r="DC1694" s="4"/>
      <c r="DD1694" s="4"/>
      <c r="DE1694" s="4"/>
      <c r="DF1694" s="4"/>
      <c r="DG1694" s="4"/>
      <c r="DH1694" s="4"/>
      <c r="DI1694" s="4"/>
      <c r="DJ1694" s="4"/>
      <c r="DK1694" s="4"/>
      <c r="DL1694" s="4"/>
      <c r="DM1694" s="4"/>
      <c r="DN1694" s="4"/>
      <c r="DO1694" s="4"/>
      <c r="DP1694" s="4"/>
      <c r="DQ1694" s="4"/>
      <c r="DR1694" s="4"/>
      <c r="DS1694" s="4"/>
      <c r="DT1694" s="4"/>
      <c r="DU1694" s="4"/>
      <c r="DV1694" s="4"/>
      <c r="DW1694" s="4"/>
      <c r="DX1694" s="4"/>
      <c r="DY1694" s="4"/>
      <c r="DZ1694" s="4"/>
      <c r="EA1694" s="4"/>
      <c r="EB1694" s="4"/>
      <c r="EC1694" s="4"/>
      <c r="ED1694" s="4"/>
      <c r="EE1694" s="4"/>
      <c r="EF1694" s="4"/>
      <c r="EG1694" s="4"/>
      <c r="EH1694" s="4"/>
      <c r="EI1694" s="4"/>
      <c r="EJ1694" s="4"/>
      <c r="EK1694" s="4"/>
      <c r="EL1694" s="4"/>
      <c r="EM1694" s="4"/>
      <c r="EN1694" s="4"/>
      <c r="EO1694" s="4"/>
      <c r="EP1694" s="4"/>
      <c r="EQ1694" s="4"/>
      <c r="ER1694" s="4"/>
      <c r="ES1694" s="4"/>
      <c r="ET1694" s="4"/>
      <c r="EU1694" s="4"/>
      <c r="EV1694" s="4"/>
      <c r="EW1694" s="4"/>
      <c r="EX1694" s="4"/>
      <c r="EY1694" s="4"/>
      <c r="EZ1694" s="4"/>
      <c r="FA1694" s="4"/>
      <c r="FB1694" s="4"/>
      <c r="FC1694" s="4"/>
      <c r="FD1694" s="4"/>
      <c r="FE1694" s="4"/>
      <c r="FF1694" s="4"/>
      <c r="FG1694" s="4"/>
      <c r="FH1694" s="4"/>
      <c r="FI1694" s="4"/>
      <c r="FJ1694" s="4"/>
      <c r="FK1694" s="4"/>
      <c r="FL1694" s="4"/>
      <c r="FM1694" s="4"/>
      <c r="FN1694" s="4"/>
      <c r="FO1694" s="4"/>
      <c r="FP1694" s="4"/>
      <c r="FQ1694" s="4"/>
      <c r="FR1694" s="4"/>
      <c r="FS1694" s="4"/>
      <c r="FT1694" s="4"/>
      <c r="FU1694" s="4"/>
      <c r="FV1694" s="4"/>
      <c r="FW1694" s="4"/>
      <c r="FX1694" s="4"/>
      <c r="FY1694" s="4"/>
      <c r="FZ1694" s="4"/>
      <c r="GA1694" s="4"/>
      <c r="GB1694" s="4"/>
      <c r="GC1694" s="4"/>
      <c r="GD1694" s="4"/>
      <c r="GE1694" s="4"/>
      <c r="GF1694" s="4"/>
      <c r="GG1694" s="4"/>
      <c r="GH1694" s="4"/>
    </row>
    <row r="1695">
      <c r="A1695" s="2" t="s">
        <v>8735</v>
      </c>
      <c r="B1695" s="2" t="s">
        <v>230</v>
      </c>
      <c r="C1695" s="2" t="s">
        <v>624</v>
      </c>
      <c r="D1695" s="2" t="s">
        <v>232</v>
      </c>
      <c r="E1695" s="2" t="s">
        <v>233</v>
      </c>
      <c r="F1695" s="2" t="s">
        <v>8730</v>
      </c>
      <c r="G1695" s="2" t="s">
        <v>8730</v>
      </c>
      <c r="H1695" s="2" t="s">
        <v>8730</v>
      </c>
      <c r="I1695" s="2" t="s">
        <v>309</v>
      </c>
      <c r="J1695" s="2" t="s">
        <v>277</v>
      </c>
      <c r="K1695" s="2" t="s">
        <v>387</v>
      </c>
      <c r="L1695" s="3">
        <v>26.78</v>
      </c>
      <c r="M1695" s="3">
        <v>28.12</v>
      </c>
      <c r="N1695" s="3">
        <v>59.99</v>
      </c>
      <c r="O1695" s="2" t="s">
        <v>460</v>
      </c>
      <c r="P1695" s="2" t="s">
        <v>285</v>
      </c>
      <c r="Q1695" s="2" t="s">
        <v>206</v>
      </c>
      <c r="R1695" s="2" t="s">
        <v>200</v>
      </c>
      <c r="S1695" s="2" t="s">
        <v>8731</v>
      </c>
      <c r="T1695" s="2" t="s">
        <v>8732</v>
      </c>
      <c r="U1695" s="2" t="s">
        <v>240</v>
      </c>
      <c r="V1695" s="2" t="s">
        <v>208</v>
      </c>
      <c r="W1695" s="2" t="s">
        <v>241</v>
      </c>
      <c r="X1695" s="2" t="s">
        <v>200</v>
      </c>
      <c r="Y1695" s="2" t="s">
        <v>8733</v>
      </c>
      <c r="Z1695" s="4">
        <v>37</v>
      </c>
      <c r="AA1695" s="4">
        <f>=ROUNDDOWN(37,0)</f>
      </c>
      <c r="AB1695" s="5">
        <v>1</v>
      </c>
      <c r="AC1695" s="2" t="s">
        <v>200</v>
      </c>
      <c r="AD1695" s="4"/>
      <c r="AE1695" s="4"/>
      <c r="AF1695" s="6">
        <v>67</v>
      </c>
      <c r="AG1695" s="6"/>
      <c r="AH1695" s="7">
        <v>1</v>
      </c>
      <c r="AI1695" s="4"/>
      <c r="AJ1695" s="4">
        <f>=ROUNDDOWN({0},0)</f>
      </c>
      <c r="AK1695" s="5"/>
      <c r="AL1695" s="2" t="s">
        <v>200</v>
      </c>
      <c r="AM1695" s="4"/>
      <c r="AN1695" s="4"/>
      <c r="AO1695" s="7"/>
      <c r="AP1695" s="4"/>
      <c r="AQ1695" s="8"/>
      <c r="AR1695" s="4"/>
      <c r="AS1695" s="8"/>
      <c r="AT1695" s="7"/>
      <c r="AU1695" s="7"/>
      <c r="AV1695" s="4" t="s">
        <v>200</v>
      </c>
      <c r="AW1695" s="8" t="s">
        <v>200</v>
      </c>
      <c r="AX1695" s="4" t="s">
        <v>200</v>
      </c>
      <c r="AY1695" s="8" t="s">
        <v>200</v>
      </c>
      <c r="AZ1695" s="7" t="s">
        <v>200</v>
      </c>
      <c r="BA1695" s="7" t="s">
        <v>200</v>
      </c>
      <c r="BB1695" s="7"/>
      <c r="BC1695" s="4" t="s">
        <v>200</v>
      </c>
      <c r="BD1695" s="8" t="s">
        <v>200</v>
      </c>
      <c r="BE1695" s="4" t="s">
        <v>200</v>
      </c>
      <c r="BF1695" s="8" t="s">
        <v>200</v>
      </c>
      <c r="BG1695" s="7" t="s">
        <v>200</v>
      </c>
      <c r="BH1695" s="7" t="s">
        <v>200</v>
      </c>
      <c r="BI1695" s="7"/>
      <c r="BJ1695" s="4"/>
      <c r="BK1695" s="8"/>
      <c r="BL1695" s="2" t="s">
        <v>8736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8737</v>
      </c>
      <c r="BV1695" s="2" t="s">
        <v>200</v>
      </c>
      <c r="BW1695" s="2" t="s">
        <v>200</v>
      </c>
      <c r="BX1695" s="2" t="s">
        <v>289</v>
      </c>
      <c r="BY1695" s="2" t="s">
        <v>247</v>
      </c>
      <c r="BZ1695" s="2" t="s">
        <v>212</v>
      </c>
      <c r="CA1695" s="2" t="s">
        <v>4845</v>
      </c>
      <c r="CB1695" s="2" t="s">
        <v>8738</v>
      </c>
      <c r="CC1695" s="2" t="s">
        <v>213</v>
      </c>
      <c r="CD1695" s="2" t="s">
        <v>200</v>
      </c>
      <c r="CE1695" s="4">
        <v>37</v>
      </c>
      <c r="CF1695" s="4"/>
      <c r="CG1695" s="4"/>
      <c r="CH1695" s="4"/>
      <c r="CI1695" s="4"/>
      <c r="CJ1695" s="4"/>
      <c r="CK1695" s="4"/>
      <c r="CL1695" s="4"/>
      <c r="CM1695" s="4"/>
      <c r="CN1695" s="4"/>
      <c r="CO1695" s="4"/>
      <c r="CP1695" s="4"/>
      <c r="CQ1695" s="4"/>
      <c r="CR1695" s="4"/>
      <c r="CS1695" s="4"/>
      <c r="CT1695" s="4"/>
      <c r="CU1695" s="4"/>
      <c r="CV1695" s="4"/>
      <c r="CW1695" s="4"/>
      <c r="CX1695" s="4"/>
      <c r="CY1695" s="4"/>
      <c r="CZ1695" s="4"/>
      <c r="DA1695" s="4"/>
      <c r="DB1695" s="4"/>
      <c r="DC1695" s="4"/>
      <c r="DD1695" s="4"/>
      <c r="DE1695" s="4"/>
      <c r="DF1695" s="4"/>
      <c r="DG1695" s="4"/>
      <c r="DH1695" s="4"/>
      <c r="DI1695" s="4"/>
      <c r="DJ1695" s="4"/>
      <c r="DK1695" s="4"/>
      <c r="DL1695" s="4"/>
      <c r="DM1695" s="4"/>
      <c r="DN1695" s="4"/>
      <c r="DO1695" s="4"/>
      <c r="DP1695" s="4"/>
      <c r="DQ1695" s="4"/>
      <c r="DR1695" s="4"/>
      <c r="DS1695" s="4"/>
      <c r="DT1695" s="4"/>
      <c r="DU1695" s="4"/>
      <c r="DV1695" s="4"/>
      <c r="DW1695" s="4"/>
      <c r="DX1695" s="4"/>
      <c r="DY1695" s="4"/>
      <c r="DZ1695" s="4"/>
      <c r="EA1695" s="4"/>
      <c r="EB1695" s="4"/>
      <c r="EC1695" s="4"/>
      <c r="ED1695" s="4"/>
      <c r="EE1695" s="4"/>
      <c r="EF1695" s="4"/>
      <c r="EG1695" s="4"/>
      <c r="EH1695" s="4"/>
      <c r="EI1695" s="4"/>
      <c r="EJ1695" s="4"/>
      <c r="EK1695" s="4"/>
      <c r="EL1695" s="4"/>
      <c r="EM1695" s="4"/>
      <c r="EN1695" s="4"/>
      <c r="EO1695" s="4"/>
      <c r="EP1695" s="4"/>
      <c r="EQ1695" s="4"/>
      <c r="ER1695" s="4"/>
      <c r="ES1695" s="4"/>
      <c r="ET1695" s="4"/>
      <c r="EU1695" s="4"/>
      <c r="EV1695" s="4"/>
      <c r="EW1695" s="4"/>
      <c r="EX1695" s="4"/>
      <c r="EY1695" s="4"/>
      <c r="EZ1695" s="4"/>
      <c r="FA1695" s="4"/>
      <c r="FB1695" s="4"/>
      <c r="FC1695" s="4"/>
      <c r="FD1695" s="4"/>
      <c r="FE1695" s="4"/>
      <c r="FF1695" s="4"/>
      <c r="FG1695" s="4"/>
      <c r="FH1695" s="4"/>
      <c r="FI1695" s="4"/>
      <c r="FJ1695" s="4"/>
      <c r="FK1695" s="4"/>
      <c r="FL1695" s="4"/>
      <c r="FM1695" s="4"/>
      <c r="FN1695" s="4"/>
      <c r="FO1695" s="4"/>
      <c r="FP1695" s="4"/>
      <c r="FQ1695" s="4"/>
      <c r="FR1695" s="4"/>
      <c r="FS1695" s="4"/>
      <c r="FT1695" s="4"/>
      <c r="FU1695" s="4"/>
      <c r="FV1695" s="4"/>
      <c r="FW1695" s="4"/>
      <c r="FX1695" s="4"/>
      <c r="FY1695" s="4"/>
      <c r="FZ1695" s="4"/>
      <c r="GA1695" s="4"/>
      <c r="GB1695" s="4"/>
      <c r="GC1695" s="4"/>
      <c r="GD1695" s="4"/>
      <c r="GE1695" s="4"/>
      <c r="GF1695" s="4"/>
      <c r="GG1695" s="4"/>
      <c r="GH1695" s="4"/>
    </row>
    <row r="1696">
      <c r="A1696" s="2" t="s">
        <v>8739</v>
      </c>
      <c r="B1696" s="2" t="s">
        <v>230</v>
      </c>
      <c r="C1696" s="2" t="s">
        <v>624</v>
      </c>
      <c r="D1696" s="2" t="s">
        <v>232</v>
      </c>
      <c r="E1696" s="2" t="s">
        <v>233</v>
      </c>
      <c r="F1696" s="2" t="s">
        <v>8730</v>
      </c>
      <c r="G1696" s="2" t="s">
        <v>8730</v>
      </c>
      <c r="H1696" s="2" t="s">
        <v>8730</v>
      </c>
      <c r="I1696" s="2" t="s">
        <v>309</v>
      </c>
      <c r="J1696" s="2" t="s">
        <v>256</v>
      </c>
      <c r="K1696" s="2" t="s">
        <v>221</v>
      </c>
      <c r="L1696" s="3">
        <v>22.15</v>
      </c>
      <c r="M1696" s="3">
        <v>23.26</v>
      </c>
      <c r="N1696" s="3">
        <v>49.99</v>
      </c>
      <c r="O1696" s="2" t="s">
        <v>460</v>
      </c>
      <c r="P1696" s="2" t="s">
        <v>285</v>
      </c>
      <c r="Q1696" s="2" t="s">
        <v>206</v>
      </c>
      <c r="R1696" s="2" t="s">
        <v>200</v>
      </c>
      <c r="S1696" s="2" t="s">
        <v>8740</v>
      </c>
      <c r="T1696" s="2" t="s">
        <v>8732</v>
      </c>
      <c r="U1696" s="2" t="s">
        <v>454</v>
      </c>
      <c r="V1696" s="2" t="s">
        <v>208</v>
      </c>
      <c r="W1696" s="2" t="s">
        <v>241</v>
      </c>
      <c r="X1696" s="2" t="s">
        <v>200</v>
      </c>
      <c r="Y1696" s="2" t="s">
        <v>8733</v>
      </c>
      <c r="Z1696" s="4">
        <v>11</v>
      </c>
      <c r="AA1696" s="4">
        <f>=ROUNDDOWN(11,0)</f>
      </c>
      <c r="AB1696" s="5">
        <v>1</v>
      </c>
      <c r="AC1696" s="2" t="s">
        <v>200</v>
      </c>
      <c r="AD1696" s="4"/>
      <c r="AE1696" s="4"/>
      <c r="AF1696" s="6">
        <v>67</v>
      </c>
      <c r="AG1696" s="6"/>
      <c r="AH1696" s="7">
        <v>1</v>
      </c>
      <c r="AI1696" s="4"/>
      <c r="AJ1696" s="4">
        <f>=ROUNDDOWN({0},0)</f>
      </c>
      <c r="AK1696" s="5"/>
      <c r="AL1696" s="2" t="s">
        <v>200</v>
      </c>
      <c r="AM1696" s="4"/>
      <c r="AN1696" s="4"/>
      <c r="AO1696" s="7"/>
      <c r="AP1696" s="4"/>
      <c r="AQ1696" s="8"/>
      <c r="AR1696" s="4"/>
      <c r="AS1696" s="8"/>
      <c r="AT1696" s="7"/>
      <c r="AU1696" s="7"/>
      <c r="AV1696" s="4"/>
      <c r="AW1696" s="8"/>
      <c r="AX1696" s="4"/>
      <c r="AY1696" s="8"/>
      <c r="AZ1696" s="7"/>
      <c r="BA1696" s="7"/>
      <c r="BB1696" s="7"/>
      <c r="BC1696" s="4" t="s">
        <v>200</v>
      </c>
      <c r="BD1696" s="8" t="s">
        <v>200</v>
      </c>
      <c r="BE1696" s="4" t="s">
        <v>200</v>
      </c>
      <c r="BF1696" s="8" t="s">
        <v>200</v>
      </c>
      <c r="BG1696" s="7" t="s">
        <v>200</v>
      </c>
      <c r="BH1696" s="7" t="s">
        <v>200</v>
      </c>
      <c r="BI1696" s="7"/>
      <c r="BJ1696" s="4">
        <v>7</v>
      </c>
      <c r="BK1696" s="8">
        <v>120.61</v>
      </c>
      <c r="BL1696" s="2" t="s">
        <v>359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8741</v>
      </c>
      <c r="BV1696" s="2" t="s">
        <v>200</v>
      </c>
      <c r="BW1696" s="2" t="s">
        <v>200</v>
      </c>
      <c r="BX1696" s="2" t="s">
        <v>289</v>
      </c>
      <c r="BY1696" s="2" t="s">
        <v>247</v>
      </c>
      <c r="BZ1696" s="2" t="s">
        <v>212</v>
      </c>
      <c r="CA1696" s="2" t="s">
        <v>4845</v>
      </c>
      <c r="CB1696" s="2" t="s">
        <v>8742</v>
      </c>
      <c r="CC1696" s="2" t="s">
        <v>213</v>
      </c>
      <c r="CD1696" s="2" t="s">
        <v>200</v>
      </c>
      <c r="CE1696" s="4">
        <v>11</v>
      </c>
      <c r="CF1696" s="4"/>
      <c r="CG1696" s="4"/>
      <c r="CH1696" s="4"/>
      <c r="CI1696" s="4"/>
      <c r="CJ1696" s="4"/>
      <c r="CK1696" s="4"/>
      <c r="CL1696" s="4"/>
      <c r="CM1696" s="4"/>
      <c r="CN1696" s="4"/>
      <c r="CO1696" s="4"/>
      <c r="CP1696" s="4"/>
      <c r="CQ1696" s="4"/>
      <c r="CR1696" s="4"/>
      <c r="CS1696" s="4"/>
      <c r="CT1696" s="4"/>
      <c r="CU1696" s="4"/>
      <c r="CV1696" s="4"/>
      <c r="CW1696" s="4"/>
      <c r="CX1696" s="4"/>
      <c r="CY1696" s="4"/>
      <c r="CZ1696" s="4"/>
      <c r="DA1696" s="4"/>
      <c r="DB1696" s="4"/>
      <c r="DC1696" s="4"/>
      <c r="DD1696" s="4"/>
      <c r="DE1696" s="4"/>
      <c r="DF1696" s="4"/>
      <c r="DG1696" s="4"/>
      <c r="DH1696" s="4"/>
      <c r="DI1696" s="4"/>
      <c r="DJ1696" s="4"/>
      <c r="DK1696" s="4"/>
      <c r="DL1696" s="4"/>
      <c r="DM1696" s="4"/>
      <c r="DN1696" s="4"/>
      <c r="DO1696" s="4"/>
      <c r="DP1696" s="4"/>
      <c r="DQ1696" s="4"/>
      <c r="DR1696" s="4"/>
      <c r="DS1696" s="4"/>
      <c r="DT1696" s="4"/>
      <c r="DU1696" s="4"/>
      <c r="DV1696" s="4"/>
      <c r="DW1696" s="4"/>
      <c r="DX1696" s="4"/>
      <c r="DY1696" s="4"/>
      <c r="DZ1696" s="4"/>
      <c r="EA1696" s="4"/>
      <c r="EB1696" s="4"/>
      <c r="EC1696" s="4"/>
      <c r="ED1696" s="4"/>
      <c r="EE1696" s="4"/>
      <c r="EF1696" s="4"/>
      <c r="EG1696" s="4"/>
      <c r="EH1696" s="4"/>
      <c r="EI1696" s="4"/>
      <c r="EJ1696" s="4"/>
      <c r="EK1696" s="4"/>
      <c r="EL1696" s="4"/>
      <c r="EM1696" s="4"/>
      <c r="EN1696" s="4"/>
      <c r="EO1696" s="4"/>
      <c r="EP1696" s="4"/>
      <c r="EQ1696" s="4"/>
      <c r="ER1696" s="4"/>
      <c r="ES1696" s="4"/>
      <c r="ET1696" s="4"/>
      <c r="EU1696" s="4"/>
      <c r="EV1696" s="4"/>
      <c r="EW1696" s="4"/>
      <c r="EX1696" s="4"/>
      <c r="EY1696" s="4"/>
      <c r="EZ1696" s="4"/>
      <c r="FA1696" s="4"/>
      <c r="FB1696" s="4"/>
      <c r="FC1696" s="4"/>
      <c r="FD1696" s="4"/>
      <c r="FE1696" s="4"/>
      <c r="FF1696" s="4"/>
      <c r="FG1696" s="4"/>
      <c r="FH1696" s="4"/>
      <c r="FI1696" s="4"/>
      <c r="FJ1696" s="4"/>
      <c r="FK1696" s="4"/>
      <c r="FL1696" s="4"/>
      <c r="FM1696" s="4"/>
      <c r="FN1696" s="4"/>
      <c r="FO1696" s="4"/>
      <c r="FP1696" s="4"/>
      <c r="FQ1696" s="4"/>
      <c r="FR1696" s="4"/>
      <c r="FS1696" s="4"/>
      <c r="FT1696" s="4"/>
      <c r="FU1696" s="4"/>
      <c r="FV1696" s="4"/>
      <c r="FW1696" s="4"/>
      <c r="FX1696" s="4"/>
      <c r="FY1696" s="4"/>
      <c r="FZ1696" s="4"/>
      <c r="GA1696" s="4"/>
      <c r="GB1696" s="4"/>
      <c r="GC1696" s="4"/>
      <c r="GD1696" s="4"/>
      <c r="GE1696" s="4"/>
      <c r="GF1696" s="4"/>
      <c r="GG1696" s="4"/>
      <c r="GH1696" s="4"/>
    </row>
    <row r="1697">
      <c r="A1697" s="2" t="s">
        <v>8743</v>
      </c>
      <c r="B1697" s="2" t="s">
        <v>230</v>
      </c>
      <c r="C1697" s="2" t="s">
        <v>624</v>
      </c>
      <c r="D1697" s="2" t="s">
        <v>232</v>
      </c>
      <c r="E1697" s="2" t="s">
        <v>233</v>
      </c>
      <c r="F1697" s="2" t="s">
        <v>8730</v>
      </c>
      <c r="G1697" s="2" t="s">
        <v>8730</v>
      </c>
      <c r="H1697" s="2" t="s">
        <v>8730</v>
      </c>
      <c r="I1697" s="2" t="s">
        <v>309</v>
      </c>
      <c r="J1697" s="2" t="s">
        <v>256</v>
      </c>
      <c r="K1697" s="2" t="s">
        <v>2233</v>
      </c>
      <c r="L1697" s="3">
        <v>22.15</v>
      </c>
      <c r="M1697" s="3">
        <v>23.26</v>
      </c>
      <c r="N1697" s="3">
        <v>49.99</v>
      </c>
      <c r="O1697" s="2" t="s">
        <v>460</v>
      </c>
      <c r="P1697" s="2" t="s">
        <v>285</v>
      </c>
      <c r="Q1697" s="2" t="s">
        <v>206</v>
      </c>
      <c r="R1697" s="2" t="s">
        <v>200</v>
      </c>
      <c r="S1697" s="2" t="s">
        <v>8744</v>
      </c>
      <c r="T1697" s="2" t="s">
        <v>8732</v>
      </c>
      <c r="U1697" s="2" t="s">
        <v>454</v>
      </c>
      <c r="V1697" s="2" t="s">
        <v>208</v>
      </c>
      <c r="W1697" s="2" t="s">
        <v>241</v>
      </c>
      <c r="X1697" s="2" t="s">
        <v>200</v>
      </c>
      <c r="Y1697" s="2" t="s">
        <v>8733</v>
      </c>
      <c r="Z1697" s="4">
        <v>27</v>
      </c>
      <c r="AA1697" s="4">
        <f>=ROUNDDOWN(27,0)</f>
      </c>
      <c r="AB1697" s="5">
        <v>1</v>
      </c>
      <c r="AC1697" s="2" t="s">
        <v>200</v>
      </c>
      <c r="AD1697" s="4"/>
      <c r="AE1697" s="4"/>
      <c r="AF1697" s="6">
        <v>67</v>
      </c>
      <c r="AG1697" s="6"/>
      <c r="AH1697" s="7">
        <v>1</v>
      </c>
      <c r="AI1697" s="4"/>
      <c r="AJ1697" s="4">
        <f>=ROUNDDOWN({0},0)</f>
      </c>
      <c r="AK1697" s="5"/>
      <c r="AL1697" s="2" t="s">
        <v>200</v>
      </c>
      <c r="AM1697" s="4"/>
      <c r="AN1697" s="4"/>
      <c r="AO1697" s="7"/>
      <c r="AP1697" s="4"/>
      <c r="AQ1697" s="8"/>
      <c r="AR1697" s="4"/>
      <c r="AS1697" s="8"/>
      <c r="AT1697" s="7"/>
      <c r="AU1697" s="7"/>
      <c r="AV1697" s="4"/>
      <c r="AW1697" s="8"/>
      <c r="AX1697" s="4"/>
      <c r="AY1697" s="8"/>
      <c r="AZ1697" s="7"/>
      <c r="BA1697" s="7"/>
      <c r="BB1697" s="7"/>
      <c r="BC1697" s="4" t="s">
        <v>200</v>
      </c>
      <c r="BD1697" s="8" t="s">
        <v>200</v>
      </c>
      <c r="BE1697" s="4" t="s">
        <v>200</v>
      </c>
      <c r="BF1697" s="8" t="s">
        <v>200</v>
      </c>
      <c r="BG1697" s="7" t="s">
        <v>200</v>
      </c>
      <c r="BH1697" s="7" t="s">
        <v>200</v>
      </c>
      <c r="BI1697" s="7"/>
      <c r="BJ1697" s="4"/>
      <c r="BK1697" s="8"/>
      <c r="BL1697" s="2" t="s">
        <v>961</v>
      </c>
      <c r="BM1697" s="7"/>
      <c r="BN1697" s="7"/>
      <c r="BO1697" s="4"/>
      <c r="BP1697" s="8"/>
      <c r="BQ1697" s="4"/>
      <c r="BR1697" s="8"/>
      <c r="BS1697" s="7"/>
      <c r="BT1697" s="7"/>
      <c r="BU1697" s="2" t="s">
        <v>8745</v>
      </c>
      <c r="BV1697" s="2" t="s">
        <v>200</v>
      </c>
      <c r="BW1697" s="2" t="s">
        <v>200</v>
      </c>
      <c r="BX1697" s="2" t="s">
        <v>289</v>
      </c>
      <c r="BY1697" s="2" t="s">
        <v>247</v>
      </c>
      <c r="BZ1697" s="2" t="s">
        <v>212</v>
      </c>
      <c r="CA1697" s="2" t="s">
        <v>4845</v>
      </c>
      <c r="CB1697" s="2" t="s">
        <v>2703</v>
      </c>
      <c r="CC1697" s="2" t="s">
        <v>213</v>
      </c>
      <c r="CD1697" s="2" t="s">
        <v>200</v>
      </c>
      <c r="CE1697" s="4">
        <v>27</v>
      </c>
      <c r="CF1697" s="4"/>
      <c r="CG1697" s="4"/>
      <c r="CH1697" s="4"/>
      <c r="CI1697" s="4"/>
      <c r="CJ1697" s="4"/>
      <c r="CK1697" s="4"/>
      <c r="CL1697" s="4"/>
      <c r="CM1697" s="4"/>
      <c r="CN1697" s="4"/>
      <c r="CO1697" s="4"/>
      <c r="CP1697" s="4"/>
      <c r="CQ1697" s="4"/>
      <c r="CR1697" s="4"/>
      <c r="CS1697" s="4"/>
      <c r="CT1697" s="4"/>
      <c r="CU1697" s="4"/>
      <c r="CV1697" s="4"/>
      <c r="CW1697" s="4"/>
      <c r="CX1697" s="4"/>
      <c r="CY1697" s="4"/>
      <c r="CZ1697" s="4"/>
      <c r="DA1697" s="4"/>
      <c r="DB1697" s="4"/>
      <c r="DC1697" s="4"/>
      <c r="DD1697" s="4"/>
      <c r="DE1697" s="4"/>
      <c r="DF1697" s="4"/>
      <c r="DG1697" s="4"/>
      <c r="DH1697" s="4"/>
      <c r="DI1697" s="4"/>
      <c r="DJ1697" s="4"/>
      <c r="DK1697" s="4"/>
      <c r="DL1697" s="4"/>
      <c r="DM1697" s="4"/>
      <c r="DN1697" s="4"/>
      <c r="DO1697" s="4"/>
      <c r="DP1697" s="4"/>
      <c r="DQ1697" s="4"/>
      <c r="DR1697" s="4"/>
      <c r="DS1697" s="4"/>
      <c r="DT1697" s="4"/>
      <c r="DU1697" s="4"/>
      <c r="DV1697" s="4"/>
      <c r="DW1697" s="4"/>
      <c r="DX1697" s="4"/>
      <c r="DY1697" s="4"/>
      <c r="DZ1697" s="4"/>
      <c r="EA1697" s="4"/>
      <c r="EB1697" s="4"/>
      <c r="EC1697" s="4"/>
      <c r="ED1697" s="4"/>
      <c r="EE1697" s="4"/>
      <c r="EF1697" s="4"/>
      <c r="EG1697" s="4"/>
      <c r="EH1697" s="4"/>
      <c r="EI1697" s="4"/>
      <c r="EJ1697" s="4"/>
      <c r="EK1697" s="4"/>
      <c r="EL1697" s="4"/>
      <c r="EM1697" s="4"/>
      <c r="EN1697" s="4"/>
      <c r="EO1697" s="4"/>
      <c r="EP1697" s="4"/>
      <c r="EQ1697" s="4"/>
      <c r="ER1697" s="4"/>
      <c r="ES1697" s="4"/>
      <c r="ET1697" s="4"/>
      <c r="EU1697" s="4"/>
      <c r="EV1697" s="4"/>
      <c r="EW1697" s="4"/>
      <c r="EX1697" s="4"/>
      <c r="EY1697" s="4"/>
      <c r="EZ1697" s="4"/>
      <c r="FA1697" s="4"/>
      <c r="FB1697" s="4"/>
      <c r="FC1697" s="4"/>
      <c r="FD1697" s="4"/>
      <c r="FE1697" s="4"/>
      <c r="FF1697" s="4"/>
      <c r="FG1697" s="4"/>
      <c r="FH1697" s="4"/>
      <c r="FI1697" s="4"/>
      <c r="FJ1697" s="4"/>
      <c r="FK1697" s="4"/>
      <c r="FL1697" s="4"/>
      <c r="FM1697" s="4"/>
      <c r="FN1697" s="4"/>
      <c r="FO1697" s="4"/>
      <c r="FP1697" s="4"/>
      <c r="FQ1697" s="4"/>
      <c r="FR1697" s="4"/>
      <c r="FS1697" s="4"/>
      <c r="FT1697" s="4"/>
      <c r="FU1697" s="4"/>
      <c r="FV1697" s="4"/>
      <c r="FW1697" s="4"/>
      <c r="FX1697" s="4"/>
      <c r="FY1697" s="4"/>
      <c r="FZ1697" s="4"/>
      <c r="GA1697" s="4"/>
      <c r="GB1697" s="4"/>
      <c r="GC1697" s="4"/>
      <c r="GD1697" s="4"/>
      <c r="GE1697" s="4"/>
      <c r="GF1697" s="4"/>
      <c r="GG1697" s="4"/>
      <c r="GH1697" s="4"/>
    </row>
    <row r="1698">
      <c r="A1698" s="2" t="s">
        <v>8746</v>
      </c>
      <c r="B1698" s="2" t="s">
        <v>744</v>
      </c>
      <c r="C1698" s="2" t="s">
        <v>730</v>
      </c>
      <c r="D1698" s="2" t="s">
        <v>2677</v>
      </c>
      <c r="E1698" s="2" t="s">
        <v>2678</v>
      </c>
      <c r="F1698" s="2" t="s">
        <v>8747</v>
      </c>
      <c r="G1698" s="2" t="s">
        <v>8747</v>
      </c>
      <c r="H1698" s="2" t="s">
        <v>8747</v>
      </c>
      <c r="I1698" s="2" t="s">
        <v>8748</v>
      </c>
      <c r="J1698" s="2" t="s">
        <v>711</v>
      </c>
      <c r="K1698" s="2" t="s">
        <v>850</v>
      </c>
      <c r="L1698" s="3">
        <v>140.25</v>
      </c>
      <c r="M1698" s="3">
        <v>147.26</v>
      </c>
      <c r="N1698" s="3">
        <v>299</v>
      </c>
      <c r="O1698" s="2" t="s">
        <v>212</v>
      </c>
      <c r="P1698" s="2" t="s">
        <v>205</v>
      </c>
      <c r="Q1698" s="2" t="s">
        <v>206</v>
      </c>
      <c r="R1698" s="2" t="s">
        <v>200</v>
      </c>
      <c r="S1698" s="2" t="s">
        <v>200</v>
      </c>
      <c r="T1698" s="2" t="s">
        <v>200</v>
      </c>
      <c r="U1698" s="2" t="s">
        <v>270</v>
      </c>
      <c r="V1698" s="2" t="s">
        <v>616</v>
      </c>
      <c r="W1698" s="2" t="s">
        <v>1399</v>
      </c>
      <c r="X1698" s="2" t="s">
        <v>737</v>
      </c>
      <c r="Y1698" s="2" t="s">
        <v>8749</v>
      </c>
      <c r="Z1698" s="4">
        <v>150</v>
      </c>
      <c r="AA1698" s="4">
        <f>=ROUNDDOWN(16.6666666666667,0)</f>
      </c>
      <c r="AB1698" s="5">
        <v>9</v>
      </c>
      <c r="AC1698" s="2" t="s">
        <v>5</v>
      </c>
      <c r="AD1698" s="4">
        <v>63</v>
      </c>
      <c r="AE1698" s="4">
        <v>63</v>
      </c>
      <c r="AF1698" s="6">
        <v>66</v>
      </c>
      <c r="AG1698" s="6">
        <v>49</v>
      </c>
      <c r="AH1698" s="7">
        <v>1</v>
      </c>
      <c r="AI1698" s="4"/>
      <c r="AJ1698" s="4">
        <f>=ROUNDDOWN({0},0)</f>
      </c>
      <c r="AK1698" s="5"/>
      <c r="AL1698" s="2" t="s">
        <v>200</v>
      </c>
      <c r="AM1698" s="4"/>
      <c r="AN1698" s="4"/>
      <c r="AO1698" s="7"/>
      <c r="AP1698" s="4"/>
      <c r="AQ1698" s="8"/>
      <c r="AR1698" s="4"/>
      <c r="AS1698" s="8"/>
      <c r="AT1698" s="7"/>
      <c r="AU1698" s="7"/>
      <c r="AV1698" s="4"/>
      <c r="AW1698" s="8"/>
      <c r="AX1698" s="4"/>
      <c r="AY1698" s="8"/>
      <c r="AZ1698" s="7"/>
      <c r="BA1698" s="7"/>
      <c r="BB1698" s="7"/>
      <c r="BC1698" s="4"/>
      <c r="BD1698" s="8"/>
      <c r="BE1698" s="4"/>
      <c r="BF1698" s="8"/>
      <c r="BG1698" s="7"/>
      <c r="BH1698" s="7"/>
      <c r="BI1698" s="7"/>
      <c r="BJ1698" s="4">
        <v>1</v>
      </c>
      <c r="BK1698" s="8">
        <v>155.23</v>
      </c>
      <c r="BL1698" s="2" t="s">
        <v>1292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8750</v>
      </c>
      <c r="BV1698" s="2" t="s">
        <v>200</v>
      </c>
      <c r="BW1698" s="2" t="s">
        <v>200</v>
      </c>
      <c r="BX1698" s="2" t="s">
        <v>210</v>
      </c>
      <c r="BY1698" s="2" t="s">
        <v>247</v>
      </c>
      <c r="BZ1698" s="2" t="s">
        <v>212</v>
      </c>
      <c r="CA1698" s="2" t="s">
        <v>8751</v>
      </c>
      <c r="CB1698" s="2" t="s">
        <v>200</v>
      </c>
      <c r="CC1698" s="2" t="s">
        <v>213</v>
      </c>
      <c r="CD1698" s="2" t="s">
        <v>200</v>
      </c>
      <c r="CE1698" s="4"/>
      <c r="CF1698" s="4">
        <v>150</v>
      </c>
      <c r="CG1698" s="4"/>
      <c r="CH1698" s="4"/>
      <c r="CI1698" s="4"/>
      <c r="CJ1698" s="4"/>
      <c r="CK1698" s="4"/>
      <c r="CL1698" s="4"/>
      <c r="CM1698" s="4"/>
      <c r="CN1698" s="4"/>
      <c r="CO1698" s="4"/>
      <c r="CP1698" s="4"/>
      <c r="CQ1698" s="4"/>
      <c r="CR1698" s="4"/>
      <c r="CS1698" s="4"/>
      <c r="CT1698" s="4"/>
      <c r="CU1698" s="4"/>
      <c r="CV1698" s="4">
        <v>63</v>
      </c>
      <c r="CW1698" s="4"/>
      <c r="CX1698" s="4"/>
      <c r="CY1698" s="4"/>
      <c r="CZ1698" s="4"/>
      <c r="DA1698" s="4"/>
      <c r="DB1698" s="4"/>
      <c r="DC1698" s="4"/>
      <c r="DD1698" s="4"/>
      <c r="DE1698" s="4"/>
      <c r="DF1698" s="4"/>
      <c r="DG1698" s="4"/>
      <c r="DH1698" s="4"/>
      <c r="DI1698" s="4"/>
      <c r="DJ1698" s="4"/>
      <c r="DK1698" s="4"/>
      <c r="DL1698" s="4"/>
      <c r="DM1698" s="4"/>
      <c r="DN1698" s="4"/>
      <c r="DO1698" s="4"/>
      <c r="DP1698" s="4"/>
      <c r="DQ1698" s="4"/>
      <c r="DR1698" s="4"/>
      <c r="DS1698" s="4"/>
      <c r="DT1698" s="4"/>
      <c r="DU1698" s="4"/>
      <c r="DV1698" s="4"/>
      <c r="DW1698" s="4"/>
      <c r="DX1698" s="4"/>
      <c r="DY1698" s="4"/>
      <c r="DZ1698" s="4"/>
      <c r="EA1698" s="4"/>
      <c r="EB1698" s="4"/>
      <c r="EC1698" s="4"/>
      <c r="ED1698" s="4"/>
      <c r="EE1698" s="4"/>
      <c r="EF1698" s="4"/>
      <c r="EG1698" s="4"/>
      <c r="EH1698" s="4"/>
      <c r="EI1698" s="4"/>
      <c r="EJ1698" s="4"/>
      <c r="EK1698" s="4"/>
      <c r="EL1698" s="4"/>
      <c r="EM1698" s="4"/>
      <c r="EN1698" s="4"/>
      <c r="EO1698" s="4"/>
      <c r="EP1698" s="4"/>
      <c r="EQ1698" s="4"/>
      <c r="ER1698" s="4"/>
      <c r="ES1698" s="4"/>
      <c r="ET1698" s="4"/>
      <c r="EU1698" s="4"/>
      <c r="EV1698" s="4"/>
      <c r="EW1698" s="4"/>
      <c r="EX1698" s="4"/>
      <c r="EY1698" s="4"/>
      <c r="EZ1698" s="4"/>
      <c r="FA1698" s="4"/>
      <c r="FB1698" s="4"/>
      <c r="FC1698" s="4"/>
      <c r="FD1698" s="4"/>
      <c r="FE1698" s="4"/>
      <c r="FF1698" s="4"/>
      <c r="FG1698" s="4"/>
      <c r="FH1698" s="4"/>
      <c r="FI1698" s="4"/>
      <c r="FJ1698" s="4"/>
      <c r="FK1698" s="4"/>
      <c r="FL1698" s="4"/>
      <c r="FM1698" s="4"/>
      <c r="FN1698" s="4"/>
      <c r="FO1698" s="4"/>
      <c r="FP1698" s="4"/>
      <c r="FQ1698" s="4"/>
      <c r="FR1698" s="4"/>
      <c r="FS1698" s="4"/>
      <c r="FT1698" s="4"/>
      <c r="FU1698" s="4"/>
      <c r="FV1698" s="4"/>
      <c r="FW1698" s="4"/>
      <c r="FX1698" s="4"/>
      <c r="FY1698" s="4"/>
      <c r="FZ1698" s="4"/>
      <c r="GA1698" s="4"/>
      <c r="GB1698" s="4"/>
      <c r="GC1698" s="4"/>
      <c r="GD1698" s="4"/>
      <c r="GE1698" s="4"/>
      <c r="GF1698" s="4"/>
      <c r="GG1698" s="4"/>
      <c r="GH1698" s="4"/>
    </row>
    <row r="1699">
      <c r="A1699" s="2" t="s">
        <v>8752</v>
      </c>
      <c r="B1699" s="2" t="s">
        <v>719</v>
      </c>
      <c r="C1699" s="2" t="s">
        <v>745</v>
      </c>
      <c r="D1699" s="2" t="s">
        <v>1542</v>
      </c>
      <c r="E1699" s="2" t="s">
        <v>2060</v>
      </c>
      <c r="F1699" s="2" t="s">
        <v>8753</v>
      </c>
      <c r="G1699" s="2" t="s">
        <v>8753</v>
      </c>
      <c r="H1699" s="2" t="s">
        <v>8753</v>
      </c>
      <c r="I1699" s="2" t="s">
        <v>8754</v>
      </c>
      <c r="J1699" s="2" t="s">
        <v>711</v>
      </c>
      <c r="K1699" s="2" t="s">
        <v>1135</v>
      </c>
      <c r="L1699" s="3">
        <v>66.56</v>
      </c>
      <c r="M1699" s="3">
        <v>69.89</v>
      </c>
      <c r="N1699" s="3">
        <v>144.49</v>
      </c>
      <c r="O1699" s="2" t="s">
        <v>212</v>
      </c>
      <c r="P1699" s="2" t="s">
        <v>258</v>
      </c>
      <c r="Q1699" s="2" t="s">
        <v>206</v>
      </c>
      <c r="R1699" s="2" t="s">
        <v>200</v>
      </c>
      <c r="S1699" s="2" t="s">
        <v>8755</v>
      </c>
      <c r="T1699" s="2" t="s">
        <v>200</v>
      </c>
      <c r="U1699" s="2" t="s">
        <v>270</v>
      </c>
      <c r="V1699" s="2" t="s">
        <v>208</v>
      </c>
      <c r="W1699" s="2" t="s">
        <v>379</v>
      </c>
      <c r="X1699" s="2" t="s">
        <v>200</v>
      </c>
      <c r="Y1699" s="2" t="s">
        <v>8756</v>
      </c>
      <c r="Z1699" s="4">
        <v>84</v>
      </c>
      <c r="AA1699" s="4">
        <f>=ROUNDDOWN(19.5348837209302,0)</f>
      </c>
      <c r="AB1699" s="5">
        <v>4.3</v>
      </c>
      <c r="AC1699" s="2" t="s">
        <v>691</v>
      </c>
      <c r="AD1699" s="4">
        <v>60</v>
      </c>
      <c r="AE1699" s="4">
        <v>60</v>
      </c>
      <c r="AF1699" s="6">
        <v>63</v>
      </c>
      <c r="AG1699" s="6"/>
      <c r="AH1699" s="7">
        <v>1</v>
      </c>
      <c r="AI1699" s="4"/>
      <c r="AJ1699" s="4">
        <f>=ROUNDDOWN({0},0)</f>
      </c>
      <c r="AK1699" s="5"/>
      <c r="AL1699" s="2" t="s">
        <v>200</v>
      </c>
      <c r="AM1699" s="4"/>
      <c r="AN1699" s="4"/>
      <c r="AO1699" s="7"/>
      <c r="AP1699" s="4"/>
      <c r="AQ1699" s="8"/>
      <c r="AR1699" s="4"/>
      <c r="AS1699" s="8"/>
      <c r="AT1699" s="7"/>
      <c r="AU1699" s="7"/>
      <c r="AV1699" s="4"/>
      <c r="AW1699" s="8"/>
      <c r="AX1699" s="4"/>
      <c r="AY1699" s="8"/>
      <c r="AZ1699" s="7"/>
      <c r="BA1699" s="7"/>
      <c r="BB1699" s="7"/>
      <c r="BC1699" s="4"/>
      <c r="BD1699" s="8"/>
      <c r="BE1699" s="4"/>
      <c r="BF1699" s="8"/>
      <c r="BG1699" s="7"/>
      <c r="BH1699" s="7"/>
      <c r="BI1699" s="7"/>
      <c r="BJ1699" s="4">
        <v>14</v>
      </c>
      <c r="BK1699" s="8">
        <v>923.54</v>
      </c>
      <c r="BL1699" s="2" t="s">
        <v>752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8757</v>
      </c>
      <c r="BV1699" s="2" t="s">
        <v>200</v>
      </c>
      <c r="BW1699" s="2" t="s">
        <v>200</v>
      </c>
      <c r="BX1699" s="2" t="s">
        <v>264</v>
      </c>
      <c r="BY1699" s="2" t="s">
        <v>247</v>
      </c>
      <c r="BZ1699" s="2" t="s">
        <v>212</v>
      </c>
      <c r="CA1699" s="2" t="s">
        <v>8758</v>
      </c>
      <c r="CB1699" s="2" t="s">
        <v>8759</v>
      </c>
      <c r="CC1699" s="2" t="s">
        <v>213</v>
      </c>
      <c r="CD1699" s="2" t="s">
        <v>200</v>
      </c>
      <c r="CE1699" s="4"/>
      <c r="CF1699" s="4">
        <v>84</v>
      </c>
      <c r="CG1699" s="4"/>
      <c r="CH1699" s="4"/>
      <c r="CI1699" s="4"/>
      <c r="CJ1699" s="4"/>
      <c r="CK1699" s="4"/>
      <c r="CL1699" s="4"/>
      <c r="CM1699" s="4"/>
      <c r="CN1699" s="4"/>
      <c r="CO1699" s="4"/>
      <c r="CP1699" s="4"/>
      <c r="CQ1699" s="4"/>
      <c r="CR1699" s="4"/>
      <c r="CS1699" s="4"/>
      <c r="CT1699" s="4"/>
      <c r="CU1699" s="4"/>
      <c r="CV1699" s="4"/>
      <c r="CW1699" s="4"/>
      <c r="CX1699" s="4"/>
      <c r="CY1699" s="4"/>
      <c r="CZ1699" s="4"/>
      <c r="DA1699" s="4"/>
      <c r="DB1699" s="4"/>
      <c r="DC1699" s="4"/>
      <c r="DD1699" s="4"/>
      <c r="DE1699" s="4"/>
      <c r="DF1699" s="4"/>
      <c r="DG1699" s="4"/>
      <c r="DH1699" s="4"/>
      <c r="DI1699" s="4"/>
      <c r="DJ1699" s="4"/>
      <c r="DK1699" s="4"/>
      <c r="DL1699" s="4"/>
      <c r="DM1699" s="4"/>
      <c r="DN1699" s="4"/>
      <c r="DO1699" s="4"/>
      <c r="DP1699" s="4"/>
      <c r="DQ1699" s="4"/>
      <c r="DR1699" s="4"/>
      <c r="DS1699" s="4"/>
      <c r="DT1699" s="4"/>
      <c r="DU1699" s="4"/>
      <c r="DV1699" s="4"/>
      <c r="DW1699" s="4"/>
      <c r="DX1699" s="4"/>
      <c r="DY1699" s="4"/>
      <c r="DZ1699" s="4"/>
      <c r="EA1699" s="4"/>
      <c r="EB1699" s="4"/>
      <c r="EC1699" s="4"/>
      <c r="ED1699" s="4"/>
      <c r="EE1699" s="4"/>
      <c r="EF1699" s="4"/>
      <c r="EG1699" s="4"/>
      <c r="EH1699" s="4"/>
      <c r="EI1699" s="4"/>
      <c r="EJ1699" s="4"/>
      <c r="EK1699" s="4"/>
      <c r="EL1699" s="4"/>
      <c r="EM1699" s="4"/>
      <c r="EN1699" s="4"/>
      <c r="EO1699" s="4"/>
      <c r="EP1699" s="4"/>
      <c r="EQ1699" s="4"/>
      <c r="ER1699" s="4"/>
      <c r="ES1699" s="4"/>
      <c r="ET1699" s="4"/>
      <c r="EU1699" s="4"/>
      <c r="EV1699" s="4"/>
      <c r="EW1699" s="4"/>
      <c r="EX1699" s="4"/>
      <c r="EY1699" s="4"/>
      <c r="EZ1699" s="4"/>
      <c r="FA1699" s="4"/>
      <c r="FB1699" s="4"/>
      <c r="FC1699" s="4"/>
      <c r="FD1699" s="4"/>
      <c r="FE1699" s="4"/>
      <c r="FF1699" s="4">
        <v>60</v>
      </c>
      <c r="FG1699" s="4"/>
      <c r="FH1699" s="4"/>
      <c r="FI1699" s="4"/>
      <c r="FJ1699" s="4"/>
      <c r="FK1699" s="4"/>
      <c r="FL1699" s="4"/>
      <c r="FM1699" s="4"/>
      <c r="FN1699" s="4"/>
      <c r="FO1699" s="4"/>
      <c r="FP1699" s="4"/>
      <c r="FQ1699" s="4"/>
      <c r="FR1699" s="4"/>
      <c r="FS1699" s="4"/>
      <c r="FT1699" s="4"/>
      <c r="FU1699" s="4"/>
      <c r="FV1699" s="4"/>
      <c r="FW1699" s="4"/>
      <c r="FX1699" s="4"/>
      <c r="FY1699" s="4"/>
      <c r="FZ1699" s="4"/>
      <c r="GA1699" s="4"/>
      <c r="GB1699" s="4"/>
      <c r="GC1699" s="4"/>
      <c r="GD1699" s="4"/>
      <c r="GE1699" s="4"/>
      <c r="GF1699" s="4"/>
      <c r="GG1699" s="4"/>
      <c r="GH1699" s="4"/>
    </row>
    <row r="1700">
      <c r="A1700" s="2" t="s">
        <v>8760</v>
      </c>
      <c r="B1700" s="2" t="s">
        <v>744</v>
      </c>
      <c r="C1700" s="2" t="s">
        <v>231</v>
      </c>
      <c r="D1700" s="2" t="s">
        <v>2677</v>
      </c>
      <c r="E1700" s="2" t="s">
        <v>4855</v>
      </c>
      <c r="F1700" s="2" t="s">
        <v>8761</v>
      </c>
      <c r="G1700" s="2" t="s">
        <v>8762</v>
      </c>
      <c r="H1700" s="2" t="s">
        <v>8763</v>
      </c>
      <c r="I1700" s="2" t="s">
        <v>8764</v>
      </c>
      <c r="J1700" s="2" t="s">
        <v>711</v>
      </c>
      <c r="K1700" s="2" t="s">
        <v>1174</v>
      </c>
      <c r="L1700" s="3">
        <v>150</v>
      </c>
      <c r="M1700" s="3">
        <v>157.5</v>
      </c>
      <c r="N1700" s="3">
        <v>319</v>
      </c>
      <c r="O1700" s="2" t="s">
        <v>460</v>
      </c>
      <c r="P1700" s="2" t="s">
        <v>285</v>
      </c>
      <c r="Q1700" s="2" t="s">
        <v>206</v>
      </c>
      <c r="R1700" s="2" t="s">
        <v>200</v>
      </c>
      <c r="S1700" s="2" t="s">
        <v>200</v>
      </c>
      <c r="T1700" s="2" t="s">
        <v>200</v>
      </c>
      <c r="U1700" s="2" t="s">
        <v>270</v>
      </c>
      <c r="V1700" s="2" t="s">
        <v>208</v>
      </c>
      <c r="W1700" s="2" t="s">
        <v>419</v>
      </c>
      <c r="X1700" s="2" t="s">
        <v>200</v>
      </c>
      <c r="Y1700" s="2" t="s">
        <v>4656</v>
      </c>
      <c r="Z1700" s="4">
        <v>65</v>
      </c>
      <c r="AA1700" s="4">
        <f>=ROUNDDOWN(108.333333333333,0)</f>
      </c>
      <c r="AB1700" s="5">
        <v>0.6</v>
      </c>
      <c r="AC1700" s="2" t="s">
        <v>200</v>
      </c>
      <c r="AD1700" s="4"/>
      <c r="AE1700" s="4"/>
      <c r="AF1700" s="6">
        <v>75</v>
      </c>
      <c r="AG1700" s="6"/>
      <c r="AH1700" s="7">
        <v>1</v>
      </c>
      <c r="AI1700" s="4"/>
      <c r="AJ1700" s="4">
        <f>=ROUNDDOWN({0},0)</f>
      </c>
      <c r="AK1700" s="5"/>
      <c r="AL1700" s="2" t="s">
        <v>200</v>
      </c>
      <c r="AM1700" s="4"/>
      <c r="AN1700" s="4"/>
      <c r="AO1700" s="7"/>
      <c r="AP1700" s="4"/>
      <c r="AQ1700" s="8"/>
      <c r="AR1700" s="4"/>
      <c r="AS1700" s="8"/>
      <c r="AT1700" s="7"/>
      <c r="AU1700" s="7"/>
      <c r="AV1700" s="4"/>
      <c r="AW1700" s="8"/>
      <c r="AX1700" s="4"/>
      <c r="AY1700" s="8"/>
      <c r="AZ1700" s="7"/>
      <c r="BA1700" s="7"/>
      <c r="BB1700" s="7"/>
      <c r="BC1700" s="4"/>
      <c r="BD1700" s="8"/>
      <c r="BE1700" s="4"/>
      <c r="BF1700" s="8"/>
      <c r="BG1700" s="7"/>
      <c r="BH1700" s="7"/>
      <c r="BI1700" s="7"/>
      <c r="BJ1700" s="4">
        <v>8</v>
      </c>
      <c r="BK1700" s="8">
        <v>779.63</v>
      </c>
      <c r="BL1700" s="2" t="s">
        <v>752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8765</v>
      </c>
      <c r="BV1700" s="2" t="s">
        <v>200</v>
      </c>
      <c r="BW1700" s="2" t="s">
        <v>200</v>
      </c>
      <c r="BX1700" s="2" t="s">
        <v>289</v>
      </c>
      <c r="BY1700" s="2" t="s">
        <v>247</v>
      </c>
      <c r="BZ1700" s="2" t="s">
        <v>212</v>
      </c>
      <c r="CA1700" s="2" t="s">
        <v>6029</v>
      </c>
      <c r="CB1700" s="2" t="s">
        <v>8766</v>
      </c>
      <c r="CC1700" s="2" t="s">
        <v>213</v>
      </c>
      <c r="CD1700" s="2" t="s">
        <v>200</v>
      </c>
      <c r="CE1700" s="4"/>
      <c r="CF1700" s="4">
        <v>65</v>
      </c>
      <c r="CG1700" s="4"/>
      <c r="CH1700" s="4"/>
      <c r="CI1700" s="4"/>
      <c r="CJ1700" s="4"/>
      <c r="CK1700" s="4"/>
      <c r="CL1700" s="4"/>
      <c r="CM1700" s="4"/>
      <c r="CN1700" s="4"/>
      <c r="CO1700" s="4"/>
      <c r="CP1700" s="4"/>
      <c r="CQ1700" s="4"/>
      <c r="CR1700" s="4"/>
      <c r="CS1700" s="4"/>
      <c r="CT1700" s="4"/>
      <c r="CU1700" s="4"/>
      <c r="CV1700" s="4"/>
      <c r="CW1700" s="4"/>
      <c r="CX1700" s="4"/>
      <c r="CY1700" s="4"/>
      <c r="CZ1700" s="4"/>
      <c r="DA1700" s="4"/>
      <c r="DB1700" s="4"/>
      <c r="DC1700" s="4"/>
      <c r="DD1700" s="4"/>
      <c r="DE1700" s="4"/>
      <c r="DF1700" s="4"/>
      <c r="DG1700" s="4"/>
      <c r="DH1700" s="4"/>
      <c r="DI1700" s="4"/>
      <c r="DJ1700" s="4"/>
      <c r="DK1700" s="4"/>
      <c r="DL1700" s="4"/>
      <c r="DM1700" s="4"/>
      <c r="DN1700" s="4"/>
      <c r="DO1700" s="4"/>
      <c r="DP1700" s="4"/>
      <c r="DQ1700" s="4"/>
      <c r="DR1700" s="4"/>
      <c r="DS1700" s="4"/>
      <c r="DT1700" s="4"/>
      <c r="DU1700" s="4"/>
      <c r="DV1700" s="4"/>
      <c r="DW1700" s="4"/>
      <c r="DX1700" s="4"/>
      <c r="DY1700" s="4"/>
      <c r="DZ1700" s="4"/>
      <c r="EA1700" s="4"/>
      <c r="EB1700" s="4"/>
      <c r="EC1700" s="4"/>
      <c r="ED1700" s="4"/>
      <c r="EE1700" s="4"/>
      <c r="EF1700" s="4"/>
      <c r="EG1700" s="4"/>
      <c r="EH1700" s="4"/>
      <c r="EI1700" s="4"/>
      <c r="EJ1700" s="4"/>
      <c r="EK1700" s="4"/>
      <c r="EL1700" s="4"/>
      <c r="EM1700" s="4"/>
      <c r="EN1700" s="4"/>
      <c r="EO1700" s="4"/>
      <c r="EP1700" s="4"/>
      <c r="EQ1700" s="4"/>
      <c r="ER1700" s="4"/>
      <c r="ES1700" s="4"/>
      <c r="ET1700" s="4"/>
      <c r="EU1700" s="4"/>
      <c r="EV1700" s="4"/>
      <c r="EW1700" s="4"/>
      <c r="EX1700" s="4"/>
      <c r="EY1700" s="4"/>
      <c r="EZ1700" s="4"/>
      <c r="FA1700" s="4"/>
      <c r="FB1700" s="4"/>
      <c r="FC1700" s="4"/>
      <c r="FD1700" s="4"/>
      <c r="FE1700" s="4"/>
      <c r="FF1700" s="4"/>
      <c r="FG1700" s="4"/>
      <c r="FH1700" s="4"/>
      <c r="FI1700" s="4"/>
      <c r="FJ1700" s="4"/>
      <c r="FK1700" s="4"/>
      <c r="FL1700" s="4"/>
      <c r="FM1700" s="4"/>
      <c r="FN1700" s="4"/>
      <c r="FO1700" s="4"/>
      <c r="FP1700" s="4"/>
      <c r="FQ1700" s="4"/>
      <c r="FR1700" s="4"/>
      <c r="FS1700" s="4"/>
      <c r="FT1700" s="4"/>
      <c r="FU1700" s="4"/>
      <c r="FV1700" s="4"/>
      <c r="FW1700" s="4"/>
      <c r="FX1700" s="4"/>
      <c r="FY1700" s="4"/>
      <c r="FZ1700" s="4"/>
      <c r="GA1700" s="4"/>
      <c r="GB1700" s="4"/>
      <c r="GC1700" s="4"/>
      <c r="GD1700" s="4"/>
      <c r="GE1700" s="4"/>
      <c r="GF1700" s="4"/>
      <c r="GG1700" s="4"/>
      <c r="GH1700" s="4"/>
    </row>
    <row r="1701">
      <c r="A1701" s="2" t="s">
        <v>8767</v>
      </c>
      <c r="B1701" s="2" t="s">
        <v>195</v>
      </c>
      <c r="C1701" s="2" t="s">
        <v>3204</v>
      </c>
      <c r="D1701" s="2" t="s">
        <v>1168</v>
      </c>
      <c r="E1701" s="2" t="s">
        <v>5047</v>
      </c>
      <c r="F1701" s="2" t="s">
        <v>8768</v>
      </c>
      <c r="G1701" s="2" t="s">
        <v>8768</v>
      </c>
      <c r="H1701" s="2" t="s">
        <v>8768</v>
      </c>
      <c r="I1701" s="2" t="s">
        <v>8769</v>
      </c>
      <c r="J1701" s="2" t="s">
        <v>256</v>
      </c>
      <c r="K1701" s="2" t="s">
        <v>8770</v>
      </c>
      <c r="L1701" s="3">
        <v>51.11</v>
      </c>
      <c r="M1701" s="3">
        <v>53.67</v>
      </c>
      <c r="N1701" s="3">
        <v>79.99</v>
      </c>
      <c r="O1701" s="2" t="s">
        <v>460</v>
      </c>
      <c r="P1701" s="2" t="s">
        <v>1258</v>
      </c>
      <c r="Q1701" s="2" t="s">
        <v>206</v>
      </c>
      <c r="R1701" s="2" t="s">
        <v>1259</v>
      </c>
      <c r="S1701" s="2" t="s">
        <v>200</v>
      </c>
      <c r="T1701" s="2" t="s">
        <v>200</v>
      </c>
      <c r="U1701" s="2" t="s">
        <v>270</v>
      </c>
      <c r="V1701" s="2" t="s">
        <v>208</v>
      </c>
      <c r="W1701" s="2" t="s">
        <v>200</v>
      </c>
      <c r="X1701" s="2" t="s">
        <v>200</v>
      </c>
      <c r="Y1701" s="2" t="s">
        <v>2330</v>
      </c>
      <c r="Z1701" s="4">
        <v>75</v>
      </c>
      <c r="AA1701" s="4">
        <f>=ROUNDDOWN(68.1818181818182,0)</f>
      </c>
      <c r="AB1701" s="5">
        <v>1.1</v>
      </c>
      <c r="AC1701" s="2" t="s">
        <v>200</v>
      </c>
      <c r="AD1701" s="4"/>
      <c r="AE1701" s="4"/>
      <c r="AF1701" s="6">
        <v>65</v>
      </c>
      <c r="AG1701" s="6"/>
      <c r="AH1701" s="7">
        <v>1</v>
      </c>
      <c r="AI1701" s="4"/>
      <c r="AJ1701" s="4">
        <f>=ROUNDDOWN({0},0)</f>
      </c>
      <c r="AK1701" s="5"/>
      <c r="AL1701" s="2" t="s">
        <v>200</v>
      </c>
      <c r="AM1701" s="4"/>
      <c r="AN1701" s="4"/>
      <c r="AO1701" s="7"/>
      <c r="AP1701" s="4"/>
      <c r="AQ1701" s="8"/>
      <c r="AR1701" s="4"/>
      <c r="AS1701" s="8"/>
      <c r="AT1701" s="7"/>
      <c r="AU1701" s="7"/>
      <c r="AV1701" s="4" t="s">
        <v>200</v>
      </c>
      <c r="AW1701" s="8" t="s">
        <v>200</v>
      </c>
      <c r="AX1701" s="4" t="s">
        <v>200</v>
      </c>
      <c r="AY1701" s="8" t="s">
        <v>200</v>
      </c>
      <c r="AZ1701" s="7" t="s">
        <v>200</v>
      </c>
      <c r="BA1701" s="7" t="s">
        <v>200</v>
      </c>
      <c r="BB1701" s="7"/>
      <c r="BC1701" s="4" t="s">
        <v>200</v>
      </c>
      <c r="BD1701" s="8" t="s">
        <v>200</v>
      </c>
      <c r="BE1701" s="4" t="s">
        <v>200</v>
      </c>
      <c r="BF1701" s="8" t="s">
        <v>200</v>
      </c>
      <c r="BG1701" s="7" t="s">
        <v>200</v>
      </c>
      <c r="BH1701" s="7" t="s">
        <v>200</v>
      </c>
      <c r="BI1701" s="7"/>
      <c r="BJ1701" s="4"/>
      <c r="BK1701" s="8"/>
      <c r="BL1701" s="2" t="s">
        <v>4010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8771</v>
      </c>
      <c r="BV1701" s="2" t="s">
        <v>200</v>
      </c>
      <c r="BW1701" s="2" t="s">
        <v>200</v>
      </c>
      <c r="BX1701" s="2" t="s">
        <v>264</v>
      </c>
      <c r="BY1701" s="2" t="s">
        <v>247</v>
      </c>
      <c r="BZ1701" s="2" t="s">
        <v>212</v>
      </c>
      <c r="CA1701" s="2" t="s">
        <v>1263</v>
      </c>
      <c r="CB1701" s="2" t="s">
        <v>200</v>
      </c>
      <c r="CC1701" s="2" t="s">
        <v>213</v>
      </c>
      <c r="CD1701" s="2" t="s">
        <v>200</v>
      </c>
      <c r="CE1701" s="4">
        <v>75</v>
      </c>
      <c r="CF1701" s="4"/>
      <c r="CG1701" s="4"/>
      <c r="CH1701" s="4"/>
      <c r="CI1701" s="4"/>
      <c r="CJ1701" s="4"/>
      <c r="CK1701" s="4"/>
      <c r="CL1701" s="4"/>
      <c r="CM1701" s="4"/>
      <c r="CN1701" s="4"/>
      <c r="CO1701" s="4"/>
      <c r="CP1701" s="4"/>
      <c r="CQ1701" s="4"/>
      <c r="CR1701" s="4"/>
      <c r="CS1701" s="4"/>
      <c r="CT1701" s="4"/>
      <c r="CU1701" s="4"/>
      <c r="CV1701" s="4"/>
      <c r="CW1701" s="4"/>
      <c r="CX1701" s="4"/>
      <c r="CY1701" s="4"/>
      <c r="CZ1701" s="4"/>
      <c r="DA1701" s="4"/>
      <c r="DB1701" s="4"/>
      <c r="DC1701" s="4"/>
      <c r="DD1701" s="4"/>
      <c r="DE1701" s="4"/>
      <c r="DF1701" s="4"/>
      <c r="DG1701" s="4"/>
      <c r="DH1701" s="4"/>
      <c r="DI1701" s="4"/>
      <c r="DJ1701" s="4"/>
      <c r="DK1701" s="4"/>
      <c r="DL1701" s="4"/>
      <c r="DM1701" s="4"/>
      <c r="DN1701" s="4"/>
      <c r="DO1701" s="4"/>
      <c r="DP1701" s="4"/>
      <c r="DQ1701" s="4"/>
      <c r="DR1701" s="4"/>
      <c r="DS1701" s="4"/>
      <c r="DT1701" s="4"/>
      <c r="DU1701" s="4"/>
      <c r="DV1701" s="4"/>
      <c r="DW1701" s="4"/>
      <c r="DX1701" s="4"/>
      <c r="DY1701" s="4"/>
      <c r="DZ1701" s="4"/>
      <c r="EA1701" s="4"/>
      <c r="EB1701" s="4"/>
      <c r="EC1701" s="4"/>
      <c r="ED1701" s="4"/>
      <c r="EE1701" s="4"/>
      <c r="EF1701" s="4"/>
      <c r="EG1701" s="4"/>
      <c r="EH1701" s="4"/>
      <c r="EI1701" s="4"/>
      <c r="EJ1701" s="4"/>
      <c r="EK1701" s="4"/>
      <c r="EL1701" s="4"/>
      <c r="EM1701" s="4"/>
      <c r="EN1701" s="4"/>
      <c r="EO1701" s="4"/>
      <c r="EP1701" s="4"/>
      <c r="EQ1701" s="4"/>
      <c r="ER1701" s="4"/>
      <c r="ES1701" s="4"/>
      <c r="ET1701" s="4"/>
      <c r="EU1701" s="4"/>
      <c r="EV1701" s="4"/>
      <c r="EW1701" s="4"/>
      <c r="EX1701" s="4"/>
      <c r="EY1701" s="4"/>
      <c r="EZ1701" s="4"/>
      <c r="FA1701" s="4"/>
      <c r="FB1701" s="4"/>
      <c r="FC1701" s="4"/>
      <c r="FD1701" s="4"/>
      <c r="FE1701" s="4"/>
      <c r="FF1701" s="4"/>
      <c r="FG1701" s="4"/>
      <c r="FH1701" s="4"/>
      <c r="FI1701" s="4"/>
      <c r="FJ1701" s="4"/>
      <c r="FK1701" s="4"/>
      <c r="FL1701" s="4"/>
      <c r="FM1701" s="4"/>
      <c r="FN1701" s="4"/>
      <c r="FO1701" s="4"/>
      <c r="FP1701" s="4"/>
      <c r="FQ1701" s="4"/>
      <c r="FR1701" s="4"/>
      <c r="FS1701" s="4"/>
      <c r="FT1701" s="4"/>
      <c r="FU1701" s="4"/>
      <c r="FV1701" s="4"/>
      <c r="FW1701" s="4"/>
      <c r="FX1701" s="4"/>
      <c r="FY1701" s="4"/>
      <c r="FZ1701" s="4"/>
      <c r="GA1701" s="4"/>
      <c r="GB1701" s="4"/>
      <c r="GC1701" s="4"/>
      <c r="GD1701" s="4"/>
      <c r="GE1701" s="4"/>
      <c r="GF1701" s="4"/>
      <c r="GG1701" s="4"/>
      <c r="GH1701" s="4"/>
    </row>
    <row r="1702">
      <c r="A1702" s="2" t="s">
        <v>8772</v>
      </c>
      <c r="B1702" s="2" t="s">
        <v>195</v>
      </c>
      <c r="C1702" s="2" t="s">
        <v>3204</v>
      </c>
      <c r="D1702" s="2" t="s">
        <v>1168</v>
      </c>
      <c r="E1702" s="2" t="s">
        <v>5047</v>
      </c>
      <c r="F1702" s="2" t="s">
        <v>8768</v>
      </c>
      <c r="G1702" s="2" t="s">
        <v>8768</v>
      </c>
      <c r="H1702" s="2" t="s">
        <v>8768</v>
      </c>
      <c r="I1702" s="2" t="s">
        <v>8769</v>
      </c>
      <c r="J1702" s="2" t="s">
        <v>277</v>
      </c>
      <c r="K1702" s="2" t="s">
        <v>8770</v>
      </c>
      <c r="L1702" s="3">
        <v>57.5</v>
      </c>
      <c r="M1702" s="3">
        <v>60.38</v>
      </c>
      <c r="N1702" s="3">
        <v>89.99</v>
      </c>
      <c r="O1702" s="2" t="s">
        <v>460</v>
      </c>
      <c r="P1702" s="2" t="s">
        <v>1258</v>
      </c>
      <c r="Q1702" s="2" t="s">
        <v>206</v>
      </c>
      <c r="R1702" s="2" t="s">
        <v>1259</v>
      </c>
      <c r="S1702" s="2" t="s">
        <v>200</v>
      </c>
      <c r="T1702" s="2" t="s">
        <v>200</v>
      </c>
      <c r="U1702" s="2" t="s">
        <v>270</v>
      </c>
      <c r="V1702" s="2" t="s">
        <v>208</v>
      </c>
      <c r="W1702" s="2" t="s">
        <v>200</v>
      </c>
      <c r="X1702" s="2" t="s">
        <v>200</v>
      </c>
      <c r="Y1702" s="2" t="s">
        <v>2330</v>
      </c>
      <c r="Z1702" s="4">
        <v>117</v>
      </c>
      <c r="AA1702" s="4">
        <f>=ROUNDDOWN(68.8235294117647,0)</f>
      </c>
      <c r="AB1702" s="5">
        <v>1.7</v>
      </c>
      <c r="AC1702" s="2" t="s">
        <v>200</v>
      </c>
      <c r="AD1702" s="4"/>
      <c r="AE1702" s="4"/>
      <c r="AF1702" s="6">
        <v>65</v>
      </c>
      <c r="AG1702" s="6"/>
      <c r="AH1702" s="7">
        <v>1</v>
      </c>
      <c r="AI1702" s="4"/>
      <c r="AJ1702" s="4">
        <f>=ROUNDDOWN({0},0)</f>
      </c>
      <c r="AK1702" s="5"/>
      <c r="AL1702" s="2" t="s">
        <v>200</v>
      </c>
      <c r="AM1702" s="4"/>
      <c r="AN1702" s="4"/>
      <c r="AO1702" s="7"/>
      <c r="AP1702" s="4"/>
      <c r="AQ1702" s="8"/>
      <c r="AR1702" s="4"/>
      <c r="AS1702" s="8"/>
      <c r="AT1702" s="7"/>
      <c r="AU1702" s="7"/>
      <c r="AV1702" s="4" t="s">
        <v>200</v>
      </c>
      <c r="AW1702" s="8" t="s">
        <v>200</v>
      </c>
      <c r="AX1702" s="4" t="s">
        <v>200</v>
      </c>
      <c r="AY1702" s="8" t="s">
        <v>200</v>
      </c>
      <c r="AZ1702" s="7" t="s">
        <v>200</v>
      </c>
      <c r="BA1702" s="7" t="s">
        <v>200</v>
      </c>
      <c r="BB1702" s="7"/>
      <c r="BC1702" s="4" t="s">
        <v>200</v>
      </c>
      <c r="BD1702" s="8" t="s">
        <v>200</v>
      </c>
      <c r="BE1702" s="4" t="s">
        <v>200</v>
      </c>
      <c r="BF1702" s="8" t="s">
        <v>200</v>
      </c>
      <c r="BG1702" s="7" t="s">
        <v>200</v>
      </c>
      <c r="BH1702" s="7" t="s">
        <v>200</v>
      </c>
      <c r="BI1702" s="7"/>
      <c r="BJ1702" s="4">
        <v>1</v>
      </c>
      <c r="BK1702" s="8">
        <v>30.19</v>
      </c>
      <c r="BL1702" s="2" t="s">
        <v>4571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8773</v>
      </c>
      <c r="BV1702" s="2" t="s">
        <v>200</v>
      </c>
      <c r="BW1702" s="2" t="s">
        <v>200</v>
      </c>
      <c r="BX1702" s="2" t="s">
        <v>264</v>
      </c>
      <c r="BY1702" s="2" t="s">
        <v>247</v>
      </c>
      <c r="BZ1702" s="2" t="s">
        <v>212</v>
      </c>
      <c r="CA1702" s="2" t="s">
        <v>1263</v>
      </c>
      <c r="CB1702" s="2" t="s">
        <v>3273</v>
      </c>
      <c r="CC1702" s="2" t="s">
        <v>213</v>
      </c>
      <c r="CD1702" s="2" t="s">
        <v>200</v>
      </c>
      <c r="CE1702" s="4">
        <v>117</v>
      </c>
      <c r="CF1702" s="4"/>
      <c r="CG1702" s="4"/>
      <c r="CH1702" s="4"/>
      <c r="CI1702" s="4"/>
      <c r="CJ1702" s="4"/>
      <c r="CK1702" s="4"/>
      <c r="CL1702" s="4"/>
      <c r="CM1702" s="4"/>
      <c r="CN1702" s="4"/>
      <c r="CO1702" s="4"/>
      <c r="CP1702" s="4"/>
      <c r="CQ1702" s="4"/>
      <c r="CR1702" s="4"/>
      <c r="CS1702" s="4"/>
      <c r="CT1702" s="4"/>
      <c r="CU1702" s="4"/>
      <c r="CV1702" s="4"/>
      <c r="CW1702" s="4"/>
      <c r="CX1702" s="4"/>
      <c r="CY1702" s="4"/>
      <c r="CZ1702" s="4"/>
      <c r="DA1702" s="4"/>
      <c r="DB1702" s="4"/>
      <c r="DC1702" s="4"/>
      <c r="DD1702" s="4"/>
      <c r="DE1702" s="4"/>
      <c r="DF1702" s="4"/>
      <c r="DG1702" s="4"/>
      <c r="DH1702" s="4"/>
      <c r="DI1702" s="4"/>
      <c r="DJ1702" s="4"/>
      <c r="DK1702" s="4"/>
      <c r="DL1702" s="4"/>
      <c r="DM1702" s="4"/>
      <c r="DN1702" s="4"/>
      <c r="DO1702" s="4"/>
      <c r="DP1702" s="4"/>
      <c r="DQ1702" s="4"/>
      <c r="DR1702" s="4"/>
      <c r="DS1702" s="4"/>
      <c r="DT1702" s="4"/>
      <c r="DU1702" s="4"/>
      <c r="DV1702" s="4"/>
      <c r="DW1702" s="4"/>
      <c r="DX1702" s="4"/>
      <c r="DY1702" s="4"/>
      <c r="DZ1702" s="4"/>
      <c r="EA1702" s="4"/>
      <c r="EB1702" s="4"/>
      <c r="EC1702" s="4"/>
      <c r="ED1702" s="4"/>
      <c r="EE1702" s="4"/>
      <c r="EF1702" s="4"/>
      <c r="EG1702" s="4"/>
      <c r="EH1702" s="4"/>
      <c r="EI1702" s="4"/>
      <c r="EJ1702" s="4"/>
      <c r="EK1702" s="4"/>
      <c r="EL1702" s="4"/>
      <c r="EM1702" s="4"/>
      <c r="EN1702" s="4"/>
      <c r="EO1702" s="4"/>
      <c r="EP1702" s="4"/>
      <c r="EQ1702" s="4"/>
      <c r="ER1702" s="4"/>
      <c r="ES1702" s="4"/>
      <c r="ET1702" s="4"/>
      <c r="EU1702" s="4"/>
      <c r="EV1702" s="4"/>
      <c r="EW1702" s="4"/>
      <c r="EX1702" s="4"/>
      <c r="EY1702" s="4"/>
      <c r="EZ1702" s="4"/>
      <c r="FA1702" s="4"/>
      <c r="FB1702" s="4"/>
      <c r="FC1702" s="4"/>
      <c r="FD1702" s="4"/>
      <c r="FE1702" s="4"/>
      <c r="FF1702" s="4"/>
      <c r="FG1702" s="4"/>
      <c r="FH1702" s="4"/>
      <c r="FI1702" s="4"/>
      <c r="FJ1702" s="4"/>
      <c r="FK1702" s="4"/>
      <c r="FL1702" s="4"/>
      <c r="FM1702" s="4"/>
      <c r="FN1702" s="4"/>
      <c r="FO1702" s="4"/>
      <c r="FP1702" s="4"/>
      <c r="FQ1702" s="4"/>
      <c r="FR1702" s="4"/>
      <c r="FS1702" s="4"/>
      <c r="FT1702" s="4"/>
      <c r="FU1702" s="4"/>
      <c r="FV1702" s="4"/>
      <c r="FW1702" s="4"/>
      <c r="FX1702" s="4"/>
      <c r="FY1702" s="4"/>
      <c r="FZ1702" s="4"/>
      <c r="GA1702" s="4"/>
      <c r="GB1702" s="4"/>
      <c r="GC1702" s="4"/>
      <c r="GD1702" s="4"/>
      <c r="GE1702" s="4"/>
      <c r="GF1702" s="4"/>
      <c r="GG1702" s="4"/>
      <c r="GH1702" s="4"/>
    </row>
    <row r="1703">
      <c r="A1703" s="2" t="s">
        <v>8774</v>
      </c>
      <c r="B1703" s="2" t="s">
        <v>195</v>
      </c>
      <c r="C1703" s="2" t="s">
        <v>3204</v>
      </c>
      <c r="D1703" s="2" t="s">
        <v>1168</v>
      </c>
      <c r="E1703" s="2" t="s">
        <v>5047</v>
      </c>
      <c r="F1703" s="2" t="s">
        <v>8768</v>
      </c>
      <c r="G1703" s="2" t="s">
        <v>8768</v>
      </c>
      <c r="H1703" s="2" t="s">
        <v>8768</v>
      </c>
      <c r="I1703" s="2" t="s">
        <v>8769</v>
      </c>
      <c r="J1703" s="2" t="s">
        <v>297</v>
      </c>
      <c r="K1703" s="2" t="s">
        <v>8770</v>
      </c>
      <c r="L1703" s="3">
        <v>83.06</v>
      </c>
      <c r="M1703" s="3">
        <v>87.21</v>
      </c>
      <c r="N1703" s="3">
        <v>129.99</v>
      </c>
      <c r="O1703" s="2" t="s">
        <v>460</v>
      </c>
      <c r="P1703" s="2" t="s">
        <v>1258</v>
      </c>
      <c r="Q1703" s="2" t="s">
        <v>206</v>
      </c>
      <c r="R1703" s="2" t="s">
        <v>1259</v>
      </c>
      <c r="S1703" s="2" t="s">
        <v>200</v>
      </c>
      <c r="T1703" s="2" t="s">
        <v>200</v>
      </c>
      <c r="U1703" s="2" t="s">
        <v>270</v>
      </c>
      <c r="V1703" s="2" t="s">
        <v>208</v>
      </c>
      <c r="W1703" s="2" t="s">
        <v>200</v>
      </c>
      <c r="X1703" s="2" t="s">
        <v>200</v>
      </c>
      <c r="Y1703" s="2" t="s">
        <v>2330</v>
      </c>
      <c r="Z1703" s="4">
        <v>129</v>
      </c>
      <c r="AA1703" s="4">
        <f>=ROUNDDOWN({0},0)</f>
      </c>
      <c r="AB1703" s="5"/>
      <c r="AC1703" s="2" t="s">
        <v>200</v>
      </c>
      <c r="AD1703" s="4"/>
      <c r="AE1703" s="4"/>
      <c r="AF1703" s="6">
        <v>65</v>
      </c>
      <c r="AG1703" s="6"/>
      <c r="AH1703" s="7">
        <v>1</v>
      </c>
      <c r="AI1703" s="4"/>
      <c r="AJ1703" s="4">
        <f>=ROUNDDOWN({0},0)</f>
      </c>
      <c r="AK1703" s="5"/>
      <c r="AL1703" s="2" t="s">
        <v>200</v>
      </c>
      <c r="AM1703" s="4"/>
      <c r="AN1703" s="4"/>
      <c r="AO1703" s="7"/>
      <c r="AP1703" s="4"/>
      <c r="AQ1703" s="8"/>
      <c r="AR1703" s="4"/>
      <c r="AS1703" s="8"/>
      <c r="AT1703" s="7"/>
      <c r="AU1703" s="7"/>
      <c r="AV1703" s="4" t="s">
        <v>200</v>
      </c>
      <c r="AW1703" s="8" t="s">
        <v>200</v>
      </c>
      <c r="AX1703" s="4" t="s">
        <v>200</v>
      </c>
      <c r="AY1703" s="8" t="s">
        <v>200</v>
      </c>
      <c r="AZ1703" s="7" t="s">
        <v>200</v>
      </c>
      <c r="BA1703" s="7" t="s">
        <v>200</v>
      </c>
      <c r="BB1703" s="7"/>
      <c r="BC1703" s="4" t="s">
        <v>200</v>
      </c>
      <c r="BD1703" s="8" t="s">
        <v>200</v>
      </c>
      <c r="BE1703" s="4" t="s">
        <v>200</v>
      </c>
      <c r="BF1703" s="8" t="s">
        <v>200</v>
      </c>
      <c r="BG1703" s="7" t="s">
        <v>200</v>
      </c>
      <c r="BH1703" s="7" t="s">
        <v>200</v>
      </c>
      <c r="BI1703" s="7"/>
      <c r="BJ1703" s="4"/>
      <c r="BK1703" s="8"/>
      <c r="BL1703" s="2" t="s">
        <v>4010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8775</v>
      </c>
      <c r="BV1703" s="2" t="s">
        <v>200</v>
      </c>
      <c r="BW1703" s="2" t="s">
        <v>200</v>
      </c>
      <c r="BX1703" s="2" t="s">
        <v>264</v>
      </c>
      <c r="BY1703" s="2" t="s">
        <v>247</v>
      </c>
      <c r="BZ1703" s="2" t="s">
        <v>212</v>
      </c>
      <c r="CA1703" s="2" t="s">
        <v>1263</v>
      </c>
      <c r="CB1703" s="2" t="s">
        <v>200</v>
      </c>
      <c r="CC1703" s="2" t="s">
        <v>213</v>
      </c>
      <c r="CD1703" s="2" t="s">
        <v>200</v>
      </c>
      <c r="CE1703" s="4">
        <v>129</v>
      </c>
      <c r="CF1703" s="4"/>
      <c r="CG1703" s="4"/>
      <c r="CH1703" s="4"/>
      <c r="CI1703" s="4"/>
      <c r="CJ1703" s="4"/>
      <c r="CK1703" s="4"/>
      <c r="CL1703" s="4"/>
      <c r="CM1703" s="4"/>
      <c r="CN1703" s="4"/>
      <c r="CO1703" s="4"/>
      <c r="CP1703" s="4"/>
      <c r="CQ1703" s="4"/>
      <c r="CR1703" s="4"/>
      <c r="CS1703" s="4"/>
      <c r="CT1703" s="4"/>
      <c r="CU1703" s="4"/>
      <c r="CV1703" s="4"/>
      <c r="CW1703" s="4"/>
      <c r="CX1703" s="4"/>
      <c r="CY1703" s="4"/>
      <c r="CZ1703" s="4"/>
      <c r="DA1703" s="4"/>
      <c r="DB1703" s="4"/>
      <c r="DC1703" s="4"/>
      <c r="DD1703" s="4"/>
      <c r="DE1703" s="4"/>
      <c r="DF1703" s="4"/>
      <c r="DG1703" s="4"/>
      <c r="DH1703" s="4"/>
      <c r="DI1703" s="4"/>
      <c r="DJ1703" s="4"/>
      <c r="DK1703" s="4"/>
      <c r="DL1703" s="4"/>
      <c r="DM1703" s="4"/>
      <c r="DN1703" s="4"/>
      <c r="DO1703" s="4"/>
      <c r="DP1703" s="4"/>
      <c r="DQ1703" s="4"/>
      <c r="DR1703" s="4"/>
      <c r="DS1703" s="4"/>
      <c r="DT1703" s="4"/>
      <c r="DU1703" s="4"/>
      <c r="DV1703" s="4"/>
      <c r="DW1703" s="4"/>
      <c r="DX1703" s="4"/>
      <c r="DY1703" s="4"/>
      <c r="DZ1703" s="4"/>
      <c r="EA1703" s="4"/>
      <c r="EB1703" s="4"/>
      <c r="EC1703" s="4"/>
      <c r="ED1703" s="4"/>
      <c r="EE1703" s="4"/>
      <c r="EF1703" s="4"/>
      <c r="EG1703" s="4"/>
      <c r="EH1703" s="4"/>
      <c r="EI1703" s="4"/>
      <c r="EJ1703" s="4"/>
      <c r="EK1703" s="4"/>
      <c r="EL1703" s="4"/>
      <c r="EM1703" s="4"/>
      <c r="EN1703" s="4"/>
      <c r="EO1703" s="4"/>
      <c r="EP1703" s="4"/>
      <c r="EQ1703" s="4"/>
      <c r="ER1703" s="4"/>
      <c r="ES1703" s="4"/>
      <c r="ET1703" s="4"/>
      <c r="EU1703" s="4"/>
      <c r="EV1703" s="4"/>
      <c r="EW1703" s="4"/>
      <c r="EX1703" s="4"/>
      <c r="EY1703" s="4"/>
      <c r="EZ1703" s="4"/>
      <c r="FA1703" s="4"/>
      <c r="FB1703" s="4"/>
      <c r="FC1703" s="4"/>
      <c r="FD1703" s="4"/>
      <c r="FE1703" s="4"/>
      <c r="FF1703" s="4"/>
      <c r="FG1703" s="4"/>
      <c r="FH1703" s="4"/>
      <c r="FI1703" s="4"/>
      <c r="FJ1703" s="4"/>
      <c r="FK1703" s="4"/>
      <c r="FL1703" s="4"/>
      <c r="FM1703" s="4"/>
      <c r="FN1703" s="4"/>
      <c r="FO1703" s="4"/>
      <c r="FP1703" s="4"/>
      <c r="FQ1703" s="4"/>
      <c r="FR1703" s="4"/>
      <c r="FS1703" s="4"/>
      <c r="FT1703" s="4"/>
      <c r="FU1703" s="4"/>
      <c r="FV1703" s="4"/>
      <c r="FW1703" s="4"/>
      <c r="FX1703" s="4"/>
      <c r="FY1703" s="4"/>
      <c r="FZ1703" s="4"/>
      <c r="GA1703" s="4"/>
      <c r="GB1703" s="4"/>
      <c r="GC1703" s="4"/>
      <c r="GD1703" s="4"/>
      <c r="GE1703" s="4"/>
      <c r="GF1703" s="4"/>
      <c r="GG1703" s="4"/>
      <c r="GH1703" s="4"/>
    </row>
    <row r="1704">
      <c r="A1704" s="2" t="s">
        <v>8776</v>
      </c>
      <c r="B1704" s="2" t="s">
        <v>195</v>
      </c>
      <c r="C1704" s="2" t="s">
        <v>3204</v>
      </c>
      <c r="D1704" s="2" t="s">
        <v>1168</v>
      </c>
      <c r="E1704" s="2" t="s">
        <v>5047</v>
      </c>
      <c r="F1704" s="2" t="s">
        <v>8768</v>
      </c>
      <c r="G1704" s="2" t="s">
        <v>8768</v>
      </c>
      <c r="H1704" s="2" t="s">
        <v>8768</v>
      </c>
      <c r="I1704" s="2" t="s">
        <v>8769</v>
      </c>
      <c r="J1704" s="2" t="s">
        <v>302</v>
      </c>
      <c r="K1704" s="2" t="s">
        <v>8770</v>
      </c>
      <c r="L1704" s="3">
        <v>89.45</v>
      </c>
      <c r="M1704" s="3">
        <v>93.92</v>
      </c>
      <c r="N1704" s="3">
        <v>139.99</v>
      </c>
      <c r="O1704" s="2" t="s">
        <v>460</v>
      </c>
      <c r="P1704" s="2" t="s">
        <v>1258</v>
      </c>
      <c r="Q1704" s="2" t="s">
        <v>206</v>
      </c>
      <c r="R1704" s="2" t="s">
        <v>1259</v>
      </c>
      <c r="S1704" s="2" t="s">
        <v>200</v>
      </c>
      <c r="T1704" s="2" t="s">
        <v>200</v>
      </c>
      <c r="U1704" s="2" t="s">
        <v>270</v>
      </c>
      <c r="V1704" s="2" t="s">
        <v>208</v>
      </c>
      <c r="W1704" s="2" t="s">
        <v>200</v>
      </c>
      <c r="X1704" s="2" t="s">
        <v>200</v>
      </c>
      <c r="Y1704" s="2" t="s">
        <v>2330</v>
      </c>
      <c r="Z1704" s="4">
        <v>109</v>
      </c>
      <c r="AA1704" s="4">
        <f>=ROUNDDOWN(181.666666666667,0)</f>
      </c>
      <c r="AB1704" s="5">
        <v>0.6</v>
      </c>
      <c r="AC1704" s="2" t="s">
        <v>200</v>
      </c>
      <c r="AD1704" s="4"/>
      <c r="AE1704" s="4"/>
      <c r="AF1704" s="6">
        <v>65</v>
      </c>
      <c r="AG1704" s="6"/>
      <c r="AH1704" s="7">
        <v>1</v>
      </c>
      <c r="AI1704" s="4"/>
      <c r="AJ1704" s="4">
        <f>=ROUNDDOWN({0},0)</f>
      </c>
      <c r="AK1704" s="5"/>
      <c r="AL1704" s="2" t="s">
        <v>200</v>
      </c>
      <c r="AM1704" s="4"/>
      <c r="AN1704" s="4"/>
      <c r="AO1704" s="7"/>
      <c r="AP1704" s="4"/>
      <c r="AQ1704" s="8"/>
      <c r="AR1704" s="4"/>
      <c r="AS1704" s="8"/>
      <c r="AT1704" s="7"/>
      <c r="AU1704" s="7"/>
      <c r="AV1704" s="4" t="s">
        <v>200</v>
      </c>
      <c r="AW1704" s="8" t="s">
        <v>200</v>
      </c>
      <c r="AX1704" s="4" t="s">
        <v>200</v>
      </c>
      <c r="AY1704" s="8" t="s">
        <v>200</v>
      </c>
      <c r="AZ1704" s="7" t="s">
        <v>200</v>
      </c>
      <c r="BA1704" s="7" t="s">
        <v>200</v>
      </c>
      <c r="BB1704" s="7"/>
      <c r="BC1704" s="4" t="s">
        <v>200</v>
      </c>
      <c r="BD1704" s="8" t="s">
        <v>200</v>
      </c>
      <c r="BE1704" s="4" t="s">
        <v>200</v>
      </c>
      <c r="BF1704" s="8" t="s">
        <v>200</v>
      </c>
      <c r="BG1704" s="7" t="s">
        <v>200</v>
      </c>
      <c r="BH1704" s="7" t="s">
        <v>200</v>
      </c>
      <c r="BI1704" s="7"/>
      <c r="BJ1704" s="4">
        <v>1</v>
      </c>
      <c r="BK1704" s="8">
        <v>125.99</v>
      </c>
      <c r="BL1704" s="2" t="s">
        <v>4010</v>
      </c>
      <c r="BM1704" s="7"/>
      <c r="BN1704" s="7"/>
      <c r="BO1704" s="4"/>
      <c r="BP1704" s="8"/>
      <c r="BQ1704" s="4"/>
      <c r="BR1704" s="8"/>
      <c r="BS1704" s="7"/>
      <c r="BT1704" s="7"/>
      <c r="BU1704" s="2" t="s">
        <v>8777</v>
      </c>
      <c r="BV1704" s="2" t="s">
        <v>200</v>
      </c>
      <c r="BW1704" s="2" t="s">
        <v>200</v>
      </c>
      <c r="BX1704" s="2" t="s">
        <v>264</v>
      </c>
      <c r="BY1704" s="2" t="s">
        <v>247</v>
      </c>
      <c r="BZ1704" s="2" t="s">
        <v>212</v>
      </c>
      <c r="CA1704" s="2" t="s">
        <v>1263</v>
      </c>
      <c r="CB1704" s="2" t="s">
        <v>8103</v>
      </c>
      <c r="CC1704" s="2" t="s">
        <v>213</v>
      </c>
      <c r="CD1704" s="2" t="s">
        <v>200</v>
      </c>
      <c r="CE1704" s="4">
        <v>109</v>
      </c>
      <c r="CF1704" s="4"/>
      <c r="CG1704" s="4"/>
      <c r="CH1704" s="4"/>
      <c r="CI1704" s="4"/>
      <c r="CJ1704" s="4"/>
      <c r="CK1704" s="4"/>
      <c r="CL1704" s="4"/>
      <c r="CM1704" s="4"/>
      <c r="CN1704" s="4"/>
      <c r="CO1704" s="4"/>
      <c r="CP1704" s="4"/>
      <c r="CQ1704" s="4"/>
      <c r="CR1704" s="4"/>
      <c r="CS1704" s="4"/>
      <c r="CT1704" s="4"/>
      <c r="CU1704" s="4"/>
      <c r="CV1704" s="4"/>
      <c r="CW1704" s="4"/>
      <c r="CX1704" s="4"/>
      <c r="CY1704" s="4"/>
      <c r="CZ1704" s="4"/>
      <c r="DA1704" s="4"/>
      <c r="DB1704" s="4"/>
      <c r="DC1704" s="4"/>
      <c r="DD1704" s="4"/>
      <c r="DE1704" s="4"/>
      <c r="DF1704" s="4"/>
      <c r="DG1704" s="4"/>
      <c r="DH1704" s="4"/>
      <c r="DI1704" s="4"/>
      <c r="DJ1704" s="4"/>
      <c r="DK1704" s="4"/>
      <c r="DL1704" s="4"/>
      <c r="DM1704" s="4"/>
      <c r="DN1704" s="4"/>
      <c r="DO1704" s="4"/>
      <c r="DP1704" s="4"/>
      <c r="DQ1704" s="4"/>
      <c r="DR1704" s="4"/>
      <c r="DS1704" s="4"/>
      <c r="DT1704" s="4"/>
      <c r="DU1704" s="4"/>
      <c r="DV1704" s="4"/>
      <c r="DW1704" s="4"/>
      <c r="DX1704" s="4"/>
      <c r="DY1704" s="4"/>
      <c r="DZ1704" s="4"/>
      <c r="EA1704" s="4"/>
      <c r="EB1704" s="4"/>
      <c r="EC1704" s="4"/>
      <c r="ED1704" s="4"/>
      <c r="EE1704" s="4"/>
      <c r="EF1704" s="4"/>
      <c r="EG1704" s="4"/>
      <c r="EH1704" s="4"/>
      <c r="EI1704" s="4"/>
      <c r="EJ1704" s="4"/>
      <c r="EK1704" s="4"/>
      <c r="EL1704" s="4"/>
      <c r="EM1704" s="4"/>
      <c r="EN1704" s="4"/>
      <c r="EO1704" s="4"/>
      <c r="EP1704" s="4"/>
      <c r="EQ1704" s="4"/>
      <c r="ER1704" s="4"/>
      <c r="ES1704" s="4"/>
      <c r="ET1704" s="4"/>
      <c r="EU1704" s="4"/>
      <c r="EV1704" s="4"/>
      <c r="EW1704" s="4"/>
      <c r="EX1704" s="4"/>
      <c r="EY1704" s="4"/>
      <c r="EZ1704" s="4"/>
      <c r="FA1704" s="4"/>
      <c r="FB1704" s="4"/>
      <c r="FC1704" s="4"/>
      <c r="FD1704" s="4"/>
      <c r="FE1704" s="4"/>
      <c r="FF1704" s="4"/>
      <c r="FG1704" s="4"/>
      <c r="FH1704" s="4"/>
      <c r="FI1704" s="4"/>
      <c r="FJ1704" s="4"/>
      <c r="FK1704" s="4"/>
      <c r="FL1704" s="4"/>
      <c r="FM1704" s="4"/>
      <c r="FN1704" s="4"/>
      <c r="FO1704" s="4"/>
      <c r="FP1704" s="4"/>
      <c r="FQ1704" s="4"/>
      <c r="FR1704" s="4"/>
      <c r="FS1704" s="4"/>
      <c r="FT1704" s="4"/>
      <c r="FU1704" s="4"/>
      <c r="FV1704" s="4"/>
      <c r="FW1704" s="4"/>
      <c r="FX1704" s="4"/>
      <c r="FY1704" s="4"/>
      <c r="FZ1704" s="4"/>
      <c r="GA1704" s="4"/>
      <c r="GB1704" s="4"/>
      <c r="GC1704" s="4"/>
      <c r="GD1704" s="4"/>
      <c r="GE1704" s="4"/>
      <c r="GF1704" s="4"/>
      <c r="GG1704" s="4"/>
      <c r="GH1704" s="4"/>
    </row>
    <row r="1705">
      <c r="A1705" s="2" t="s">
        <v>8778</v>
      </c>
      <c r="B1705" s="2" t="s">
        <v>195</v>
      </c>
      <c r="C1705" s="2" t="s">
        <v>3204</v>
      </c>
      <c r="D1705" s="2" t="s">
        <v>1168</v>
      </c>
      <c r="E1705" s="2" t="s">
        <v>5047</v>
      </c>
      <c r="F1705" s="2" t="s">
        <v>8768</v>
      </c>
      <c r="G1705" s="2" t="s">
        <v>8768</v>
      </c>
      <c r="H1705" s="2" t="s">
        <v>8768</v>
      </c>
      <c r="I1705" s="2" t="s">
        <v>8769</v>
      </c>
      <c r="J1705" s="2" t="s">
        <v>256</v>
      </c>
      <c r="K1705" s="2" t="s">
        <v>1214</v>
      </c>
      <c r="L1705" s="3">
        <v>51.11</v>
      </c>
      <c r="M1705" s="3">
        <v>53.67</v>
      </c>
      <c r="N1705" s="3">
        <v>79.99</v>
      </c>
      <c r="O1705" s="2" t="s">
        <v>460</v>
      </c>
      <c r="P1705" s="2" t="s">
        <v>1258</v>
      </c>
      <c r="Q1705" s="2" t="s">
        <v>206</v>
      </c>
      <c r="R1705" s="2" t="s">
        <v>1259</v>
      </c>
      <c r="S1705" s="2" t="s">
        <v>200</v>
      </c>
      <c r="T1705" s="2" t="s">
        <v>200</v>
      </c>
      <c r="U1705" s="2" t="s">
        <v>270</v>
      </c>
      <c r="V1705" s="2" t="s">
        <v>208</v>
      </c>
      <c r="W1705" s="2" t="s">
        <v>200</v>
      </c>
      <c r="X1705" s="2" t="s">
        <v>200</v>
      </c>
      <c r="Y1705" s="2" t="s">
        <v>2330</v>
      </c>
      <c r="Z1705" s="4">
        <v>71</v>
      </c>
      <c r="AA1705" s="4">
        <f>=ROUNDDOWN(33.8095238095238,0)</f>
      </c>
      <c r="AB1705" s="5">
        <v>2.1</v>
      </c>
      <c r="AC1705" s="2" t="s">
        <v>200</v>
      </c>
      <c r="AD1705" s="4"/>
      <c r="AE1705" s="4"/>
      <c r="AF1705" s="6">
        <v>65</v>
      </c>
      <c r="AG1705" s="6"/>
      <c r="AH1705" s="7">
        <v>1</v>
      </c>
      <c r="AI1705" s="4"/>
      <c r="AJ1705" s="4">
        <f>=ROUNDDOWN({0},0)</f>
      </c>
      <c r="AK1705" s="5"/>
      <c r="AL1705" s="2" t="s">
        <v>200</v>
      </c>
      <c r="AM1705" s="4"/>
      <c r="AN1705" s="4"/>
      <c r="AO1705" s="7"/>
      <c r="AP1705" s="4"/>
      <c r="AQ1705" s="8"/>
      <c r="AR1705" s="4"/>
      <c r="AS1705" s="8"/>
      <c r="AT1705" s="7"/>
      <c r="AU1705" s="7"/>
      <c r="AV1705" s="4" t="s">
        <v>200</v>
      </c>
      <c r="AW1705" s="8" t="s">
        <v>200</v>
      </c>
      <c r="AX1705" s="4" t="s">
        <v>200</v>
      </c>
      <c r="AY1705" s="8" t="s">
        <v>200</v>
      </c>
      <c r="AZ1705" s="7" t="s">
        <v>200</v>
      </c>
      <c r="BA1705" s="7" t="s">
        <v>200</v>
      </c>
      <c r="BB1705" s="7"/>
      <c r="BC1705" s="4" t="s">
        <v>200</v>
      </c>
      <c r="BD1705" s="8" t="s">
        <v>200</v>
      </c>
      <c r="BE1705" s="4" t="s">
        <v>200</v>
      </c>
      <c r="BF1705" s="8" t="s">
        <v>200</v>
      </c>
      <c r="BG1705" s="7" t="s">
        <v>200</v>
      </c>
      <c r="BH1705" s="7" t="s">
        <v>200</v>
      </c>
      <c r="BI1705" s="7"/>
      <c r="BJ1705" s="4"/>
      <c r="BK1705" s="8"/>
      <c r="BL1705" s="2" t="s">
        <v>4571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8779</v>
      </c>
      <c r="BV1705" s="2" t="s">
        <v>200</v>
      </c>
      <c r="BW1705" s="2" t="s">
        <v>200</v>
      </c>
      <c r="BX1705" s="2" t="s">
        <v>264</v>
      </c>
      <c r="BY1705" s="2" t="s">
        <v>247</v>
      </c>
      <c r="BZ1705" s="2" t="s">
        <v>212</v>
      </c>
      <c r="CA1705" s="2" t="s">
        <v>1263</v>
      </c>
      <c r="CB1705" s="2" t="s">
        <v>3141</v>
      </c>
      <c r="CC1705" s="2" t="s">
        <v>213</v>
      </c>
      <c r="CD1705" s="2" t="s">
        <v>200</v>
      </c>
      <c r="CE1705" s="4">
        <v>71</v>
      </c>
      <c r="CF1705" s="4"/>
      <c r="CG1705" s="4"/>
      <c r="CH1705" s="4"/>
      <c r="CI1705" s="4"/>
      <c r="CJ1705" s="4"/>
      <c r="CK1705" s="4"/>
      <c r="CL1705" s="4"/>
      <c r="CM1705" s="4"/>
      <c r="CN1705" s="4"/>
      <c r="CO1705" s="4"/>
      <c r="CP1705" s="4"/>
      <c r="CQ1705" s="4"/>
      <c r="CR1705" s="4"/>
      <c r="CS1705" s="4"/>
      <c r="CT1705" s="4"/>
      <c r="CU1705" s="4"/>
      <c r="CV1705" s="4"/>
      <c r="CW1705" s="4"/>
      <c r="CX1705" s="4"/>
      <c r="CY1705" s="4"/>
      <c r="CZ1705" s="4"/>
      <c r="DA1705" s="4"/>
      <c r="DB1705" s="4"/>
      <c r="DC1705" s="4"/>
      <c r="DD1705" s="4"/>
      <c r="DE1705" s="4"/>
      <c r="DF1705" s="4"/>
      <c r="DG1705" s="4"/>
      <c r="DH1705" s="4"/>
      <c r="DI1705" s="4"/>
      <c r="DJ1705" s="4"/>
      <c r="DK1705" s="4"/>
      <c r="DL1705" s="4"/>
      <c r="DM1705" s="4"/>
      <c r="DN1705" s="4"/>
      <c r="DO1705" s="4"/>
      <c r="DP1705" s="4"/>
      <c r="DQ1705" s="4"/>
      <c r="DR1705" s="4"/>
      <c r="DS1705" s="4"/>
      <c r="DT1705" s="4"/>
      <c r="DU1705" s="4"/>
      <c r="DV1705" s="4"/>
      <c r="DW1705" s="4"/>
      <c r="DX1705" s="4"/>
      <c r="DY1705" s="4"/>
      <c r="DZ1705" s="4"/>
      <c r="EA1705" s="4"/>
      <c r="EB1705" s="4"/>
      <c r="EC1705" s="4"/>
      <c r="ED1705" s="4"/>
      <c r="EE1705" s="4"/>
      <c r="EF1705" s="4"/>
      <c r="EG1705" s="4"/>
      <c r="EH1705" s="4"/>
      <c r="EI1705" s="4"/>
      <c r="EJ1705" s="4"/>
      <c r="EK1705" s="4"/>
      <c r="EL1705" s="4"/>
      <c r="EM1705" s="4"/>
      <c r="EN1705" s="4"/>
      <c r="EO1705" s="4"/>
      <c r="EP1705" s="4"/>
      <c r="EQ1705" s="4"/>
      <c r="ER1705" s="4"/>
      <c r="ES1705" s="4"/>
      <c r="ET1705" s="4"/>
      <c r="EU1705" s="4"/>
      <c r="EV1705" s="4"/>
      <c r="EW1705" s="4"/>
      <c r="EX1705" s="4"/>
      <c r="EY1705" s="4"/>
      <c r="EZ1705" s="4"/>
      <c r="FA1705" s="4"/>
      <c r="FB1705" s="4"/>
      <c r="FC1705" s="4"/>
      <c r="FD1705" s="4"/>
      <c r="FE1705" s="4"/>
      <c r="FF1705" s="4"/>
      <c r="FG1705" s="4"/>
      <c r="FH1705" s="4"/>
      <c r="FI1705" s="4"/>
      <c r="FJ1705" s="4"/>
      <c r="FK1705" s="4"/>
      <c r="FL1705" s="4"/>
      <c r="FM1705" s="4"/>
      <c r="FN1705" s="4"/>
      <c r="FO1705" s="4"/>
      <c r="FP1705" s="4"/>
      <c r="FQ1705" s="4"/>
      <c r="FR1705" s="4"/>
      <c r="FS1705" s="4"/>
      <c r="FT1705" s="4"/>
      <c r="FU1705" s="4"/>
      <c r="FV1705" s="4"/>
      <c r="FW1705" s="4"/>
      <c r="FX1705" s="4"/>
      <c r="FY1705" s="4"/>
      <c r="FZ1705" s="4"/>
      <c r="GA1705" s="4"/>
      <c r="GB1705" s="4"/>
      <c r="GC1705" s="4"/>
      <c r="GD1705" s="4"/>
      <c r="GE1705" s="4"/>
      <c r="GF1705" s="4"/>
      <c r="GG1705" s="4"/>
      <c r="GH1705" s="4"/>
    </row>
    <row r="1706">
      <c r="A1706" s="2" t="s">
        <v>8780</v>
      </c>
      <c r="B1706" s="2" t="s">
        <v>195</v>
      </c>
      <c r="C1706" s="2" t="s">
        <v>3204</v>
      </c>
      <c r="D1706" s="2" t="s">
        <v>1168</v>
      </c>
      <c r="E1706" s="2" t="s">
        <v>5047</v>
      </c>
      <c r="F1706" s="2" t="s">
        <v>8768</v>
      </c>
      <c r="G1706" s="2" t="s">
        <v>8768</v>
      </c>
      <c r="H1706" s="2" t="s">
        <v>8768</v>
      </c>
      <c r="I1706" s="2" t="s">
        <v>8769</v>
      </c>
      <c r="J1706" s="2" t="s">
        <v>277</v>
      </c>
      <c r="K1706" s="2" t="s">
        <v>1214</v>
      </c>
      <c r="L1706" s="3">
        <v>57.5</v>
      </c>
      <c r="M1706" s="3">
        <v>60.38</v>
      </c>
      <c r="N1706" s="3">
        <v>89.99</v>
      </c>
      <c r="O1706" s="2" t="s">
        <v>460</v>
      </c>
      <c r="P1706" s="2" t="s">
        <v>1258</v>
      </c>
      <c r="Q1706" s="2" t="s">
        <v>206</v>
      </c>
      <c r="R1706" s="2" t="s">
        <v>1259</v>
      </c>
      <c r="S1706" s="2" t="s">
        <v>200</v>
      </c>
      <c r="T1706" s="2" t="s">
        <v>200</v>
      </c>
      <c r="U1706" s="2" t="s">
        <v>270</v>
      </c>
      <c r="V1706" s="2" t="s">
        <v>208</v>
      </c>
      <c r="W1706" s="2" t="s">
        <v>200</v>
      </c>
      <c r="X1706" s="2" t="s">
        <v>200</v>
      </c>
      <c r="Y1706" s="2" t="s">
        <v>2330</v>
      </c>
      <c r="Z1706" s="4">
        <v>72</v>
      </c>
      <c r="AA1706" s="4">
        <f>=ROUNDDOWN(36,0)</f>
      </c>
      <c r="AB1706" s="5">
        <v>2</v>
      </c>
      <c r="AC1706" s="2" t="s">
        <v>200</v>
      </c>
      <c r="AD1706" s="4"/>
      <c r="AE1706" s="4"/>
      <c r="AF1706" s="6">
        <v>65</v>
      </c>
      <c r="AG1706" s="6"/>
      <c r="AH1706" s="7">
        <v>1</v>
      </c>
      <c r="AI1706" s="4"/>
      <c r="AJ1706" s="4">
        <f>=ROUNDDOWN({0},0)</f>
      </c>
      <c r="AK1706" s="5"/>
      <c r="AL1706" s="2" t="s">
        <v>200</v>
      </c>
      <c r="AM1706" s="4"/>
      <c r="AN1706" s="4"/>
      <c r="AO1706" s="7"/>
      <c r="AP1706" s="4"/>
      <c r="AQ1706" s="8"/>
      <c r="AR1706" s="4"/>
      <c r="AS1706" s="8"/>
      <c r="AT1706" s="7"/>
      <c r="AU1706" s="7"/>
      <c r="AV1706" s="4" t="s">
        <v>200</v>
      </c>
      <c r="AW1706" s="8" t="s">
        <v>200</v>
      </c>
      <c r="AX1706" s="4" t="s">
        <v>200</v>
      </c>
      <c r="AY1706" s="8" t="s">
        <v>200</v>
      </c>
      <c r="AZ1706" s="7" t="s">
        <v>200</v>
      </c>
      <c r="BA1706" s="7" t="s">
        <v>200</v>
      </c>
      <c r="BB1706" s="7"/>
      <c r="BC1706" s="4" t="s">
        <v>200</v>
      </c>
      <c r="BD1706" s="8" t="s">
        <v>200</v>
      </c>
      <c r="BE1706" s="4" t="s">
        <v>200</v>
      </c>
      <c r="BF1706" s="8" t="s">
        <v>200</v>
      </c>
      <c r="BG1706" s="7" t="s">
        <v>200</v>
      </c>
      <c r="BH1706" s="7" t="s">
        <v>200</v>
      </c>
      <c r="BI1706" s="7"/>
      <c r="BJ1706" s="4">
        <v>1</v>
      </c>
      <c r="BK1706" s="8">
        <v>76.49</v>
      </c>
      <c r="BL1706" s="2" t="s">
        <v>4577</v>
      </c>
      <c r="BM1706" s="7"/>
      <c r="BN1706" s="7"/>
      <c r="BO1706" s="4"/>
      <c r="BP1706" s="8"/>
      <c r="BQ1706" s="4"/>
      <c r="BR1706" s="8"/>
      <c r="BS1706" s="7"/>
      <c r="BT1706" s="7"/>
      <c r="BU1706" s="2" t="s">
        <v>8781</v>
      </c>
      <c r="BV1706" s="2" t="s">
        <v>200</v>
      </c>
      <c r="BW1706" s="2" t="s">
        <v>200</v>
      </c>
      <c r="BX1706" s="2" t="s">
        <v>264</v>
      </c>
      <c r="BY1706" s="2" t="s">
        <v>247</v>
      </c>
      <c r="BZ1706" s="2" t="s">
        <v>212</v>
      </c>
      <c r="CA1706" s="2" t="s">
        <v>1263</v>
      </c>
      <c r="CB1706" s="2" t="s">
        <v>1458</v>
      </c>
      <c r="CC1706" s="2" t="s">
        <v>213</v>
      </c>
      <c r="CD1706" s="2" t="s">
        <v>200</v>
      </c>
      <c r="CE1706" s="4">
        <v>72</v>
      </c>
      <c r="CF1706" s="4"/>
      <c r="CG1706" s="4"/>
      <c r="CH1706" s="4"/>
      <c r="CI1706" s="4"/>
      <c r="CJ1706" s="4"/>
      <c r="CK1706" s="4"/>
      <c r="CL1706" s="4"/>
      <c r="CM1706" s="4"/>
      <c r="CN1706" s="4"/>
      <c r="CO1706" s="4"/>
      <c r="CP1706" s="4"/>
      <c r="CQ1706" s="4"/>
      <c r="CR1706" s="4"/>
      <c r="CS1706" s="4"/>
      <c r="CT1706" s="4"/>
      <c r="CU1706" s="4"/>
      <c r="CV1706" s="4"/>
      <c r="CW1706" s="4"/>
      <c r="CX1706" s="4"/>
      <c r="CY1706" s="4"/>
      <c r="CZ1706" s="4"/>
      <c r="DA1706" s="4"/>
      <c r="DB1706" s="4"/>
      <c r="DC1706" s="4"/>
      <c r="DD1706" s="4"/>
      <c r="DE1706" s="4"/>
      <c r="DF1706" s="4"/>
      <c r="DG1706" s="4"/>
      <c r="DH1706" s="4"/>
      <c r="DI1706" s="4"/>
      <c r="DJ1706" s="4"/>
      <c r="DK1706" s="4"/>
      <c r="DL1706" s="4"/>
      <c r="DM1706" s="4"/>
      <c r="DN1706" s="4"/>
      <c r="DO1706" s="4"/>
      <c r="DP1706" s="4"/>
      <c r="DQ1706" s="4"/>
      <c r="DR1706" s="4"/>
      <c r="DS1706" s="4"/>
      <c r="DT1706" s="4"/>
      <c r="DU1706" s="4"/>
      <c r="DV1706" s="4"/>
      <c r="DW1706" s="4"/>
      <c r="DX1706" s="4"/>
      <c r="DY1706" s="4"/>
      <c r="DZ1706" s="4"/>
      <c r="EA1706" s="4"/>
      <c r="EB1706" s="4"/>
      <c r="EC1706" s="4"/>
      <c r="ED1706" s="4"/>
      <c r="EE1706" s="4"/>
      <c r="EF1706" s="4"/>
      <c r="EG1706" s="4"/>
      <c r="EH1706" s="4"/>
      <c r="EI1706" s="4"/>
      <c r="EJ1706" s="4"/>
      <c r="EK1706" s="4"/>
      <c r="EL1706" s="4"/>
      <c r="EM1706" s="4"/>
      <c r="EN1706" s="4"/>
      <c r="EO1706" s="4"/>
      <c r="EP1706" s="4"/>
      <c r="EQ1706" s="4"/>
      <c r="ER1706" s="4"/>
      <c r="ES1706" s="4"/>
      <c r="ET1706" s="4"/>
      <c r="EU1706" s="4"/>
      <c r="EV1706" s="4"/>
      <c r="EW1706" s="4"/>
      <c r="EX1706" s="4"/>
      <c r="EY1706" s="4"/>
      <c r="EZ1706" s="4"/>
      <c r="FA1706" s="4"/>
      <c r="FB1706" s="4"/>
      <c r="FC1706" s="4"/>
      <c r="FD1706" s="4"/>
      <c r="FE1706" s="4"/>
      <c r="FF1706" s="4"/>
      <c r="FG1706" s="4"/>
      <c r="FH1706" s="4"/>
      <c r="FI1706" s="4"/>
      <c r="FJ1706" s="4"/>
      <c r="FK1706" s="4"/>
      <c r="FL1706" s="4"/>
      <c r="FM1706" s="4"/>
      <c r="FN1706" s="4"/>
      <c r="FO1706" s="4"/>
      <c r="FP1706" s="4"/>
      <c r="FQ1706" s="4"/>
      <c r="FR1706" s="4"/>
      <c r="FS1706" s="4"/>
      <c r="FT1706" s="4"/>
      <c r="FU1706" s="4"/>
      <c r="FV1706" s="4"/>
      <c r="FW1706" s="4"/>
      <c r="FX1706" s="4"/>
      <c r="FY1706" s="4"/>
      <c r="FZ1706" s="4"/>
      <c r="GA1706" s="4"/>
      <c r="GB1706" s="4"/>
      <c r="GC1706" s="4"/>
      <c r="GD1706" s="4"/>
      <c r="GE1706" s="4"/>
      <c r="GF1706" s="4"/>
      <c r="GG1706" s="4"/>
      <c r="GH1706" s="4"/>
    </row>
    <row r="1707">
      <c r="A1707" s="2" t="s">
        <v>8782</v>
      </c>
      <c r="B1707" s="2" t="s">
        <v>195</v>
      </c>
      <c r="C1707" s="2" t="s">
        <v>3204</v>
      </c>
      <c r="D1707" s="2" t="s">
        <v>1168</v>
      </c>
      <c r="E1707" s="2" t="s">
        <v>5047</v>
      </c>
      <c r="F1707" s="2" t="s">
        <v>8768</v>
      </c>
      <c r="G1707" s="2" t="s">
        <v>8768</v>
      </c>
      <c r="H1707" s="2" t="s">
        <v>8768</v>
      </c>
      <c r="I1707" s="2" t="s">
        <v>8769</v>
      </c>
      <c r="J1707" s="2" t="s">
        <v>297</v>
      </c>
      <c r="K1707" s="2" t="s">
        <v>1214</v>
      </c>
      <c r="L1707" s="3">
        <v>83.06</v>
      </c>
      <c r="M1707" s="3">
        <v>87.21</v>
      </c>
      <c r="N1707" s="3">
        <v>129.99</v>
      </c>
      <c r="O1707" s="2" t="s">
        <v>460</v>
      </c>
      <c r="P1707" s="2" t="s">
        <v>1258</v>
      </c>
      <c r="Q1707" s="2" t="s">
        <v>206</v>
      </c>
      <c r="R1707" s="2" t="s">
        <v>1259</v>
      </c>
      <c r="S1707" s="2" t="s">
        <v>200</v>
      </c>
      <c r="T1707" s="2" t="s">
        <v>200</v>
      </c>
      <c r="U1707" s="2" t="s">
        <v>270</v>
      </c>
      <c r="V1707" s="2" t="s">
        <v>208</v>
      </c>
      <c r="W1707" s="2" t="s">
        <v>200</v>
      </c>
      <c r="X1707" s="2" t="s">
        <v>200</v>
      </c>
      <c r="Y1707" s="2" t="s">
        <v>1562</v>
      </c>
      <c r="Z1707" s="4">
        <v>88</v>
      </c>
      <c r="AA1707" s="4">
        <f>=ROUNDDOWN(88,0)</f>
      </c>
      <c r="AB1707" s="5">
        <v>1</v>
      </c>
      <c r="AC1707" s="2" t="s">
        <v>200</v>
      </c>
      <c r="AD1707" s="4"/>
      <c r="AE1707" s="4"/>
      <c r="AF1707" s="6">
        <v>65</v>
      </c>
      <c r="AG1707" s="6"/>
      <c r="AH1707" s="7">
        <v>1</v>
      </c>
      <c r="AI1707" s="4"/>
      <c r="AJ1707" s="4">
        <f>=ROUNDDOWN({0},0)</f>
      </c>
      <c r="AK1707" s="5"/>
      <c r="AL1707" s="2" t="s">
        <v>200</v>
      </c>
      <c r="AM1707" s="4"/>
      <c r="AN1707" s="4"/>
      <c r="AO1707" s="7"/>
      <c r="AP1707" s="4"/>
      <c r="AQ1707" s="8"/>
      <c r="AR1707" s="4"/>
      <c r="AS1707" s="8"/>
      <c r="AT1707" s="7"/>
      <c r="AU1707" s="7"/>
      <c r="AV1707" s="4" t="s">
        <v>200</v>
      </c>
      <c r="AW1707" s="8" t="s">
        <v>200</v>
      </c>
      <c r="AX1707" s="4" t="s">
        <v>200</v>
      </c>
      <c r="AY1707" s="8" t="s">
        <v>200</v>
      </c>
      <c r="AZ1707" s="7" t="s">
        <v>200</v>
      </c>
      <c r="BA1707" s="7" t="s">
        <v>200</v>
      </c>
      <c r="BB1707" s="7"/>
      <c r="BC1707" s="4" t="s">
        <v>200</v>
      </c>
      <c r="BD1707" s="8" t="s">
        <v>200</v>
      </c>
      <c r="BE1707" s="4" t="s">
        <v>200</v>
      </c>
      <c r="BF1707" s="8" t="s">
        <v>200</v>
      </c>
      <c r="BG1707" s="7" t="s">
        <v>200</v>
      </c>
      <c r="BH1707" s="7" t="s">
        <v>200</v>
      </c>
      <c r="BI1707" s="7"/>
      <c r="BJ1707" s="4">
        <v>1</v>
      </c>
      <c r="BK1707" s="8">
        <v>112.99</v>
      </c>
      <c r="BL1707" s="2" t="s">
        <v>4571</v>
      </c>
      <c r="BM1707" s="7"/>
      <c r="BN1707" s="7"/>
      <c r="BO1707" s="4"/>
      <c r="BP1707" s="8"/>
      <c r="BQ1707" s="4"/>
      <c r="BR1707" s="8"/>
      <c r="BS1707" s="7"/>
      <c r="BT1707" s="7"/>
      <c r="BU1707" s="2" t="s">
        <v>8783</v>
      </c>
      <c r="BV1707" s="2" t="s">
        <v>200</v>
      </c>
      <c r="BW1707" s="2" t="s">
        <v>200</v>
      </c>
      <c r="BX1707" s="2" t="s">
        <v>264</v>
      </c>
      <c r="BY1707" s="2" t="s">
        <v>247</v>
      </c>
      <c r="BZ1707" s="2" t="s">
        <v>212</v>
      </c>
      <c r="CA1707" s="2" t="s">
        <v>1263</v>
      </c>
      <c r="CB1707" s="2" t="s">
        <v>200</v>
      </c>
      <c r="CC1707" s="2" t="s">
        <v>213</v>
      </c>
      <c r="CD1707" s="2" t="s">
        <v>200</v>
      </c>
      <c r="CE1707" s="4">
        <v>88</v>
      </c>
      <c r="CF1707" s="4"/>
      <c r="CG1707" s="4"/>
      <c r="CH1707" s="4"/>
      <c r="CI1707" s="4"/>
      <c r="CJ1707" s="4"/>
      <c r="CK1707" s="4"/>
      <c r="CL1707" s="4"/>
      <c r="CM1707" s="4"/>
      <c r="CN1707" s="4"/>
      <c r="CO1707" s="4"/>
      <c r="CP1707" s="4"/>
      <c r="CQ1707" s="4"/>
      <c r="CR1707" s="4"/>
      <c r="CS1707" s="4"/>
      <c r="CT1707" s="4"/>
      <c r="CU1707" s="4"/>
      <c r="CV1707" s="4"/>
      <c r="CW1707" s="4"/>
      <c r="CX1707" s="4"/>
      <c r="CY1707" s="4"/>
      <c r="CZ1707" s="4"/>
      <c r="DA1707" s="4"/>
      <c r="DB1707" s="4"/>
      <c r="DC1707" s="4"/>
      <c r="DD1707" s="4"/>
      <c r="DE1707" s="4"/>
      <c r="DF1707" s="4"/>
      <c r="DG1707" s="4"/>
      <c r="DH1707" s="4"/>
      <c r="DI1707" s="4"/>
      <c r="DJ1707" s="4"/>
      <c r="DK1707" s="4"/>
      <c r="DL1707" s="4"/>
      <c r="DM1707" s="4"/>
      <c r="DN1707" s="4"/>
      <c r="DO1707" s="4"/>
      <c r="DP1707" s="4"/>
      <c r="DQ1707" s="4"/>
      <c r="DR1707" s="4"/>
      <c r="DS1707" s="4"/>
      <c r="DT1707" s="4"/>
      <c r="DU1707" s="4"/>
      <c r="DV1707" s="4"/>
      <c r="DW1707" s="4"/>
      <c r="DX1707" s="4"/>
      <c r="DY1707" s="4"/>
      <c r="DZ1707" s="4"/>
      <c r="EA1707" s="4"/>
      <c r="EB1707" s="4"/>
      <c r="EC1707" s="4"/>
      <c r="ED1707" s="4"/>
      <c r="EE1707" s="4"/>
      <c r="EF1707" s="4"/>
      <c r="EG1707" s="4"/>
      <c r="EH1707" s="4"/>
      <c r="EI1707" s="4"/>
      <c r="EJ1707" s="4"/>
      <c r="EK1707" s="4"/>
      <c r="EL1707" s="4"/>
      <c r="EM1707" s="4"/>
      <c r="EN1707" s="4"/>
      <c r="EO1707" s="4"/>
      <c r="EP1707" s="4"/>
      <c r="EQ1707" s="4"/>
      <c r="ER1707" s="4"/>
      <c r="ES1707" s="4"/>
      <c r="ET1707" s="4"/>
      <c r="EU1707" s="4"/>
      <c r="EV1707" s="4"/>
      <c r="EW1707" s="4"/>
      <c r="EX1707" s="4"/>
      <c r="EY1707" s="4"/>
      <c r="EZ1707" s="4"/>
      <c r="FA1707" s="4"/>
      <c r="FB1707" s="4"/>
      <c r="FC1707" s="4"/>
      <c r="FD1707" s="4"/>
      <c r="FE1707" s="4"/>
      <c r="FF1707" s="4"/>
      <c r="FG1707" s="4"/>
      <c r="FH1707" s="4"/>
      <c r="FI1707" s="4"/>
      <c r="FJ1707" s="4"/>
      <c r="FK1707" s="4"/>
      <c r="FL1707" s="4"/>
      <c r="FM1707" s="4"/>
      <c r="FN1707" s="4"/>
      <c r="FO1707" s="4"/>
      <c r="FP1707" s="4"/>
      <c r="FQ1707" s="4"/>
      <c r="FR1707" s="4"/>
      <c r="FS1707" s="4"/>
      <c r="FT1707" s="4"/>
      <c r="FU1707" s="4"/>
      <c r="FV1707" s="4"/>
      <c r="FW1707" s="4"/>
      <c r="FX1707" s="4"/>
      <c r="FY1707" s="4"/>
      <c r="FZ1707" s="4"/>
      <c r="GA1707" s="4"/>
      <c r="GB1707" s="4"/>
      <c r="GC1707" s="4"/>
      <c r="GD1707" s="4"/>
      <c r="GE1707" s="4"/>
      <c r="GF1707" s="4"/>
      <c r="GG1707" s="4"/>
      <c r="GH1707" s="4"/>
    </row>
    <row r="1708">
      <c r="A1708" s="2" t="s">
        <v>8784</v>
      </c>
      <c r="B1708" s="2" t="s">
        <v>195</v>
      </c>
      <c r="C1708" s="2" t="s">
        <v>3204</v>
      </c>
      <c r="D1708" s="2" t="s">
        <v>1168</v>
      </c>
      <c r="E1708" s="2" t="s">
        <v>5047</v>
      </c>
      <c r="F1708" s="2" t="s">
        <v>8768</v>
      </c>
      <c r="G1708" s="2" t="s">
        <v>8768</v>
      </c>
      <c r="H1708" s="2" t="s">
        <v>8768</v>
      </c>
      <c r="I1708" s="2" t="s">
        <v>8769</v>
      </c>
      <c r="J1708" s="2" t="s">
        <v>256</v>
      </c>
      <c r="K1708" s="2" t="s">
        <v>857</v>
      </c>
      <c r="L1708" s="3">
        <v>51.11</v>
      </c>
      <c r="M1708" s="3">
        <v>53.67</v>
      </c>
      <c r="N1708" s="3">
        <v>79.99</v>
      </c>
      <c r="O1708" s="2" t="s">
        <v>460</v>
      </c>
      <c r="P1708" s="2" t="s">
        <v>1258</v>
      </c>
      <c r="Q1708" s="2" t="s">
        <v>206</v>
      </c>
      <c r="R1708" s="2" t="s">
        <v>1259</v>
      </c>
      <c r="S1708" s="2" t="s">
        <v>200</v>
      </c>
      <c r="T1708" s="2" t="s">
        <v>200</v>
      </c>
      <c r="U1708" s="2" t="s">
        <v>270</v>
      </c>
      <c r="V1708" s="2" t="s">
        <v>208</v>
      </c>
      <c r="W1708" s="2" t="s">
        <v>200</v>
      </c>
      <c r="X1708" s="2" t="s">
        <v>200</v>
      </c>
      <c r="Y1708" s="2" t="s">
        <v>2330</v>
      </c>
      <c r="Z1708" s="4">
        <v>143</v>
      </c>
      <c r="AA1708" s="4">
        <f>=ROUNDDOWN(71.5,0)</f>
      </c>
      <c r="AB1708" s="5">
        <v>2</v>
      </c>
      <c r="AC1708" s="2" t="s">
        <v>200</v>
      </c>
      <c r="AD1708" s="4"/>
      <c r="AE1708" s="4"/>
      <c r="AF1708" s="6">
        <v>65</v>
      </c>
      <c r="AG1708" s="6"/>
      <c r="AH1708" s="7">
        <v>1</v>
      </c>
      <c r="AI1708" s="4"/>
      <c r="AJ1708" s="4">
        <f>=ROUNDDOWN({0},0)</f>
      </c>
      <c r="AK1708" s="5"/>
      <c r="AL1708" s="2" t="s">
        <v>200</v>
      </c>
      <c r="AM1708" s="4"/>
      <c r="AN1708" s="4"/>
      <c r="AO1708" s="7"/>
      <c r="AP1708" s="4"/>
      <c r="AQ1708" s="8"/>
      <c r="AR1708" s="4"/>
      <c r="AS1708" s="8"/>
      <c r="AT1708" s="7"/>
      <c r="AU1708" s="7"/>
      <c r="AV1708" s="4" t="s">
        <v>200</v>
      </c>
      <c r="AW1708" s="8" t="s">
        <v>200</v>
      </c>
      <c r="AX1708" s="4" t="s">
        <v>200</v>
      </c>
      <c r="AY1708" s="8" t="s">
        <v>200</v>
      </c>
      <c r="AZ1708" s="7" t="s">
        <v>200</v>
      </c>
      <c r="BA1708" s="7" t="s">
        <v>200</v>
      </c>
      <c r="BB1708" s="7"/>
      <c r="BC1708" s="4" t="s">
        <v>200</v>
      </c>
      <c r="BD1708" s="8" t="s">
        <v>200</v>
      </c>
      <c r="BE1708" s="4" t="s">
        <v>200</v>
      </c>
      <c r="BF1708" s="8" t="s">
        <v>200</v>
      </c>
      <c r="BG1708" s="7" t="s">
        <v>200</v>
      </c>
      <c r="BH1708" s="7" t="s">
        <v>200</v>
      </c>
      <c r="BI1708" s="7"/>
      <c r="BJ1708" s="4"/>
      <c r="BK1708" s="8"/>
      <c r="BL1708" s="2" t="s">
        <v>4010</v>
      </c>
      <c r="BM1708" s="7"/>
      <c r="BN1708" s="7"/>
      <c r="BO1708" s="4"/>
      <c r="BP1708" s="8"/>
      <c r="BQ1708" s="4"/>
      <c r="BR1708" s="8"/>
      <c r="BS1708" s="7"/>
      <c r="BT1708" s="7"/>
      <c r="BU1708" s="2" t="s">
        <v>8785</v>
      </c>
      <c r="BV1708" s="2" t="s">
        <v>200</v>
      </c>
      <c r="BW1708" s="2" t="s">
        <v>200</v>
      </c>
      <c r="BX1708" s="2" t="s">
        <v>264</v>
      </c>
      <c r="BY1708" s="2" t="s">
        <v>247</v>
      </c>
      <c r="BZ1708" s="2" t="s">
        <v>212</v>
      </c>
      <c r="CA1708" s="2" t="s">
        <v>1263</v>
      </c>
      <c r="CB1708" s="2" t="s">
        <v>1794</v>
      </c>
      <c r="CC1708" s="2" t="s">
        <v>213</v>
      </c>
      <c r="CD1708" s="2" t="s">
        <v>200</v>
      </c>
      <c r="CE1708" s="4">
        <v>143</v>
      </c>
      <c r="CF1708" s="4"/>
      <c r="CG1708" s="4"/>
      <c r="CH1708" s="4"/>
      <c r="CI1708" s="4"/>
      <c r="CJ1708" s="4"/>
      <c r="CK1708" s="4"/>
      <c r="CL1708" s="4"/>
      <c r="CM1708" s="4"/>
      <c r="CN1708" s="4"/>
      <c r="CO1708" s="4"/>
      <c r="CP1708" s="4"/>
      <c r="CQ1708" s="4"/>
      <c r="CR1708" s="4"/>
      <c r="CS1708" s="4"/>
      <c r="CT1708" s="4"/>
      <c r="CU1708" s="4"/>
      <c r="CV1708" s="4"/>
      <c r="CW1708" s="4"/>
      <c r="CX1708" s="4"/>
      <c r="CY1708" s="4"/>
      <c r="CZ1708" s="4"/>
      <c r="DA1708" s="4"/>
      <c r="DB1708" s="4"/>
      <c r="DC1708" s="4"/>
      <c r="DD1708" s="4"/>
      <c r="DE1708" s="4"/>
      <c r="DF1708" s="4"/>
      <c r="DG1708" s="4"/>
      <c r="DH1708" s="4"/>
      <c r="DI1708" s="4"/>
      <c r="DJ1708" s="4"/>
      <c r="DK1708" s="4"/>
      <c r="DL1708" s="4"/>
      <c r="DM1708" s="4"/>
      <c r="DN1708" s="4"/>
      <c r="DO1708" s="4"/>
      <c r="DP1708" s="4"/>
      <c r="DQ1708" s="4"/>
      <c r="DR1708" s="4"/>
      <c r="DS1708" s="4"/>
      <c r="DT1708" s="4"/>
      <c r="DU1708" s="4"/>
      <c r="DV1708" s="4"/>
      <c r="DW1708" s="4"/>
      <c r="DX1708" s="4"/>
      <c r="DY1708" s="4"/>
      <c r="DZ1708" s="4"/>
      <c r="EA1708" s="4"/>
      <c r="EB1708" s="4"/>
      <c r="EC1708" s="4"/>
      <c r="ED1708" s="4"/>
      <c r="EE1708" s="4"/>
      <c r="EF1708" s="4"/>
      <c r="EG1708" s="4"/>
      <c r="EH1708" s="4"/>
      <c r="EI1708" s="4"/>
      <c r="EJ1708" s="4"/>
      <c r="EK1708" s="4"/>
      <c r="EL1708" s="4"/>
      <c r="EM1708" s="4"/>
      <c r="EN1708" s="4"/>
      <c r="EO1708" s="4"/>
      <c r="EP1708" s="4"/>
      <c r="EQ1708" s="4"/>
      <c r="ER1708" s="4"/>
      <c r="ES1708" s="4"/>
      <c r="ET1708" s="4"/>
      <c r="EU1708" s="4"/>
      <c r="EV1708" s="4"/>
      <c r="EW1708" s="4"/>
      <c r="EX1708" s="4"/>
      <c r="EY1708" s="4"/>
      <c r="EZ1708" s="4"/>
      <c r="FA1708" s="4"/>
      <c r="FB1708" s="4"/>
      <c r="FC1708" s="4"/>
      <c r="FD1708" s="4"/>
      <c r="FE1708" s="4"/>
      <c r="FF1708" s="4"/>
      <c r="FG1708" s="4"/>
      <c r="FH1708" s="4"/>
      <c r="FI1708" s="4"/>
      <c r="FJ1708" s="4"/>
      <c r="FK1708" s="4"/>
      <c r="FL1708" s="4"/>
      <c r="FM1708" s="4"/>
      <c r="FN1708" s="4"/>
      <c r="FO1708" s="4"/>
      <c r="FP1708" s="4"/>
      <c r="FQ1708" s="4"/>
      <c r="FR1708" s="4"/>
      <c r="FS1708" s="4"/>
      <c r="FT1708" s="4"/>
      <c r="FU1708" s="4"/>
      <c r="FV1708" s="4"/>
      <c r="FW1708" s="4"/>
      <c r="FX1708" s="4"/>
      <c r="FY1708" s="4"/>
      <c r="FZ1708" s="4"/>
      <c r="GA1708" s="4"/>
      <c r="GB1708" s="4"/>
      <c r="GC1708" s="4"/>
      <c r="GD1708" s="4"/>
      <c r="GE1708" s="4"/>
      <c r="GF1708" s="4"/>
      <c r="GG1708" s="4"/>
      <c r="GH1708" s="4"/>
    </row>
    <row r="1709">
      <c r="A1709" s="2" t="s">
        <v>8786</v>
      </c>
      <c r="B1709" s="2" t="s">
        <v>195</v>
      </c>
      <c r="C1709" s="2" t="s">
        <v>3204</v>
      </c>
      <c r="D1709" s="2" t="s">
        <v>1168</v>
      </c>
      <c r="E1709" s="2" t="s">
        <v>5047</v>
      </c>
      <c r="F1709" s="2" t="s">
        <v>8768</v>
      </c>
      <c r="G1709" s="2" t="s">
        <v>8768</v>
      </c>
      <c r="H1709" s="2" t="s">
        <v>8768</v>
      </c>
      <c r="I1709" s="2" t="s">
        <v>8769</v>
      </c>
      <c r="J1709" s="2" t="s">
        <v>277</v>
      </c>
      <c r="K1709" s="2" t="s">
        <v>857</v>
      </c>
      <c r="L1709" s="3">
        <v>57.5</v>
      </c>
      <c r="M1709" s="3">
        <v>60.38</v>
      </c>
      <c r="N1709" s="3">
        <v>89.99</v>
      </c>
      <c r="O1709" s="2" t="s">
        <v>460</v>
      </c>
      <c r="P1709" s="2" t="s">
        <v>1258</v>
      </c>
      <c r="Q1709" s="2" t="s">
        <v>206</v>
      </c>
      <c r="R1709" s="2" t="s">
        <v>1259</v>
      </c>
      <c r="S1709" s="2" t="s">
        <v>200</v>
      </c>
      <c r="T1709" s="2" t="s">
        <v>200</v>
      </c>
      <c r="U1709" s="2" t="s">
        <v>270</v>
      </c>
      <c r="V1709" s="2" t="s">
        <v>208</v>
      </c>
      <c r="W1709" s="2" t="s">
        <v>200</v>
      </c>
      <c r="X1709" s="2" t="s">
        <v>200</v>
      </c>
      <c r="Y1709" s="2" t="s">
        <v>2330</v>
      </c>
      <c r="Z1709" s="4">
        <v>131</v>
      </c>
      <c r="AA1709" s="4">
        <f>=ROUNDDOWN(54.5833333333333,0)</f>
      </c>
      <c r="AB1709" s="5">
        <v>2.4</v>
      </c>
      <c r="AC1709" s="2" t="s">
        <v>200</v>
      </c>
      <c r="AD1709" s="4"/>
      <c r="AE1709" s="4"/>
      <c r="AF1709" s="6">
        <v>65</v>
      </c>
      <c r="AG1709" s="6"/>
      <c r="AH1709" s="7">
        <v>1</v>
      </c>
      <c r="AI1709" s="4"/>
      <c r="AJ1709" s="4">
        <f>=ROUNDDOWN({0},0)</f>
      </c>
      <c r="AK1709" s="5"/>
      <c r="AL1709" s="2" t="s">
        <v>200</v>
      </c>
      <c r="AM1709" s="4"/>
      <c r="AN1709" s="4"/>
      <c r="AO1709" s="7"/>
      <c r="AP1709" s="4"/>
      <c r="AQ1709" s="8"/>
      <c r="AR1709" s="4"/>
      <c r="AS1709" s="8"/>
      <c r="AT1709" s="7"/>
      <c r="AU1709" s="7"/>
      <c r="AV1709" s="4" t="s">
        <v>200</v>
      </c>
      <c r="AW1709" s="8" t="s">
        <v>200</v>
      </c>
      <c r="AX1709" s="4" t="s">
        <v>200</v>
      </c>
      <c r="AY1709" s="8" t="s">
        <v>200</v>
      </c>
      <c r="AZ1709" s="7" t="s">
        <v>200</v>
      </c>
      <c r="BA1709" s="7" t="s">
        <v>200</v>
      </c>
      <c r="BB1709" s="7"/>
      <c r="BC1709" s="4" t="s">
        <v>200</v>
      </c>
      <c r="BD1709" s="8" t="s">
        <v>200</v>
      </c>
      <c r="BE1709" s="4" t="s">
        <v>200</v>
      </c>
      <c r="BF1709" s="8" t="s">
        <v>200</v>
      </c>
      <c r="BG1709" s="7" t="s">
        <v>200</v>
      </c>
      <c r="BH1709" s="7" t="s">
        <v>200</v>
      </c>
      <c r="BI1709" s="7"/>
      <c r="BJ1709" s="4">
        <v>3</v>
      </c>
      <c r="BK1709" s="8">
        <v>141.47</v>
      </c>
      <c r="BL1709" s="2" t="s">
        <v>4571</v>
      </c>
      <c r="BM1709" s="7"/>
      <c r="BN1709" s="7"/>
      <c r="BO1709" s="4"/>
      <c r="BP1709" s="8"/>
      <c r="BQ1709" s="4"/>
      <c r="BR1709" s="8"/>
      <c r="BS1709" s="7"/>
      <c r="BT1709" s="7"/>
      <c r="BU1709" s="2" t="s">
        <v>8787</v>
      </c>
      <c r="BV1709" s="2" t="s">
        <v>200</v>
      </c>
      <c r="BW1709" s="2" t="s">
        <v>200</v>
      </c>
      <c r="BX1709" s="2" t="s">
        <v>264</v>
      </c>
      <c r="BY1709" s="2" t="s">
        <v>247</v>
      </c>
      <c r="BZ1709" s="2" t="s">
        <v>212</v>
      </c>
      <c r="CA1709" s="2" t="s">
        <v>1263</v>
      </c>
      <c r="CB1709" s="2" t="s">
        <v>200</v>
      </c>
      <c r="CC1709" s="2" t="s">
        <v>213</v>
      </c>
      <c r="CD1709" s="2" t="s">
        <v>200</v>
      </c>
      <c r="CE1709" s="4">
        <v>131</v>
      </c>
      <c r="CF1709" s="4"/>
      <c r="CG1709" s="4"/>
      <c r="CH1709" s="4"/>
      <c r="CI1709" s="4"/>
      <c r="CJ1709" s="4"/>
      <c r="CK1709" s="4"/>
      <c r="CL1709" s="4"/>
      <c r="CM1709" s="4"/>
      <c r="CN1709" s="4"/>
      <c r="CO1709" s="4"/>
      <c r="CP1709" s="4"/>
      <c r="CQ1709" s="4"/>
      <c r="CR1709" s="4"/>
      <c r="CS1709" s="4"/>
      <c r="CT1709" s="4"/>
      <c r="CU1709" s="4"/>
      <c r="CV1709" s="4"/>
      <c r="CW1709" s="4"/>
      <c r="CX1709" s="4"/>
      <c r="CY1709" s="4"/>
      <c r="CZ1709" s="4"/>
      <c r="DA1709" s="4"/>
      <c r="DB1709" s="4"/>
      <c r="DC1709" s="4"/>
      <c r="DD1709" s="4"/>
      <c r="DE1709" s="4"/>
      <c r="DF1709" s="4"/>
      <c r="DG1709" s="4"/>
      <c r="DH1709" s="4"/>
      <c r="DI1709" s="4"/>
      <c r="DJ1709" s="4"/>
      <c r="DK1709" s="4"/>
      <c r="DL1709" s="4"/>
      <c r="DM1709" s="4"/>
      <c r="DN1709" s="4"/>
      <c r="DO1709" s="4"/>
      <c r="DP1709" s="4"/>
      <c r="DQ1709" s="4"/>
      <c r="DR1709" s="4"/>
      <c r="DS1709" s="4"/>
      <c r="DT1709" s="4"/>
      <c r="DU1709" s="4"/>
      <c r="DV1709" s="4"/>
      <c r="DW1709" s="4"/>
      <c r="DX1709" s="4"/>
      <c r="DY1709" s="4"/>
      <c r="DZ1709" s="4"/>
      <c r="EA1709" s="4"/>
      <c r="EB1709" s="4"/>
      <c r="EC1709" s="4"/>
      <c r="ED1709" s="4"/>
      <c r="EE1709" s="4"/>
      <c r="EF1709" s="4"/>
      <c r="EG1709" s="4"/>
      <c r="EH1709" s="4"/>
      <c r="EI1709" s="4"/>
      <c r="EJ1709" s="4"/>
      <c r="EK1709" s="4"/>
      <c r="EL1709" s="4"/>
      <c r="EM1709" s="4"/>
      <c r="EN1709" s="4"/>
      <c r="EO1709" s="4"/>
      <c r="EP1709" s="4"/>
      <c r="EQ1709" s="4"/>
      <c r="ER1709" s="4"/>
      <c r="ES1709" s="4"/>
      <c r="ET1709" s="4"/>
      <c r="EU1709" s="4"/>
      <c r="EV1709" s="4"/>
      <c r="EW1709" s="4"/>
      <c r="EX1709" s="4"/>
      <c r="EY1709" s="4"/>
      <c r="EZ1709" s="4"/>
      <c r="FA1709" s="4"/>
      <c r="FB1709" s="4"/>
      <c r="FC1709" s="4"/>
      <c r="FD1709" s="4"/>
      <c r="FE1709" s="4"/>
      <c r="FF1709" s="4"/>
      <c r="FG1709" s="4"/>
      <c r="FH1709" s="4"/>
      <c r="FI1709" s="4"/>
      <c r="FJ1709" s="4"/>
      <c r="FK1709" s="4"/>
      <c r="FL1709" s="4"/>
      <c r="FM1709" s="4"/>
      <c r="FN1709" s="4"/>
      <c r="FO1709" s="4"/>
      <c r="FP1709" s="4"/>
      <c r="FQ1709" s="4"/>
      <c r="FR1709" s="4"/>
      <c r="FS1709" s="4"/>
      <c r="FT1709" s="4"/>
      <c r="FU1709" s="4"/>
      <c r="FV1709" s="4"/>
      <c r="FW1709" s="4"/>
      <c r="FX1709" s="4"/>
      <c r="FY1709" s="4"/>
      <c r="FZ1709" s="4"/>
      <c r="GA1709" s="4"/>
      <c r="GB1709" s="4"/>
      <c r="GC1709" s="4"/>
      <c r="GD1709" s="4"/>
      <c r="GE1709" s="4"/>
      <c r="GF1709" s="4"/>
      <c r="GG1709" s="4"/>
      <c r="GH1709" s="4"/>
    </row>
    <row r="1710">
      <c r="A1710" s="2" t="s">
        <v>8788</v>
      </c>
      <c r="B1710" s="2" t="s">
        <v>195</v>
      </c>
      <c r="C1710" s="2" t="s">
        <v>3204</v>
      </c>
      <c r="D1710" s="2" t="s">
        <v>1168</v>
      </c>
      <c r="E1710" s="2" t="s">
        <v>5047</v>
      </c>
      <c r="F1710" s="2" t="s">
        <v>8768</v>
      </c>
      <c r="G1710" s="2" t="s">
        <v>8768</v>
      </c>
      <c r="H1710" s="2" t="s">
        <v>8768</v>
      </c>
      <c r="I1710" s="2" t="s">
        <v>8769</v>
      </c>
      <c r="J1710" s="2" t="s">
        <v>256</v>
      </c>
      <c r="K1710" s="2" t="s">
        <v>7866</v>
      </c>
      <c r="L1710" s="3">
        <v>51.11</v>
      </c>
      <c r="M1710" s="3">
        <v>53.67</v>
      </c>
      <c r="N1710" s="3">
        <v>79.99</v>
      </c>
      <c r="O1710" s="2" t="s">
        <v>460</v>
      </c>
      <c r="P1710" s="2" t="s">
        <v>1258</v>
      </c>
      <c r="Q1710" s="2" t="s">
        <v>206</v>
      </c>
      <c r="R1710" s="2" t="s">
        <v>1259</v>
      </c>
      <c r="S1710" s="2" t="s">
        <v>200</v>
      </c>
      <c r="T1710" s="2" t="s">
        <v>200</v>
      </c>
      <c r="U1710" s="2" t="s">
        <v>270</v>
      </c>
      <c r="V1710" s="2" t="s">
        <v>208</v>
      </c>
      <c r="W1710" s="2" t="s">
        <v>200</v>
      </c>
      <c r="X1710" s="2" t="s">
        <v>200</v>
      </c>
      <c r="Y1710" s="2" t="s">
        <v>2330</v>
      </c>
      <c r="Z1710" s="4">
        <v>84</v>
      </c>
      <c r="AA1710" s="4">
        <f>=ROUNDDOWN(105,0)</f>
      </c>
      <c r="AB1710" s="5">
        <v>0.8</v>
      </c>
      <c r="AC1710" s="2" t="s">
        <v>200</v>
      </c>
      <c r="AD1710" s="4"/>
      <c r="AE1710" s="4"/>
      <c r="AF1710" s="6">
        <v>65</v>
      </c>
      <c r="AG1710" s="6"/>
      <c r="AH1710" s="7">
        <v>1</v>
      </c>
      <c r="AI1710" s="4"/>
      <c r="AJ1710" s="4">
        <f>=ROUNDDOWN({0},0)</f>
      </c>
      <c r="AK1710" s="5"/>
      <c r="AL1710" s="2" t="s">
        <v>200</v>
      </c>
      <c r="AM1710" s="4"/>
      <c r="AN1710" s="4"/>
      <c r="AO1710" s="7"/>
      <c r="AP1710" s="4"/>
      <c r="AQ1710" s="8"/>
      <c r="AR1710" s="4"/>
      <c r="AS1710" s="8"/>
      <c r="AT1710" s="7"/>
      <c r="AU1710" s="7"/>
      <c r="AV1710" s="4" t="s">
        <v>200</v>
      </c>
      <c r="AW1710" s="8" t="s">
        <v>200</v>
      </c>
      <c r="AX1710" s="4" t="s">
        <v>200</v>
      </c>
      <c r="AY1710" s="8" t="s">
        <v>200</v>
      </c>
      <c r="AZ1710" s="7" t="s">
        <v>200</v>
      </c>
      <c r="BA1710" s="7" t="s">
        <v>200</v>
      </c>
      <c r="BB1710" s="7"/>
      <c r="BC1710" s="4" t="s">
        <v>200</v>
      </c>
      <c r="BD1710" s="8" t="s">
        <v>200</v>
      </c>
      <c r="BE1710" s="4" t="s">
        <v>200</v>
      </c>
      <c r="BF1710" s="8" t="s">
        <v>200</v>
      </c>
      <c r="BG1710" s="7" t="s">
        <v>200</v>
      </c>
      <c r="BH1710" s="7" t="s">
        <v>200</v>
      </c>
      <c r="BI1710" s="7"/>
      <c r="BJ1710" s="4">
        <v>1</v>
      </c>
      <c r="BK1710" s="8">
        <v>26.83</v>
      </c>
      <c r="BL1710" s="2" t="s">
        <v>4571</v>
      </c>
      <c r="BM1710" s="7"/>
      <c r="BN1710" s="7"/>
      <c r="BO1710" s="4"/>
      <c r="BP1710" s="8"/>
      <c r="BQ1710" s="4"/>
      <c r="BR1710" s="8"/>
      <c r="BS1710" s="7"/>
      <c r="BT1710" s="7"/>
      <c r="BU1710" s="2" t="s">
        <v>8789</v>
      </c>
      <c r="BV1710" s="2" t="s">
        <v>200</v>
      </c>
      <c r="BW1710" s="2" t="s">
        <v>200</v>
      </c>
      <c r="BX1710" s="2" t="s">
        <v>264</v>
      </c>
      <c r="BY1710" s="2" t="s">
        <v>247</v>
      </c>
      <c r="BZ1710" s="2" t="s">
        <v>212</v>
      </c>
      <c r="CA1710" s="2" t="s">
        <v>1263</v>
      </c>
      <c r="CB1710" s="2" t="s">
        <v>200</v>
      </c>
      <c r="CC1710" s="2" t="s">
        <v>213</v>
      </c>
      <c r="CD1710" s="2" t="s">
        <v>200</v>
      </c>
      <c r="CE1710" s="4">
        <v>84</v>
      </c>
      <c r="CF1710" s="4"/>
      <c r="CG1710" s="4"/>
      <c r="CH1710" s="4"/>
      <c r="CI1710" s="4"/>
      <c r="CJ1710" s="4"/>
      <c r="CK1710" s="4"/>
      <c r="CL1710" s="4"/>
      <c r="CM1710" s="4"/>
      <c r="CN1710" s="4"/>
      <c r="CO1710" s="4"/>
      <c r="CP1710" s="4"/>
      <c r="CQ1710" s="4"/>
      <c r="CR1710" s="4"/>
      <c r="CS1710" s="4"/>
      <c r="CT1710" s="4"/>
      <c r="CU1710" s="4"/>
      <c r="CV1710" s="4"/>
      <c r="CW1710" s="4"/>
      <c r="CX1710" s="4"/>
      <c r="CY1710" s="4"/>
      <c r="CZ1710" s="4"/>
      <c r="DA1710" s="4"/>
      <c r="DB1710" s="4"/>
      <c r="DC1710" s="4"/>
      <c r="DD1710" s="4"/>
      <c r="DE1710" s="4"/>
      <c r="DF1710" s="4"/>
      <c r="DG1710" s="4"/>
      <c r="DH1710" s="4"/>
      <c r="DI1710" s="4"/>
      <c r="DJ1710" s="4"/>
      <c r="DK1710" s="4"/>
      <c r="DL1710" s="4"/>
      <c r="DM1710" s="4"/>
      <c r="DN1710" s="4"/>
      <c r="DO1710" s="4"/>
      <c r="DP1710" s="4"/>
      <c r="DQ1710" s="4"/>
      <c r="DR1710" s="4"/>
      <c r="DS1710" s="4"/>
      <c r="DT1710" s="4"/>
      <c r="DU1710" s="4"/>
      <c r="DV1710" s="4"/>
      <c r="DW1710" s="4"/>
      <c r="DX1710" s="4"/>
      <c r="DY1710" s="4"/>
      <c r="DZ1710" s="4"/>
      <c r="EA1710" s="4"/>
      <c r="EB1710" s="4"/>
      <c r="EC1710" s="4"/>
      <c r="ED1710" s="4"/>
      <c r="EE1710" s="4"/>
      <c r="EF1710" s="4"/>
      <c r="EG1710" s="4"/>
      <c r="EH1710" s="4"/>
      <c r="EI1710" s="4"/>
      <c r="EJ1710" s="4"/>
      <c r="EK1710" s="4"/>
      <c r="EL1710" s="4"/>
      <c r="EM1710" s="4"/>
      <c r="EN1710" s="4"/>
      <c r="EO1710" s="4"/>
      <c r="EP1710" s="4"/>
      <c r="EQ1710" s="4"/>
      <c r="ER1710" s="4"/>
      <c r="ES1710" s="4"/>
      <c r="ET1710" s="4"/>
      <c r="EU1710" s="4"/>
      <c r="EV1710" s="4"/>
      <c r="EW1710" s="4"/>
      <c r="EX1710" s="4"/>
      <c r="EY1710" s="4"/>
      <c r="EZ1710" s="4"/>
      <c r="FA1710" s="4"/>
      <c r="FB1710" s="4"/>
      <c r="FC1710" s="4"/>
      <c r="FD1710" s="4"/>
      <c r="FE1710" s="4"/>
      <c r="FF1710" s="4"/>
      <c r="FG1710" s="4"/>
      <c r="FH1710" s="4"/>
      <c r="FI1710" s="4"/>
      <c r="FJ1710" s="4"/>
      <c r="FK1710" s="4"/>
      <c r="FL1710" s="4"/>
      <c r="FM1710" s="4"/>
      <c r="FN1710" s="4"/>
      <c r="FO1710" s="4"/>
      <c r="FP1710" s="4"/>
      <c r="FQ1710" s="4"/>
      <c r="FR1710" s="4"/>
      <c r="FS1710" s="4"/>
      <c r="FT1710" s="4"/>
      <c r="FU1710" s="4"/>
      <c r="FV1710" s="4"/>
      <c r="FW1710" s="4"/>
      <c r="FX1710" s="4"/>
      <c r="FY1710" s="4"/>
      <c r="FZ1710" s="4"/>
      <c r="GA1710" s="4"/>
      <c r="GB1710" s="4"/>
      <c r="GC1710" s="4"/>
      <c r="GD1710" s="4"/>
      <c r="GE1710" s="4"/>
      <c r="GF1710" s="4"/>
      <c r="GG1710" s="4"/>
      <c r="GH1710" s="4"/>
    </row>
    <row r="1711">
      <c r="A1711" s="2" t="s">
        <v>8790</v>
      </c>
      <c r="B1711" s="2" t="s">
        <v>195</v>
      </c>
      <c r="C1711" s="2" t="s">
        <v>3204</v>
      </c>
      <c r="D1711" s="2" t="s">
        <v>1168</v>
      </c>
      <c r="E1711" s="2" t="s">
        <v>5047</v>
      </c>
      <c r="F1711" s="2" t="s">
        <v>8768</v>
      </c>
      <c r="G1711" s="2" t="s">
        <v>8768</v>
      </c>
      <c r="H1711" s="2" t="s">
        <v>8768</v>
      </c>
      <c r="I1711" s="2" t="s">
        <v>8769</v>
      </c>
      <c r="J1711" s="2" t="s">
        <v>277</v>
      </c>
      <c r="K1711" s="2" t="s">
        <v>7866</v>
      </c>
      <c r="L1711" s="3">
        <v>57.5</v>
      </c>
      <c r="M1711" s="3">
        <v>60.38</v>
      </c>
      <c r="N1711" s="3">
        <v>89.99</v>
      </c>
      <c r="O1711" s="2" t="s">
        <v>460</v>
      </c>
      <c r="P1711" s="2" t="s">
        <v>1258</v>
      </c>
      <c r="Q1711" s="2" t="s">
        <v>206</v>
      </c>
      <c r="R1711" s="2" t="s">
        <v>1259</v>
      </c>
      <c r="S1711" s="2" t="s">
        <v>200</v>
      </c>
      <c r="T1711" s="2" t="s">
        <v>200</v>
      </c>
      <c r="U1711" s="2" t="s">
        <v>270</v>
      </c>
      <c r="V1711" s="2" t="s">
        <v>208</v>
      </c>
      <c r="W1711" s="2" t="s">
        <v>200</v>
      </c>
      <c r="X1711" s="2" t="s">
        <v>200</v>
      </c>
      <c r="Y1711" s="2" t="s">
        <v>2330</v>
      </c>
      <c r="Z1711" s="4">
        <v>63</v>
      </c>
      <c r="AA1711" s="4">
        <f>=ROUNDDOWN(105,0)</f>
      </c>
      <c r="AB1711" s="5">
        <v>0.6</v>
      </c>
      <c r="AC1711" s="2" t="s">
        <v>200</v>
      </c>
      <c r="AD1711" s="4"/>
      <c r="AE1711" s="4"/>
      <c r="AF1711" s="6">
        <v>65</v>
      </c>
      <c r="AG1711" s="6"/>
      <c r="AH1711" s="7">
        <v>1</v>
      </c>
      <c r="AI1711" s="4"/>
      <c r="AJ1711" s="4">
        <f>=ROUNDDOWN({0},0)</f>
      </c>
      <c r="AK1711" s="5"/>
      <c r="AL1711" s="2" t="s">
        <v>200</v>
      </c>
      <c r="AM1711" s="4"/>
      <c r="AN1711" s="4"/>
      <c r="AO1711" s="7"/>
      <c r="AP1711" s="4"/>
      <c r="AQ1711" s="8"/>
      <c r="AR1711" s="4"/>
      <c r="AS1711" s="8"/>
      <c r="AT1711" s="7"/>
      <c r="AU1711" s="7"/>
      <c r="AV1711" s="4" t="s">
        <v>200</v>
      </c>
      <c r="AW1711" s="8" t="s">
        <v>200</v>
      </c>
      <c r="AX1711" s="4" t="s">
        <v>200</v>
      </c>
      <c r="AY1711" s="8" t="s">
        <v>200</v>
      </c>
      <c r="AZ1711" s="7" t="s">
        <v>200</v>
      </c>
      <c r="BA1711" s="7" t="s">
        <v>200</v>
      </c>
      <c r="BB1711" s="7"/>
      <c r="BC1711" s="4" t="s">
        <v>200</v>
      </c>
      <c r="BD1711" s="8" t="s">
        <v>200</v>
      </c>
      <c r="BE1711" s="4" t="s">
        <v>200</v>
      </c>
      <c r="BF1711" s="8" t="s">
        <v>200</v>
      </c>
      <c r="BG1711" s="7" t="s">
        <v>200</v>
      </c>
      <c r="BH1711" s="7" t="s">
        <v>200</v>
      </c>
      <c r="BI1711" s="7"/>
      <c r="BJ1711" s="4"/>
      <c r="BK1711" s="8"/>
      <c r="BL1711" s="2" t="s">
        <v>4010</v>
      </c>
      <c r="BM1711" s="7"/>
      <c r="BN1711" s="7"/>
      <c r="BO1711" s="4"/>
      <c r="BP1711" s="8"/>
      <c r="BQ1711" s="4"/>
      <c r="BR1711" s="8"/>
      <c r="BS1711" s="7"/>
      <c r="BT1711" s="7"/>
      <c r="BU1711" s="2" t="s">
        <v>8791</v>
      </c>
      <c r="BV1711" s="2" t="s">
        <v>200</v>
      </c>
      <c r="BW1711" s="2" t="s">
        <v>200</v>
      </c>
      <c r="BX1711" s="2" t="s">
        <v>264</v>
      </c>
      <c r="BY1711" s="2" t="s">
        <v>247</v>
      </c>
      <c r="BZ1711" s="2" t="s">
        <v>212</v>
      </c>
      <c r="CA1711" s="2" t="s">
        <v>1263</v>
      </c>
      <c r="CB1711" s="2" t="s">
        <v>200</v>
      </c>
      <c r="CC1711" s="2" t="s">
        <v>213</v>
      </c>
      <c r="CD1711" s="2" t="s">
        <v>200</v>
      </c>
      <c r="CE1711" s="4">
        <v>63</v>
      </c>
      <c r="CF1711" s="4"/>
      <c r="CG1711" s="4"/>
      <c r="CH1711" s="4"/>
      <c r="CI1711" s="4"/>
      <c r="CJ1711" s="4"/>
      <c r="CK1711" s="4"/>
      <c r="CL1711" s="4"/>
      <c r="CM1711" s="4"/>
      <c r="CN1711" s="4"/>
      <c r="CO1711" s="4"/>
      <c r="CP1711" s="4"/>
      <c r="CQ1711" s="4"/>
      <c r="CR1711" s="4"/>
      <c r="CS1711" s="4"/>
      <c r="CT1711" s="4"/>
      <c r="CU1711" s="4"/>
      <c r="CV1711" s="4"/>
      <c r="CW1711" s="4"/>
      <c r="CX1711" s="4"/>
      <c r="CY1711" s="4"/>
      <c r="CZ1711" s="4"/>
      <c r="DA1711" s="4"/>
      <c r="DB1711" s="4"/>
      <c r="DC1711" s="4"/>
      <c r="DD1711" s="4"/>
      <c r="DE1711" s="4"/>
      <c r="DF1711" s="4"/>
      <c r="DG1711" s="4"/>
      <c r="DH1711" s="4"/>
      <c r="DI1711" s="4"/>
      <c r="DJ1711" s="4"/>
      <c r="DK1711" s="4"/>
      <c r="DL1711" s="4"/>
      <c r="DM1711" s="4"/>
      <c r="DN1711" s="4"/>
      <c r="DO1711" s="4"/>
      <c r="DP1711" s="4"/>
      <c r="DQ1711" s="4"/>
      <c r="DR1711" s="4"/>
      <c r="DS1711" s="4"/>
      <c r="DT1711" s="4"/>
      <c r="DU1711" s="4"/>
      <c r="DV1711" s="4"/>
      <c r="DW1711" s="4"/>
      <c r="DX1711" s="4"/>
      <c r="DY1711" s="4"/>
      <c r="DZ1711" s="4"/>
      <c r="EA1711" s="4"/>
      <c r="EB1711" s="4"/>
      <c r="EC1711" s="4"/>
      <c r="ED1711" s="4"/>
      <c r="EE1711" s="4"/>
      <c r="EF1711" s="4"/>
      <c r="EG1711" s="4"/>
      <c r="EH1711" s="4"/>
      <c r="EI1711" s="4"/>
      <c r="EJ1711" s="4"/>
      <c r="EK1711" s="4"/>
      <c r="EL1711" s="4"/>
      <c r="EM1711" s="4"/>
      <c r="EN1711" s="4"/>
      <c r="EO1711" s="4"/>
      <c r="EP1711" s="4"/>
      <c r="EQ1711" s="4"/>
      <c r="ER1711" s="4"/>
      <c r="ES1711" s="4"/>
      <c r="ET1711" s="4"/>
      <c r="EU1711" s="4"/>
      <c r="EV1711" s="4"/>
      <c r="EW1711" s="4"/>
      <c r="EX1711" s="4"/>
      <c r="EY1711" s="4"/>
      <c r="EZ1711" s="4"/>
      <c r="FA1711" s="4"/>
      <c r="FB1711" s="4"/>
      <c r="FC1711" s="4"/>
      <c r="FD1711" s="4"/>
      <c r="FE1711" s="4"/>
      <c r="FF1711" s="4"/>
      <c r="FG1711" s="4"/>
      <c r="FH1711" s="4"/>
      <c r="FI1711" s="4"/>
      <c r="FJ1711" s="4"/>
      <c r="FK1711" s="4"/>
      <c r="FL1711" s="4"/>
      <c r="FM1711" s="4"/>
      <c r="FN1711" s="4"/>
      <c r="FO1711" s="4"/>
      <c r="FP1711" s="4"/>
      <c r="FQ1711" s="4"/>
      <c r="FR1711" s="4"/>
      <c r="FS1711" s="4"/>
      <c r="FT1711" s="4"/>
      <c r="FU1711" s="4"/>
      <c r="FV1711" s="4"/>
      <c r="FW1711" s="4"/>
      <c r="FX1711" s="4"/>
      <c r="FY1711" s="4"/>
      <c r="FZ1711" s="4"/>
      <c r="GA1711" s="4"/>
      <c r="GB1711" s="4"/>
      <c r="GC1711" s="4"/>
      <c r="GD1711" s="4"/>
      <c r="GE1711" s="4"/>
      <c r="GF1711" s="4"/>
      <c r="GG1711" s="4"/>
      <c r="GH1711" s="4"/>
    </row>
    <row r="1712">
      <c r="A1712" s="2" t="s">
        <v>8792</v>
      </c>
      <c r="B1712" s="2" t="s">
        <v>195</v>
      </c>
      <c r="C1712" s="2" t="s">
        <v>3204</v>
      </c>
      <c r="D1712" s="2" t="s">
        <v>1168</v>
      </c>
      <c r="E1712" s="2" t="s">
        <v>5047</v>
      </c>
      <c r="F1712" s="2" t="s">
        <v>8768</v>
      </c>
      <c r="G1712" s="2" t="s">
        <v>8768</v>
      </c>
      <c r="H1712" s="2" t="s">
        <v>8768</v>
      </c>
      <c r="I1712" s="2" t="s">
        <v>8769</v>
      </c>
      <c r="J1712" s="2" t="s">
        <v>297</v>
      </c>
      <c r="K1712" s="2" t="s">
        <v>7866</v>
      </c>
      <c r="L1712" s="3">
        <v>83.06</v>
      </c>
      <c r="M1712" s="3">
        <v>87.21</v>
      </c>
      <c r="N1712" s="3">
        <v>129.99</v>
      </c>
      <c r="O1712" s="2" t="s">
        <v>460</v>
      </c>
      <c r="P1712" s="2" t="s">
        <v>1258</v>
      </c>
      <c r="Q1712" s="2" t="s">
        <v>206</v>
      </c>
      <c r="R1712" s="2" t="s">
        <v>1259</v>
      </c>
      <c r="S1712" s="2" t="s">
        <v>200</v>
      </c>
      <c r="T1712" s="2" t="s">
        <v>200</v>
      </c>
      <c r="U1712" s="2" t="s">
        <v>270</v>
      </c>
      <c r="V1712" s="2" t="s">
        <v>208</v>
      </c>
      <c r="W1712" s="2" t="s">
        <v>200</v>
      </c>
      <c r="X1712" s="2" t="s">
        <v>200</v>
      </c>
      <c r="Y1712" s="2" t="s">
        <v>1562</v>
      </c>
      <c r="Z1712" s="4">
        <v>110</v>
      </c>
      <c r="AA1712" s="4">
        <f>=ROUNDDOWN({0},0)</f>
      </c>
      <c r="AB1712" s="5"/>
      <c r="AC1712" s="2" t="s">
        <v>200</v>
      </c>
      <c r="AD1712" s="4"/>
      <c r="AE1712" s="4"/>
      <c r="AF1712" s="6">
        <v>65</v>
      </c>
      <c r="AG1712" s="6"/>
      <c r="AH1712" s="7">
        <v>1</v>
      </c>
      <c r="AI1712" s="4"/>
      <c r="AJ1712" s="4">
        <f>=ROUNDDOWN({0},0)</f>
      </c>
      <c r="AK1712" s="5"/>
      <c r="AL1712" s="2" t="s">
        <v>200</v>
      </c>
      <c r="AM1712" s="4"/>
      <c r="AN1712" s="4"/>
      <c r="AO1712" s="7"/>
      <c r="AP1712" s="4"/>
      <c r="AQ1712" s="8"/>
      <c r="AR1712" s="4"/>
      <c r="AS1712" s="8"/>
      <c r="AT1712" s="7"/>
      <c r="AU1712" s="7"/>
      <c r="AV1712" s="4" t="s">
        <v>200</v>
      </c>
      <c r="AW1712" s="8" t="s">
        <v>200</v>
      </c>
      <c r="AX1712" s="4" t="s">
        <v>200</v>
      </c>
      <c r="AY1712" s="8" t="s">
        <v>200</v>
      </c>
      <c r="AZ1712" s="7" t="s">
        <v>200</v>
      </c>
      <c r="BA1712" s="7" t="s">
        <v>200</v>
      </c>
      <c r="BB1712" s="7"/>
      <c r="BC1712" s="4" t="s">
        <v>200</v>
      </c>
      <c r="BD1712" s="8" t="s">
        <v>200</v>
      </c>
      <c r="BE1712" s="4" t="s">
        <v>200</v>
      </c>
      <c r="BF1712" s="8" t="s">
        <v>200</v>
      </c>
      <c r="BG1712" s="7" t="s">
        <v>200</v>
      </c>
      <c r="BH1712" s="7" t="s">
        <v>200</v>
      </c>
      <c r="BI1712" s="7"/>
      <c r="BJ1712" s="4"/>
      <c r="BK1712" s="8"/>
      <c r="BL1712" s="2" t="s">
        <v>4571</v>
      </c>
      <c r="BM1712" s="7"/>
      <c r="BN1712" s="7"/>
      <c r="BO1712" s="4"/>
      <c r="BP1712" s="8"/>
      <c r="BQ1712" s="4"/>
      <c r="BR1712" s="8"/>
      <c r="BS1712" s="7"/>
      <c r="BT1712" s="7"/>
      <c r="BU1712" s="2" t="s">
        <v>8793</v>
      </c>
      <c r="BV1712" s="2" t="s">
        <v>200</v>
      </c>
      <c r="BW1712" s="2" t="s">
        <v>200</v>
      </c>
      <c r="BX1712" s="2" t="s">
        <v>264</v>
      </c>
      <c r="BY1712" s="2" t="s">
        <v>247</v>
      </c>
      <c r="BZ1712" s="2" t="s">
        <v>212</v>
      </c>
      <c r="CA1712" s="2" t="s">
        <v>1263</v>
      </c>
      <c r="CB1712" s="2" t="s">
        <v>200</v>
      </c>
      <c r="CC1712" s="2" t="s">
        <v>213</v>
      </c>
      <c r="CD1712" s="2" t="s">
        <v>200</v>
      </c>
      <c r="CE1712" s="4">
        <v>110</v>
      </c>
      <c r="CF1712" s="4"/>
      <c r="CG1712" s="4"/>
      <c r="CH1712" s="4"/>
      <c r="CI1712" s="4"/>
      <c r="CJ1712" s="4"/>
      <c r="CK1712" s="4"/>
      <c r="CL1712" s="4"/>
      <c r="CM1712" s="4"/>
      <c r="CN1712" s="4"/>
      <c r="CO1712" s="4"/>
      <c r="CP1712" s="4"/>
      <c r="CQ1712" s="4"/>
      <c r="CR1712" s="4"/>
      <c r="CS1712" s="4"/>
      <c r="CT1712" s="4"/>
      <c r="CU1712" s="4"/>
      <c r="CV1712" s="4"/>
      <c r="CW1712" s="4"/>
      <c r="CX1712" s="4"/>
      <c r="CY1712" s="4"/>
      <c r="CZ1712" s="4"/>
      <c r="DA1712" s="4"/>
      <c r="DB1712" s="4"/>
      <c r="DC1712" s="4"/>
      <c r="DD1712" s="4"/>
      <c r="DE1712" s="4"/>
      <c r="DF1712" s="4"/>
      <c r="DG1712" s="4"/>
      <c r="DH1712" s="4"/>
      <c r="DI1712" s="4"/>
      <c r="DJ1712" s="4"/>
      <c r="DK1712" s="4"/>
      <c r="DL1712" s="4"/>
      <c r="DM1712" s="4"/>
      <c r="DN1712" s="4"/>
      <c r="DO1712" s="4"/>
      <c r="DP1712" s="4"/>
      <c r="DQ1712" s="4"/>
      <c r="DR1712" s="4"/>
      <c r="DS1712" s="4"/>
      <c r="DT1712" s="4"/>
      <c r="DU1712" s="4"/>
      <c r="DV1712" s="4"/>
      <c r="DW1712" s="4"/>
      <c r="DX1712" s="4"/>
      <c r="DY1712" s="4"/>
      <c r="DZ1712" s="4"/>
      <c r="EA1712" s="4"/>
      <c r="EB1712" s="4"/>
      <c r="EC1712" s="4"/>
      <c r="ED1712" s="4"/>
      <c r="EE1712" s="4"/>
      <c r="EF1712" s="4"/>
      <c r="EG1712" s="4"/>
      <c r="EH1712" s="4"/>
      <c r="EI1712" s="4"/>
      <c r="EJ1712" s="4"/>
      <c r="EK1712" s="4"/>
      <c r="EL1712" s="4"/>
      <c r="EM1712" s="4"/>
      <c r="EN1712" s="4"/>
      <c r="EO1712" s="4"/>
      <c r="EP1712" s="4"/>
      <c r="EQ1712" s="4"/>
      <c r="ER1712" s="4"/>
      <c r="ES1712" s="4"/>
      <c r="ET1712" s="4"/>
      <c r="EU1712" s="4"/>
      <c r="EV1712" s="4"/>
      <c r="EW1712" s="4"/>
      <c r="EX1712" s="4"/>
      <c r="EY1712" s="4"/>
      <c r="EZ1712" s="4"/>
      <c r="FA1712" s="4"/>
      <c r="FB1712" s="4"/>
      <c r="FC1712" s="4"/>
      <c r="FD1712" s="4"/>
      <c r="FE1712" s="4"/>
      <c r="FF1712" s="4"/>
      <c r="FG1712" s="4"/>
      <c r="FH1712" s="4"/>
      <c r="FI1712" s="4"/>
      <c r="FJ1712" s="4"/>
      <c r="FK1712" s="4"/>
      <c r="FL1712" s="4"/>
      <c r="FM1712" s="4"/>
      <c r="FN1712" s="4"/>
      <c r="FO1712" s="4"/>
      <c r="FP1712" s="4"/>
      <c r="FQ1712" s="4"/>
      <c r="FR1712" s="4"/>
      <c r="FS1712" s="4"/>
      <c r="FT1712" s="4"/>
      <c r="FU1712" s="4"/>
      <c r="FV1712" s="4"/>
      <c r="FW1712" s="4"/>
      <c r="FX1712" s="4"/>
      <c r="FY1712" s="4"/>
      <c r="FZ1712" s="4"/>
      <c r="GA1712" s="4"/>
      <c r="GB1712" s="4"/>
      <c r="GC1712" s="4"/>
      <c r="GD1712" s="4"/>
      <c r="GE1712" s="4"/>
      <c r="GF1712" s="4"/>
      <c r="GG1712" s="4"/>
      <c r="GH1712" s="4"/>
    </row>
    <row r="1713">
      <c r="A1713" s="2" t="s">
        <v>8794</v>
      </c>
      <c r="B1713" s="2" t="s">
        <v>195</v>
      </c>
      <c r="C1713" s="2" t="s">
        <v>3204</v>
      </c>
      <c r="D1713" s="2" t="s">
        <v>1168</v>
      </c>
      <c r="E1713" s="2" t="s">
        <v>5047</v>
      </c>
      <c r="F1713" s="2" t="s">
        <v>8768</v>
      </c>
      <c r="G1713" s="2" t="s">
        <v>8768</v>
      </c>
      <c r="H1713" s="2" t="s">
        <v>8768</v>
      </c>
      <c r="I1713" s="2" t="s">
        <v>8769</v>
      </c>
      <c r="J1713" s="2" t="s">
        <v>302</v>
      </c>
      <c r="K1713" s="2" t="s">
        <v>7866</v>
      </c>
      <c r="L1713" s="3">
        <v>89.45</v>
      </c>
      <c r="M1713" s="3">
        <v>93.92</v>
      </c>
      <c r="N1713" s="3">
        <v>139.99</v>
      </c>
      <c r="O1713" s="2" t="s">
        <v>460</v>
      </c>
      <c r="P1713" s="2" t="s">
        <v>1258</v>
      </c>
      <c r="Q1713" s="2" t="s">
        <v>206</v>
      </c>
      <c r="R1713" s="2" t="s">
        <v>1259</v>
      </c>
      <c r="S1713" s="2" t="s">
        <v>200</v>
      </c>
      <c r="T1713" s="2" t="s">
        <v>200</v>
      </c>
      <c r="U1713" s="2" t="s">
        <v>270</v>
      </c>
      <c r="V1713" s="2" t="s">
        <v>208</v>
      </c>
      <c r="W1713" s="2" t="s">
        <v>200</v>
      </c>
      <c r="X1713" s="2" t="s">
        <v>200</v>
      </c>
      <c r="Y1713" s="2" t="s">
        <v>1562</v>
      </c>
      <c r="Z1713" s="4">
        <v>141</v>
      </c>
      <c r="AA1713" s="4">
        <f>=ROUNDDOWN(141,0)</f>
      </c>
      <c r="AB1713" s="5">
        <v>1</v>
      </c>
      <c r="AC1713" s="2" t="s">
        <v>200</v>
      </c>
      <c r="AD1713" s="4"/>
      <c r="AE1713" s="4"/>
      <c r="AF1713" s="6">
        <v>65</v>
      </c>
      <c r="AG1713" s="6"/>
      <c r="AH1713" s="7">
        <v>1</v>
      </c>
      <c r="AI1713" s="4"/>
      <c r="AJ1713" s="4">
        <f>=ROUNDDOWN({0},0)</f>
      </c>
      <c r="AK1713" s="5"/>
      <c r="AL1713" s="2" t="s">
        <v>200</v>
      </c>
      <c r="AM1713" s="4"/>
      <c r="AN1713" s="4"/>
      <c r="AO1713" s="7"/>
      <c r="AP1713" s="4"/>
      <c r="AQ1713" s="8"/>
      <c r="AR1713" s="4"/>
      <c r="AS1713" s="8"/>
      <c r="AT1713" s="7"/>
      <c r="AU1713" s="7"/>
      <c r="AV1713" s="4" t="s">
        <v>200</v>
      </c>
      <c r="AW1713" s="8" t="s">
        <v>200</v>
      </c>
      <c r="AX1713" s="4" t="s">
        <v>200</v>
      </c>
      <c r="AY1713" s="8" t="s">
        <v>200</v>
      </c>
      <c r="AZ1713" s="7" t="s">
        <v>200</v>
      </c>
      <c r="BA1713" s="7" t="s">
        <v>200</v>
      </c>
      <c r="BB1713" s="7"/>
      <c r="BC1713" s="4" t="s">
        <v>200</v>
      </c>
      <c r="BD1713" s="8" t="s">
        <v>200</v>
      </c>
      <c r="BE1713" s="4" t="s">
        <v>200</v>
      </c>
      <c r="BF1713" s="8" t="s">
        <v>200</v>
      </c>
      <c r="BG1713" s="7" t="s">
        <v>200</v>
      </c>
      <c r="BH1713" s="7" t="s">
        <v>200</v>
      </c>
      <c r="BI1713" s="7"/>
      <c r="BJ1713" s="4">
        <v>1</v>
      </c>
      <c r="BK1713" s="8">
        <v>48.84</v>
      </c>
      <c r="BL1713" s="2" t="s">
        <v>4571</v>
      </c>
      <c r="BM1713" s="7"/>
      <c r="BN1713" s="7"/>
      <c r="BO1713" s="4"/>
      <c r="BP1713" s="8"/>
      <c r="BQ1713" s="4"/>
      <c r="BR1713" s="8"/>
      <c r="BS1713" s="7"/>
      <c r="BT1713" s="7"/>
      <c r="BU1713" s="2" t="s">
        <v>8795</v>
      </c>
      <c r="BV1713" s="2" t="s">
        <v>200</v>
      </c>
      <c r="BW1713" s="2" t="s">
        <v>200</v>
      </c>
      <c r="BX1713" s="2" t="s">
        <v>264</v>
      </c>
      <c r="BY1713" s="2" t="s">
        <v>247</v>
      </c>
      <c r="BZ1713" s="2" t="s">
        <v>212</v>
      </c>
      <c r="CA1713" s="2" t="s">
        <v>1263</v>
      </c>
      <c r="CB1713" s="2" t="s">
        <v>200</v>
      </c>
      <c r="CC1713" s="2" t="s">
        <v>213</v>
      </c>
      <c r="CD1713" s="2" t="s">
        <v>200</v>
      </c>
      <c r="CE1713" s="4">
        <v>141</v>
      </c>
      <c r="CF1713" s="4"/>
      <c r="CG1713" s="4"/>
      <c r="CH1713" s="4"/>
      <c r="CI1713" s="4"/>
      <c r="CJ1713" s="4"/>
      <c r="CK1713" s="4"/>
      <c r="CL1713" s="4"/>
      <c r="CM1713" s="4"/>
      <c r="CN1713" s="4"/>
      <c r="CO1713" s="4"/>
      <c r="CP1713" s="4"/>
      <c r="CQ1713" s="4"/>
      <c r="CR1713" s="4"/>
      <c r="CS1713" s="4"/>
      <c r="CT1713" s="4"/>
      <c r="CU1713" s="4"/>
      <c r="CV1713" s="4"/>
      <c r="CW1713" s="4"/>
      <c r="CX1713" s="4"/>
      <c r="CY1713" s="4"/>
      <c r="CZ1713" s="4"/>
      <c r="DA1713" s="4"/>
      <c r="DB1713" s="4"/>
      <c r="DC1713" s="4"/>
      <c r="DD1713" s="4"/>
      <c r="DE1713" s="4"/>
      <c r="DF1713" s="4"/>
      <c r="DG1713" s="4"/>
      <c r="DH1713" s="4"/>
      <c r="DI1713" s="4"/>
      <c r="DJ1713" s="4"/>
      <c r="DK1713" s="4"/>
      <c r="DL1713" s="4"/>
      <c r="DM1713" s="4"/>
      <c r="DN1713" s="4"/>
      <c r="DO1713" s="4"/>
      <c r="DP1713" s="4"/>
      <c r="DQ1713" s="4"/>
      <c r="DR1713" s="4"/>
      <c r="DS1713" s="4"/>
      <c r="DT1713" s="4"/>
      <c r="DU1713" s="4"/>
      <c r="DV1713" s="4"/>
      <c r="DW1713" s="4"/>
      <c r="DX1713" s="4"/>
      <c r="DY1713" s="4"/>
      <c r="DZ1713" s="4"/>
      <c r="EA1713" s="4"/>
      <c r="EB1713" s="4"/>
      <c r="EC1713" s="4"/>
      <c r="ED1713" s="4"/>
      <c r="EE1713" s="4"/>
      <c r="EF1713" s="4"/>
      <c r="EG1713" s="4"/>
      <c r="EH1713" s="4"/>
      <c r="EI1713" s="4"/>
      <c r="EJ1713" s="4"/>
      <c r="EK1713" s="4"/>
      <c r="EL1713" s="4"/>
      <c r="EM1713" s="4"/>
      <c r="EN1713" s="4"/>
      <c r="EO1713" s="4"/>
      <c r="EP1713" s="4"/>
      <c r="EQ1713" s="4"/>
      <c r="ER1713" s="4"/>
      <c r="ES1713" s="4"/>
      <c r="ET1713" s="4"/>
      <c r="EU1713" s="4"/>
      <c r="EV1713" s="4"/>
      <c r="EW1713" s="4"/>
      <c r="EX1713" s="4"/>
      <c r="EY1713" s="4"/>
      <c r="EZ1713" s="4"/>
      <c r="FA1713" s="4"/>
      <c r="FB1713" s="4"/>
      <c r="FC1713" s="4"/>
      <c r="FD1713" s="4"/>
      <c r="FE1713" s="4"/>
      <c r="FF1713" s="4"/>
      <c r="FG1713" s="4"/>
      <c r="FH1713" s="4"/>
      <c r="FI1713" s="4"/>
      <c r="FJ1713" s="4"/>
      <c r="FK1713" s="4"/>
      <c r="FL1713" s="4"/>
      <c r="FM1713" s="4"/>
      <c r="FN1713" s="4"/>
      <c r="FO1713" s="4"/>
      <c r="FP1713" s="4"/>
      <c r="FQ1713" s="4"/>
      <c r="FR1713" s="4"/>
      <c r="FS1713" s="4"/>
      <c r="FT1713" s="4"/>
      <c r="FU1713" s="4"/>
      <c r="FV1713" s="4"/>
      <c r="FW1713" s="4"/>
      <c r="FX1713" s="4"/>
      <c r="FY1713" s="4"/>
      <c r="FZ1713" s="4"/>
      <c r="GA1713" s="4"/>
      <c r="GB1713" s="4"/>
      <c r="GC1713" s="4"/>
      <c r="GD1713" s="4"/>
      <c r="GE1713" s="4"/>
      <c r="GF1713" s="4"/>
      <c r="GG1713" s="4"/>
      <c r="GH1713" s="4"/>
    </row>
    <row r="1714">
      <c r="A1714" s="2" t="s">
        <v>8796</v>
      </c>
      <c r="B1714" s="2" t="s">
        <v>195</v>
      </c>
      <c r="C1714" s="2" t="s">
        <v>3204</v>
      </c>
      <c r="D1714" s="2" t="s">
        <v>1168</v>
      </c>
      <c r="E1714" s="2" t="s">
        <v>5047</v>
      </c>
      <c r="F1714" s="2" t="s">
        <v>8768</v>
      </c>
      <c r="G1714" s="2" t="s">
        <v>8768</v>
      </c>
      <c r="H1714" s="2" t="s">
        <v>8768</v>
      </c>
      <c r="I1714" s="2" t="s">
        <v>8769</v>
      </c>
      <c r="J1714" s="2" t="s">
        <v>277</v>
      </c>
      <c r="K1714" s="2" t="s">
        <v>4982</v>
      </c>
      <c r="L1714" s="3">
        <v>57.5</v>
      </c>
      <c r="M1714" s="3">
        <v>60.38</v>
      </c>
      <c r="N1714" s="3">
        <v>89.99</v>
      </c>
      <c r="O1714" s="2" t="s">
        <v>460</v>
      </c>
      <c r="P1714" s="2" t="s">
        <v>1258</v>
      </c>
      <c r="Q1714" s="2" t="s">
        <v>206</v>
      </c>
      <c r="R1714" s="2" t="s">
        <v>1259</v>
      </c>
      <c r="S1714" s="2" t="s">
        <v>200</v>
      </c>
      <c r="T1714" s="2" t="s">
        <v>200</v>
      </c>
      <c r="U1714" s="2" t="s">
        <v>270</v>
      </c>
      <c r="V1714" s="2" t="s">
        <v>208</v>
      </c>
      <c r="W1714" s="2" t="s">
        <v>200</v>
      </c>
      <c r="X1714" s="2" t="s">
        <v>200</v>
      </c>
      <c r="Y1714" s="2" t="s">
        <v>2330</v>
      </c>
      <c r="Z1714" s="4">
        <v>75</v>
      </c>
      <c r="AA1714" s="4">
        <f>=ROUNDDOWN(37.5,0)</f>
      </c>
      <c r="AB1714" s="5">
        <v>2</v>
      </c>
      <c r="AC1714" s="2" t="s">
        <v>200</v>
      </c>
      <c r="AD1714" s="4"/>
      <c r="AE1714" s="4"/>
      <c r="AF1714" s="6">
        <v>65</v>
      </c>
      <c r="AG1714" s="6"/>
      <c r="AH1714" s="7">
        <v>1</v>
      </c>
      <c r="AI1714" s="4"/>
      <c r="AJ1714" s="4">
        <f>=ROUNDDOWN({0},0)</f>
      </c>
      <c r="AK1714" s="5"/>
      <c r="AL1714" s="2" t="s">
        <v>200</v>
      </c>
      <c r="AM1714" s="4"/>
      <c r="AN1714" s="4"/>
      <c r="AO1714" s="7"/>
      <c r="AP1714" s="4"/>
      <c r="AQ1714" s="8"/>
      <c r="AR1714" s="4"/>
      <c r="AS1714" s="8"/>
      <c r="AT1714" s="7"/>
      <c r="AU1714" s="7"/>
      <c r="AV1714" s="4" t="s">
        <v>200</v>
      </c>
      <c r="AW1714" s="8" t="s">
        <v>200</v>
      </c>
      <c r="AX1714" s="4" t="s">
        <v>200</v>
      </c>
      <c r="AY1714" s="8" t="s">
        <v>200</v>
      </c>
      <c r="AZ1714" s="7" t="s">
        <v>200</v>
      </c>
      <c r="BA1714" s="7" t="s">
        <v>200</v>
      </c>
      <c r="BB1714" s="7"/>
      <c r="BC1714" s="4" t="s">
        <v>200</v>
      </c>
      <c r="BD1714" s="8" t="s">
        <v>200</v>
      </c>
      <c r="BE1714" s="4" t="s">
        <v>200</v>
      </c>
      <c r="BF1714" s="8" t="s">
        <v>200</v>
      </c>
      <c r="BG1714" s="7" t="s">
        <v>200</v>
      </c>
      <c r="BH1714" s="7" t="s">
        <v>200</v>
      </c>
      <c r="BI1714" s="7"/>
      <c r="BJ1714" s="4">
        <v>4</v>
      </c>
      <c r="BK1714" s="8">
        <v>120.76</v>
      </c>
      <c r="BL1714" s="2" t="s">
        <v>4577</v>
      </c>
      <c r="BM1714" s="7"/>
      <c r="BN1714" s="7"/>
      <c r="BO1714" s="4"/>
      <c r="BP1714" s="8"/>
      <c r="BQ1714" s="4"/>
      <c r="BR1714" s="8"/>
      <c r="BS1714" s="7"/>
      <c r="BT1714" s="7"/>
      <c r="BU1714" s="2" t="s">
        <v>8797</v>
      </c>
      <c r="BV1714" s="2" t="s">
        <v>200</v>
      </c>
      <c r="BW1714" s="2" t="s">
        <v>200</v>
      </c>
      <c r="BX1714" s="2" t="s">
        <v>264</v>
      </c>
      <c r="BY1714" s="2" t="s">
        <v>247</v>
      </c>
      <c r="BZ1714" s="2" t="s">
        <v>212</v>
      </c>
      <c r="CA1714" s="2" t="s">
        <v>1263</v>
      </c>
      <c r="CB1714" s="2" t="s">
        <v>1677</v>
      </c>
      <c r="CC1714" s="2" t="s">
        <v>213</v>
      </c>
      <c r="CD1714" s="2" t="s">
        <v>200</v>
      </c>
      <c r="CE1714" s="4">
        <v>75</v>
      </c>
      <c r="CF1714" s="4"/>
      <c r="CG1714" s="4"/>
      <c r="CH1714" s="4"/>
      <c r="CI1714" s="4"/>
      <c r="CJ1714" s="4"/>
      <c r="CK1714" s="4"/>
      <c r="CL1714" s="4"/>
      <c r="CM1714" s="4"/>
      <c r="CN1714" s="4"/>
      <c r="CO1714" s="4"/>
      <c r="CP1714" s="4"/>
      <c r="CQ1714" s="4"/>
      <c r="CR1714" s="4"/>
      <c r="CS1714" s="4"/>
      <c r="CT1714" s="4"/>
      <c r="CU1714" s="4"/>
      <c r="CV1714" s="4"/>
      <c r="CW1714" s="4"/>
      <c r="CX1714" s="4"/>
      <c r="CY1714" s="4"/>
      <c r="CZ1714" s="4"/>
      <c r="DA1714" s="4"/>
      <c r="DB1714" s="4"/>
      <c r="DC1714" s="4"/>
      <c r="DD1714" s="4"/>
      <c r="DE1714" s="4"/>
      <c r="DF1714" s="4"/>
      <c r="DG1714" s="4"/>
      <c r="DH1714" s="4"/>
      <c r="DI1714" s="4"/>
      <c r="DJ1714" s="4"/>
      <c r="DK1714" s="4"/>
      <c r="DL1714" s="4"/>
      <c r="DM1714" s="4"/>
      <c r="DN1714" s="4"/>
      <c r="DO1714" s="4"/>
      <c r="DP1714" s="4"/>
      <c r="DQ1714" s="4"/>
      <c r="DR1714" s="4"/>
      <c r="DS1714" s="4"/>
      <c r="DT1714" s="4"/>
      <c r="DU1714" s="4"/>
      <c r="DV1714" s="4"/>
      <c r="DW1714" s="4"/>
      <c r="DX1714" s="4"/>
      <c r="DY1714" s="4"/>
      <c r="DZ1714" s="4"/>
      <c r="EA1714" s="4"/>
      <c r="EB1714" s="4"/>
      <c r="EC1714" s="4"/>
      <c r="ED1714" s="4"/>
      <c r="EE1714" s="4"/>
      <c r="EF1714" s="4"/>
      <c r="EG1714" s="4"/>
      <c r="EH1714" s="4"/>
      <c r="EI1714" s="4"/>
      <c r="EJ1714" s="4"/>
      <c r="EK1714" s="4"/>
      <c r="EL1714" s="4"/>
      <c r="EM1714" s="4"/>
      <c r="EN1714" s="4"/>
      <c r="EO1714" s="4"/>
      <c r="EP1714" s="4"/>
      <c r="EQ1714" s="4"/>
      <c r="ER1714" s="4"/>
      <c r="ES1714" s="4"/>
      <c r="ET1714" s="4"/>
      <c r="EU1714" s="4"/>
      <c r="EV1714" s="4"/>
      <c r="EW1714" s="4"/>
      <c r="EX1714" s="4"/>
      <c r="EY1714" s="4"/>
      <c r="EZ1714" s="4"/>
      <c r="FA1714" s="4"/>
      <c r="FB1714" s="4"/>
      <c r="FC1714" s="4"/>
      <c r="FD1714" s="4"/>
      <c r="FE1714" s="4"/>
      <c r="FF1714" s="4"/>
      <c r="FG1714" s="4"/>
      <c r="FH1714" s="4"/>
      <c r="FI1714" s="4"/>
      <c r="FJ1714" s="4"/>
      <c r="FK1714" s="4"/>
      <c r="FL1714" s="4"/>
      <c r="FM1714" s="4"/>
      <c r="FN1714" s="4"/>
      <c r="FO1714" s="4"/>
      <c r="FP1714" s="4"/>
      <c r="FQ1714" s="4"/>
      <c r="FR1714" s="4"/>
      <c r="FS1714" s="4"/>
      <c r="FT1714" s="4"/>
      <c r="FU1714" s="4"/>
      <c r="FV1714" s="4"/>
      <c r="FW1714" s="4"/>
      <c r="FX1714" s="4"/>
      <c r="FY1714" s="4"/>
      <c r="FZ1714" s="4"/>
      <c r="GA1714" s="4"/>
      <c r="GB1714" s="4"/>
      <c r="GC1714" s="4"/>
      <c r="GD1714" s="4"/>
      <c r="GE1714" s="4"/>
      <c r="GF1714" s="4"/>
      <c r="GG1714" s="4"/>
      <c r="GH1714" s="4"/>
    </row>
    <row r="1715">
      <c r="A1715" s="2" t="s">
        <v>8798</v>
      </c>
      <c r="B1715" s="2" t="s">
        <v>195</v>
      </c>
      <c r="C1715" s="2" t="s">
        <v>3204</v>
      </c>
      <c r="D1715" s="2" t="s">
        <v>1168</v>
      </c>
      <c r="E1715" s="2" t="s">
        <v>5047</v>
      </c>
      <c r="F1715" s="2" t="s">
        <v>8768</v>
      </c>
      <c r="G1715" s="2" t="s">
        <v>8768</v>
      </c>
      <c r="H1715" s="2" t="s">
        <v>8768</v>
      </c>
      <c r="I1715" s="2" t="s">
        <v>8769</v>
      </c>
      <c r="J1715" s="2" t="s">
        <v>297</v>
      </c>
      <c r="K1715" s="2" t="s">
        <v>4982</v>
      </c>
      <c r="L1715" s="3">
        <v>83.06</v>
      </c>
      <c r="M1715" s="3">
        <v>87.21</v>
      </c>
      <c r="N1715" s="3">
        <v>129.99</v>
      </c>
      <c r="O1715" s="2" t="s">
        <v>460</v>
      </c>
      <c r="P1715" s="2" t="s">
        <v>1258</v>
      </c>
      <c r="Q1715" s="2" t="s">
        <v>206</v>
      </c>
      <c r="R1715" s="2" t="s">
        <v>1259</v>
      </c>
      <c r="S1715" s="2" t="s">
        <v>200</v>
      </c>
      <c r="T1715" s="2" t="s">
        <v>200</v>
      </c>
      <c r="U1715" s="2" t="s">
        <v>270</v>
      </c>
      <c r="V1715" s="2" t="s">
        <v>208</v>
      </c>
      <c r="W1715" s="2" t="s">
        <v>200</v>
      </c>
      <c r="X1715" s="2" t="s">
        <v>200</v>
      </c>
      <c r="Y1715" s="2" t="s">
        <v>2330</v>
      </c>
      <c r="Z1715" s="4">
        <v>110</v>
      </c>
      <c r="AA1715" s="4">
        <f>=ROUNDDOWN(50,0)</f>
      </c>
      <c r="AB1715" s="5">
        <v>2.2</v>
      </c>
      <c r="AC1715" s="2" t="s">
        <v>200</v>
      </c>
      <c r="AD1715" s="4"/>
      <c r="AE1715" s="4"/>
      <c r="AF1715" s="6">
        <v>65</v>
      </c>
      <c r="AG1715" s="6"/>
      <c r="AH1715" s="7">
        <v>1</v>
      </c>
      <c r="AI1715" s="4"/>
      <c r="AJ1715" s="4">
        <f>=ROUNDDOWN({0},0)</f>
      </c>
      <c r="AK1715" s="5"/>
      <c r="AL1715" s="2" t="s">
        <v>200</v>
      </c>
      <c r="AM1715" s="4"/>
      <c r="AN1715" s="4"/>
      <c r="AO1715" s="7"/>
      <c r="AP1715" s="4"/>
      <c r="AQ1715" s="8"/>
      <c r="AR1715" s="4"/>
      <c r="AS1715" s="8"/>
      <c r="AT1715" s="7"/>
      <c r="AU1715" s="7"/>
      <c r="AV1715" s="4" t="s">
        <v>200</v>
      </c>
      <c r="AW1715" s="8" t="s">
        <v>200</v>
      </c>
      <c r="AX1715" s="4" t="s">
        <v>200</v>
      </c>
      <c r="AY1715" s="8" t="s">
        <v>200</v>
      </c>
      <c r="AZ1715" s="7" t="s">
        <v>200</v>
      </c>
      <c r="BA1715" s="7" t="s">
        <v>200</v>
      </c>
      <c r="BB1715" s="7"/>
      <c r="BC1715" s="4" t="s">
        <v>200</v>
      </c>
      <c r="BD1715" s="8" t="s">
        <v>200</v>
      </c>
      <c r="BE1715" s="4" t="s">
        <v>200</v>
      </c>
      <c r="BF1715" s="8" t="s">
        <v>200</v>
      </c>
      <c r="BG1715" s="7" t="s">
        <v>200</v>
      </c>
      <c r="BH1715" s="7" t="s">
        <v>200</v>
      </c>
      <c r="BI1715" s="7"/>
      <c r="BJ1715" s="4">
        <v>1</v>
      </c>
      <c r="BK1715" s="8">
        <v>43.6</v>
      </c>
      <c r="BL1715" s="2" t="s">
        <v>4571</v>
      </c>
      <c r="BM1715" s="7"/>
      <c r="BN1715" s="7"/>
      <c r="BO1715" s="4"/>
      <c r="BP1715" s="8"/>
      <c r="BQ1715" s="4"/>
      <c r="BR1715" s="8"/>
      <c r="BS1715" s="7"/>
      <c r="BT1715" s="7"/>
      <c r="BU1715" s="2" t="s">
        <v>8799</v>
      </c>
      <c r="BV1715" s="2" t="s">
        <v>200</v>
      </c>
      <c r="BW1715" s="2" t="s">
        <v>200</v>
      </c>
      <c r="BX1715" s="2" t="s">
        <v>264</v>
      </c>
      <c r="BY1715" s="2" t="s">
        <v>247</v>
      </c>
      <c r="BZ1715" s="2" t="s">
        <v>212</v>
      </c>
      <c r="CA1715" s="2" t="s">
        <v>1263</v>
      </c>
      <c r="CB1715" s="2" t="s">
        <v>2567</v>
      </c>
      <c r="CC1715" s="2" t="s">
        <v>213</v>
      </c>
      <c r="CD1715" s="2" t="s">
        <v>200</v>
      </c>
      <c r="CE1715" s="4">
        <v>110</v>
      </c>
      <c r="CF1715" s="4"/>
      <c r="CG1715" s="4"/>
      <c r="CH1715" s="4"/>
      <c r="CI1715" s="4"/>
      <c r="CJ1715" s="4"/>
      <c r="CK1715" s="4"/>
      <c r="CL1715" s="4"/>
      <c r="CM1715" s="4"/>
      <c r="CN1715" s="4"/>
      <c r="CO1715" s="4"/>
      <c r="CP1715" s="4"/>
      <c r="CQ1715" s="4"/>
      <c r="CR1715" s="4"/>
      <c r="CS1715" s="4"/>
      <c r="CT1715" s="4"/>
      <c r="CU1715" s="4"/>
      <c r="CV1715" s="4"/>
      <c r="CW1715" s="4"/>
      <c r="CX1715" s="4"/>
      <c r="CY1715" s="4"/>
      <c r="CZ1715" s="4"/>
      <c r="DA1715" s="4"/>
      <c r="DB1715" s="4"/>
      <c r="DC1715" s="4"/>
      <c r="DD1715" s="4"/>
      <c r="DE1715" s="4"/>
      <c r="DF1715" s="4"/>
      <c r="DG1715" s="4"/>
      <c r="DH1715" s="4"/>
      <c r="DI1715" s="4"/>
      <c r="DJ1715" s="4"/>
      <c r="DK1715" s="4"/>
      <c r="DL1715" s="4"/>
      <c r="DM1715" s="4"/>
      <c r="DN1715" s="4"/>
      <c r="DO1715" s="4"/>
      <c r="DP1715" s="4"/>
      <c r="DQ1715" s="4"/>
      <c r="DR1715" s="4"/>
      <c r="DS1715" s="4"/>
      <c r="DT1715" s="4"/>
      <c r="DU1715" s="4"/>
      <c r="DV1715" s="4"/>
      <c r="DW1715" s="4"/>
      <c r="DX1715" s="4"/>
      <c r="DY1715" s="4"/>
      <c r="DZ1715" s="4"/>
      <c r="EA1715" s="4"/>
      <c r="EB1715" s="4"/>
      <c r="EC1715" s="4"/>
      <c r="ED1715" s="4"/>
      <c r="EE1715" s="4"/>
      <c r="EF1715" s="4"/>
      <c r="EG1715" s="4"/>
      <c r="EH1715" s="4"/>
      <c r="EI1715" s="4"/>
      <c r="EJ1715" s="4"/>
      <c r="EK1715" s="4"/>
      <c r="EL1715" s="4"/>
      <c r="EM1715" s="4"/>
      <c r="EN1715" s="4"/>
      <c r="EO1715" s="4"/>
      <c r="EP1715" s="4"/>
      <c r="EQ1715" s="4"/>
      <c r="ER1715" s="4"/>
      <c r="ES1715" s="4"/>
      <c r="ET1715" s="4"/>
      <c r="EU1715" s="4"/>
      <c r="EV1715" s="4"/>
      <c r="EW1715" s="4"/>
      <c r="EX1715" s="4"/>
      <c r="EY1715" s="4"/>
      <c r="EZ1715" s="4"/>
      <c r="FA1715" s="4"/>
      <c r="FB1715" s="4"/>
      <c r="FC1715" s="4"/>
      <c r="FD1715" s="4"/>
      <c r="FE1715" s="4"/>
      <c r="FF1715" s="4"/>
      <c r="FG1715" s="4"/>
      <c r="FH1715" s="4"/>
      <c r="FI1715" s="4"/>
      <c r="FJ1715" s="4"/>
      <c r="FK1715" s="4"/>
      <c r="FL1715" s="4"/>
      <c r="FM1715" s="4"/>
      <c r="FN1715" s="4"/>
      <c r="FO1715" s="4"/>
      <c r="FP1715" s="4"/>
      <c r="FQ1715" s="4"/>
      <c r="FR1715" s="4"/>
      <c r="FS1715" s="4"/>
      <c r="FT1715" s="4"/>
      <c r="FU1715" s="4"/>
      <c r="FV1715" s="4"/>
      <c r="FW1715" s="4"/>
      <c r="FX1715" s="4"/>
      <c r="FY1715" s="4"/>
      <c r="FZ1715" s="4"/>
      <c r="GA1715" s="4"/>
      <c r="GB1715" s="4"/>
      <c r="GC1715" s="4"/>
      <c r="GD1715" s="4"/>
      <c r="GE1715" s="4"/>
      <c r="GF1715" s="4"/>
      <c r="GG1715" s="4"/>
      <c r="GH1715" s="4"/>
    </row>
    <row r="1716">
      <c r="A1716" s="2" t="s">
        <v>8800</v>
      </c>
      <c r="B1716" s="2" t="s">
        <v>195</v>
      </c>
      <c r="C1716" s="2" t="s">
        <v>3204</v>
      </c>
      <c r="D1716" s="2" t="s">
        <v>1168</v>
      </c>
      <c r="E1716" s="2" t="s">
        <v>5047</v>
      </c>
      <c r="F1716" s="2" t="s">
        <v>8768</v>
      </c>
      <c r="G1716" s="2" t="s">
        <v>8768</v>
      </c>
      <c r="H1716" s="2" t="s">
        <v>8768</v>
      </c>
      <c r="I1716" s="2" t="s">
        <v>8769</v>
      </c>
      <c r="J1716" s="2" t="s">
        <v>302</v>
      </c>
      <c r="K1716" s="2" t="s">
        <v>4982</v>
      </c>
      <c r="L1716" s="3">
        <v>89.45</v>
      </c>
      <c r="M1716" s="3">
        <v>93.92</v>
      </c>
      <c r="N1716" s="3">
        <v>139.99</v>
      </c>
      <c r="O1716" s="2" t="s">
        <v>460</v>
      </c>
      <c r="P1716" s="2" t="s">
        <v>1258</v>
      </c>
      <c r="Q1716" s="2" t="s">
        <v>206</v>
      </c>
      <c r="R1716" s="2" t="s">
        <v>1259</v>
      </c>
      <c r="S1716" s="2" t="s">
        <v>200</v>
      </c>
      <c r="T1716" s="2" t="s">
        <v>200</v>
      </c>
      <c r="U1716" s="2" t="s">
        <v>270</v>
      </c>
      <c r="V1716" s="2" t="s">
        <v>208</v>
      </c>
      <c r="W1716" s="2" t="s">
        <v>200</v>
      </c>
      <c r="X1716" s="2" t="s">
        <v>200</v>
      </c>
      <c r="Y1716" s="2" t="s">
        <v>2330</v>
      </c>
      <c r="Z1716" s="4">
        <v>133</v>
      </c>
      <c r="AA1716" s="4">
        <f>=ROUNDDOWN(66.5,0)</f>
      </c>
      <c r="AB1716" s="5">
        <v>2</v>
      </c>
      <c r="AC1716" s="2" t="s">
        <v>200</v>
      </c>
      <c r="AD1716" s="4"/>
      <c r="AE1716" s="4"/>
      <c r="AF1716" s="6">
        <v>65</v>
      </c>
      <c r="AG1716" s="6"/>
      <c r="AH1716" s="7">
        <v>1</v>
      </c>
      <c r="AI1716" s="4"/>
      <c r="AJ1716" s="4">
        <f>=ROUNDDOWN({0},0)</f>
      </c>
      <c r="AK1716" s="5"/>
      <c r="AL1716" s="2" t="s">
        <v>200</v>
      </c>
      <c r="AM1716" s="4"/>
      <c r="AN1716" s="4"/>
      <c r="AO1716" s="7"/>
      <c r="AP1716" s="4"/>
      <c r="AQ1716" s="8"/>
      <c r="AR1716" s="4"/>
      <c r="AS1716" s="8"/>
      <c r="AT1716" s="7"/>
      <c r="AU1716" s="7"/>
      <c r="AV1716" s="4" t="s">
        <v>200</v>
      </c>
      <c r="AW1716" s="8" t="s">
        <v>200</v>
      </c>
      <c r="AX1716" s="4" t="s">
        <v>200</v>
      </c>
      <c r="AY1716" s="8" t="s">
        <v>200</v>
      </c>
      <c r="AZ1716" s="7" t="s">
        <v>200</v>
      </c>
      <c r="BA1716" s="7" t="s">
        <v>200</v>
      </c>
      <c r="BB1716" s="7"/>
      <c r="BC1716" s="4" t="s">
        <v>200</v>
      </c>
      <c r="BD1716" s="8" t="s">
        <v>200</v>
      </c>
      <c r="BE1716" s="4" t="s">
        <v>200</v>
      </c>
      <c r="BF1716" s="8" t="s">
        <v>200</v>
      </c>
      <c r="BG1716" s="7" t="s">
        <v>200</v>
      </c>
      <c r="BH1716" s="7" t="s">
        <v>200</v>
      </c>
      <c r="BI1716" s="7"/>
      <c r="BJ1716" s="4"/>
      <c r="BK1716" s="8"/>
      <c r="BL1716" s="2" t="s">
        <v>4010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8801</v>
      </c>
      <c r="BV1716" s="2" t="s">
        <v>200</v>
      </c>
      <c r="BW1716" s="2" t="s">
        <v>200</v>
      </c>
      <c r="BX1716" s="2" t="s">
        <v>264</v>
      </c>
      <c r="BY1716" s="2" t="s">
        <v>247</v>
      </c>
      <c r="BZ1716" s="2" t="s">
        <v>212</v>
      </c>
      <c r="CA1716" s="2" t="s">
        <v>1263</v>
      </c>
      <c r="CB1716" s="2" t="s">
        <v>8103</v>
      </c>
      <c r="CC1716" s="2" t="s">
        <v>213</v>
      </c>
      <c r="CD1716" s="2" t="s">
        <v>200</v>
      </c>
      <c r="CE1716" s="4">
        <v>133</v>
      </c>
      <c r="CF1716" s="4"/>
      <c r="CG1716" s="4"/>
      <c r="CH1716" s="4"/>
      <c r="CI1716" s="4"/>
      <c r="CJ1716" s="4"/>
      <c r="CK1716" s="4"/>
      <c r="CL1716" s="4"/>
      <c r="CM1716" s="4"/>
      <c r="CN1716" s="4"/>
      <c r="CO1716" s="4"/>
      <c r="CP1716" s="4"/>
      <c r="CQ1716" s="4"/>
      <c r="CR1716" s="4"/>
      <c r="CS1716" s="4"/>
      <c r="CT1716" s="4"/>
      <c r="CU1716" s="4"/>
      <c r="CV1716" s="4"/>
      <c r="CW1716" s="4"/>
      <c r="CX1716" s="4"/>
      <c r="CY1716" s="4"/>
      <c r="CZ1716" s="4"/>
      <c r="DA1716" s="4"/>
      <c r="DB1716" s="4"/>
      <c r="DC1716" s="4"/>
      <c r="DD1716" s="4"/>
      <c r="DE1716" s="4"/>
      <c r="DF1716" s="4"/>
      <c r="DG1716" s="4"/>
      <c r="DH1716" s="4"/>
      <c r="DI1716" s="4"/>
      <c r="DJ1716" s="4"/>
      <c r="DK1716" s="4"/>
      <c r="DL1716" s="4"/>
      <c r="DM1716" s="4"/>
      <c r="DN1716" s="4"/>
      <c r="DO1716" s="4"/>
      <c r="DP1716" s="4"/>
      <c r="DQ1716" s="4"/>
      <c r="DR1716" s="4"/>
      <c r="DS1716" s="4"/>
      <c r="DT1716" s="4"/>
      <c r="DU1716" s="4"/>
      <c r="DV1716" s="4"/>
      <c r="DW1716" s="4"/>
      <c r="DX1716" s="4"/>
      <c r="DY1716" s="4"/>
      <c r="DZ1716" s="4"/>
      <c r="EA1716" s="4"/>
      <c r="EB1716" s="4"/>
      <c r="EC1716" s="4"/>
      <c r="ED1716" s="4"/>
      <c r="EE1716" s="4"/>
      <c r="EF1716" s="4"/>
      <c r="EG1716" s="4"/>
      <c r="EH1716" s="4"/>
      <c r="EI1716" s="4"/>
      <c r="EJ1716" s="4"/>
      <c r="EK1716" s="4"/>
      <c r="EL1716" s="4"/>
      <c r="EM1716" s="4"/>
      <c r="EN1716" s="4"/>
      <c r="EO1716" s="4"/>
      <c r="EP1716" s="4"/>
      <c r="EQ1716" s="4"/>
      <c r="ER1716" s="4"/>
      <c r="ES1716" s="4"/>
      <c r="ET1716" s="4"/>
      <c r="EU1716" s="4"/>
      <c r="EV1716" s="4"/>
      <c r="EW1716" s="4"/>
      <c r="EX1716" s="4"/>
      <c r="EY1716" s="4"/>
      <c r="EZ1716" s="4"/>
      <c r="FA1716" s="4"/>
      <c r="FB1716" s="4"/>
      <c r="FC1716" s="4"/>
      <c r="FD1716" s="4"/>
      <c r="FE1716" s="4"/>
      <c r="FF1716" s="4"/>
      <c r="FG1716" s="4"/>
      <c r="FH1716" s="4"/>
      <c r="FI1716" s="4"/>
      <c r="FJ1716" s="4"/>
      <c r="FK1716" s="4"/>
      <c r="FL1716" s="4"/>
      <c r="FM1716" s="4"/>
      <c r="FN1716" s="4"/>
      <c r="FO1716" s="4"/>
      <c r="FP1716" s="4"/>
      <c r="FQ1716" s="4"/>
      <c r="FR1716" s="4"/>
      <c r="FS1716" s="4"/>
      <c r="FT1716" s="4"/>
      <c r="FU1716" s="4"/>
      <c r="FV1716" s="4"/>
      <c r="FW1716" s="4"/>
      <c r="FX1716" s="4"/>
      <c r="FY1716" s="4"/>
      <c r="FZ1716" s="4"/>
      <c r="GA1716" s="4"/>
      <c r="GB1716" s="4"/>
      <c r="GC1716" s="4"/>
      <c r="GD1716" s="4"/>
      <c r="GE1716" s="4"/>
      <c r="GF1716" s="4"/>
      <c r="GG1716" s="4"/>
      <c r="GH1716" s="4"/>
    </row>
    <row r="1717">
      <c r="A1717" s="2" t="s">
        <v>8802</v>
      </c>
      <c r="B1717" s="2" t="s">
        <v>195</v>
      </c>
      <c r="C1717" s="2" t="s">
        <v>3204</v>
      </c>
      <c r="D1717" s="2" t="s">
        <v>1168</v>
      </c>
      <c r="E1717" s="2" t="s">
        <v>5047</v>
      </c>
      <c r="F1717" s="2" t="s">
        <v>8768</v>
      </c>
      <c r="G1717" s="2" t="s">
        <v>8768</v>
      </c>
      <c r="H1717" s="2" t="s">
        <v>8768</v>
      </c>
      <c r="I1717" s="2" t="s">
        <v>8769</v>
      </c>
      <c r="J1717" s="2" t="s">
        <v>277</v>
      </c>
      <c r="K1717" s="2" t="s">
        <v>8803</v>
      </c>
      <c r="L1717" s="3">
        <v>57.5</v>
      </c>
      <c r="M1717" s="3">
        <v>60.38</v>
      </c>
      <c r="N1717" s="3">
        <v>89.99</v>
      </c>
      <c r="O1717" s="2" t="s">
        <v>460</v>
      </c>
      <c r="P1717" s="2" t="s">
        <v>1258</v>
      </c>
      <c r="Q1717" s="2" t="s">
        <v>206</v>
      </c>
      <c r="R1717" s="2" t="s">
        <v>1259</v>
      </c>
      <c r="S1717" s="2" t="s">
        <v>200</v>
      </c>
      <c r="T1717" s="2" t="s">
        <v>200</v>
      </c>
      <c r="U1717" s="2" t="s">
        <v>270</v>
      </c>
      <c r="V1717" s="2" t="s">
        <v>208</v>
      </c>
      <c r="W1717" s="2" t="s">
        <v>200</v>
      </c>
      <c r="X1717" s="2" t="s">
        <v>200</v>
      </c>
      <c r="Y1717" s="2" t="s">
        <v>2330</v>
      </c>
      <c r="Z1717" s="4">
        <v>83</v>
      </c>
      <c r="AA1717" s="4">
        <f>=ROUNDDOWN(41.5,0)</f>
      </c>
      <c r="AB1717" s="5">
        <v>2</v>
      </c>
      <c r="AC1717" s="2" t="s">
        <v>200</v>
      </c>
      <c r="AD1717" s="4"/>
      <c r="AE1717" s="4"/>
      <c r="AF1717" s="6">
        <v>65</v>
      </c>
      <c r="AG1717" s="6"/>
      <c r="AH1717" s="7">
        <v>1</v>
      </c>
      <c r="AI1717" s="4"/>
      <c r="AJ1717" s="4">
        <f>=ROUNDDOWN({0},0)</f>
      </c>
      <c r="AK1717" s="5"/>
      <c r="AL1717" s="2" t="s">
        <v>200</v>
      </c>
      <c r="AM1717" s="4"/>
      <c r="AN1717" s="4"/>
      <c r="AO1717" s="7"/>
      <c r="AP1717" s="4"/>
      <c r="AQ1717" s="8"/>
      <c r="AR1717" s="4"/>
      <c r="AS1717" s="8"/>
      <c r="AT1717" s="7"/>
      <c r="AU1717" s="7"/>
      <c r="AV1717" s="4" t="s">
        <v>200</v>
      </c>
      <c r="AW1717" s="8" t="s">
        <v>200</v>
      </c>
      <c r="AX1717" s="4" t="s">
        <v>200</v>
      </c>
      <c r="AY1717" s="8" t="s">
        <v>200</v>
      </c>
      <c r="AZ1717" s="7" t="s">
        <v>200</v>
      </c>
      <c r="BA1717" s="7" t="s">
        <v>200</v>
      </c>
      <c r="BB1717" s="7"/>
      <c r="BC1717" s="4" t="s">
        <v>200</v>
      </c>
      <c r="BD1717" s="8" t="s">
        <v>200</v>
      </c>
      <c r="BE1717" s="4" t="s">
        <v>200</v>
      </c>
      <c r="BF1717" s="8" t="s">
        <v>200</v>
      </c>
      <c r="BG1717" s="7" t="s">
        <v>200</v>
      </c>
      <c r="BH1717" s="7" t="s">
        <v>200</v>
      </c>
      <c r="BI1717" s="7"/>
      <c r="BJ1717" s="4">
        <v>1</v>
      </c>
      <c r="BK1717" s="8">
        <v>30.19</v>
      </c>
      <c r="BL1717" s="2" t="s">
        <v>1029</v>
      </c>
      <c r="BM1717" s="7"/>
      <c r="BN1717" s="7"/>
      <c r="BO1717" s="4"/>
      <c r="BP1717" s="8"/>
      <c r="BQ1717" s="4"/>
      <c r="BR1717" s="8"/>
      <c r="BS1717" s="7"/>
      <c r="BT1717" s="7"/>
      <c r="BU1717" s="2" t="s">
        <v>8804</v>
      </c>
      <c r="BV1717" s="2" t="s">
        <v>200</v>
      </c>
      <c r="BW1717" s="2" t="s">
        <v>200</v>
      </c>
      <c r="BX1717" s="2" t="s">
        <v>264</v>
      </c>
      <c r="BY1717" s="2" t="s">
        <v>247</v>
      </c>
      <c r="BZ1717" s="2" t="s">
        <v>212</v>
      </c>
      <c r="CA1717" s="2" t="s">
        <v>1263</v>
      </c>
      <c r="CB1717" s="2" t="s">
        <v>200</v>
      </c>
      <c r="CC1717" s="2" t="s">
        <v>213</v>
      </c>
      <c r="CD1717" s="2" t="s">
        <v>200</v>
      </c>
      <c r="CE1717" s="4">
        <v>83</v>
      </c>
      <c r="CF1717" s="4"/>
      <c r="CG1717" s="4"/>
      <c r="CH1717" s="4"/>
      <c r="CI1717" s="4"/>
      <c r="CJ1717" s="4"/>
      <c r="CK1717" s="4"/>
      <c r="CL1717" s="4"/>
      <c r="CM1717" s="4"/>
      <c r="CN1717" s="4"/>
      <c r="CO1717" s="4"/>
      <c r="CP1717" s="4"/>
      <c r="CQ1717" s="4"/>
      <c r="CR1717" s="4"/>
      <c r="CS1717" s="4"/>
      <c r="CT1717" s="4"/>
      <c r="CU1717" s="4"/>
      <c r="CV1717" s="4"/>
      <c r="CW1717" s="4"/>
      <c r="CX1717" s="4"/>
      <c r="CY1717" s="4"/>
      <c r="CZ1717" s="4"/>
      <c r="DA1717" s="4"/>
      <c r="DB1717" s="4"/>
      <c r="DC1717" s="4"/>
      <c r="DD1717" s="4"/>
      <c r="DE1717" s="4"/>
      <c r="DF1717" s="4"/>
      <c r="DG1717" s="4"/>
      <c r="DH1717" s="4"/>
      <c r="DI1717" s="4"/>
      <c r="DJ1717" s="4"/>
      <c r="DK1717" s="4"/>
      <c r="DL1717" s="4"/>
      <c r="DM1717" s="4"/>
      <c r="DN1717" s="4"/>
      <c r="DO1717" s="4"/>
      <c r="DP1717" s="4"/>
      <c r="DQ1717" s="4"/>
      <c r="DR1717" s="4"/>
      <c r="DS1717" s="4"/>
      <c r="DT1717" s="4"/>
      <c r="DU1717" s="4"/>
      <c r="DV1717" s="4"/>
      <c r="DW1717" s="4"/>
      <c r="DX1717" s="4"/>
      <c r="DY1717" s="4"/>
      <c r="DZ1717" s="4"/>
      <c r="EA1717" s="4"/>
      <c r="EB1717" s="4"/>
      <c r="EC1717" s="4"/>
      <c r="ED1717" s="4"/>
      <c r="EE1717" s="4"/>
      <c r="EF1717" s="4"/>
      <c r="EG1717" s="4"/>
      <c r="EH1717" s="4"/>
      <c r="EI1717" s="4"/>
      <c r="EJ1717" s="4"/>
      <c r="EK1717" s="4"/>
      <c r="EL1717" s="4"/>
      <c r="EM1717" s="4"/>
      <c r="EN1717" s="4"/>
      <c r="EO1717" s="4"/>
      <c r="EP1717" s="4"/>
      <c r="EQ1717" s="4"/>
      <c r="ER1717" s="4"/>
      <c r="ES1717" s="4"/>
      <c r="ET1717" s="4"/>
      <c r="EU1717" s="4"/>
      <c r="EV1717" s="4"/>
      <c r="EW1717" s="4"/>
      <c r="EX1717" s="4"/>
      <c r="EY1717" s="4"/>
      <c r="EZ1717" s="4"/>
      <c r="FA1717" s="4"/>
      <c r="FB1717" s="4"/>
      <c r="FC1717" s="4"/>
      <c r="FD1717" s="4"/>
      <c r="FE1717" s="4"/>
      <c r="FF1717" s="4"/>
      <c r="FG1717" s="4"/>
      <c r="FH1717" s="4"/>
      <c r="FI1717" s="4"/>
      <c r="FJ1717" s="4"/>
      <c r="FK1717" s="4"/>
      <c r="FL1717" s="4"/>
      <c r="FM1717" s="4"/>
      <c r="FN1717" s="4"/>
      <c r="FO1717" s="4"/>
      <c r="FP1717" s="4"/>
      <c r="FQ1717" s="4"/>
      <c r="FR1717" s="4"/>
      <c r="FS1717" s="4"/>
      <c r="FT1717" s="4"/>
      <c r="FU1717" s="4"/>
      <c r="FV1717" s="4"/>
      <c r="FW1717" s="4"/>
      <c r="FX1717" s="4"/>
      <c r="FY1717" s="4"/>
      <c r="FZ1717" s="4"/>
      <c r="GA1717" s="4"/>
      <c r="GB1717" s="4"/>
      <c r="GC1717" s="4"/>
      <c r="GD1717" s="4"/>
      <c r="GE1717" s="4"/>
      <c r="GF1717" s="4"/>
      <c r="GG1717" s="4"/>
      <c r="GH1717" s="4"/>
    </row>
    <row r="1718">
      <c r="A1718" s="2" t="s">
        <v>8805</v>
      </c>
      <c r="B1718" s="2" t="s">
        <v>195</v>
      </c>
      <c r="C1718" s="2" t="s">
        <v>3204</v>
      </c>
      <c r="D1718" s="2" t="s">
        <v>1168</v>
      </c>
      <c r="E1718" s="2" t="s">
        <v>5047</v>
      </c>
      <c r="F1718" s="2" t="s">
        <v>8768</v>
      </c>
      <c r="G1718" s="2" t="s">
        <v>8768</v>
      </c>
      <c r="H1718" s="2" t="s">
        <v>8768</v>
      </c>
      <c r="I1718" s="2" t="s">
        <v>8769</v>
      </c>
      <c r="J1718" s="2" t="s">
        <v>297</v>
      </c>
      <c r="K1718" s="2" t="s">
        <v>8803</v>
      </c>
      <c r="L1718" s="3">
        <v>83.06</v>
      </c>
      <c r="M1718" s="3">
        <v>87.21</v>
      </c>
      <c r="N1718" s="3">
        <v>129.99</v>
      </c>
      <c r="O1718" s="2" t="s">
        <v>460</v>
      </c>
      <c r="P1718" s="2" t="s">
        <v>1258</v>
      </c>
      <c r="Q1718" s="2" t="s">
        <v>206</v>
      </c>
      <c r="R1718" s="2" t="s">
        <v>1259</v>
      </c>
      <c r="S1718" s="2" t="s">
        <v>200</v>
      </c>
      <c r="T1718" s="2" t="s">
        <v>200</v>
      </c>
      <c r="U1718" s="2" t="s">
        <v>270</v>
      </c>
      <c r="V1718" s="2" t="s">
        <v>208</v>
      </c>
      <c r="W1718" s="2" t="s">
        <v>200</v>
      </c>
      <c r="X1718" s="2" t="s">
        <v>200</v>
      </c>
      <c r="Y1718" s="2" t="s">
        <v>1562</v>
      </c>
      <c r="Z1718" s="4">
        <v>100</v>
      </c>
      <c r="AA1718" s="4">
        <f>=ROUNDDOWN(100,0)</f>
      </c>
      <c r="AB1718" s="5">
        <v>1</v>
      </c>
      <c r="AC1718" s="2" t="s">
        <v>200</v>
      </c>
      <c r="AD1718" s="4"/>
      <c r="AE1718" s="4"/>
      <c r="AF1718" s="6">
        <v>65</v>
      </c>
      <c r="AG1718" s="6"/>
      <c r="AH1718" s="7">
        <v>1</v>
      </c>
      <c r="AI1718" s="4"/>
      <c r="AJ1718" s="4">
        <f>=ROUNDDOWN({0},0)</f>
      </c>
      <c r="AK1718" s="5"/>
      <c r="AL1718" s="2" t="s">
        <v>200</v>
      </c>
      <c r="AM1718" s="4"/>
      <c r="AN1718" s="4"/>
      <c r="AO1718" s="7"/>
      <c r="AP1718" s="4"/>
      <c r="AQ1718" s="8"/>
      <c r="AR1718" s="4"/>
      <c r="AS1718" s="8"/>
      <c r="AT1718" s="7"/>
      <c r="AU1718" s="7"/>
      <c r="AV1718" s="4" t="s">
        <v>200</v>
      </c>
      <c r="AW1718" s="8" t="s">
        <v>200</v>
      </c>
      <c r="AX1718" s="4" t="s">
        <v>200</v>
      </c>
      <c r="AY1718" s="8" t="s">
        <v>200</v>
      </c>
      <c r="AZ1718" s="7" t="s">
        <v>200</v>
      </c>
      <c r="BA1718" s="7" t="s">
        <v>200</v>
      </c>
      <c r="BB1718" s="7"/>
      <c r="BC1718" s="4" t="s">
        <v>200</v>
      </c>
      <c r="BD1718" s="8" t="s">
        <v>200</v>
      </c>
      <c r="BE1718" s="4" t="s">
        <v>200</v>
      </c>
      <c r="BF1718" s="8" t="s">
        <v>200</v>
      </c>
      <c r="BG1718" s="7" t="s">
        <v>200</v>
      </c>
      <c r="BH1718" s="7" t="s">
        <v>200</v>
      </c>
      <c r="BI1718" s="7"/>
      <c r="BJ1718" s="4">
        <v>2</v>
      </c>
      <c r="BK1718" s="8">
        <v>87.2</v>
      </c>
      <c r="BL1718" s="2" t="s">
        <v>4577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8806</v>
      </c>
      <c r="BV1718" s="2" t="s">
        <v>200</v>
      </c>
      <c r="BW1718" s="2" t="s">
        <v>200</v>
      </c>
      <c r="BX1718" s="2" t="s">
        <v>264</v>
      </c>
      <c r="BY1718" s="2" t="s">
        <v>247</v>
      </c>
      <c r="BZ1718" s="2" t="s">
        <v>212</v>
      </c>
      <c r="CA1718" s="2" t="s">
        <v>1263</v>
      </c>
      <c r="CB1718" s="2" t="s">
        <v>200</v>
      </c>
      <c r="CC1718" s="2" t="s">
        <v>213</v>
      </c>
      <c r="CD1718" s="2" t="s">
        <v>200</v>
      </c>
      <c r="CE1718" s="4">
        <v>100</v>
      </c>
      <c r="CF1718" s="4"/>
      <c r="CG1718" s="4"/>
      <c r="CH1718" s="4"/>
      <c r="CI1718" s="4"/>
      <c r="CJ1718" s="4"/>
      <c r="CK1718" s="4"/>
      <c r="CL1718" s="4"/>
      <c r="CM1718" s="4"/>
      <c r="CN1718" s="4"/>
      <c r="CO1718" s="4"/>
      <c r="CP1718" s="4"/>
      <c r="CQ1718" s="4"/>
      <c r="CR1718" s="4"/>
      <c r="CS1718" s="4"/>
      <c r="CT1718" s="4"/>
      <c r="CU1718" s="4"/>
      <c r="CV1718" s="4"/>
      <c r="CW1718" s="4"/>
      <c r="CX1718" s="4"/>
      <c r="CY1718" s="4"/>
      <c r="CZ1718" s="4"/>
      <c r="DA1718" s="4"/>
      <c r="DB1718" s="4"/>
      <c r="DC1718" s="4"/>
      <c r="DD1718" s="4"/>
      <c r="DE1718" s="4"/>
      <c r="DF1718" s="4"/>
      <c r="DG1718" s="4"/>
      <c r="DH1718" s="4"/>
      <c r="DI1718" s="4"/>
      <c r="DJ1718" s="4"/>
      <c r="DK1718" s="4"/>
      <c r="DL1718" s="4"/>
      <c r="DM1718" s="4"/>
      <c r="DN1718" s="4"/>
      <c r="DO1718" s="4"/>
      <c r="DP1718" s="4"/>
      <c r="DQ1718" s="4"/>
      <c r="DR1718" s="4"/>
      <c r="DS1718" s="4"/>
      <c r="DT1718" s="4"/>
      <c r="DU1718" s="4"/>
      <c r="DV1718" s="4"/>
      <c r="DW1718" s="4"/>
      <c r="DX1718" s="4"/>
      <c r="DY1718" s="4"/>
      <c r="DZ1718" s="4"/>
      <c r="EA1718" s="4"/>
      <c r="EB1718" s="4"/>
      <c r="EC1718" s="4"/>
      <c r="ED1718" s="4"/>
      <c r="EE1718" s="4"/>
      <c r="EF1718" s="4"/>
      <c r="EG1718" s="4"/>
      <c r="EH1718" s="4"/>
      <c r="EI1718" s="4"/>
      <c r="EJ1718" s="4"/>
      <c r="EK1718" s="4"/>
      <c r="EL1718" s="4"/>
      <c r="EM1718" s="4"/>
      <c r="EN1718" s="4"/>
      <c r="EO1718" s="4"/>
      <c r="EP1718" s="4"/>
      <c r="EQ1718" s="4"/>
      <c r="ER1718" s="4"/>
      <c r="ES1718" s="4"/>
      <c r="ET1718" s="4"/>
      <c r="EU1718" s="4"/>
      <c r="EV1718" s="4"/>
      <c r="EW1718" s="4"/>
      <c r="EX1718" s="4"/>
      <c r="EY1718" s="4"/>
      <c r="EZ1718" s="4"/>
      <c r="FA1718" s="4"/>
      <c r="FB1718" s="4"/>
      <c r="FC1718" s="4"/>
      <c r="FD1718" s="4"/>
      <c r="FE1718" s="4"/>
      <c r="FF1718" s="4"/>
      <c r="FG1718" s="4"/>
      <c r="FH1718" s="4"/>
      <c r="FI1718" s="4"/>
      <c r="FJ1718" s="4"/>
      <c r="FK1718" s="4"/>
      <c r="FL1718" s="4"/>
      <c r="FM1718" s="4"/>
      <c r="FN1718" s="4"/>
      <c r="FO1718" s="4"/>
      <c r="FP1718" s="4"/>
      <c r="FQ1718" s="4"/>
      <c r="FR1718" s="4"/>
      <c r="FS1718" s="4"/>
      <c r="FT1718" s="4"/>
      <c r="FU1718" s="4"/>
      <c r="FV1718" s="4"/>
      <c r="FW1718" s="4"/>
      <c r="FX1718" s="4"/>
      <c r="FY1718" s="4"/>
      <c r="FZ1718" s="4"/>
      <c r="GA1718" s="4"/>
      <c r="GB1718" s="4"/>
      <c r="GC1718" s="4"/>
      <c r="GD1718" s="4"/>
      <c r="GE1718" s="4"/>
      <c r="GF1718" s="4"/>
      <c r="GG1718" s="4"/>
      <c r="GH1718" s="4"/>
    </row>
    <row r="1719">
      <c r="A1719" s="2" t="s">
        <v>8807</v>
      </c>
      <c r="B1719" s="2" t="s">
        <v>195</v>
      </c>
      <c r="C1719" s="2" t="s">
        <v>3204</v>
      </c>
      <c r="D1719" s="2" t="s">
        <v>1168</v>
      </c>
      <c r="E1719" s="2" t="s">
        <v>5047</v>
      </c>
      <c r="F1719" s="2" t="s">
        <v>8768</v>
      </c>
      <c r="G1719" s="2" t="s">
        <v>8768</v>
      </c>
      <c r="H1719" s="2" t="s">
        <v>8768</v>
      </c>
      <c r="I1719" s="2" t="s">
        <v>8769</v>
      </c>
      <c r="J1719" s="2" t="s">
        <v>256</v>
      </c>
      <c r="K1719" s="2" t="s">
        <v>8808</v>
      </c>
      <c r="L1719" s="3">
        <v>51.11</v>
      </c>
      <c r="M1719" s="3">
        <v>53.67</v>
      </c>
      <c r="N1719" s="3">
        <v>79.99</v>
      </c>
      <c r="O1719" s="2" t="s">
        <v>460</v>
      </c>
      <c r="P1719" s="2" t="s">
        <v>1258</v>
      </c>
      <c r="Q1719" s="2" t="s">
        <v>206</v>
      </c>
      <c r="R1719" s="2" t="s">
        <v>1259</v>
      </c>
      <c r="S1719" s="2" t="s">
        <v>200</v>
      </c>
      <c r="T1719" s="2" t="s">
        <v>200</v>
      </c>
      <c r="U1719" s="2" t="s">
        <v>270</v>
      </c>
      <c r="V1719" s="2" t="s">
        <v>208</v>
      </c>
      <c r="W1719" s="2" t="s">
        <v>200</v>
      </c>
      <c r="X1719" s="2" t="s">
        <v>200</v>
      </c>
      <c r="Y1719" s="2" t="s">
        <v>2330</v>
      </c>
      <c r="Z1719" s="4">
        <v>58</v>
      </c>
      <c r="AA1719" s="4">
        <f>=ROUNDDOWN(58,0)</f>
      </c>
      <c r="AB1719" s="5">
        <v>1</v>
      </c>
      <c r="AC1719" s="2" t="s">
        <v>200</v>
      </c>
      <c r="AD1719" s="4"/>
      <c r="AE1719" s="4"/>
      <c r="AF1719" s="6">
        <v>65</v>
      </c>
      <c r="AG1719" s="6"/>
      <c r="AH1719" s="7">
        <v>1</v>
      </c>
      <c r="AI1719" s="4"/>
      <c r="AJ1719" s="4">
        <f>=ROUNDDOWN({0},0)</f>
      </c>
      <c r="AK1719" s="5"/>
      <c r="AL1719" s="2" t="s">
        <v>200</v>
      </c>
      <c r="AM1719" s="4"/>
      <c r="AN1719" s="4"/>
      <c r="AO1719" s="7"/>
      <c r="AP1719" s="4"/>
      <c r="AQ1719" s="8"/>
      <c r="AR1719" s="4"/>
      <c r="AS1719" s="8"/>
      <c r="AT1719" s="7"/>
      <c r="AU1719" s="7"/>
      <c r="AV1719" s="4" t="s">
        <v>200</v>
      </c>
      <c r="AW1719" s="8" t="s">
        <v>200</v>
      </c>
      <c r="AX1719" s="4" t="s">
        <v>200</v>
      </c>
      <c r="AY1719" s="8" t="s">
        <v>200</v>
      </c>
      <c r="AZ1719" s="7" t="s">
        <v>200</v>
      </c>
      <c r="BA1719" s="7" t="s">
        <v>200</v>
      </c>
      <c r="BB1719" s="7"/>
      <c r="BC1719" s="4" t="s">
        <v>200</v>
      </c>
      <c r="BD1719" s="8" t="s">
        <v>200</v>
      </c>
      <c r="BE1719" s="4" t="s">
        <v>200</v>
      </c>
      <c r="BF1719" s="8" t="s">
        <v>200</v>
      </c>
      <c r="BG1719" s="7" t="s">
        <v>200</v>
      </c>
      <c r="BH1719" s="7" t="s">
        <v>200</v>
      </c>
      <c r="BI1719" s="7"/>
      <c r="BJ1719" s="4"/>
      <c r="BK1719" s="8"/>
      <c r="BL1719" s="2" t="s">
        <v>200</v>
      </c>
      <c r="BM1719" s="7"/>
      <c r="BN1719" s="7"/>
      <c r="BO1719" s="4"/>
      <c r="BP1719" s="8"/>
      <c r="BQ1719" s="4"/>
      <c r="BR1719" s="8"/>
      <c r="BS1719" s="7"/>
      <c r="BT1719" s="7"/>
      <c r="BU1719" s="2" t="s">
        <v>8809</v>
      </c>
      <c r="BV1719" s="2" t="s">
        <v>200</v>
      </c>
      <c r="BW1719" s="2" t="s">
        <v>200</v>
      </c>
      <c r="BX1719" s="2" t="s">
        <v>264</v>
      </c>
      <c r="BY1719" s="2" t="s">
        <v>247</v>
      </c>
      <c r="BZ1719" s="2" t="s">
        <v>212</v>
      </c>
      <c r="CA1719" s="2" t="s">
        <v>1263</v>
      </c>
      <c r="CB1719" s="2" t="s">
        <v>200</v>
      </c>
      <c r="CC1719" s="2" t="s">
        <v>213</v>
      </c>
      <c r="CD1719" s="2" t="s">
        <v>200</v>
      </c>
      <c r="CE1719" s="4">
        <v>58</v>
      </c>
      <c r="CF1719" s="4"/>
      <c r="CG1719" s="4"/>
      <c r="CH1719" s="4"/>
      <c r="CI1719" s="4"/>
      <c r="CJ1719" s="4"/>
      <c r="CK1719" s="4"/>
      <c r="CL1719" s="4"/>
      <c r="CM1719" s="4"/>
      <c r="CN1719" s="4"/>
      <c r="CO1719" s="4"/>
      <c r="CP1719" s="4"/>
      <c r="CQ1719" s="4"/>
      <c r="CR1719" s="4"/>
      <c r="CS1719" s="4"/>
      <c r="CT1719" s="4"/>
      <c r="CU1719" s="4"/>
      <c r="CV1719" s="4"/>
      <c r="CW1719" s="4"/>
      <c r="CX1719" s="4"/>
      <c r="CY1719" s="4"/>
      <c r="CZ1719" s="4"/>
      <c r="DA1719" s="4"/>
      <c r="DB1719" s="4"/>
      <c r="DC1719" s="4"/>
      <c r="DD1719" s="4"/>
      <c r="DE1719" s="4"/>
      <c r="DF1719" s="4"/>
      <c r="DG1719" s="4"/>
      <c r="DH1719" s="4"/>
      <c r="DI1719" s="4"/>
      <c r="DJ1719" s="4"/>
      <c r="DK1719" s="4"/>
      <c r="DL1719" s="4"/>
      <c r="DM1719" s="4"/>
      <c r="DN1719" s="4"/>
      <c r="DO1719" s="4"/>
      <c r="DP1719" s="4"/>
      <c r="DQ1719" s="4"/>
      <c r="DR1719" s="4"/>
      <c r="DS1719" s="4"/>
      <c r="DT1719" s="4"/>
      <c r="DU1719" s="4"/>
      <c r="DV1719" s="4"/>
      <c r="DW1719" s="4"/>
      <c r="DX1719" s="4"/>
      <c r="DY1719" s="4"/>
      <c r="DZ1719" s="4"/>
      <c r="EA1719" s="4"/>
      <c r="EB1719" s="4"/>
      <c r="EC1719" s="4"/>
      <c r="ED1719" s="4"/>
      <c r="EE1719" s="4"/>
      <c r="EF1719" s="4"/>
      <c r="EG1719" s="4"/>
      <c r="EH1719" s="4"/>
      <c r="EI1719" s="4"/>
      <c r="EJ1719" s="4"/>
      <c r="EK1719" s="4"/>
      <c r="EL1719" s="4"/>
      <c r="EM1719" s="4"/>
      <c r="EN1719" s="4"/>
      <c r="EO1719" s="4"/>
      <c r="EP1719" s="4"/>
      <c r="EQ1719" s="4"/>
      <c r="ER1719" s="4"/>
      <c r="ES1719" s="4"/>
      <c r="ET1719" s="4"/>
      <c r="EU1719" s="4"/>
      <c r="EV1719" s="4"/>
      <c r="EW1719" s="4"/>
      <c r="EX1719" s="4"/>
      <c r="EY1719" s="4"/>
      <c r="EZ1719" s="4"/>
      <c r="FA1719" s="4"/>
      <c r="FB1719" s="4"/>
      <c r="FC1719" s="4"/>
      <c r="FD1719" s="4"/>
      <c r="FE1719" s="4"/>
      <c r="FF1719" s="4"/>
      <c r="FG1719" s="4"/>
      <c r="FH1719" s="4"/>
      <c r="FI1719" s="4"/>
      <c r="FJ1719" s="4"/>
      <c r="FK1719" s="4"/>
      <c r="FL1719" s="4"/>
      <c r="FM1719" s="4"/>
      <c r="FN1719" s="4"/>
      <c r="FO1719" s="4"/>
      <c r="FP1719" s="4"/>
      <c r="FQ1719" s="4"/>
      <c r="FR1719" s="4"/>
      <c r="FS1719" s="4"/>
      <c r="FT1719" s="4"/>
      <c r="FU1719" s="4"/>
      <c r="FV1719" s="4"/>
      <c r="FW1719" s="4"/>
      <c r="FX1719" s="4"/>
      <c r="FY1719" s="4"/>
      <c r="FZ1719" s="4"/>
      <c r="GA1719" s="4"/>
      <c r="GB1719" s="4"/>
      <c r="GC1719" s="4"/>
      <c r="GD1719" s="4"/>
      <c r="GE1719" s="4"/>
      <c r="GF1719" s="4"/>
      <c r="GG1719" s="4"/>
      <c r="GH1719" s="4"/>
    </row>
    <row r="1720">
      <c r="A1720" s="2" t="s">
        <v>8810</v>
      </c>
      <c r="B1720" s="2" t="s">
        <v>195</v>
      </c>
      <c r="C1720" s="2" t="s">
        <v>3204</v>
      </c>
      <c r="D1720" s="2" t="s">
        <v>1168</v>
      </c>
      <c r="E1720" s="2" t="s">
        <v>5047</v>
      </c>
      <c r="F1720" s="2" t="s">
        <v>8768</v>
      </c>
      <c r="G1720" s="2" t="s">
        <v>8768</v>
      </c>
      <c r="H1720" s="2" t="s">
        <v>8768</v>
      </c>
      <c r="I1720" s="2" t="s">
        <v>8769</v>
      </c>
      <c r="J1720" s="2" t="s">
        <v>277</v>
      </c>
      <c r="K1720" s="2" t="s">
        <v>8808</v>
      </c>
      <c r="L1720" s="3">
        <v>57.5</v>
      </c>
      <c r="M1720" s="3">
        <v>60.38</v>
      </c>
      <c r="N1720" s="3">
        <v>89.99</v>
      </c>
      <c r="O1720" s="2" t="s">
        <v>460</v>
      </c>
      <c r="P1720" s="2" t="s">
        <v>1258</v>
      </c>
      <c r="Q1720" s="2" t="s">
        <v>206</v>
      </c>
      <c r="R1720" s="2" t="s">
        <v>1259</v>
      </c>
      <c r="S1720" s="2" t="s">
        <v>200</v>
      </c>
      <c r="T1720" s="2" t="s">
        <v>200</v>
      </c>
      <c r="U1720" s="2" t="s">
        <v>270</v>
      </c>
      <c r="V1720" s="2" t="s">
        <v>208</v>
      </c>
      <c r="W1720" s="2" t="s">
        <v>200</v>
      </c>
      <c r="X1720" s="2" t="s">
        <v>200</v>
      </c>
      <c r="Y1720" s="2" t="s">
        <v>2330</v>
      </c>
      <c r="Z1720" s="4">
        <v>55</v>
      </c>
      <c r="AA1720" s="4">
        <f>=ROUNDDOWN(110,0)</f>
      </c>
      <c r="AB1720" s="5">
        <v>0.5</v>
      </c>
      <c r="AC1720" s="2" t="s">
        <v>200</v>
      </c>
      <c r="AD1720" s="4"/>
      <c r="AE1720" s="4"/>
      <c r="AF1720" s="6">
        <v>65</v>
      </c>
      <c r="AG1720" s="6"/>
      <c r="AH1720" s="7">
        <v>1</v>
      </c>
      <c r="AI1720" s="4"/>
      <c r="AJ1720" s="4">
        <f>=ROUNDDOWN({0},0)</f>
      </c>
      <c r="AK1720" s="5"/>
      <c r="AL1720" s="2" t="s">
        <v>200</v>
      </c>
      <c r="AM1720" s="4"/>
      <c r="AN1720" s="4"/>
      <c r="AO1720" s="7"/>
      <c r="AP1720" s="4"/>
      <c r="AQ1720" s="8"/>
      <c r="AR1720" s="4"/>
      <c r="AS1720" s="8"/>
      <c r="AT1720" s="7"/>
      <c r="AU1720" s="7"/>
      <c r="AV1720" s="4" t="s">
        <v>200</v>
      </c>
      <c r="AW1720" s="8" t="s">
        <v>200</v>
      </c>
      <c r="AX1720" s="4" t="s">
        <v>200</v>
      </c>
      <c r="AY1720" s="8" t="s">
        <v>200</v>
      </c>
      <c r="AZ1720" s="7" t="s">
        <v>200</v>
      </c>
      <c r="BA1720" s="7" t="s">
        <v>200</v>
      </c>
      <c r="BB1720" s="7"/>
      <c r="BC1720" s="4" t="s">
        <v>200</v>
      </c>
      <c r="BD1720" s="8" t="s">
        <v>200</v>
      </c>
      <c r="BE1720" s="4" t="s">
        <v>200</v>
      </c>
      <c r="BF1720" s="8" t="s">
        <v>200</v>
      </c>
      <c r="BG1720" s="7" t="s">
        <v>200</v>
      </c>
      <c r="BH1720" s="7" t="s">
        <v>200</v>
      </c>
      <c r="BI1720" s="7"/>
      <c r="BJ1720" s="4"/>
      <c r="BK1720" s="8"/>
      <c r="BL1720" s="2" t="s">
        <v>200</v>
      </c>
      <c r="BM1720" s="7"/>
      <c r="BN1720" s="7"/>
      <c r="BO1720" s="4"/>
      <c r="BP1720" s="8"/>
      <c r="BQ1720" s="4"/>
      <c r="BR1720" s="8"/>
      <c r="BS1720" s="7"/>
      <c r="BT1720" s="7"/>
      <c r="BU1720" s="2" t="s">
        <v>8811</v>
      </c>
      <c r="BV1720" s="2" t="s">
        <v>200</v>
      </c>
      <c r="BW1720" s="2" t="s">
        <v>200</v>
      </c>
      <c r="BX1720" s="2" t="s">
        <v>264</v>
      </c>
      <c r="BY1720" s="2" t="s">
        <v>247</v>
      </c>
      <c r="BZ1720" s="2" t="s">
        <v>212</v>
      </c>
      <c r="CA1720" s="2" t="s">
        <v>1263</v>
      </c>
      <c r="CB1720" s="2" t="s">
        <v>6057</v>
      </c>
      <c r="CC1720" s="2" t="s">
        <v>213</v>
      </c>
      <c r="CD1720" s="2" t="s">
        <v>200</v>
      </c>
      <c r="CE1720" s="4">
        <v>55</v>
      </c>
      <c r="CF1720" s="4"/>
      <c r="CG1720" s="4"/>
      <c r="CH1720" s="4"/>
      <c r="CI1720" s="4"/>
      <c r="CJ1720" s="4"/>
      <c r="CK1720" s="4"/>
      <c r="CL1720" s="4"/>
      <c r="CM1720" s="4"/>
      <c r="CN1720" s="4"/>
      <c r="CO1720" s="4"/>
      <c r="CP1720" s="4"/>
      <c r="CQ1720" s="4"/>
      <c r="CR1720" s="4"/>
      <c r="CS1720" s="4"/>
      <c r="CT1720" s="4"/>
      <c r="CU1720" s="4"/>
      <c r="CV1720" s="4"/>
      <c r="CW1720" s="4"/>
      <c r="CX1720" s="4"/>
      <c r="CY1720" s="4"/>
      <c r="CZ1720" s="4"/>
      <c r="DA1720" s="4"/>
      <c r="DB1720" s="4"/>
      <c r="DC1720" s="4"/>
      <c r="DD1720" s="4"/>
      <c r="DE1720" s="4"/>
      <c r="DF1720" s="4"/>
      <c r="DG1720" s="4"/>
      <c r="DH1720" s="4"/>
      <c r="DI1720" s="4"/>
      <c r="DJ1720" s="4"/>
      <c r="DK1720" s="4"/>
      <c r="DL1720" s="4"/>
      <c r="DM1720" s="4"/>
      <c r="DN1720" s="4"/>
      <c r="DO1720" s="4"/>
      <c r="DP1720" s="4"/>
      <c r="DQ1720" s="4"/>
      <c r="DR1720" s="4"/>
      <c r="DS1720" s="4"/>
      <c r="DT1720" s="4"/>
      <c r="DU1720" s="4"/>
      <c r="DV1720" s="4"/>
      <c r="DW1720" s="4"/>
      <c r="DX1720" s="4"/>
      <c r="DY1720" s="4"/>
      <c r="DZ1720" s="4"/>
      <c r="EA1720" s="4"/>
      <c r="EB1720" s="4"/>
      <c r="EC1720" s="4"/>
      <c r="ED1720" s="4"/>
      <c r="EE1720" s="4"/>
      <c r="EF1720" s="4"/>
      <c r="EG1720" s="4"/>
      <c r="EH1720" s="4"/>
      <c r="EI1720" s="4"/>
      <c r="EJ1720" s="4"/>
      <c r="EK1720" s="4"/>
      <c r="EL1720" s="4"/>
      <c r="EM1720" s="4"/>
      <c r="EN1720" s="4"/>
      <c r="EO1720" s="4"/>
      <c r="EP1720" s="4"/>
      <c r="EQ1720" s="4"/>
      <c r="ER1720" s="4"/>
      <c r="ES1720" s="4"/>
      <c r="ET1720" s="4"/>
      <c r="EU1720" s="4"/>
      <c r="EV1720" s="4"/>
      <c r="EW1720" s="4"/>
      <c r="EX1720" s="4"/>
      <c r="EY1720" s="4"/>
      <c r="EZ1720" s="4"/>
      <c r="FA1720" s="4"/>
      <c r="FB1720" s="4"/>
      <c r="FC1720" s="4"/>
      <c r="FD1720" s="4"/>
      <c r="FE1720" s="4"/>
      <c r="FF1720" s="4"/>
      <c r="FG1720" s="4"/>
      <c r="FH1720" s="4"/>
      <c r="FI1720" s="4"/>
      <c r="FJ1720" s="4"/>
      <c r="FK1720" s="4"/>
      <c r="FL1720" s="4"/>
      <c r="FM1720" s="4"/>
      <c r="FN1720" s="4"/>
      <c r="FO1720" s="4"/>
      <c r="FP1720" s="4"/>
      <c r="FQ1720" s="4"/>
      <c r="FR1720" s="4"/>
      <c r="FS1720" s="4"/>
      <c r="FT1720" s="4"/>
      <c r="FU1720" s="4"/>
      <c r="FV1720" s="4"/>
      <c r="FW1720" s="4"/>
      <c r="FX1720" s="4"/>
      <c r="FY1720" s="4"/>
      <c r="FZ1720" s="4"/>
      <c r="GA1720" s="4"/>
      <c r="GB1720" s="4"/>
      <c r="GC1720" s="4"/>
      <c r="GD1720" s="4"/>
      <c r="GE1720" s="4"/>
      <c r="GF1720" s="4"/>
      <c r="GG1720" s="4"/>
      <c r="GH1720" s="4"/>
    </row>
    <row r="1721">
      <c r="A1721" s="2" t="s">
        <v>8812</v>
      </c>
      <c r="B1721" s="2" t="s">
        <v>945</v>
      </c>
      <c r="C1721" s="2" t="s">
        <v>946</v>
      </c>
      <c r="D1721" s="2" t="s">
        <v>947</v>
      </c>
      <c r="E1721" s="2" t="s">
        <v>948</v>
      </c>
      <c r="F1721" s="2" t="s">
        <v>8813</v>
      </c>
      <c r="G1721" s="2" t="s">
        <v>8813</v>
      </c>
      <c r="H1721" s="2" t="s">
        <v>8813</v>
      </c>
      <c r="I1721" s="2" t="s">
        <v>8814</v>
      </c>
      <c r="J1721" s="2" t="s">
        <v>2128</v>
      </c>
      <c r="K1721" s="2" t="s">
        <v>8815</v>
      </c>
      <c r="L1721" s="3">
        <v>9.27</v>
      </c>
      <c r="M1721" s="3">
        <v>9.73</v>
      </c>
      <c r="N1721" s="3">
        <v>19.99</v>
      </c>
      <c r="O1721" s="2" t="s">
        <v>212</v>
      </c>
      <c r="P1721" s="2" t="s">
        <v>1075</v>
      </c>
      <c r="Q1721" s="2" t="s">
        <v>206</v>
      </c>
      <c r="R1721" s="2" t="s">
        <v>200</v>
      </c>
      <c r="S1721" s="2" t="s">
        <v>200</v>
      </c>
      <c r="T1721" s="2" t="s">
        <v>200</v>
      </c>
      <c r="U1721" s="2" t="s">
        <v>270</v>
      </c>
      <c r="V1721" s="2" t="s">
        <v>616</v>
      </c>
      <c r="W1721" s="2" t="s">
        <v>241</v>
      </c>
      <c r="X1721" s="2" t="s">
        <v>200</v>
      </c>
      <c r="Y1721" s="2" t="s">
        <v>2400</v>
      </c>
      <c r="Z1721" s="4">
        <v>7</v>
      </c>
      <c r="AA1721" s="4">
        <f>=ROUNDDOWN(0.212121212121212,0)</f>
      </c>
      <c r="AB1721" s="5">
        <v>33</v>
      </c>
      <c r="AC1721" s="2" t="s">
        <v>115</v>
      </c>
      <c r="AD1721" s="4">
        <v>90</v>
      </c>
      <c r="AE1721" s="4">
        <v>1030</v>
      </c>
      <c r="AF1721" s="6">
        <v>65</v>
      </c>
      <c r="AG1721" s="6"/>
      <c r="AH1721" s="7">
        <v>0.4</v>
      </c>
      <c r="AI1721" s="4"/>
      <c r="AJ1721" s="4">
        <f>=ROUNDDOWN({0},0)</f>
      </c>
      <c r="AK1721" s="5"/>
      <c r="AL1721" s="2" t="s">
        <v>200</v>
      </c>
      <c r="AM1721" s="4"/>
      <c r="AN1721" s="4"/>
      <c r="AO1721" s="7"/>
      <c r="AP1721" s="4"/>
      <c r="AQ1721" s="8"/>
      <c r="AR1721" s="4"/>
      <c r="AS1721" s="8"/>
      <c r="AT1721" s="7"/>
      <c r="AU1721" s="7"/>
      <c r="AV1721" s="4" t="s">
        <v>200</v>
      </c>
      <c r="AW1721" s="8" t="s">
        <v>200</v>
      </c>
      <c r="AX1721" s="4" t="s">
        <v>200</v>
      </c>
      <c r="AY1721" s="8" t="s">
        <v>200</v>
      </c>
      <c r="AZ1721" s="7" t="s">
        <v>200</v>
      </c>
      <c r="BA1721" s="7" t="s">
        <v>200</v>
      </c>
      <c r="BB1721" s="7"/>
      <c r="BC1721" s="4" t="s">
        <v>200</v>
      </c>
      <c r="BD1721" s="8" t="s">
        <v>200</v>
      </c>
      <c r="BE1721" s="4" t="s">
        <v>200</v>
      </c>
      <c r="BF1721" s="8" t="s">
        <v>200</v>
      </c>
      <c r="BG1721" s="7" t="s">
        <v>200</v>
      </c>
      <c r="BH1721" s="7" t="s">
        <v>200</v>
      </c>
      <c r="BI1721" s="7"/>
      <c r="BJ1721" s="4">
        <v>144</v>
      </c>
      <c r="BK1721" s="8">
        <v>1535.04</v>
      </c>
      <c r="BL1721" s="2" t="s">
        <v>7017</v>
      </c>
      <c r="BM1721" s="7"/>
      <c r="BN1721" s="7"/>
      <c r="BO1721" s="4"/>
      <c r="BP1721" s="8"/>
      <c r="BQ1721" s="4"/>
      <c r="BR1721" s="8"/>
      <c r="BS1721" s="7"/>
      <c r="BT1721" s="7"/>
      <c r="BU1721" s="2" t="s">
        <v>8816</v>
      </c>
      <c r="BV1721" s="2" t="s">
        <v>200</v>
      </c>
      <c r="BW1721" s="2" t="s">
        <v>200</v>
      </c>
      <c r="BX1721" s="2" t="s">
        <v>264</v>
      </c>
      <c r="BY1721" s="2" t="s">
        <v>247</v>
      </c>
      <c r="BZ1721" s="2" t="s">
        <v>212</v>
      </c>
      <c r="CA1721" s="2" t="s">
        <v>5207</v>
      </c>
      <c r="CB1721" s="2" t="s">
        <v>200</v>
      </c>
      <c r="CC1721" s="2" t="s">
        <v>213</v>
      </c>
      <c r="CD1721" s="2" t="s">
        <v>200</v>
      </c>
      <c r="CE1721" s="4">
        <v>2</v>
      </c>
      <c r="CF1721" s="4">
        <v>3</v>
      </c>
      <c r="CG1721" s="4"/>
      <c r="CH1721" s="4">
        <v>2</v>
      </c>
      <c r="CI1721" s="4"/>
      <c r="CJ1721" s="4"/>
      <c r="CK1721" s="4"/>
      <c r="CL1721" s="4"/>
      <c r="CM1721" s="4"/>
      <c r="CN1721" s="4"/>
      <c r="CO1721" s="4"/>
      <c r="CP1721" s="4"/>
      <c r="CQ1721" s="4"/>
      <c r="CR1721" s="4"/>
      <c r="CS1721" s="4"/>
      <c r="CT1721" s="4"/>
      <c r="CU1721" s="4"/>
      <c r="CV1721" s="4"/>
      <c r="CW1721" s="4"/>
      <c r="CX1721" s="4"/>
      <c r="CY1721" s="4"/>
      <c r="CZ1721" s="4"/>
      <c r="DA1721" s="4"/>
      <c r="DB1721" s="4">
        <v>90</v>
      </c>
      <c r="DC1721" s="4"/>
      <c r="DD1721" s="4"/>
      <c r="DE1721" s="4"/>
      <c r="DF1721" s="4"/>
      <c r="DG1721" s="4"/>
      <c r="DH1721" s="4"/>
      <c r="DI1721" s="4"/>
      <c r="DJ1721" s="4"/>
      <c r="DK1721" s="4"/>
      <c r="DL1721" s="4"/>
      <c r="DM1721" s="4"/>
      <c r="DN1721" s="4"/>
      <c r="DO1721" s="4"/>
      <c r="DP1721" s="4"/>
      <c r="DQ1721" s="4"/>
      <c r="DR1721" s="4"/>
      <c r="DS1721" s="4"/>
      <c r="DT1721" s="4"/>
      <c r="DU1721" s="4"/>
      <c r="DV1721" s="4"/>
      <c r="DW1721" s="4">
        <v>180</v>
      </c>
      <c r="DX1721" s="4"/>
      <c r="DY1721" s="4"/>
      <c r="DZ1721" s="4"/>
      <c r="EA1721" s="4"/>
      <c r="EB1721" s="4"/>
      <c r="EC1721" s="4"/>
      <c r="ED1721" s="4"/>
      <c r="EE1721" s="4"/>
      <c r="EF1721" s="4"/>
      <c r="EG1721" s="4"/>
      <c r="EH1721" s="4"/>
      <c r="EI1721" s="4"/>
      <c r="EJ1721" s="4"/>
      <c r="EK1721" s="4"/>
      <c r="EL1721" s="4"/>
      <c r="EM1721" s="4"/>
      <c r="EN1721" s="4"/>
      <c r="EO1721" s="4"/>
      <c r="EP1721" s="4"/>
      <c r="EQ1721" s="4"/>
      <c r="ER1721" s="4"/>
      <c r="ES1721" s="4"/>
      <c r="ET1721" s="4"/>
      <c r="EU1721" s="4"/>
      <c r="EV1721" s="4"/>
      <c r="EW1721" s="4">
        <v>300</v>
      </c>
      <c r="EX1721" s="4"/>
      <c r="EY1721" s="4"/>
      <c r="EZ1721" s="4"/>
      <c r="FA1721" s="4"/>
      <c r="FB1721" s="4"/>
      <c r="FC1721" s="4"/>
      <c r="FD1721" s="4"/>
      <c r="FE1721" s="4"/>
      <c r="FF1721" s="4"/>
      <c r="FG1721" s="4"/>
      <c r="FH1721" s="4"/>
      <c r="FI1721" s="4"/>
      <c r="FJ1721" s="4"/>
      <c r="FK1721" s="4"/>
      <c r="FL1721" s="4"/>
      <c r="FM1721" s="4">
        <v>300</v>
      </c>
      <c r="FN1721" s="4"/>
      <c r="FO1721" s="4"/>
      <c r="FP1721" s="4"/>
      <c r="FQ1721" s="4"/>
      <c r="FR1721" s="4"/>
      <c r="FS1721" s="4"/>
      <c r="FT1721" s="4"/>
      <c r="FU1721" s="4"/>
      <c r="FV1721" s="4"/>
      <c r="FW1721" s="4">
        <v>160</v>
      </c>
      <c r="FX1721" s="4"/>
      <c r="FY1721" s="4"/>
      <c r="FZ1721" s="4"/>
      <c r="GA1721" s="4"/>
      <c r="GB1721" s="4"/>
      <c r="GC1721" s="4"/>
      <c r="GD1721" s="4"/>
      <c r="GE1721" s="4"/>
      <c r="GF1721" s="4"/>
      <c r="GG1721" s="4"/>
      <c r="GH1721" s="4"/>
    </row>
    <row r="1722">
      <c r="A1722" s="2" t="s">
        <v>8817</v>
      </c>
      <c r="B1722" s="2" t="s">
        <v>945</v>
      </c>
      <c r="C1722" s="2" t="s">
        <v>946</v>
      </c>
      <c r="D1722" s="2" t="s">
        <v>947</v>
      </c>
      <c r="E1722" s="2" t="s">
        <v>948</v>
      </c>
      <c r="F1722" s="2" t="s">
        <v>8813</v>
      </c>
      <c r="G1722" s="2" t="s">
        <v>8813</v>
      </c>
      <c r="H1722" s="2" t="s">
        <v>8813</v>
      </c>
      <c r="I1722" s="2" t="s">
        <v>8814</v>
      </c>
      <c r="J1722" s="2" t="s">
        <v>951</v>
      </c>
      <c r="K1722" s="2" t="s">
        <v>8815</v>
      </c>
      <c r="L1722" s="3">
        <v>11.12</v>
      </c>
      <c r="M1722" s="3">
        <v>11.68</v>
      </c>
      <c r="N1722" s="3">
        <v>25.99</v>
      </c>
      <c r="O1722" s="2" t="s">
        <v>212</v>
      </c>
      <c r="P1722" s="2" t="s">
        <v>1075</v>
      </c>
      <c r="Q1722" s="2" t="s">
        <v>206</v>
      </c>
      <c r="R1722" s="2" t="s">
        <v>200</v>
      </c>
      <c r="S1722" s="2" t="s">
        <v>200</v>
      </c>
      <c r="T1722" s="2" t="s">
        <v>200</v>
      </c>
      <c r="U1722" s="2" t="s">
        <v>270</v>
      </c>
      <c r="V1722" s="2" t="s">
        <v>616</v>
      </c>
      <c r="W1722" s="2" t="s">
        <v>241</v>
      </c>
      <c r="X1722" s="2" t="s">
        <v>200</v>
      </c>
      <c r="Y1722" s="2" t="s">
        <v>2400</v>
      </c>
      <c r="Z1722" s="4">
        <v>4</v>
      </c>
      <c r="AA1722" s="4">
        <f>=ROUNDDOWN(0.111111111111111,0)</f>
      </c>
      <c r="AB1722" s="5">
        <v>36</v>
      </c>
      <c r="AC1722" s="2" t="s">
        <v>115</v>
      </c>
      <c r="AD1722" s="4">
        <v>270</v>
      </c>
      <c r="AE1722" s="4">
        <v>1218</v>
      </c>
      <c r="AF1722" s="6">
        <v>65</v>
      </c>
      <c r="AG1722" s="6"/>
      <c r="AH1722" s="7">
        <v>1</v>
      </c>
      <c r="AI1722" s="4"/>
      <c r="AJ1722" s="4">
        <f>=ROUNDDOWN({0},0)</f>
      </c>
      <c r="AK1722" s="5"/>
      <c r="AL1722" s="2" t="s">
        <v>200</v>
      </c>
      <c r="AM1722" s="4"/>
      <c r="AN1722" s="4"/>
      <c r="AO1722" s="7"/>
      <c r="AP1722" s="4"/>
      <c r="AQ1722" s="8"/>
      <c r="AR1722" s="4"/>
      <c r="AS1722" s="8"/>
      <c r="AT1722" s="7"/>
      <c r="AU1722" s="7"/>
      <c r="AV1722" s="4" t="s">
        <v>200</v>
      </c>
      <c r="AW1722" s="8" t="s">
        <v>200</v>
      </c>
      <c r="AX1722" s="4" t="s">
        <v>200</v>
      </c>
      <c r="AY1722" s="8" t="s">
        <v>200</v>
      </c>
      <c r="AZ1722" s="7" t="s">
        <v>200</v>
      </c>
      <c r="BA1722" s="7" t="s">
        <v>200</v>
      </c>
      <c r="BB1722" s="7"/>
      <c r="BC1722" s="4" t="s">
        <v>200</v>
      </c>
      <c r="BD1722" s="8" t="s">
        <v>200</v>
      </c>
      <c r="BE1722" s="4" t="s">
        <v>200</v>
      </c>
      <c r="BF1722" s="8" t="s">
        <v>200</v>
      </c>
      <c r="BG1722" s="7" t="s">
        <v>200</v>
      </c>
      <c r="BH1722" s="7" t="s">
        <v>200</v>
      </c>
      <c r="BI1722" s="7"/>
      <c r="BJ1722" s="4">
        <v>306</v>
      </c>
      <c r="BK1722" s="8">
        <v>3910.68</v>
      </c>
      <c r="BL1722" s="2" t="s">
        <v>7017</v>
      </c>
      <c r="BM1722" s="7"/>
      <c r="BN1722" s="7"/>
      <c r="BO1722" s="4"/>
      <c r="BP1722" s="8"/>
      <c r="BQ1722" s="4"/>
      <c r="BR1722" s="8"/>
      <c r="BS1722" s="7"/>
      <c r="BT1722" s="7"/>
      <c r="BU1722" s="2" t="s">
        <v>8818</v>
      </c>
      <c r="BV1722" s="2" t="s">
        <v>200</v>
      </c>
      <c r="BW1722" s="2" t="s">
        <v>200</v>
      </c>
      <c r="BX1722" s="2" t="s">
        <v>264</v>
      </c>
      <c r="BY1722" s="2" t="s">
        <v>247</v>
      </c>
      <c r="BZ1722" s="2" t="s">
        <v>212</v>
      </c>
      <c r="CA1722" s="2" t="s">
        <v>5207</v>
      </c>
      <c r="CB1722" s="2" t="s">
        <v>200</v>
      </c>
      <c r="CC1722" s="2" t="s">
        <v>213</v>
      </c>
      <c r="CD1722" s="2" t="s">
        <v>200</v>
      </c>
      <c r="CE1722" s="4">
        <v>2</v>
      </c>
      <c r="CF1722" s="4">
        <v>1</v>
      </c>
      <c r="CG1722" s="4"/>
      <c r="CH1722" s="4">
        <v>1</v>
      </c>
      <c r="CI1722" s="4"/>
      <c r="CJ1722" s="4"/>
      <c r="CK1722" s="4"/>
      <c r="CL1722" s="4"/>
      <c r="CM1722" s="4"/>
      <c r="CN1722" s="4"/>
      <c r="CO1722" s="4"/>
      <c r="CP1722" s="4"/>
      <c r="CQ1722" s="4"/>
      <c r="CR1722" s="4"/>
      <c r="CS1722" s="4"/>
      <c r="CT1722" s="4"/>
      <c r="CU1722" s="4"/>
      <c r="CV1722" s="4"/>
      <c r="CW1722" s="4"/>
      <c r="CX1722" s="4"/>
      <c r="CY1722" s="4"/>
      <c r="CZ1722" s="4"/>
      <c r="DA1722" s="4"/>
      <c r="DB1722" s="4">
        <v>270</v>
      </c>
      <c r="DC1722" s="4"/>
      <c r="DD1722" s="4"/>
      <c r="DE1722" s="4"/>
      <c r="DF1722" s="4"/>
      <c r="DG1722" s="4"/>
      <c r="DH1722" s="4"/>
      <c r="DI1722" s="4"/>
      <c r="DJ1722" s="4"/>
      <c r="DK1722" s="4"/>
      <c r="DL1722" s="4"/>
      <c r="DM1722" s="4"/>
      <c r="DN1722" s="4"/>
      <c r="DO1722" s="4"/>
      <c r="DP1722" s="4"/>
      <c r="DQ1722" s="4"/>
      <c r="DR1722" s="4"/>
      <c r="DS1722" s="4"/>
      <c r="DT1722" s="4"/>
      <c r="DU1722" s="4"/>
      <c r="DV1722" s="4"/>
      <c r="DW1722" s="4">
        <v>270</v>
      </c>
      <c r="DX1722" s="4"/>
      <c r="DY1722" s="4"/>
      <c r="DZ1722" s="4"/>
      <c r="EA1722" s="4"/>
      <c r="EB1722" s="4"/>
      <c r="EC1722" s="4"/>
      <c r="ED1722" s="4"/>
      <c r="EE1722" s="4"/>
      <c r="EF1722" s="4"/>
      <c r="EG1722" s="4"/>
      <c r="EH1722" s="4"/>
      <c r="EI1722" s="4"/>
      <c r="EJ1722" s="4"/>
      <c r="EK1722" s="4"/>
      <c r="EL1722" s="4"/>
      <c r="EM1722" s="4"/>
      <c r="EN1722" s="4"/>
      <c r="EO1722" s="4"/>
      <c r="EP1722" s="4"/>
      <c r="EQ1722" s="4"/>
      <c r="ER1722" s="4"/>
      <c r="ES1722" s="4"/>
      <c r="ET1722" s="4"/>
      <c r="EU1722" s="4"/>
      <c r="EV1722" s="4"/>
      <c r="EW1722" s="4">
        <v>198</v>
      </c>
      <c r="EX1722" s="4"/>
      <c r="EY1722" s="4"/>
      <c r="EZ1722" s="4"/>
      <c r="FA1722" s="4"/>
      <c r="FB1722" s="4"/>
      <c r="FC1722" s="4"/>
      <c r="FD1722" s="4"/>
      <c r="FE1722" s="4"/>
      <c r="FF1722" s="4"/>
      <c r="FG1722" s="4"/>
      <c r="FH1722" s="4"/>
      <c r="FI1722" s="4"/>
      <c r="FJ1722" s="4"/>
      <c r="FK1722" s="4"/>
      <c r="FL1722" s="4"/>
      <c r="FM1722" s="4">
        <v>300</v>
      </c>
      <c r="FN1722" s="4"/>
      <c r="FO1722" s="4"/>
      <c r="FP1722" s="4"/>
      <c r="FQ1722" s="4"/>
      <c r="FR1722" s="4"/>
      <c r="FS1722" s="4"/>
      <c r="FT1722" s="4"/>
      <c r="FU1722" s="4"/>
      <c r="FV1722" s="4"/>
      <c r="FW1722" s="4">
        <v>180</v>
      </c>
      <c r="FX1722" s="4"/>
      <c r="FY1722" s="4"/>
      <c r="FZ1722" s="4"/>
      <c r="GA1722" s="4"/>
      <c r="GB1722" s="4"/>
      <c r="GC1722" s="4"/>
      <c r="GD1722" s="4"/>
      <c r="GE1722" s="4"/>
      <c r="GF1722" s="4"/>
      <c r="GG1722" s="4"/>
      <c r="GH1722" s="4"/>
    </row>
    <row r="1723">
      <c r="A1723" s="2" t="s">
        <v>8819</v>
      </c>
      <c r="B1723" s="2" t="s">
        <v>945</v>
      </c>
      <c r="C1723" s="2" t="s">
        <v>946</v>
      </c>
      <c r="D1723" s="2" t="s">
        <v>947</v>
      </c>
      <c r="E1723" s="2" t="s">
        <v>948</v>
      </c>
      <c r="F1723" s="2" t="s">
        <v>8813</v>
      </c>
      <c r="G1723" s="2" t="s">
        <v>8813</v>
      </c>
      <c r="H1723" s="2" t="s">
        <v>8813</v>
      </c>
      <c r="I1723" s="2" t="s">
        <v>8814</v>
      </c>
      <c r="J1723" s="2" t="s">
        <v>2136</v>
      </c>
      <c r="K1723" s="2" t="s">
        <v>8815</v>
      </c>
      <c r="L1723" s="3">
        <v>14.04</v>
      </c>
      <c r="M1723" s="3">
        <v>14.74</v>
      </c>
      <c r="N1723" s="3">
        <v>29.99</v>
      </c>
      <c r="O1723" s="2" t="s">
        <v>212</v>
      </c>
      <c r="P1723" s="2" t="s">
        <v>1075</v>
      </c>
      <c r="Q1723" s="2" t="s">
        <v>206</v>
      </c>
      <c r="R1723" s="2" t="s">
        <v>200</v>
      </c>
      <c r="S1723" s="2" t="s">
        <v>200</v>
      </c>
      <c r="T1723" s="2" t="s">
        <v>200</v>
      </c>
      <c r="U1723" s="2" t="s">
        <v>270</v>
      </c>
      <c r="V1723" s="2" t="s">
        <v>616</v>
      </c>
      <c r="W1723" s="2" t="s">
        <v>241</v>
      </c>
      <c r="X1723" s="2" t="s">
        <v>200</v>
      </c>
      <c r="Y1723" s="2" t="s">
        <v>2400</v>
      </c>
      <c r="Z1723" s="4">
        <v>6</v>
      </c>
      <c r="AA1723" s="4">
        <f>=ROUNDDOWN(0.171428571428571,0)</f>
      </c>
      <c r="AB1723" s="5">
        <v>35</v>
      </c>
      <c r="AC1723" s="2" t="s">
        <v>369</v>
      </c>
      <c r="AD1723" s="4">
        <v>540</v>
      </c>
      <c r="AE1723" s="4">
        <v>1230</v>
      </c>
      <c r="AF1723" s="6">
        <v>65</v>
      </c>
      <c r="AG1723" s="6"/>
      <c r="AH1723" s="7">
        <v>0.8</v>
      </c>
      <c r="AI1723" s="4"/>
      <c r="AJ1723" s="4">
        <f>=ROUNDDOWN({0},0)</f>
      </c>
      <c r="AK1723" s="5"/>
      <c r="AL1723" s="2" t="s">
        <v>200</v>
      </c>
      <c r="AM1723" s="4"/>
      <c r="AN1723" s="4"/>
      <c r="AO1723" s="7"/>
      <c r="AP1723" s="4"/>
      <c r="AQ1723" s="8"/>
      <c r="AR1723" s="4"/>
      <c r="AS1723" s="8"/>
      <c r="AT1723" s="7"/>
      <c r="AU1723" s="7"/>
      <c r="AV1723" s="4" t="s">
        <v>200</v>
      </c>
      <c r="AW1723" s="8" t="s">
        <v>200</v>
      </c>
      <c r="AX1723" s="4" t="s">
        <v>200</v>
      </c>
      <c r="AY1723" s="8" t="s">
        <v>200</v>
      </c>
      <c r="AZ1723" s="7" t="s">
        <v>200</v>
      </c>
      <c r="BA1723" s="7" t="s">
        <v>200</v>
      </c>
      <c r="BB1723" s="7"/>
      <c r="BC1723" s="4" t="s">
        <v>200</v>
      </c>
      <c r="BD1723" s="8" t="s">
        <v>200</v>
      </c>
      <c r="BE1723" s="4" t="s">
        <v>200</v>
      </c>
      <c r="BF1723" s="8" t="s">
        <v>200</v>
      </c>
      <c r="BG1723" s="7" t="s">
        <v>200</v>
      </c>
      <c r="BH1723" s="7" t="s">
        <v>200</v>
      </c>
      <c r="BI1723" s="7"/>
      <c r="BJ1723" s="4">
        <v>234</v>
      </c>
      <c r="BK1723" s="8">
        <v>3779.1</v>
      </c>
      <c r="BL1723" s="2" t="s">
        <v>7017</v>
      </c>
      <c r="BM1723" s="7"/>
      <c r="BN1723" s="7"/>
      <c r="BO1723" s="4"/>
      <c r="BP1723" s="8"/>
      <c r="BQ1723" s="4"/>
      <c r="BR1723" s="8"/>
      <c r="BS1723" s="7"/>
      <c r="BT1723" s="7"/>
      <c r="BU1723" s="2" t="s">
        <v>8820</v>
      </c>
      <c r="BV1723" s="2" t="s">
        <v>200</v>
      </c>
      <c r="BW1723" s="2" t="s">
        <v>200</v>
      </c>
      <c r="BX1723" s="2" t="s">
        <v>264</v>
      </c>
      <c r="BY1723" s="2" t="s">
        <v>247</v>
      </c>
      <c r="BZ1723" s="2" t="s">
        <v>212</v>
      </c>
      <c r="CA1723" s="2" t="s">
        <v>5207</v>
      </c>
      <c r="CB1723" s="2" t="s">
        <v>200</v>
      </c>
      <c r="CC1723" s="2" t="s">
        <v>213</v>
      </c>
      <c r="CD1723" s="2" t="s">
        <v>200</v>
      </c>
      <c r="CE1723" s="4">
        <v>3</v>
      </c>
      <c r="CF1723" s="4"/>
      <c r="CG1723" s="4"/>
      <c r="CH1723" s="4">
        <v>3</v>
      </c>
      <c r="CI1723" s="4"/>
      <c r="CJ1723" s="4"/>
      <c r="CK1723" s="4"/>
      <c r="CL1723" s="4"/>
      <c r="CM1723" s="4"/>
      <c r="CN1723" s="4"/>
      <c r="CO1723" s="4"/>
      <c r="CP1723" s="4"/>
      <c r="CQ1723" s="4"/>
      <c r="CR1723" s="4"/>
      <c r="CS1723" s="4"/>
      <c r="CT1723" s="4"/>
      <c r="CU1723" s="4"/>
      <c r="CV1723" s="4"/>
      <c r="CW1723" s="4"/>
      <c r="CX1723" s="4"/>
      <c r="CY1723" s="4"/>
      <c r="CZ1723" s="4"/>
      <c r="DA1723" s="4"/>
      <c r="DB1723" s="4"/>
      <c r="DC1723" s="4"/>
      <c r="DD1723" s="4"/>
      <c r="DE1723" s="4"/>
      <c r="DF1723" s="4"/>
      <c r="DG1723" s="4"/>
      <c r="DH1723" s="4"/>
      <c r="DI1723" s="4"/>
      <c r="DJ1723" s="4"/>
      <c r="DK1723" s="4"/>
      <c r="DL1723" s="4"/>
      <c r="DM1723" s="4"/>
      <c r="DN1723" s="4"/>
      <c r="DO1723" s="4"/>
      <c r="DP1723" s="4"/>
      <c r="DQ1723" s="4"/>
      <c r="DR1723" s="4"/>
      <c r="DS1723" s="4"/>
      <c r="DT1723" s="4"/>
      <c r="DU1723" s="4"/>
      <c r="DV1723" s="4"/>
      <c r="DW1723" s="4"/>
      <c r="DX1723" s="4"/>
      <c r="DY1723" s="4"/>
      <c r="DZ1723" s="4"/>
      <c r="EA1723" s="4"/>
      <c r="EB1723" s="4"/>
      <c r="EC1723" s="4"/>
      <c r="ED1723" s="4"/>
      <c r="EE1723" s="4"/>
      <c r="EF1723" s="4"/>
      <c r="EG1723" s="4"/>
      <c r="EH1723" s="4"/>
      <c r="EI1723" s="4"/>
      <c r="EJ1723" s="4"/>
      <c r="EK1723" s="4"/>
      <c r="EL1723" s="4"/>
      <c r="EM1723" s="4"/>
      <c r="EN1723" s="4"/>
      <c r="EO1723" s="4"/>
      <c r="EP1723" s="4"/>
      <c r="EQ1723" s="4"/>
      <c r="ER1723" s="4"/>
      <c r="ES1723" s="4"/>
      <c r="ET1723" s="4"/>
      <c r="EU1723" s="4"/>
      <c r="EV1723" s="4"/>
      <c r="EW1723" s="4">
        <v>540</v>
      </c>
      <c r="EX1723" s="4"/>
      <c r="EY1723" s="4"/>
      <c r="EZ1723" s="4"/>
      <c r="FA1723" s="4"/>
      <c r="FB1723" s="4"/>
      <c r="FC1723" s="4"/>
      <c r="FD1723" s="4"/>
      <c r="FE1723" s="4"/>
      <c r="FF1723" s="4"/>
      <c r="FG1723" s="4"/>
      <c r="FH1723" s="4"/>
      <c r="FI1723" s="4"/>
      <c r="FJ1723" s="4"/>
      <c r="FK1723" s="4"/>
      <c r="FL1723" s="4"/>
      <c r="FM1723" s="4">
        <v>540</v>
      </c>
      <c r="FN1723" s="4"/>
      <c r="FO1723" s="4"/>
      <c r="FP1723" s="4"/>
      <c r="FQ1723" s="4"/>
      <c r="FR1723" s="4"/>
      <c r="FS1723" s="4"/>
      <c r="FT1723" s="4"/>
      <c r="FU1723" s="4"/>
      <c r="FV1723" s="4"/>
      <c r="FW1723" s="4">
        <v>150</v>
      </c>
      <c r="FX1723" s="4"/>
      <c r="FY1723" s="4"/>
      <c r="FZ1723" s="4"/>
      <c r="GA1723" s="4"/>
      <c r="GB1723" s="4"/>
      <c r="GC1723" s="4"/>
      <c r="GD1723" s="4"/>
      <c r="GE1723" s="4"/>
      <c r="GF1723" s="4"/>
      <c r="GG1723" s="4"/>
      <c r="GH1723" s="4"/>
    </row>
    <row r="1724">
      <c r="A1724" s="2" t="s">
        <v>8821</v>
      </c>
      <c r="B1724" s="2" t="s">
        <v>945</v>
      </c>
      <c r="C1724" s="2" t="s">
        <v>946</v>
      </c>
      <c r="D1724" s="2" t="s">
        <v>947</v>
      </c>
      <c r="E1724" s="2" t="s">
        <v>948</v>
      </c>
      <c r="F1724" s="2" t="s">
        <v>8813</v>
      </c>
      <c r="G1724" s="2" t="s">
        <v>8813</v>
      </c>
      <c r="H1724" s="2" t="s">
        <v>8813</v>
      </c>
      <c r="I1724" s="2" t="s">
        <v>8814</v>
      </c>
      <c r="J1724" s="2" t="s">
        <v>2139</v>
      </c>
      <c r="K1724" s="2" t="s">
        <v>8815</v>
      </c>
      <c r="L1724" s="3">
        <v>16.45</v>
      </c>
      <c r="M1724" s="3">
        <v>17.27</v>
      </c>
      <c r="N1724" s="3">
        <v>34.99</v>
      </c>
      <c r="O1724" s="2" t="s">
        <v>212</v>
      </c>
      <c r="P1724" s="2" t="s">
        <v>1075</v>
      </c>
      <c r="Q1724" s="2" t="s">
        <v>206</v>
      </c>
      <c r="R1724" s="2" t="s">
        <v>200</v>
      </c>
      <c r="S1724" s="2" t="s">
        <v>200</v>
      </c>
      <c r="T1724" s="2" t="s">
        <v>200</v>
      </c>
      <c r="U1724" s="2" t="s">
        <v>270</v>
      </c>
      <c r="V1724" s="2" t="s">
        <v>616</v>
      </c>
      <c r="W1724" s="2" t="s">
        <v>241</v>
      </c>
      <c r="X1724" s="2" t="s">
        <v>200</v>
      </c>
      <c r="Y1724" s="2" t="s">
        <v>2400</v>
      </c>
      <c r="Z1724" s="4">
        <v>2</v>
      </c>
      <c r="AA1724" s="4">
        <f>=ROUNDDOWN(0.0909090909090909,0)</f>
      </c>
      <c r="AB1724" s="5">
        <v>22</v>
      </c>
      <c r="AC1724" s="2" t="s">
        <v>115</v>
      </c>
      <c r="AD1724" s="4">
        <v>270</v>
      </c>
      <c r="AE1724" s="4">
        <v>720</v>
      </c>
      <c r="AF1724" s="6">
        <v>65</v>
      </c>
      <c r="AG1724" s="6"/>
      <c r="AH1724" s="7">
        <v>0.6667</v>
      </c>
      <c r="AI1724" s="4"/>
      <c r="AJ1724" s="4">
        <f>=ROUNDDOWN({0},0)</f>
      </c>
      <c r="AK1724" s="5"/>
      <c r="AL1724" s="2" t="s">
        <v>200</v>
      </c>
      <c r="AM1724" s="4"/>
      <c r="AN1724" s="4"/>
      <c r="AO1724" s="7"/>
      <c r="AP1724" s="4"/>
      <c r="AQ1724" s="8"/>
      <c r="AR1724" s="4"/>
      <c r="AS1724" s="8"/>
      <c r="AT1724" s="7"/>
      <c r="AU1724" s="7"/>
      <c r="AV1724" s="4" t="s">
        <v>200</v>
      </c>
      <c r="AW1724" s="8" t="s">
        <v>200</v>
      </c>
      <c r="AX1724" s="4" t="s">
        <v>200</v>
      </c>
      <c r="AY1724" s="8" t="s">
        <v>200</v>
      </c>
      <c r="AZ1724" s="7" t="s">
        <v>200</v>
      </c>
      <c r="BA1724" s="7" t="s">
        <v>200</v>
      </c>
      <c r="BB1724" s="7"/>
      <c r="BC1724" s="4" t="s">
        <v>200</v>
      </c>
      <c r="BD1724" s="8" t="s">
        <v>200</v>
      </c>
      <c r="BE1724" s="4" t="s">
        <v>200</v>
      </c>
      <c r="BF1724" s="8" t="s">
        <v>200</v>
      </c>
      <c r="BG1724" s="7" t="s">
        <v>200</v>
      </c>
      <c r="BH1724" s="7" t="s">
        <v>200</v>
      </c>
      <c r="BI1724" s="7"/>
      <c r="BJ1724" s="4">
        <v>140</v>
      </c>
      <c r="BK1724" s="8">
        <v>2644.34</v>
      </c>
      <c r="BL1724" s="2" t="s">
        <v>8822</v>
      </c>
      <c r="BM1724" s="7"/>
      <c r="BN1724" s="7"/>
      <c r="BO1724" s="4"/>
      <c r="BP1724" s="8"/>
      <c r="BQ1724" s="4"/>
      <c r="BR1724" s="8"/>
      <c r="BS1724" s="7"/>
      <c r="BT1724" s="7"/>
      <c r="BU1724" s="2" t="s">
        <v>8823</v>
      </c>
      <c r="BV1724" s="2" t="s">
        <v>200</v>
      </c>
      <c r="BW1724" s="2" t="s">
        <v>200</v>
      </c>
      <c r="BX1724" s="2" t="s">
        <v>264</v>
      </c>
      <c r="BY1724" s="2" t="s">
        <v>247</v>
      </c>
      <c r="BZ1724" s="2" t="s">
        <v>212</v>
      </c>
      <c r="CA1724" s="2" t="s">
        <v>5207</v>
      </c>
      <c r="CB1724" s="2" t="s">
        <v>200</v>
      </c>
      <c r="CC1724" s="2" t="s">
        <v>213</v>
      </c>
      <c r="CD1724" s="2" t="s">
        <v>200</v>
      </c>
      <c r="CE1724" s="4"/>
      <c r="CF1724" s="4">
        <v>2</v>
      </c>
      <c r="CG1724" s="4"/>
      <c r="CH1724" s="4"/>
      <c r="CI1724" s="4"/>
      <c r="CJ1724" s="4"/>
      <c r="CK1724" s="4"/>
      <c r="CL1724" s="4"/>
      <c r="CM1724" s="4"/>
      <c r="CN1724" s="4"/>
      <c r="CO1724" s="4"/>
      <c r="CP1724" s="4"/>
      <c r="CQ1724" s="4"/>
      <c r="CR1724" s="4"/>
      <c r="CS1724" s="4"/>
      <c r="CT1724" s="4"/>
      <c r="CU1724" s="4"/>
      <c r="CV1724" s="4"/>
      <c r="CW1724" s="4"/>
      <c r="CX1724" s="4"/>
      <c r="CY1724" s="4"/>
      <c r="CZ1724" s="4"/>
      <c r="DA1724" s="4"/>
      <c r="DB1724" s="4">
        <v>270</v>
      </c>
      <c r="DC1724" s="4"/>
      <c r="DD1724" s="4"/>
      <c r="DE1724" s="4"/>
      <c r="DF1724" s="4"/>
      <c r="DG1724" s="4"/>
      <c r="DH1724" s="4"/>
      <c r="DI1724" s="4"/>
      <c r="DJ1724" s="4"/>
      <c r="DK1724" s="4"/>
      <c r="DL1724" s="4"/>
      <c r="DM1724" s="4"/>
      <c r="DN1724" s="4"/>
      <c r="DO1724" s="4"/>
      <c r="DP1724" s="4"/>
      <c r="DQ1724" s="4"/>
      <c r="DR1724" s="4"/>
      <c r="DS1724" s="4"/>
      <c r="DT1724" s="4"/>
      <c r="DU1724" s="4"/>
      <c r="DV1724" s="4"/>
      <c r="DW1724" s="4">
        <v>150</v>
      </c>
      <c r="DX1724" s="4"/>
      <c r="DY1724" s="4"/>
      <c r="DZ1724" s="4"/>
      <c r="EA1724" s="4"/>
      <c r="EB1724" s="4"/>
      <c r="EC1724" s="4"/>
      <c r="ED1724" s="4"/>
      <c r="EE1724" s="4"/>
      <c r="EF1724" s="4"/>
      <c r="EG1724" s="4"/>
      <c r="EH1724" s="4"/>
      <c r="EI1724" s="4"/>
      <c r="EJ1724" s="4"/>
      <c r="EK1724" s="4"/>
      <c r="EL1724" s="4"/>
      <c r="EM1724" s="4"/>
      <c r="EN1724" s="4"/>
      <c r="EO1724" s="4"/>
      <c r="EP1724" s="4"/>
      <c r="EQ1724" s="4"/>
      <c r="ER1724" s="4"/>
      <c r="ES1724" s="4"/>
      <c r="ET1724" s="4"/>
      <c r="EU1724" s="4"/>
      <c r="EV1724" s="4"/>
      <c r="EW1724" s="4"/>
      <c r="EX1724" s="4"/>
      <c r="EY1724" s="4"/>
      <c r="EZ1724" s="4"/>
      <c r="FA1724" s="4"/>
      <c r="FB1724" s="4"/>
      <c r="FC1724" s="4"/>
      <c r="FD1724" s="4"/>
      <c r="FE1724" s="4"/>
      <c r="FF1724" s="4"/>
      <c r="FG1724" s="4"/>
      <c r="FH1724" s="4"/>
      <c r="FI1724" s="4"/>
      <c r="FJ1724" s="4"/>
      <c r="FK1724" s="4"/>
      <c r="FL1724" s="4"/>
      <c r="FM1724" s="4">
        <v>180</v>
      </c>
      <c r="FN1724" s="4"/>
      <c r="FO1724" s="4"/>
      <c r="FP1724" s="4"/>
      <c r="FQ1724" s="4"/>
      <c r="FR1724" s="4"/>
      <c r="FS1724" s="4"/>
      <c r="FT1724" s="4"/>
      <c r="FU1724" s="4"/>
      <c r="FV1724" s="4"/>
      <c r="FW1724" s="4">
        <v>120</v>
      </c>
      <c r="FX1724" s="4"/>
      <c r="FY1724" s="4"/>
      <c r="FZ1724" s="4"/>
      <c r="GA1724" s="4"/>
      <c r="GB1724" s="4"/>
      <c r="GC1724" s="4"/>
      <c r="GD1724" s="4"/>
      <c r="GE1724" s="4"/>
      <c r="GF1724" s="4"/>
      <c r="GG1724" s="4"/>
      <c r="GH1724" s="4"/>
    </row>
    <row r="1725">
      <c r="A1725" s="2" t="s">
        <v>8824</v>
      </c>
      <c r="B1725" s="2" t="s">
        <v>669</v>
      </c>
      <c r="C1725" s="2" t="s">
        <v>607</v>
      </c>
      <c r="D1725" s="2" t="s">
        <v>670</v>
      </c>
      <c r="E1725" s="2" t="s">
        <v>671</v>
      </c>
      <c r="F1725" s="2" t="s">
        <v>8825</v>
      </c>
      <c r="G1725" s="2" t="s">
        <v>8825</v>
      </c>
      <c r="H1725" s="2" t="s">
        <v>8825</v>
      </c>
      <c r="I1725" s="2" t="s">
        <v>8826</v>
      </c>
      <c r="J1725" s="2" t="s">
        <v>8827</v>
      </c>
      <c r="K1725" s="2" t="s">
        <v>1214</v>
      </c>
      <c r="L1725" s="3">
        <v>33.6</v>
      </c>
      <c r="M1725" s="3">
        <v>35.28</v>
      </c>
      <c r="N1725" s="3">
        <v>69.99</v>
      </c>
      <c r="O1725" s="2" t="s">
        <v>212</v>
      </c>
      <c r="P1725" s="2" t="s">
        <v>675</v>
      </c>
      <c r="Q1725" s="2" t="s">
        <v>206</v>
      </c>
      <c r="R1725" s="2" t="s">
        <v>200</v>
      </c>
      <c r="S1725" s="2" t="s">
        <v>8828</v>
      </c>
      <c r="T1725" s="2" t="s">
        <v>312</v>
      </c>
      <c r="U1725" s="2" t="s">
        <v>677</v>
      </c>
      <c r="V1725" s="2" t="s">
        <v>208</v>
      </c>
      <c r="W1725" s="2" t="s">
        <v>241</v>
      </c>
      <c r="X1725" s="2" t="s">
        <v>200</v>
      </c>
      <c r="Y1725" s="2" t="s">
        <v>911</v>
      </c>
      <c r="Z1725" s="4">
        <v>478</v>
      </c>
      <c r="AA1725" s="4">
        <f>=ROUNDDOWN(68.2857142857143,0)</f>
      </c>
      <c r="AB1725" s="5">
        <v>7</v>
      </c>
      <c r="AC1725" s="2" t="s">
        <v>200</v>
      </c>
      <c r="AD1725" s="4"/>
      <c r="AE1725" s="4"/>
      <c r="AF1725" s="6">
        <v>69</v>
      </c>
      <c r="AG1725" s="6"/>
      <c r="AH1725" s="7">
        <v>1</v>
      </c>
      <c r="AI1725" s="4"/>
      <c r="AJ1725" s="4">
        <f>=ROUNDDOWN({0},0)</f>
      </c>
      <c r="AK1725" s="5"/>
      <c r="AL1725" s="2" t="s">
        <v>200</v>
      </c>
      <c r="AM1725" s="4"/>
      <c r="AN1725" s="4"/>
      <c r="AO1725" s="7"/>
      <c r="AP1725" s="4"/>
      <c r="AQ1725" s="8"/>
      <c r="AR1725" s="4"/>
      <c r="AS1725" s="8"/>
      <c r="AT1725" s="7"/>
      <c r="AU1725" s="7"/>
      <c r="AV1725" s="4"/>
      <c r="AW1725" s="8"/>
      <c r="AX1725" s="4"/>
      <c r="AY1725" s="8"/>
      <c r="AZ1725" s="7"/>
      <c r="BA1725" s="7"/>
      <c r="BB1725" s="7"/>
      <c r="BC1725" s="4" t="s">
        <v>200</v>
      </c>
      <c r="BD1725" s="8" t="s">
        <v>200</v>
      </c>
      <c r="BE1725" s="4" t="s">
        <v>200</v>
      </c>
      <c r="BF1725" s="8" t="s">
        <v>200</v>
      </c>
      <c r="BG1725" s="7" t="s">
        <v>200</v>
      </c>
      <c r="BH1725" s="7" t="s">
        <v>200</v>
      </c>
      <c r="BI1725" s="7"/>
      <c r="BJ1725" s="4">
        <v>33</v>
      </c>
      <c r="BK1725" s="8">
        <v>1263.02</v>
      </c>
      <c r="BL1725" s="2" t="s">
        <v>8829</v>
      </c>
      <c r="BM1725" s="7"/>
      <c r="BN1725" s="7"/>
      <c r="BO1725" s="4"/>
      <c r="BP1725" s="8"/>
      <c r="BQ1725" s="4"/>
      <c r="BR1725" s="8"/>
      <c r="BS1725" s="7"/>
      <c r="BT1725" s="7"/>
      <c r="BU1725" s="2" t="s">
        <v>8830</v>
      </c>
      <c r="BV1725" s="2" t="s">
        <v>200</v>
      </c>
      <c r="BW1725" s="2" t="s">
        <v>200</v>
      </c>
      <c r="BX1725" s="2" t="s">
        <v>264</v>
      </c>
      <c r="BY1725" s="2" t="s">
        <v>247</v>
      </c>
      <c r="BZ1725" s="2" t="s">
        <v>212</v>
      </c>
      <c r="CA1725" s="2" t="s">
        <v>1264</v>
      </c>
      <c r="CB1725" s="2" t="s">
        <v>3329</v>
      </c>
      <c r="CC1725" s="2" t="s">
        <v>213</v>
      </c>
      <c r="CD1725" s="2" t="s">
        <v>200</v>
      </c>
      <c r="CE1725" s="4">
        <v>478</v>
      </c>
      <c r="CF1725" s="4"/>
      <c r="CG1725" s="4"/>
      <c r="CH1725" s="4"/>
      <c r="CI1725" s="4"/>
      <c r="CJ1725" s="4"/>
      <c r="CK1725" s="4"/>
      <c r="CL1725" s="4"/>
      <c r="CM1725" s="4"/>
      <c r="CN1725" s="4"/>
      <c r="CO1725" s="4"/>
      <c r="CP1725" s="4"/>
      <c r="CQ1725" s="4"/>
      <c r="CR1725" s="4"/>
      <c r="CS1725" s="4"/>
      <c r="CT1725" s="4"/>
      <c r="CU1725" s="4"/>
      <c r="CV1725" s="4"/>
      <c r="CW1725" s="4"/>
      <c r="CX1725" s="4"/>
      <c r="CY1725" s="4"/>
      <c r="CZ1725" s="4"/>
      <c r="DA1725" s="4"/>
      <c r="DB1725" s="4"/>
      <c r="DC1725" s="4"/>
      <c r="DD1725" s="4"/>
      <c r="DE1725" s="4"/>
      <c r="DF1725" s="4"/>
      <c r="DG1725" s="4"/>
      <c r="DH1725" s="4"/>
      <c r="DI1725" s="4"/>
      <c r="DJ1725" s="4"/>
      <c r="DK1725" s="4"/>
      <c r="DL1725" s="4"/>
      <c r="DM1725" s="4"/>
      <c r="DN1725" s="4"/>
      <c r="DO1725" s="4"/>
      <c r="DP1725" s="4"/>
      <c r="DQ1725" s="4"/>
      <c r="DR1725" s="4"/>
      <c r="DS1725" s="4"/>
      <c r="DT1725" s="4"/>
      <c r="DU1725" s="4"/>
      <c r="DV1725" s="4"/>
      <c r="DW1725" s="4"/>
      <c r="DX1725" s="4"/>
      <c r="DY1725" s="4"/>
      <c r="DZ1725" s="4"/>
      <c r="EA1725" s="4"/>
      <c r="EB1725" s="4"/>
      <c r="EC1725" s="4"/>
      <c r="ED1725" s="4"/>
      <c r="EE1725" s="4"/>
      <c r="EF1725" s="4"/>
      <c r="EG1725" s="4"/>
      <c r="EH1725" s="4"/>
      <c r="EI1725" s="4"/>
      <c r="EJ1725" s="4"/>
      <c r="EK1725" s="4"/>
      <c r="EL1725" s="4"/>
      <c r="EM1725" s="4"/>
      <c r="EN1725" s="4"/>
      <c r="EO1725" s="4"/>
      <c r="EP1725" s="4"/>
      <c r="EQ1725" s="4"/>
      <c r="ER1725" s="4"/>
      <c r="ES1725" s="4"/>
      <c r="ET1725" s="4"/>
      <c r="EU1725" s="4"/>
      <c r="EV1725" s="4"/>
      <c r="EW1725" s="4"/>
      <c r="EX1725" s="4"/>
      <c r="EY1725" s="4"/>
      <c r="EZ1725" s="4"/>
      <c r="FA1725" s="4"/>
      <c r="FB1725" s="4"/>
      <c r="FC1725" s="4"/>
      <c r="FD1725" s="4"/>
      <c r="FE1725" s="4"/>
      <c r="FF1725" s="4"/>
      <c r="FG1725" s="4"/>
      <c r="FH1725" s="4"/>
      <c r="FI1725" s="4"/>
      <c r="FJ1725" s="4"/>
      <c r="FK1725" s="4"/>
      <c r="FL1725" s="4"/>
      <c r="FM1725" s="4"/>
      <c r="FN1725" s="4"/>
      <c r="FO1725" s="4"/>
      <c r="FP1725" s="4"/>
      <c r="FQ1725" s="4"/>
      <c r="FR1725" s="4"/>
      <c r="FS1725" s="4"/>
      <c r="FT1725" s="4"/>
      <c r="FU1725" s="4"/>
      <c r="FV1725" s="4"/>
      <c r="FW1725" s="4"/>
      <c r="FX1725" s="4"/>
      <c r="FY1725" s="4"/>
      <c r="FZ1725" s="4"/>
      <c r="GA1725" s="4"/>
      <c r="GB1725" s="4"/>
      <c r="GC1725" s="4"/>
      <c r="GD1725" s="4"/>
      <c r="GE1725" s="4"/>
      <c r="GF1725" s="4"/>
      <c r="GG1725" s="4"/>
      <c r="GH1725" s="4"/>
    </row>
    <row r="1726">
      <c r="A1726" s="2" t="s">
        <v>8831</v>
      </c>
      <c r="B1726" s="2" t="s">
        <v>669</v>
      </c>
      <c r="C1726" s="2" t="s">
        <v>607</v>
      </c>
      <c r="D1726" s="2" t="s">
        <v>670</v>
      </c>
      <c r="E1726" s="2" t="s">
        <v>671</v>
      </c>
      <c r="F1726" s="2" t="s">
        <v>8825</v>
      </c>
      <c r="G1726" s="2" t="s">
        <v>8825</v>
      </c>
      <c r="H1726" s="2" t="s">
        <v>8825</v>
      </c>
      <c r="I1726" s="2" t="s">
        <v>8826</v>
      </c>
      <c r="J1726" s="2" t="s">
        <v>8827</v>
      </c>
      <c r="K1726" s="2" t="s">
        <v>221</v>
      </c>
      <c r="L1726" s="3">
        <v>33.6</v>
      </c>
      <c r="M1726" s="3">
        <v>35.28</v>
      </c>
      <c r="N1726" s="3">
        <v>69.99</v>
      </c>
      <c r="O1726" s="2" t="s">
        <v>212</v>
      </c>
      <c r="P1726" s="2" t="s">
        <v>675</v>
      </c>
      <c r="Q1726" s="2" t="s">
        <v>206</v>
      </c>
      <c r="R1726" s="2" t="s">
        <v>200</v>
      </c>
      <c r="S1726" s="2" t="s">
        <v>8828</v>
      </c>
      <c r="T1726" s="2" t="s">
        <v>312</v>
      </c>
      <c r="U1726" s="2" t="s">
        <v>677</v>
      </c>
      <c r="V1726" s="2" t="s">
        <v>208</v>
      </c>
      <c r="W1726" s="2" t="s">
        <v>241</v>
      </c>
      <c r="X1726" s="2" t="s">
        <v>200</v>
      </c>
      <c r="Y1726" s="2" t="s">
        <v>911</v>
      </c>
      <c r="Z1726" s="4">
        <v>595</v>
      </c>
      <c r="AA1726" s="4">
        <f>=ROUNDDOWN(59.5,0)</f>
      </c>
      <c r="AB1726" s="5">
        <v>10</v>
      </c>
      <c r="AC1726" s="2" t="s">
        <v>200</v>
      </c>
      <c r="AD1726" s="4"/>
      <c r="AE1726" s="4"/>
      <c r="AF1726" s="6">
        <v>69</v>
      </c>
      <c r="AG1726" s="6"/>
      <c r="AH1726" s="7">
        <v>1</v>
      </c>
      <c r="AI1726" s="4"/>
      <c r="AJ1726" s="4">
        <f>=ROUNDDOWN({0},0)</f>
      </c>
      <c r="AK1726" s="5"/>
      <c r="AL1726" s="2" t="s">
        <v>200</v>
      </c>
      <c r="AM1726" s="4"/>
      <c r="AN1726" s="4"/>
      <c r="AO1726" s="7"/>
      <c r="AP1726" s="4"/>
      <c r="AQ1726" s="8"/>
      <c r="AR1726" s="4"/>
      <c r="AS1726" s="8"/>
      <c r="AT1726" s="7"/>
      <c r="AU1726" s="7"/>
      <c r="AV1726" s="4"/>
      <c r="AW1726" s="8"/>
      <c r="AX1726" s="4"/>
      <c r="AY1726" s="8"/>
      <c r="AZ1726" s="7"/>
      <c r="BA1726" s="7"/>
      <c r="BB1726" s="7"/>
      <c r="BC1726" s="4" t="s">
        <v>200</v>
      </c>
      <c r="BD1726" s="8" t="s">
        <v>200</v>
      </c>
      <c r="BE1726" s="4" t="s">
        <v>200</v>
      </c>
      <c r="BF1726" s="8" t="s">
        <v>200</v>
      </c>
      <c r="BG1726" s="7" t="s">
        <v>200</v>
      </c>
      <c r="BH1726" s="7" t="s">
        <v>200</v>
      </c>
      <c r="BI1726" s="7"/>
      <c r="BJ1726" s="4">
        <v>22</v>
      </c>
      <c r="BK1726" s="8">
        <v>839.08</v>
      </c>
      <c r="BL1726" s="2" t="s">
        <v>8832</v>
      </c>
      <c r="BM1726" s="7"/>
      <c r="BN1726" s="7"/>
      <c r="BO1726" s="4"/>
      <c r="BP1726" s="8"/>
      <c r="BQ1726" s="4"/>
      <c r="BR1726" s="8"/>
      <c r="BS1726" s="7"/>
      <c r="BT1726" s="7"/>
      <c r="BU1726" s="2" t="s">
        <v>8833</v>
      </c>
      <c r="BV1726" s="2" t="s">
        <v>200</v>
      </c>
      <c r="BW1726" s="2" t="s">
        <v>200</v>
      </c>
      <c r="BX1726" s="2" t="s">
        <v>264</v>
      </c>
      <c r="BY1726" s="2" t="s">
        <v>247</v>
      </c>
      <c r="BZ1726" s="2" t="s">
        <v>212</v>
      </c>
      <c r="CA1726" s="2" t="s">
        <v>1264</v>
      </c>
      <c r="CB1726" s="2" t="s">
        <v>200</v>
      </c>
      <c r="CC1726" s="2" t="s">
        <v>213</v>
      </c>
      <c r="CD1726" s="2" t="s">
        <v>200</v>
      </c>
      <c r="CE1726" s="4">
        <v>595</v>
      </c>
      <c r="CF1726" s="4"/>
      <c r="CG1726" s="4"/>
      <c r="CH1726" s="4"/>
      <c r="CI1726" s="4"/>
      <c r="CJ1726" s="4"/>
      <c r="CK1726" s="4"/>
      <c r="CL1726" s="4"/>
      <c r="CM1726" s="4"/>
      <c r="CN1726" s="4"/>
      <c r="CO1726" s="4"/>
      <c r="CP1726" s="4"/>
      <c r="CQ1726" s="4"/>
      <c r="CR1726" s="4"/>
      <c r="CS1726" s="4"/>
      <c r="CT1726" s="4"/>
      <c r="CU1726" s="4"/>
      <c r="CV1726" s="4"/>
      <c r="CW1726" s="4"/>
      <c r="CX1726" s="4"/>
      <c r="CY1726" s="4"/>
      <c r="CZ1726" s="4"/>
      <c r="DA1726" s="4"/>
      <c r="DB1726" s="4"/>
      <c r="DC1726" s="4"/>
      <c r="DD1726" s="4"/>
      <c r="DE1726" s="4"/>
      <c r="DF1726" s="4"/>
      <c r="DG1726" s="4"/>
      <c r="DH1726" s="4"/>
      <c r="DI1726" s="4"/>
      <c r="DJ1726" s="4"/>
      <c r="DK1726" s="4"/>
      <c r="DL1726" s="4"/>
      <c r="DM1726" s="4"/>
      <c r="DN1726" s="4"/>
      <c r="DO1726" s="4"/>
      <c r="DP1726" s="4"/>
      <c r="DQ1726" s="4"/>
      <c r="DR1726" s="4"/>
      <c r="DS1726" s="4"/>
      <c r="DT1726" s="4"/>
      <c r="DU1726" s="4"/>
      <c r="DV1726" s="4"/>
      <c r="DW1726" s="4"/>
      <c r="DX1726" s="4"/>
      <c r="DY1726" s="4"/>
      <c r="DZ1726" s="4"/>
      <c r="EA1726" s="4"/>
      <c r="EB1726" s="4"/>
      <c r="EC1726" s="4"/>
      <c r="ED1726" s="4"/>
      <c r="EE1726" s="4"/>
      <c r="EF1726" s="4"/>
      <c r="EG1726" s="4"/>
      <c r="EH1726" s="4"/>
      <c r="EI1726" s="4"/>
      <c r="EJ1726" s="4"/>
      <c r="EK1726" s="4"/>
      <c r="EL1726" s="4"/>
      <c r="EM1726" s="4"/>
      <c r="EN1726" s="4"/>
      <c r="EO1726" s="4"/>
      <c r="EP1726" s="4"/>
      <c r="EQ1726" s="4"/>
      <c r="ER1726" s="4"/>
      <c r="ES1726" s="4"/>
      <c r="ET1726" s="4"/>
      <c r="EU1726" s="4"/>
      <c r="EV1726" s="4"/>
      <c r="EW1726" s="4"/>
      <c r="EX1726" s="4"/>
      <c r="EY1726" s="4"/>
      <c r="EZ1726" s="4"/>
      <c r="FA1726" s="4"/>
      <c r="FB1726" s="4"/>
      <c r="FC1726" s="4"/>
      <c r="FD1726" s="4"/>
      <c r="FE1726" s="4"/>
      <c r="FF1726" s="4"/>
      <c r="FG1726" s="4"/>
      <c r="FH1726" s="4"/>
      <c r="FI1726" s="4"/>
      <c r="FJ1726" s="4"/>
      <c r="FK1726" s="4"/>
      <c r="FL1726" s="4"/>
      <c r="FM1726" s="4"/>
      <c r="FN1726" s="4"/>
      <c r="FO1726" s="4"/>
      <c r="FP1726" s="4"/>
      <c r="FQ1726" s="4"/>
      <c r="FR1726" s="4"/>
      <c r="FS1726" s="4"/>
      <c r="FT1726" s="4"/>
      <c r="FU1726" s="4"/>
      <c r="FV1726" s="4"/>
      <c r="FW1726" s="4"/>
      <c r="FX1726" s="4"/>
      <c r="FY1726" s="4"/>
      <c r="FZ1726" s="4"/>
      <c r="GA1726" s="4"/>
      <c r="GB1726" s="4"/>
      <c r="GC1726" s="4"/>
      <c r="GD1726" s="4"/>
      <c r="GE1726" s="4"/>
      <c r="GF1726" s="4"/>
      <c r="GG1726" s="4"/>
      <c r="GH1726" s="4"/>
    </row>
    <row r="1727">
      <c r="A1727" s="2" t="s">
        <v>8834</v>
      </c>
      <c r="B1727" s="2" t="s">
        <v>903</v>
      </c>
      <c r="C1727" s="2" t="s">
        <v>231</v>
      </c>
      <c r="D1727" s="2" t="s">
        <v>1818</v>
      </c>
      <c r="E1727" s="2" t="s">
        <v>2000</v>
      </c>
      <c r="F1727" s="2" t="s">
        <v>8835</v>
      </c>
      <c r="G1727" s="2" t="s">
        <v>8836</v>
      </c>
      <c r="H1727" s="2" t="s">
        <v>8837</v>
      </c>
      <c r="I1727" s="2" t="s">
        <v>8838</v>
      </c>
      <c r="J1727" s="2" t="s">
        <v>924</v>
      </c>
      <c r="K1727" s="2" t="s">
        <v>387</v>
      </c>
      <c r="L1727" s="3">
        <v>47</v>
      </c>
      <c r="M1727" s="3">
        <v>49.35</v>
      </c>
      <c r="N1727" s="3">
        <v>99.99</v>
      </c>
      <c r="O1727" s="2" t="s">
        <v>212</v>
      </c>
      <c r="P1727" s="2" t="s">
        <v>258</v>
      </c>
      <c r="Q1727" s="2" t="s">
        <v>206</v>
      </c>
      <c r="R1727" s="2" t="s">
        <v>200</v>
      </c>
      <c r="S1727" s="2" t="s">
        <v>8839</v>
      </c>
      <c r="T1727" s="2" t="s">
        <v>378</v>
      </c>
      <c r="U1727" s="2" t="s">
        <v>454</v>
      </c>
      <c r="V1727" s="2" t="s">
        <v>1348</v>
      </c>
      <c r="W1727" s="2" t="s">
        <v>6276</v>
      </c>
      <c r="X1727" s="2" t="s">
        <v>8840</v>
      </c>
      <c r="Y1727" s="2" t="s">
        <v>8841</v>
      </c>
      <c r="Z1727" s="4">
        <v>1111</v>
      </c>
      <c r="AA1727" s="4">
        <f>=ROUNDDOWN(41.1481481481482,0)</f>
      </c>
      <c r="AB1727" s="5">
        <v>27</v>
      </c>
      <c r="AC1727" s="2" t="s">
        <v>116</v>
      </c>
      <c r="AD1727" s="4">
        <v>200</v>
      </c>
      <c r="AE1727" s="4">
        <v>200</v>
      </c>
      <c r="AF1727" s="6">
        <v>65</v>
      </c>
      <c r="AG1727" s="6"/>
      <c r="AH1727" s="7">
        <v>1</v>
      </c>
      <c r="AI1727" s="4"/>
      <c r="AJ1727" s="4">
        <f>=ROUNDDOWN({0},0)</f>
      </c>
      <c r="AK1727" s="5"/>
      <c r="AL1727" s="2" t="s">
        <v>200</v>
      </c>
      <c r="AM1727" s="4"/>
      <c r="AN1727" s="4"/>
      <c r="AO1727" s="7"/>
      <c r="AP1727" s="4"/>
      <c r="AQ1727" s="8"/>
      <c r="AR1727" s="4"/>
      <c r="AS1727" s="8"/>
      <c r="AT1727" s="7"/>
      <c r="AU1727" s="7"/>
      <c r="AV1727" s="4"/>
      <c r="AW1727" s="8"/>
      <c r="AX1727" s="4"/>
      <c r="AY1727" s="8"/>
      <c r="AZ1727" s="7"/>
      <c r="BA1727" s="7"/>
      <c r="BB1727" s="7"/>
      <c r="BC1727" s="4" t="s">
        <v>200</v>
      </c>
      <c r="BD1727" s="8" t="s">
        <v>200</v>
      </c>
      <c r="BE1727" s="4" t="s">
        <v>200</v>
      </c>
      <c r="BF1727" s="8" t="s">
        <v>200</v>
      </c>
      <c r="BG1727" s="7" t="s">
        <v>200</v>
      </c>
      <c r="BH1727" s="7" t="s">
        <v>200</v>
      </c>
      <c r="BI1727" s="7"/>
      <c r="BJ1727" s="4">
        <v>121</v>
      </c>
      <c r="BK1727" s="8">
        <v>5989.44</v>
      </c>
      <c r="BL1727" s="2" t="s">
        <v>3198</v>
      </c>
      <c r="BM1727" s="7"/>
      <c r="BN1727" s="7"/>
      <c r="BO1727" s="4"/>
      <c r="BP1727" s="8"/>
      <c r="BQ1727" s="4"/>
      <c r="BR1727" s="8"/>
      <c r="BS1727" s="7"/>
      <c r="BT1727" s="7"/>
      <c r="BU1727" s="2" t="s">
        <v>8842</v>
      </c>
      <c r="BV1727" s="2" t="s">
        <v>200</v>
      </c>
      <c r="BW1727" s="2" t="s">
        <v>200</v>
      </c>
      <c r="BX1727" s="2" t="s">
        <v>620</v>
      </c>
      <c r="BY1727" s="2" t="s">
        <v>247</v>
      </c>
      <c r="BZ1727" s="2" t="s">
        <v>212</v>
      </c>
      <c r="CA1727" s="2" t="s">
        <v>5030</v>
      </c>
      <c r="CB1727" s="2" t="s">
        <v>8843</v>
      </c>
      <c r="CC1727" s="2" t="s">
        <v>213</v>
      </c>
      <c r="CD1727" s="2" t="s">
        <v>200</v>
      </c>
      <c r="CE1727" s="4">
        <v>938</v>
      </c>
      <c r="CF1727" s="4">
        <v>93</v>
      </c>
      <c r="CG1727" s="4"/>
      <c r="CH1727" s="4">
        <v>80</v>
      </c>
      <c r="CI1727" s="4"/>
      <c r="CJ1727" s="4"/>
      <c r="CK1727" s="4"/>
      <c r="CL1727" s="4"/>
      <c r="CM1727" s="4"/>
      <c r="CN1727" s="4"/>
      <c r="CO1727" s="4"/>
      <c r="CP1727" s="4"/>
      <c r="CQ1727" s="4"/>
      <c r="CR1727" s="4"/>
      <c r="CS1727" s="4"/>
      <c r="CT1727" s="4"/>
      <c r="CU1727" s="4"/>
      <c r="CV1727" s="4"/>
      <c r="CW1727" s="4"/>
      <c r="CX1727" s="4"/>
      <c r="CY1727" s="4"/>
      <c r="CZ1727" s="4"/>
      <c r="DA1727" s="4"/>
      <c r="DB1727" s="4"/>
      <c r="DC1727" s="4">
        <v>200</v>
      </c>
      <c r="DD1727" s="4"/>
      <c r="DE1727" s="4"/>
      <c r="DF1727" s="4"/>
      <c r="DG1727" s="4"/>
      <c r="DH1727" s="4"/>
      <c r="DI1727" s="4"/>
      <c r="DJ1727" s="4"/>
      <c r="DK1727" s="4"/>
      <c r="DL1727" s="4"/>
      <c r="DM1727" s="4"/>
      <c r="DN1727" s="4"/>
      <c r="DO1727" s="4"/>
      <c r="DP1727" s="4"/>
      <c r="DQ1727" s="4"/>
      <c r="DR1727" s="4"/>
      <c r="DS1727" s="4"/>
      <c r="DT1727" s="4"/>
      <c r="DU1727" s="4"/>
      <c r="DV1727" s="4"/>
      <c r="DW1727" s="4"/>
      <c r="DX1727" s="4"/>
      <c r="DY1727" s="4"/>
      <c r="DZ1727" s="4"/>
      <c r="EA1727" s="4"/>
      <c r="EB1727" s="4"/>
      <c r="EC1727" s="4"/>
      <c r="ED1727" s="4"/>
      <c r="EE1727" s="4"/>
      <c r="EF1727" s="4"/>
      <c r="EG1727" s="4"/>
      <c r="EH1727" s="4"/>
      <c r="EI1727" s="4"/>
      <c r="EJ1727" s="4"/>
      <c r="EK1727" s="4"/>
      <c r="EL1727" s="4"/>
      <c r="EM1727" s="4"/>
      <c r="EN1727" s="4"/>
      <c r="EO1727" s="4"/>
      <c r="EP1727" s="4"/>
      <c r="EQ1727" s="4"/>
      <c r="ER1727" s="4"/>
      <c r="ES1727" s="4"/>
      <c r="ET1727" s="4"/>
      <c r="EU1727" s="4"/>
      <c r="EV1727" s="4"/>
      <c r="EW1727" s="4"/>
      <c r="EX1727" s="4"/>
      <c r="EY1727" s="4"/>
      <c r="EZ1727" s="4"/>
      <c r="FA1727" s="4"/>
      <c r="FB1727" s="4"/>
      <c r="FC1727" s="4"/>
      <c r="FD1727" s="4"/>
      <c r="FE1727" s="4"/>
      <c r="FF1727" s="4"/>
      <c r="FG1727" s="4"/>
      <c r="FH1727" s="4"/>
      <c r="FI1727" s="4"/>
      <c r="FJ1727" s="4"/>
      <c r="FK1727" s="4"/>
      <c r="FL1727" s="4"/>
      <c r="FM1727" s="4"/>
      <c r="FN1727" s="4"/>
      <c r="FO1727" s="4"/>
      <c r="FP1727" s="4"/>
      <c r="FQ1727" s="4"/>
      <c r="FR1727" s="4"/>
      <c r="FS1727" s="4"/>
      <c r="FT1727" s="4"/>
      <c r="FU1727" s="4"/>
      <c r="FV1727" s="4"/>
      <c r="FW1727" s="4"/>
      <c r="FX1727" s="4"/>
      <c r="FY1727" s="4"/>
      <c r="FZ1727" s="4"/>
      <c r="GA1727" s="4"/>
      <c r="GB1727" s="4"/>
      <c r="GC1727" s="4"/>
      <c r="GD1727" s="4"/>
      <c r="GE1727" s="4"/>
      <c r="GF1727" s="4"/>
      <c r="GG1727" s="4"/>
      <c r="GH1727" s="4"/>
    </row>
    <row r="1728">
      <c r="A1728" s="2" t="s">
        <v>8844</v>
      </c>
      <c r="B1728" s="2" t="s">
        <v>903</v>
      </c>
      <c r="C1728" s="2" t="s">
        <v>231</v>
      </c>
      <c r="D1728" s="2" t="s">
        <v>1818</v>
      </c>
      <c r="E1728" s="2" t="s">
        <v>2000</v>
      </c>
      <c r="F1728" s="2" t="s">
        <v>8835</v>
      </c>
      <c r="G1728" s="2" t="s">
        <v>8836</v>
      </c>
      <c r="H1728" s="2" t="s">
        <v>8837</v>
      </c>
      <c r="I1728" s="2" t="s">
        <v>8838</v>
      </c>
      <c r="J1728" s="2" t="s">
        <v>612</v>
      </c>
      <c r="K1728" s="2" t="s">
        <v>539</v>
      </c>
      <c r="L1728" s="3">
        <v>42.3</v>
      </c>
      <c r="M1728" s="3">
        <v>44.42</v>
      </c>
      <c r="N1728" s="3">
        <v>89.99</v>
      </c>
      <c r="O1728" s="2" t="s">
        <v>212</v>
      </c>
      <c r="P1728" s="2" t="s">
        <v>205</v>
      </c>
      <c r="Q1728" s="2" t="s">
        <v>206</v>
      </c>
      <c r="R1728" s="2" t="s">
        <v>200</v>
      </c>
      <c r="S1728" s="2" t="s">
        <v>8845</v>
      </c>
      <c r="T1728" s="2" t="s">
        <v>378</v>
      </c>
      <c r="U1728" s="2" t="s">
        <v>454</v>
      </c>
      <c r="V1728" s="2" t="s">
        <v>1348</v>
      </c>
      <c r="W1728" s="2" t="s">
        <v>6276</v>
      </c>
      <c r="X1728" s="2" t="s">
        <v>8840</v>
      </c>
      <c r="Y1728" s="2" t="s">
        <v>703</v>
      </c>
      <c r="Z1728" s="4">
        <v>656</v>
      </c>
      <c r="AA1728" s="4">
        <f>=ROUNDDOWN(34.5263157894737,0)</f>
      </c>
      <c r="AB1728" s="5">
        <v>19</v>
      </c>
      <c r="AC1728" s="2" t="s">
        <v>200</v>
      </c>
      <c r="AD1728" s="4"/>
      <c r="AE1728" s="4"/>
      <c r="AF1728" s="6">
        <v>65</v>
      </c>
      <c r="AG1728" s="6"/>
      <c r="AH1728" s="7">
        <v>1</v>
      </c>
      <c r="AI1728" s="4"/>
      <c r="AJ1728" s="4">
        <f>=ROUNDDOWN({0},0)</f>
      </c>
      <c r="AK1728" s="5"/>
      <c r="AL1728" s="2" t="s">
        <v>200</v>
      </c>
      <c r="AM1728" s="4"/>
      <c r="AN1728" s="4"/>
      <c r="AO1728" s="7"/>
      <c r="AP1728" s="4"/>
      <c r="AQ1728" s="8"/>
      <c r="AR1728" s="4"/>
      <c r="AS1728" s="8"/>
      <c r="AT1728" s="7"/>
      <c r="AU1728" s="7"/>
      <c r="AV1728" s="4"/>
      <c r="AW1728" s="8"/>
      <c r="AX1728" s="4"/>
      <c r="AY1728" s="8"/>
      <c r="AZ1728" s="7"/>
      <c r="BA1728" s="7"/>
      <c r="BB1728" s="7"/>
      <c r="BC1728" s="4" t="s">
        <v>200</v>
      </c>
      <c r="BD1728" s="8" t="s">
        <v>200</v>
      </c>
      <c r="BE1728" s="4" t="s">
        <v>200</v>
      </c>
      <c r="BF1728" s="8" t="s">
        <v>200</v>
      </c>
      <c r="BG1728" s="7" t="s">
        <v>200</v>
      </c>
      <c r="BH1728" s="7" t="s">
        <v>200</v>
      </c>
      <c r="BI1728" s="7"/>
      <c r="BJ1728" s="4">
        <v>117</v>
      </c>
      <c r="BK1728" s="8">
        <v>5301.78</v>
      </c>
      <c r="BL1728" s="2" t="s">
        <v>370</v>
      </c>
      <c r="BM1728" s="7"/>
      <c r="BN1728" s="7"/>
      <c r="BO1728" s="4"/>
      <c r="BP1728" s="8"/>
      <c r="BQ1728" s="4"/>
      <c r="BR1728" s="8"/>
      <c r="BS1728" s="7"/>
      <c r="BT1728" s="7"/>
      <c r="BU1728" s="2" t="s">
        <v>8846</v>
      </c>
      <c r="BV1728" s="2" t="s">
        <v>200</v>
      </c>
      <c r="BW1728" s="2" t="s">
        <v>200</v>
      </c>
      <c r="BX1728" s="2" t="s">
        <v>620</v>
      </c>
      <c r="BY1728" s="2" t="s">
        <v>247</v>
      </c>
      <c r="BZ1728" s="2" t="s">
        <v>212</v>
      </c>
      <c r="CA1728" s="2" t="s">
        <v>703</v>
      </c>
      <c r="CB1728" s="2" t="s">
        <v>1966</v>
      </c>
      <c r="CC1728" s="2" t="s">
        <v>213</v>
      </c>
      <c r="CD1728" s="2" t="s">
        <v>200</v>
      </c>
      <c r="CE1728" s="4">
        <v>656</v>
      </c>
      <c r="CF1728" s="4"/>
      <c r="CG1728" s="4"/>
      <c r="CH1728" s="4"/>
      <c r="CI1728" s="4"/>
      <c r="CJ1728" s="4"/>
      <c r="CK1728" s="4"/>
      <c r="CL1728" s="4"/>
      <c r="CM1728" s="4"/>
      <c r="CN1728" s="4"/>
      <c r="CO1728" s="4"/>
      <c r="CP1728" s="4"/>
      <c r="CQ1728" s="4"/>
      <c r="CR1728" s="4"/>
      <c r="CS1728" s="4"/>
      <c r="CT1728" s="4"/>
      <c r="CU1728" s="4"/>
      <c r="CV1728" s="4"/>
      <c r="CW1728" s="4"/>
      <c r="CX1728" s="4"/>
      <c r="CY1728" s="4"/>
      <c r="CZ1728" s="4"/>
      <c r="DA1728" s="4"/>
      <c r="DB1728" s="4"/>
      <c r="DC1728" s="4"/>
      <c r="DD1728" s="4"/>
      <c r="DE1728" s="4"/>
      <c r="DF1728" s="4"/>
      <c r="DG1728" s="4"/>
      <c r="DH1728" s="4"/>
      <c r="DI1728" s="4"/>
      <c r="DJ1728" s="4"/>
      <c r="DK1728" s="4"/>
      <c r="DL1728" s="4"/>
      <c r="DM1728" s="4"/>
      <c r="DN1728" s="4"/>
      <c r="DO1728" s="4"/>
      <c r="DP1728" s="4"/>
      <c r="DQ1728" s="4"/>
      <c r="DR1728" s="4"/>
      <c r="DS1728" s="4"/>
      <c r="DT1728" s="4"/>
      <c r="DU1728" s="4"/>
      <c r="DV1728" s="4"/>
      <c r="DW1728" s="4"/>
      <c r="DX1728" s="4"/>
      <c r="DY1728" s="4"/>
      <c r="DZ1728" s="4"/>
      <c r="EA1728" s="4"/>
      <c r="EB1728" s="4"/>
      <c r="EC1728" s="4"/>
      <c r="ED1728" s="4"/>
      <c r="EE1728" s="4"/>
      <c r="EF1728" s="4"/>
      <c r="EG1728" s="4"/>
      <c r="EH1728" s="4"/>
      <c r="EI1728" s="4"/>
      <c r="EJ1728" s="4"/>
      <c r="EK1728" s="4"/>
      <c r="EL1728" s="4"/>
      <c r="EM1728" s="4"/>
      <c r="EN1728" s="4"/>
      <c r="EO1728" s="4"/>
      <c r="EP1728" s="4"/>
      <c r="EQ1728" s="4"/>
      <c r="ER1728" s="4"/>
      <c r="ES1728" s="4"/>
      <c r="ET1728" s="4"/>
      <c r="EU1728" s="4"/>
      <c r="EV1728" s="4"/>
      <c r="EW1728" s="4"/>
      <c r="EX1728" s="4"/>
      <c r="EY1728" s="4"/>
      <c r="EZ1728" s="4"/>
      <c r="FA1728" s="4"/>
      <c r="FB1728" s="4"/>
      <c r="FC1728" s="4"/>
      <c r="FD1728" s="4"/>
      <c r="FE1728" s="4"/>
      <c r="FF1728" s="4"/>
      <c r="FG1728" s="4"/>
      <c r="FH1728" s="4"/>
      <c r="FI1728" s="4"/>
      <c r="FJ1728" s="4"/>
      <c r="FK1728" s="4"/>
      <c r="FL1728" s="4"/>
      <c r="FM1728" s="4"/>
      <c r="FN1728" s="4"/>
      <c r="FO1728" s="4"/>
      <c r="FP1728" s="4"/>
      <c r="FQ1728" s="4"/>
      <c r="FR1728" s="4"/>
      <c r="FS1728" s="4"/>
      <c r="FT1728" s="4"/>
      <c r="FU1728" s="4"/>
      <c r="FV1728" s="4"/>
      <c r="FW1728" s="4"/>
      <c r="FX1728" s="4"/>
      <c r="FY1728" s="4"/>
      <c r="FZ1728" s="4"/>
      <c r="GA1728" s="4"/>
      <c r="GB1728" s="4"/>
      <c r="GC1728" s="4"/>
      <c r="GD1728" s="4"/>
      <c r="GE1728" s="4"/>
      <c r="GF1728" s="4"/>
      <c r="GG1728" s="4"/>
      <c r="GH1728" s="4"/>
    </row>
    <row r="1729">
      <c r="A1729" s="2" t="s">
        <v>8847</v>
      </c>
      <c r="B1729" s="2" t="s">
        <v>744</v>
      </c>
      <c r="C1729" s="2" t="s">
        <v>231</v>
      </c>
      <c r="D1729" s="2" t="s">
        <v>795</v>
      </c>
      <c r="E1729" s="2" t="s">
        <v>796</v>
      </c>
      <c r="F1729" s="2" t="s">
        <v>8848</v>
      </c>
      <c r="G1729" s="2" t="s">
        <v>8849</v>
      </c>
      <c r="H1729" s="2" t="s">
        <v>8850</v>
      </c>
      <c r="I1729" s="2" t="s">
        <v>8851</v>
      </c>
      <c r="J1729" s="2" t="s">
        <v>711</v>
      </c>
      <c r="K1729" s="2" t="s">
        <v>8852</v>
      </c>
      <c r="L1729" s="3">
        <v>207</v>
      </c>
      <c r="M1729" s="3">
        <v>217.35</v>
      </c>
      <c r="N1729" s="3">
        <v>439</v>
      </c>
      <c r="O1729" s="2" t="s">
        <v>212</v>
      </c>
      <c r="P1729" s="2" t="s">
        <v>258</v>
      </c>
      <c r="Q1729" s="2" t="s">
        <v>206</v>
      </c>
      <c r="R1729" s="2" t="s">
        <v>200</v>
      </c>
      <c r="S1729" s="2" t="s">
        <v>200</v>
      </c>
      <c r="T1729" s="2" t="s">
        <v>200</v>
      </c>
      <c r="U1729" s="2" t="s">
        <v>200</v>
      </c>
      <c r="V1729" s="2" t="s">
        <v>208</v>
      </c>
      <c r="W1729" s="2" t="s">
        <v>419</v>
      </c>
      <c r="X1729" s="2" t="s">
        <v>200</v>
      </c>
      <c r="Y1729" s="2" t="s">
        <v>978</v>
      </c>
      <c r="Z1729" s="4">
        <v>192</v>
      </c>
      <c r="AA1729" s="4">
        <f>=ROUNDDOWN(21.3333333333333,0)</f>
      </c>
      <c r="AB1729" s="5">
        <v>9</v>
      </c>
      <c r="AC1729" s="2" t="s">
        <v>4455</v>
      </c>
      <c r="AD1729" s="4">
        <v>17</v>
      </c>
      <c r="AE1729" s="4">
        <v>161</v>
      </c>
      <c r="AF1729" s="6">
        <v>74</v>
      </c>
      <c r="AG1729" s="6"/>
      <c r="AH1729" s="7">
        <v>1</v>
      </c>
      <c r="AI1729" s="4"/>
      <c r="AJ1729" s="4">
        <f>=ROUNDDOWN({0},0)</f>
      </c>
      <c r="AK1729" s="5"/>
      <c r="AL1729" s="2" t="s">
        <v>200</v>
      </c>
      <c r="AM1729" s="4"/>
      <c r="AN1729" s="4"/>
      <c r="AO1729" s="7"/>
      <c r="AP1729" s="4"/>
      <c r="AQ1729" s="8"/>
      <c r="AR1729" s="4"/>
      <c r="AS1729" s="8"/>
      <c r="AT1729" s="7"/>
      <c r="AU1729" s="7"/>
      <c r="AV1729" s="4"/>
      <c r="AW1729" s="8"/>
      <c r="AX1729" s="4"/>
      <c r="AY1729" s="8"/>
      <c r="AZ1729" s="7"/>
      <c r="BA1729" s="7"/>
      <c r="BB1729" s="7"/>
      <c r="BC1729" s="4" t="s">
        <v>200</v>
      </c>
      <c r="BD1729" s="8" t="s">
        <v>200</v>
      </c>
      <c r="BE1729" s="4" t="s">
        <v>200</v>
      </c>
      <c r="BF1729" s="8" t="s">
        <v>200</v>
      </c>
      <c r="BG1729" s="7" t="s">
        <v>200</v>
      </c>
      <c r="BH1729" s="7" t="s">
        <v>200</v>
      </c>
      <c r="BI1729" s="7"/>
      <c r="BJ1729" s="4">
        <v>31</v>
      </c>
      <c r="BK1729" s="8">
        <v>6148.28</v>
      </c>
      <c r="BL1729" s="2" t="s">
        <v>8853</v>
      </c>
      <c r="BM1729" s="7"/>
      <c r="BN1729" s="7"/>
      <c r="BO1729" s="4"/>
      <c r="BP1729" s="8"/>
      <c r="BQ1729" s="4"/>
      <c r="BR1729" s="8"/>
      <c r="BS1729" s="7"/>
      <c r="BT1729" s="7"/>
      <c r="BU1729" s="2" t="s">
        <v>8854</v>
      </c>
      <c r="BV1729" s="2" t="s">
        <v>200</v>
      </c>
      <c r="BW1729" s="2" t="s">
        <v>200</v>
      </c>
      <c r="BX1729" s="2" t="s">
        <v>6304</v>
      </c>
      <c r="BY1729" s="2" t="s">
        <v>247</v>
      </c>
      <c r="BZ1729" s="2" t="s">
        <v>212</v>
      </c>
      <c r="CA1729" s="2" t="s">
        <v>3746</v>
      </c>
      <c r="CB1729" s="2" t="s">
        <v>8855</v>
      </c>
      <c r="CC1729" s="2" t="s">
        <v>213</v>
      </c>
      <c r="CD1729" s="2" t="s">
        <v>200</v>
      </c>
      <c r="CE1729" s="4"/>
      <c r="CF1729" s="4">
        <v>192</v>
      </c>
      <c r="CG1729" s="4"/>
      <c r="CH1729" s="4"/>
      <c r="CI1729" s="4"/>
      <c r="CJ1729" s="4"/>
      <c r="CK1729" s="4"/>
      <c r="CL1729" s="4"/>
      <c r="CM1729" s="4"/>
      <c r="CN1729" s="4"/>
      <c r="CO1729" s="4"/>
      <c r="CP1729" s="4"/>
      <c r="CQ1729" s="4"/>
      <c r="CR1729" s="4"/>
      <c r="CS1729" s="4"/>
      <c r="CT1729" s="4"/>
      <c r="CU1729" s="4"/>
      <c r="CV1729" s="4"/>
      <c r="CW1729" s="4"/>
      <c r="CX1729" s="4"/>
      <c r="CY1729" s="4"/>
      <c r="CZ1729" s="4"/>
      <c r="DA1729" s="4"/>
      <c r="DB1729" s="4"/>
      <c r="DC1729" s="4"/>
      <c r="DD1729" s="4"/>
      <c r="DE1729" s="4"/>
      <c r="DF1729" s="4"/>
      <c r="DG1729" s="4"/>
      <c r="DH1729" s="4"/>
      <c r="DI1729" s="4"/>
      <c r="DJ1729" s="4"/>
      <c r="DK1729" s="4"/>
      <c r="DL1729" s="4"/>
      <c r="DM1729" s="4"/>
      <c r="DN1729" s="4"/>
      <c r="DO1729" s="4"/>
      <c r="DP1729" s="4"/>
      <c r="DQ1729" s="4"/>
      <c r="DR1729" s="4"/>
      <c r="DS1729" s="4"/>
      <c r="DT1729" s="4"/>
      <c r="DU1729" s="4"/>
      <c r="DV1729" s="4"/>
      <c r="DW1729" s="4"/>
      <c r="DX1729" s="4"/>
      <c r="DY1729" s="4"/>
      <c r="DZ1729" s="4"/>
      <c r="EA1729" s="4"/>
      <c r="EB1729" s="4"/>
      <c r="EC1729" s="4"/>
      <c r="ED1729" s="4"/>
      <c r="EE1729" s="4"/>
      <c r="EF1729" s="4"/>
      <c r="EG1729" s="4"/>
      <c r="EH1729" s="4">
        <v>17</v>
      </c>
      <c r="EI1729" s="4"/>
      <c r="EJ1729" s="4"/>
      <c r="EK1729" s="4"/>
      <c r="EL1729" s="4"/>
      <c r="EM1729" s="4"/>
      <c r="EN1729" s="4"/>
      <c r="EO1729" s="4"/>
      <c r="EP1729" s="4"/>
      <c r="EQ1729" s="4"/>
      <c r="ER1729" s="4"/>
      <c r="ES1729" s="4"/>
      <c r="ET1729" s="4"/>
      <c r="EU1729" s="4"/>
      <c r="EV1729" s="4"/>
      <c r="EW1729" s="4"/>
      <c r="EX1729" s="4"/>
      <c r="EY1729" s="4"/>
      <c r="EZ1729" s="4"/>
      <c r="FA1729" s="4"/>
      <c r="FB1729" s="4"/>
      <c r="FC1729" s="4"/>
      <c r="FD1729" s="4"/>
      <c r="FE1729" s="4"/>
      <c r="FF1729" s="4"/>
      <c r="FG1729" s="4"/>
      <c r="FH1729" s="4">
        <v>144</v>
      </c>
      <c r="FI1729" s="4"/>
      <c r="FJ1729" s="4"/>
      <c r="FK1729" s="4"/>
      <c r="FL1729" s="4"/>
      <c r="FM1729" s="4"/>
      <c r="FN1729" s="4"/>
      <c r="FO1729" s="4"/>
      <c r="FP1729" s="4"/>
      <c r="FQ1729" s="4"/>
      <c r="FR1729" s="4"/>
      <c r="FS1729" s="4"/>
      <c r="FT1729" s="4"/>
      <c r="FU1729" s="4"/>
      <c r="FV1729" s="4"/>
      <c r="FW1729" s="4"/>
      <c r="FX1729" s="4"/>
      <c r="FY1729" s="4"/>
      <c r="FZ1729" s="4"/>
      <c r="GA1729" s="4"/>
      <c r="GB1729" s="4"/>
      <c r="GC1729" s="4"/>
      <c r="GD1729" s="4"/>
      <c r="GE1729" s="4"/>
      <c r="GF1729" s="4"/>
      <c r="GG1729" s="4"/>
      <c r="GH1729" s="4"/>
    </row>
    <row r="1730">
      <c r="A1730" s="2" t="s">
        <v>8856</v>
      </c>
      <c r="B1730" s="2" t="s">
        <v>744</v>
      </c>
      <c r="C1730" s="2" t="s">
        <v>231</v>
      </c>
      <c r="D1730" s="2" t="s">
        <v>795</v>
      </c>
      <c r="E1730" s="2" t="s">
        <v>796</v>
      </c>
      <c r="F1730" s="2" t="s">
        <v>8848</v>
      </c>
      <c r="G1730" s="2" t="s">
        <v>8849</v>
      </c>
      <c r="H1730" s="2" t="s">
        <v>8850</v>
      </c>
      <c r="I1730" s="2" t="s">
        <v>8851</v>
      </c>
      <c r="J1730" s="2" t="s">
        <v>711</v>
      </c>
      <c r="K1730" s="2" t="s">
        <v>8857</v>
      </c>
      <c r="L1730" s="3">
        <v>207</v>
      </c>
      <c r="M1730" s="3">
        <v>217.35</v>
      </c>
      <c r="N1730" s="3">
        <v>439</v>
      </c>
      <c r="O1730" s="2" t="s">
        <v>212</v>
      </c>
      <c r="P1730" s="2" t="s">
        <v>3519</v>
      </c>
      <c r="Q1730" s="2" t="s">
        <v>206</v>
      </c>
      <c r="R1730" s="2" t="s">
        <v>200</v>
      </c>
      <c r="S1730" s="2" t="s">
        <v>8858</v>
      </c>
      <c r="T1730" s="2" t="s">
        <v>200</v>
      </c>
      <c r="U1730" s="2" t="s">
        <v>200</v>
      </c>
      <c r="V1730" s="2" t="s">
        <v>208</v>
      </c>
      <c r="W1730" s="2" t="s">
        <v>419</v>
      </c>
      <c r="X1730" s="2" t="s">
        <v>200</v>
      </c>
      <c r="Y1730" s="2" t="s">
        <v>4157</v>
      </c>
      <c r="Z1730" s="4">
        <v>224</v>
      </c>
      <c r="AA1730" s="4">
        <f>=ROUNDDOWN(11.7894736842105,0)</f>
      </c>
      <c r="AB1730" s="5">
        <v>19</v>
      </c>
      <c r="AC1730" s="2" t="s">
        <v>116</v>
      </c>
      <c r="AD1730" s="4">
        <v>171</v>
      </c>
      <c r="AE1730" s="4">
        <v>892</v>
      </c>
      <c r="AF1730" s="6">
        <v>74</v>
      </c>
      <c r="AG1730" s="6">
        <v>60</v>
      </c>
      <c r="AH1730" s="7">
        <v>1</v>
      </c>
      <c r="AI1730" s="4"/>
      <c r="AJ1730" s="4">
        <f>=ROUNDDOWN({0},0)</f>
      </c>
      <c r="AK1730" s="5"/>
      <c r="AL1730" s="2" t="s">
        <v>123</v>
      </c>
      <c r="AM1730" s="4">
        <v>80</v>
      </c>
      <c r="AN1730" s="4">
        <v>290</v>
      </c>
      <c r="AO1730" s="7">
        <v>0</v>
      </c>
      <c r="AP1730" s="4"/>
      <c r="AQ1730" s="8"/>
      <c r="AR1730" s="4"/>
      <c r="AS1730" s="8"/>
      <c r="AT1730" s="7"/>
      <c r="AU1730" s="7"/>
      <c r="AV1730" s="4"/>
      <c r="AW1730" s="8"/>
      <c r="AX1730" s="4"/>
      <c r="AY1730" s="8"/>
      <c r="AZ1730" s="7"/>
      <c r="BA1730" s="7"/>
      <c r="BB1730" s="7"/>
      <c r="BC1730" s="4" t="s">
        <v>200</v>
      </c>
      <c r="BD1730" s="8" t="s">
        <v>200</v>
      </c>
      <c r="BE1730" s="4" t="s">
        <v>200</v>
      </c>
      <c r="BF1730" s="8" t="s">
        <v>200</v>
      </c>
      <c r="BG1730" s="7" t="s">
        <v>200</v>
      </c>
      <c r="BH1730" s="7" t="s">
        <v>200</v>
      </c>
      <c r="BI1730" s="7"/>
      <c r="BJ1730" s="4">
        <v>138</v>
      </c>
      <c r="BK1730" s="8">
        <v>25454.09</v>
      </c>
      <c r="BL1730" s="2" t="s">
        <v>8859</v>
      </c>
      <c r="BM1730" s="7"/>
      <c r="BN1730" s="7"/>
      <c r="BO1730" s="4"/>
      <c r="BP1730" s="8"/>
      <c r="BQ1730" s="4"/>
      <c r="BR1730" s="8"/>
      <c r="BS1730" s="7"/>
      <c r="BT1730" s="7"/>
      <c r="BU1730" s="2" t="s">
        <v>8860</v>
      </c>
      <c r="BV1730" s="2" t="s">
        <v>200</v>
      </c>
      <c r="BW1730" s="2" t="s">
        <v>200</v>
      </c>
      <c r="BX1730" s="2" t="s">
        <v>6304</v>
      </c>
      <c r="BY1730" s="2" t="s">
        <v>247</v>
      </c>
      <c r="BZ1730" s="2" t="s">
        <v>212</v>
      </c>
      <c r="CA1730" s="2" t="s">
        <v>1237</v>
      </c>
      <c r="CB1730" s="2" t="s">
        <v>6712</v>
      </c>
      <c r="CC1730" s="2" t="s">
        <v>213</v>
      </c>
      <c r="CD1730" s="2" t="s">
        <v>200</v>
      </c>
      <c r="CE1730" s="4"/>
      <c r="CF1730" s="4">
        <v>224</v>
      </c>
      <c r="CG1730" s="4"/>
      <c r="CH1730" s="4"/>
      <c r="CI1730" s="4"/>
      <c r="CJ1730" s="4"/>
      <c r="CK1730" s="4"/>
      <c r="CL1730" s="4"/>
      <c r="CM1730" s="4"/>
      <c r="CN1730" s="4"/>
      <c r="CO1730" s="4"/>
      <c r="CP1730" s="4"/>
      <c r="CQ1730" s="4"/>
      <c r="CR1730" s="4"/>
      <c r="CS1730" s="4"/>
      <c r="CT1730" s="4"/>
      <c r="CU1730" s="4"/>
      <c r="CV1730" s="4"/>
      <c r="CW1730" s="4"/>
      <c r="CX1730" s="4"/>
      <c r="CY1730" s="4"/>
      <c r="CZ1730" s="4"/>
      <c r="DA1730" s="4"/>
      <c r="DB1730" s="4"/>
      <c r="DC1730" s="4">
        <v>171</v>
      </c>
      <c r="DD1730" s="4"/>
      <c r="DE1730" s="4"/>
      <c r="DF1730" s="4"/>
      <c r="DG1730" s="4"/>
      <c r="DH1730" s="4"/>
      <c r="DI1730" s="4"/>
      <c r="DJ1730" s="4"/>
      <c r="DK1730" s="4"/>
      <c r="DL1730" s="4"/>
      <c r="DM1730" s="4"/>
      <c r="DN1730" s="4">
        <v>144</v>
      </c>
      <c r="DO1730" s="4"/>
      <c r="DP1730" s="4"/>
      <c r="DQ1730" s="4"/>
      <c r="DR1730" s="4"/>
      <c r="DS1730" s="4"/>
      <c r="DT1730" s="4"/>
      <c r="DU1730" s="4"/>
      <c r="DV1730" s="4"/>
      <c r="DW1730" s="4"/>
      <c r="DX1730" s="4"/>
      <c r="DY1730" s="4"/>
      <c r="DZ1730" s="4"/>
      <c r="EA1730" s="4"/>
      <c r="EB1730" s="4">
        <v>55</v>
      </c>
      <c r="EC1730" s="4"/>
      <c r="ED1730" s="4">
        <v>156</v>
      </c>
      <c r="EE1730" s="4"/>
      <c r="EF1730" s="4"/>
      <c r="EG1730" s="4"/>
      <c r="EH1730" s="4">
        <v>336</v>
      </c>
      <c r="EI1730" s="4"/>
      <c r="EJ1730" s="4"/>
      <c r="EK1730" s="4"/>
      <c r="EL1730" s="4"/>
      <c r="EM1730" s="4"/>
      <c r="EN1730" s="4"/>
      <c r="EO1730" s="4"/>
      <c r="EP1730" s="4"/>
      <c r="EQ1730" s="4"/>
      <c r="ER1730" s="4"/>
      <c r="ES1730" s="4"/>
      <c r="ET1730" s="4">
        <v>30</v>
      </c>
      <c r="EU1730" s="4"/>
      <c r="EV1730" s="4"/>
      <c r="EW1730" s="4"/>
      <c r="EX1730" s="4"/>
      <c r="EY1730" s="4"/>
      <c r="EZ1730" s="4"/>
      <c r="FA1730" s="4"/>
      <c r="FB1730" s="4"/>
      <c r="FC1730" s="4"/>
      <c r="FD1730" s="4"/>
      <c r="FE1730" s="4"/>
      <c r="FF1730" s="4"/>
      <c r="FG1730" s="4"/>
      <c r="FH1730" s="4"/>
      <c r="FI1730" s="4"/>
      <c r="FJ1730" s="4"/>
      <c r="FK1730" s="4"/>
      <c r="FL1730" s="4"/>
      <c r="FM1730" s="4"/>
      <c r="FN1730" s="4"/>
      <c r="FO1730" s="4"/>
      <c r="FP1730" s="4"/>
      <c r="FQ1730" s="4"/>
      <c r="FR1730" s="4"/>
      <c r="FS1730" s="4"/>
      <c r="FT1730" s="4"/>
      <c r="FU1730" s="4"/>
      <c r="FV1730" s="4"/>
      <c r="FW1730" s="4"/>
      <c r="FX1730" s="4"/>
      <c r="FY1730" s="4"/>
      <c r="FZ1730" s="4"/>
      <c r="GA1730" s="4"/>
      <c r="GB1730" s="4"/>
      <c r="GC1730" s="4"/>
      <c r="GD1730" s="4"/>
      <c r="GE1730" s="4">
        <v>80</v>
      </c>
      <c r="GF1730" s="4">
        <v>120</v>
      </c>
      <c r="GG1730" s="4"/>
      <c r="GH1730" s="4">
        <v>90</v>
      </c>
    </row>
    <row r="1731">
      <c r="A1731" s="2" t="s">
        <v>8861</v>
      </c>
      <c r="B1731" s="2" t="s">
        <v>744</v>
      </c>
      <c r="C1731" s="2" t="s">
        <v>231</v>
      </c>
      <c r="D1731" s="2" t="s">
        <v>1332</v>
      </c>
      <c r="E1731" s="2" t="s">
        <v>1333</v>
      </c>
      <c r="F1731" s="2" t="s">
        <v>8017</v>
      </c>
      <c r="G1731" s="2" t="s">
        <v>8862</v>
      </c>
      <c r="H1731" s="2" t="s">
        <v>8863</v>
      </c>
      <c r="I1731" s="2" t="s">
        <v>8864</v>
      </c>
      <c r="J1731" s="2" t="s">
        <v>711</v>
      </c>
      <c r="K1731" s="2" t="s">
        <v>4041</v>
      </c>
      <c r="L1731" s="3">
        <v>133</v>
      </c>
      <c r="M1731" s="3">
        <v>139.65</v>
      </c>
      <c r="N1731" s="3">
        <v>279</v>
      </c>
      <c r="O1731" s="2" t="s">
        <v>212</v>
      </c>
      <c r="P1731" s="2" t="s">
        <v>258</v>
      </c>
      <c r="Q1731" s="2" t="s">
        <v>206</v>
      </c>
      <c r="R1731" s="2" t="s">
        <v>200</v>
      </c>
      <c r="S1731" s="2" t="s">
        <v>8865</v>
      </c>
      <c r="T1731" s="2" t="s">
        <v>200</v>
      </c>
      <c r="U1731" s="2" t="s">
        <v>200</v>
      </c>
      <c r="V1731" s="2" t="s">
        <v>208</v>
      </c>
      <c r="W1731" s="2" t="s">
        <v>419</v>
      </c>
      <c r="X1731" s="2" t="s">
        <v>200</v>
      </c>
      <c r="Y1731" s="2" t="s">
        <v>1082</v>
      </c>
      <c r="Z1731" s="4">
        <v>39</v>
      </c>
      <c r="AA1731" s="4">
        <f>=ROUNDDOWN(7.8,0)</f>
      </c>
      <c r="AB1731" s="5">
        <v>5</v>
      </c>
      <c r="AC1731" s="2" t="s">
        <v>2591</v>
      </c>
      <c r="AD1731" s="4">
        <v>1</v>
      </c>
      <c r="AE1731" s="4">
        <v>116</v>
      </c>
      <c r="AF1731" s="6">
        <v>66</v>
      </c>
      <c r="AG1731" s="6">
        <v>49</v>
      </c>
      <c r="AH1731" s="7">
        <v>1</v>
      </c>
      <c r="AI1731" s="4"/>
      <c r="AJ1731" s="4">
        <f>=ROUNDDOWN({0},0)</f>
      </c>
      <c r="AK1731" s="5"/>
      <c r="AL1731" s="2" t="s">
        <v>200</v>
      </c>
      <c r="AM1731" s="4"/>
      <c r="AN1731" s="4"/>
      <c r="AO1731" s="7"/>
      <c r="AP1731" s="4"/>
      <c r="AQ1731" s="8"/>
      <c r="AR1731" s="4"/>
      <c r="AS1731" s="8"/>
      <c r="AT1731" s="7"/>
      <c r="AU1731" s="7"/>
      <c r="AV1731" s="4"/>
      <c r="AW1731" s="8"/>
      <c r="AX1731" s="4"/>
      <c r="AY1731" s="8"/>
      <c r="AZ1731" s="7"/>
      <c r="BA1731" s="7"/>
      <c r="BB1731" s="7"/>
      <c r="BC1731" s="4"/>
      <c r="BD1731" s="8"/>
      <c r="BE1731" s="4"/>
      <c r="BF1731" s="8"/>
      <c r="BG1731" s="7"/>
      <c r="BH1731" s="7"/>
      <c r="BI1731" s="7"/>
      <c r="BJ1731" s="4">
        <v>47</v>
      </c>
      <c r="BK1731" s="8">
        <v>6017.78</v>
      </c>
      <c r="BL1731" s="2" t="s">
        <v>8866</v>
      </c>
      <c r="BM1731" s="7"/>
      <c r="BN1731" s="7"/>
      <c r="BO1731" s="4"/>
      <c r="BP1731" s="8"/>
      <c r="BQ1731" s="4"/>
      <c r="BR1731" s="8"/>
      <c r="BS1731" s="7"/>
      <c r="BT1731" s="7"/>
      <c r="BU1731" s="2" t="s">
        <v>8867</v>
      </c>
      <c r="BV1731" s="2" t="s">
        <v>200</v>
      </c>
      <c r="BW1731" s="2" t="s">
        <v>200</v>
      </c>
      <c r="BX1731" s="2" t="s">
        <v>264</v>
      </c>
      <c r="BY1731" s="2" t="s">
        <v>247</v>
      </c>
      <c r="BZ1731" s="2" t="s">
        <v>212</v>
      </c>
      <c r="CA1731" s="2" t="s">
        <v>5398</v>
      </c>
      <c r="CB1731" s="2" t="s">
        <v>8868</v>
      </c>
      <c r="CC1731" s="2" t="s">
        <v>213</v>
      </c>
      <c r="CD1731" s="2" t="s">
        <v>200</v>
      </c>
      <c r="CE1731" s="4"/>
      <c r="CF1731" s="4">
        <v>39</v>
      </c>
      <c r="CG1731" s="4"/>
      <c r="CH1731" s="4"/>
      <c r="CI1731" s="4"/>
      <c r="CJ1731" s="4"/>
      <c r="CK1731" s="4"/>
      <c r="CL1731" s="4"/>
      <c r="CM1731" s="4"/>
      <c r="CN1731" s="4"/>
      <c r="CO1731" s="4"/>
      <c r="CP1731" s="4"/>
      <c r="CQ1731" s="4"/>
      <c r="CR1731" s="4"/>
      <c r="CS1731" s="4"/>
      <c r="CT1731" s="4"/>
      <c r="CU1731" s="4"/>
      <c r="CV1731" s="4"/>
      <c r="CW1731" s="4"/>
      <c r="CX1731" s="4"/>
      <c r="CY1731" s="4"/>
      <c r="CZ1731" s="4"/>
      <c r="DA1731" s="4"/>
      <c r="DB1731" s="4"/>
      <c r="DC1731" s="4"/>
      <c r="DD1731" s="4"/>
      <c r="DE1731" s="4"/>
      <c r="DF1731" s="4"/>
      <c r="DG1731" s="4"/>
      <c r="DH1731" s="4"/>
      <c r="DI1731" s="4"/>
      <c r="DJ1731" s="4"/>
      <c r="DK1731" s="4"/>
      <c r="DL1731" s="4"/>
      <c r="DM1731" s="4"/>
      <c r="DN1731" s="4"/>
      <c r="DO1731" s="4"/>
      <c r="DP1731" s="4"/>
      <c r="DQ1731" s="4"/>
      <c r="DR1731" s="4"/>
      <c r="DS1731" s="4"/>
      <c r="DT1731" s="4"/>
      <c r="DU1731" s="4"/>
      <c r="DV1731" s="4"/>
      <c r="DW1731" s="4"/>
      <c r="DX1731" s="4"/>
      <c r="DY1731" s="4"/>
      <c r="DZ1731" s="4"/>
      <c r="EA1731" s="4"/>
      <c r="EB1731" s="4"/>
      <c r="EC1731" s="4"/>
      <c r="ED1731" s="4"/>
      <c r="EE1731" s="4"/>
      <c r="EF1731" s="4"/>
      <c r="EG1731" s="4"/>
      <c r="EH1731" s="4"/>
      <c r="EI1731" s="4"/>
      <c r="EJ1731" s="4"/>
      <c r="EK1731" s="4"/>
      <c r="EL1731" s="4"/>
      <c r="EM1731" s="4"/>
      <c r="EN1731" s="4"/>
      <c r="EO1731" s="4"/>
      <c r="EP1731" s="4"/>
      <c r="EQ1731" s="4"/>
      <c r="ER1731" s="4"/>
      <c r="ES1731" s="4"/>
      <c r="ET1731" s="4"/>
      <c r="EU1731" s="4"/>
      <c r="EV1731" s="4"/>
      <c r="EW1731" s="4"/>
      <c r="EX1731" s="4"/>
      <c r="EY1731" s="4">
        <v>1</v>
      </c>
      <c r="EZ1731" s="4">
        <v>115</v>
      </c>
      <c r="FA1731" s="4"/>
      <c r="FB1731" s="4"/>
      <c r="FC1731" s="4"/>
      <c r="FD1731" s="4"/>
      <c r="FE1731" s="4"/>
      <c r="FF1731" s="4"/>
      <c r="FG1731" s="4"/>
      <c r="FH1731" s="4"/>
      <c r="FI1731" s="4"/>
      <c r="FJ1731" s="4"/>
      <c r="FK1731" s="4"/>
      <c r="FL1731" s="4"/>
      <c r="FM1731" s="4"/>
      <c r="FN1731" s="4"/>
      <c r="FO1731" s="4"/>
      <c r="FP1731" s="4"/>
      <c r="FQ1731" s="4"/>
      <c r="FR1731" s="4"/>
      <c r="FS1731" s="4"/>
      <c r="FT1731" s="4"/>
      <c r="FU1731" s="4"/>
      <c r="FV1731" s="4"/>
      <c r="FW1731" s="4"/>
      <c r="FX1731" s="4"/>
      <c r="FY1731" s="4"/>
      <c r="FZ1731" s="4"/>
      <c r="GA1731" s="4"/>
      <c r="GB1731" s="4"/>
      <c r="GC1731" s="4"/>
      <c r="GD1731" s="4"/>
      <c r="GE1731" s="4"/>
      <c r="GF1731" s="4"/>
      <c r="GG1731" s="4"/>
      <c r="GH1731" s="4"/>
    </row>
    <row r="1732">
      <c r="A1732" s="2" t="s">
        <v>8869</v>
      </c>
      <c r="B1732" s="2" t="s">
        <v>705</v>
      </c>
      <c r="C1732" s="2" t="s">
        <v>745</v>
      </c>
      <c r="D1732" s="2" t="s">
        <v>817</v>
      </c>
      <c r="E1732" s="2" t="s">
        <v>818</v>
      </c>
      <c r="F1732" s="2" t="s">
        <v>8870</v>
      </c>
      <c r="G1732" s="2" t="s">
        <v>8870</v>
      </c>
      <c r="H1732" s="2" t="s">
        <v>8870</v>
      </c>
      <c r="I1732" s="2" t="s">
        <v>8871</v>
      </c>
      <c r="J1732" s="2" t="s">
        <v>711</v>
      </c>
      <c r="K1732" s="2" t="s">
        <v>257</v>
      </c>
      <c r="L1732" s="3">
        <v>40.5</v>
      </c>
      <c r="M1732" s="3">
        <v>42.53</v>
      </c>
      <c r="N1732" s="3">
        <v>84.99</v>
      </c>
      <c r="O1732" s="2" t="s">
        <v>212</v>
      </c>
      <c r="P1732" s="2" t="s">
        <v>205</v>
      </c>
      <c r="Q1732" s="2" t="s">
        <v>206</v>
      </c>
      <c r="R1732" s="2" t="s">
        <v>200</v>
      </c>
      <c r="S1732" s="2" t="s">
        <v>200</v>
      </c>
      <c r="T1732" s="2" t="s">
        <v>200</v>
      </c>
      <c r="U1732" s="2" t="s">
        <v>270</v>
      </c>
      <c r="V1732" s="2" t="s">
        <v>616</v>
      </c>
      <c r="W1732" s="2" t="s">
        <v>379</v>
      </c>
      <c r="X1732" s="2" t="s">
        <v>241</v>
      </c>
      <c r="Y1732" s="2" t="s">
        <v>5489</v>
      </c>
      <c r="Z1732" s="4">
        <v>92</v>
      </c>
      <c r="AA1732" s="4">
        <f>=ROUNDDOWN(92,0)</f>
      </c>
      <c r="AB1732" s="5">
        <v>1</v>
      </c>
      <c r="AC1732" s="2" t="s">
        <v>200</v>
      </c>
      <c r="AD1732" s="4"/>
      <c r="AE1732" s="4"/>
      <c r="AF1732" s="6">
        <v>65</v>
      </c>
      <c r="AG1732" s="6"/>
      <c r="AH1732" s="7">
        <v>1</v>
      </c>
      <c r="AI1732" s="4"/>
      <c r="AJ1732" s="4">
        <f>=ROUNDDOWN({0},0)</f>
      </c>
      <c r="AK1732" s="5"/>
      <c r="AL1732" s="2" t="s">
        <v>200</v>
      </c>
      <c r="AM1732" s="4"/>
      <c r="AN1732" s="4"/>
      <c r="AO1732" s="7"/>
      <c r="AP1732" s="4"/>
      <c r="AQ1732" s="8"/>
      <c r="AR1732" s="4"/>
      <c r="AS1732" s="8"/>
      <c r="AT1732" s="7"/>
      <c r="AU1732" s="7"/>
      <c r="AV1732" s="4"/>
      <c r="AW1732" s="8"/>
      <c r="AX1732" s="4"/>
      <c r="AY1732" s="8"/>
      <c r="AZ1732" s="7"/>
      <c r="BA1732" s="7"/>
      <c r="BB1732" s="7"/>
      <c r="BC1732" s="4"/>
      <c r="BD1732" s="8"/>
      <c r="BE1732" s="4"/>
      <c r="BF1732" s="8"/>
      <c r="BG1732" s="7"/>
      <c r="BH1732" s="7"/>
      <c r="BI1732" s="7"/>
      <c r="BJ1732" s="4">
        <v>5</v>
      </c>
      <c r="BK1732" s="8">
        <v>218.6</v>
      </c>
      <c r="BL1732" s="2" t="s">
        <v>2183</v>
      </c>
      <c r="BM1732" s="7"/>
      <c r="BN1732" s="7"/>
      <c r="BO1732" s="4"/>
      <c r="BP1732" s="8"/>
      <c r="BQ1732" s="4"/>
      <c r="BR1732" s="8"/>
      <c r="BS1732" s="7"/>
      <c r="BT1732" s="7"/>
      <c r="BU1732" s="2" t="s">
        <v>8872</v>
      </c>
      <c r="BV1732" s="2" t="s">
        <v>200</v>
      </c>
      <c r="BW1732" s="2" t="s">
        <v>200</v>
      </c>
      <c r="BX1732" s="2" t="s">
        <v>264</v>
      </c>
      <c r="BY1732" s="2" t="s">
        <v>247</v>
      </c>
      <c r="BZ1732" s="2" t="s">
        <v>212</v>
      </c>
      <c r="CA1732" s="2" t="s">
        <v>1295</v>
      </c>
      <c r="CB1732" s="2" t="s">
        <v>200</v>
      </c>
      <c r="CC1732" s="2" t="s">
        <v>213</v>
      </c>
      <c r="CD1732" s="2" t="s">
        <v>200</v>
      </c>
      <c r="CE1732" s="4"/>
      <c r="CF1732" s="4">
        <v>92</v>
      </c>
      <c r="CG1732" s="4"/>
      <c r="CH1732" s="4"/>
      <c r="CI1732" s="4"/>
      <c r="CJ1732" s="4"/>
      <c r="CK1732" s="4"/>
      <c r="CL1732" s="4"/>
      <c r="CM1732" s="4"/>
      <c r="CN1732" s="4"/>
      <c r="CO1732" s="4"/>
      <c r="CP1732" s="4"/>
      <c r="CQ1732" s="4"/>
      <c r="CR1732" s="4"/>
      <c r="CS1732" s="4"/>
      <c r="CT1732" s="4"/>
      <c r="CU1732" s="4"/>
      <c r="CV1732" s="4"/>
      <c r="CW1732" s="4"/>
      <c r="CX1732" s="4"/>
      <c r="CY1732" s="4"/>
      <c r="CZ1732" s="4"/>
      <c r="DA1732" s="4"/>
      <c r="DB1732" s="4"/>
      <c r="DC1732" s="4"/>
      <c r="DD1732" s="4"/>
      <c r="DE1732" s="4"/>
      <c r="DF1732" s="4"/>
      <c r="DG1732" s="4"/>
      <c r="DH1732" s="4"/>
      <c r="DI1732" s="4"/>
      <c r="DJ1732" s="4"/>
      <c r="DK1732" s="4"/>
      <c r="DL1732" s="4"/>
      <c r="DM1732" s="4"/>
      <c r="DN1732" s="4"/>
      <c r="DO1732" s="4"/>
      <c r="DP1732" s="4"/>
      <c r="DQ1732" s="4"/>
      <c r="DR1732" s="4"/>
      <c r="DS1732" s="4"/>
      <c r="DT1732" s="4"/>
      <c r="DU1732" s="4"/>
      <c r="DV1732" s="4"/>
      <c r="DW1732" s="4"/>
      <c r="DX1732" s="4"/>
      <c r="DY1732" s="4"/>
      <c r="DZ1732" s="4"/>
      <c r="EA1732" s="4"/>
      <c r="EB1732" s="4"/>
      <c r="EC1732" s="4"/>
      <c r="ED1732" s="4"/>
      <c r="EE1732" s="4"/>
      <c r="EF1732" s="4"/>
      <c r="EG1732" s="4"/>
      <c r="EH1732" s="4"/>
      <c r="EI1732" s="4"/>
      <c r="EJ1732" s="4"/>
      <c r="EK1732" s="4"/>
      <c r="EL1732" s="4"/>
      <c r="EM1732" s="4"/>
      <c r="EN1732" s="4"/>
      <c r="EO1732" s="4"/>
      <c r="EP1732" s="4"/>
      <c r="EQ1732" s="4"/>
      <c r="ER1732" s="4"/>
      <c r="ES1732" s="4"/>
      <c r="ET1732" s="4"/>
      <c r="EU1732" s="4"/>
      <c r="EV1732" s="4"/>
      <c r="EW1732" s="4"/>
      <c r="EX1732" s="4"/>
      <c r="EY1732" s="4"/>
      <c r="EZ1732" s="4"/>
      <c r="FA1732" s="4"/>
      <c r="FB1732" s="4"/>
      <c r="FC1732" s="4"/>
      <c r="FD1732" s="4"/>
      <c r="FE1732" s="4"/>
      <c r="FF1732" s="4"/>
      <c r="FG1732" s="4"/>
      <c r="FH1732" s="4"/>
      <c r="FI1732" s="4"/>
      <c r="FJ1732" s="4"/>
      <c r="FK1732" s="4"/>
      <c r="FL1732" s="4"/>
      <c r="FM1732" s="4"/>
      <c r="FN1732" s="4"/>
      <c r="FO1732" s="4"/>
      <c r="FP1732" s="4"/>
      <c r="FQ1732" s="4"/>
      <c r="FR1732" s="4"/>
      <c r="FS1732" s="4"/>
      <c r="FT1732" s="4"/>
      <c r="FU1732" s="4"/>
      <c r="FV1732" s="4"/>
      <c r="FW1732" s="4"/>
      <c r="FX1732" s="4"/>
      <c r="FY1732" s="4"/>
      <c r="FZ1732" s="4"/>
      <c r="GA1732" s="4"/>
      <c r="GB1732" s="4"/>
      <c r="GC1732" s="4"/>
      <c r="GD1732" s="4"/>
      <c r="GE1732" s="4"/>
      <c r="GF1732" s="4"/>
      <c r="GG1732" s="4"/>
      <c r="GH1732" s="4"/>
    </row>
    <row r="1733">
      <c r="A1733" s="2" t="s">
        <v>8873</v>
      </c>
      <c r="B1733" s="2" t="s">
        <v>195</v>
      </c>
      <c r="C1733" s="2" t="s">
        <v>877</v>
      </c>
      <c r="D1733" s="2" t="s">
        <v>608</v>
      </c>
      <c r="E1733" s="2" t="s">
        <v>1324</v>
      </c>
      <c r="F1733" s="2" t="s">
        <v>8874</v>
      </c>
      <c r="G1733" s="2" t="s">
        <v>8874</v>
      </c>
      <c r="H1733" s="2" t="s">
        <v>8874</v>
      </c>
      <c r="I1733" s="2" t="s">
        <v>8875</v>
      </c>
      <c r="J1733" s="2" t="s">
        <v>302</v>
      </c>
      <c r="K1733" s="2" t="s">
        <v>2359</v>
      </c>
      <c r="L1733" s="3">
        <v>47.61</v>
      </c>
      <c r="M1733" s="3">
        <v>49.99</v>
      </c>
      <c r="N1733" s="3">
        <v>99.99</v>
      </c>
      <c r="O1733" s="2" t="s">
        <v>212</v>
      </c>
      <c r="P1733" s="2" t="s">
        <v>258</v>
      </c>
      <c r="Q1733" s="2" t="s">
        <v>206</v>
      </c>
      <c r="R1733" s="2" t="s">
        <v>200</v>
      </c>
      <c r="S1733" s="2" t="s">
        <v>8876</v>
      </c>
      <c r="T1733" s="2" t="s">
        <v>2935</v>
      </c>
      <c r="U1733" s="2" t="s">
        <v>454</v>
      </c>
      <c r="V1733" s="2" t="s">
        <v>208</v>
      </c>
      <c r="W1733" s="2" t="s">
        <v>241</v>
      </c>
      <c r="X1733" s="2" t="s">
        <v>200</v>
      </c>
      <c r="Y1733" s="2" t="s">
        <v>2609</v>
      </c>
      <c r="Z1733" s="4">
        <v>281</v>
      </c>
      <c r="AA1733" s="4">
        <f>=ROUNDDOWN(56.2,0)</f>
      </c>
      <c r="AB1733" s="5">
        <v>5</v>
      </c>
      <c r="AC1733" s="2" t="s">
        <v>8877</v>
      </c>
      <c r="AD1733" s="4">
        <v>138</v>
      </c>
      <c r="AE1733" s="4">
        <v>138</v>
      </c>
      <c r="AF1733" s="6">
        <v>65</v>
      </c>
      <c r="AG1733" s="6"/>
      <c r="AH1733" s="7">
        <v>1</v>
      </c>
      <c r="AI1733" s="4"/>
      <c r="AJ1733" s="4">
        <f>=ROUNDDOWN({0},0)</f>
      </c>
      <c r="AK1733" s="5"/>
      <c r="AL1733" s="2" t="s">
        <v>200</v>
      </c>
      <c r="AM1733" s="4"/>
      <c r="AN1733" s="4"/>
      <c r="AO1733" s="7"/>
      <c r="AP1733" s="4"/>
      <c r="AQ1733" s="8"/>
      <c r="AR1733" s="4"/>
      <c r="AS1733" s="8"/>
      <c r="AT1733" s="7"/>
      <c r="AU1733" s="7"/>
      <c r="AV1733" s="4"/>
      <c r="AW1733" s="8"/>
      <c r="AX1733" s="4"/>
      <c r="AY1733" s="8"/>
      <c r="AZ1733" s="7"/>
      <c r="BA1733" s="7"/>
      <c r="BB1733" s="7"/>
      <c r="BC1733" s="4" t="s">
        <v>200</v>
      </c>
      <c r="BD1733" s="8" t="s">
        <v>200</v>
      </c>
      <c r="BE1733" s="4" t="s">
        <v>200</v>
      </c>
      <c r="BF1733" s="8" t="s">
        <v>200</v>
      </c>
      <c r="BG1733" s="7" t="s">
        <v>200</v>
      </c>
      <c r="BH1733" s="7" t="s">
        <v>200</v>
      </c>
      <c r="BI1733" s="7"/>
      <c r="BJ1733" s="4">
        <v>9</v>
      </c>
      <c r="BK1733" s="8">
        <v>461.19</v>
      </c>
      <c r="BL1733" s="2" t="s">
        <v>3035</v>
      </c>
      <c r="BM1733" s="7"/>
      <c r="BN1733" s="7"/>
      <c r="BO1733" s="4"/>
      <c r="BP1733" s="8"/>
      <c r="BQ1733" s="4"/>
      <c r="BR1733" s="8"/>
      <c r="BS1733" s="7"/>
      <c r="BT1733" s="7"/>
      <c r="BU1733" s="2" t="s">
        <v>8878</v>
      </c>
      <c r="BV1733" s="2" t="s">
        <v>200</v>
      </c>
      <c r="BW1733" s="2" t="s">
        <v>200</v>
      </c>
      <c r="BX1733" s="2" t="s">
        <v>264</v>
      </c>
      <c r="BY1733" s="2" t="s">
        <v>247</v>
      </c>
      <c r="BZ1733" s="2" t="s">
        <v>212</v>
      </c>
      <c r="CA1733" s="2" t="s">
        <v>2529</v>
      </c>
      <c r="CB1733" s="2" t="s">
        <v>6144</v>
      </c>
      <c r="CC1733" s="2" t="s">
        <v>213</v>
      </c>
      <c r="CD1733" s="2" t="s">
        <v>200</v>
      </c>
      <c r="CE1733" s="4">
        <v>281</v>
      </c>
      <c r="CF1733" s="4"/>
      <c r="CG1733" s="4"/>
      <c r="CH1733" s="4"/>
      <c r="CI1733" s="4"/>
      <c r="CJ1733" s="4"/>
      <c r="CK1733" s="4"/>
      <c r="CL1733" s="4"/>
      <c r="CM1733" s="4"/>
      <c r="CN1733" s="4"/>
      <c r="CO1733" s="4"/>
      <c r="CP1733" s="4"/>
      <c r="CQ1733" s="4"/>
      <c r="CR1733" s="4"/>
      <c r="CS1733" s="4"/>
      <c r="CT1733" s="4"/>
      <c r="CU1733" s="4"/>
      <c r="CV1733" s="4"/>
      <c r="CW1733" s="4"/>
      <c r="CX1733" s="4"/>
      <c r="CY1733" s="4"/>
      <c r="CZ1733" s="4"/>
      <c r="DA1733" s="4"/>
      <c r="DB1733" s="4"/>
      <c r="DC1733" s="4"/>
      <c r="DD1733" s="4"/>
      <c r="DE1733" s="4"/>
      <c r="DF1733" s="4"/>
      <c r="DG1733" s="4"/>
      <c r="DH1733" s="4"/>
      <c r="DI1733" s="4"/>
      <c r="DJ1733" s="4"/>
      <c r="DK1733" s="4"/>
      <c r="DL1733" s="4"/>
      <c r="DM1733" s="4"/>
      <c r="DN1733" s="4"/>
      <c r="DO1733" s="4"/>
      <c r="DP1733" s="4"/>
      <c r="DQ1733" s="4"/>
      <c r="DR1733" s="4"/>
      <c r="DS1733" s="4"/>
      <c r="DT1733" s="4"/>
      <c r="DU1733" s="4"/>
      <c r="DV1733" s="4"/>
      <c r="DW1733" s="4"/>
      <c r="DX1733" s="4"/>
      <c r="DY1733" s="4"/>
      <c r="DZ1733" s="4"/>
      <c r="EA1733" s="4"/>
      <c r="EB1733" s="4"/>
      <c r="EC1733" s="4"/>
      <c r="ED1733" s="4"/>
      <c r="EE1733" s="4"/>
      <c r="EF1733" s="4"/>
      <c r="EG1733" s="4">
        <v>138</v>
      </c>
      <c r="EH1733" s="4"/>
      <c r="EI1733" s="4"/>
      <c r="EJ1733" s="4"/>
      <c r="EK1733" s="4"/>
      <c r="EL1733" s="4"/>
      <c r="EM1733" s="4"/>
      <c r="EN1733" s="4"/>
      <c r="EO1733" s="4"/>
      <c r="EP1733" s="4"/>
      <c r="EQ1733" s="4"/>
      <c r="ER1733" s="4"/>
      <c r="ES1733" s="4"/>
      <c r="ET1733" s="4"/>
      <c r="EU1733" s="4"/>
      <c r="EV1733" s="4"/>
      <c r="EW1733" s="4"/>
      <c r="EX1733" s="4"/>
      <c r="EY1733" s="4"/>
      <c r="EZ1733" s="4"/>
      <c r="FA1733" s="4"/>
      <c r="FB1733" s="4"/>
      <c r="FC1733" s="4"/>
      <c r="FD1733" s="4"/>
      <c r="FE1733" s="4"/>
      <c r="FF1733" s="4"/>
      <c r="FG1733" s="4"/>
      <c r="FH1733" s="4"/>
      <c r="FI1733" s="4"/>
      <c r="FJ1733" s="4"/>
      <c r="FK1733" s="4"/>
      <c r="FL1733" s="4"/>
      <c r="FM1733" s="4"/>
      <c r="FN1733" s="4"/>
      <c r="FO1733" s="4"/>
      <c r="FP1733" s="4"/>
      <c r="FQ1733" s="4"/>
      <c r="FR1733" s="4"/>
      <c r="FS1733" s="4"/>
      <c r="FT1733" s="4"/>
      <c r="FU1733" s="4"/>
      <c r="FV1733" s="4"/>
      <c r="FW1733" s="4"/>
      <c r="FX1733" s="4"/>
      <c r="FY1733" s="4"/>
      <c r="FZ1733" s="4"/>
      <c r="GA1733" s="4"/>
      <c r="GB1733" s="4"/>
      <c r="GC1733" s="4"/>
      <c r="GD1733" s="4"/>
      <c r="GE1733" s="4"/>
      <c r="GF1733" s="4"/>
      <c r="GG1733" s="4"/>
      <c r="GH1733" s="4"/>
    </row>
    <row r="1734">
      <c r="A1734" s="2" t="s">
        <v>8879</v>
      </c>
      <c r="B1734" s="2" t="s">
        <v>195</v>
      </c>
      <c r="C1734" s="2" t="s">
        <v>877</v>
      </c>
      <c r="D1734" s="2" t="s">
        <v>608</v>
      </c>
      <c r="E1734" s="2" t="s">
        <v>1324</v>
      </c>
      <c r="F1734" s="2" t="s">
        <v>8874</v>
      </c>
      <c r="G1734" s="2" t="s">
        <v>8874</v>
      </c>
      <c r="H1734" s="2" t="s">
        <v>8874</v>
      </c>
      <c r="I1734" s="2" t="s">
        <v>8880</v>
      </c>
      <c r="J1734" s="2" t="s">
        <v>256</v>
      </c>
      <c r="K1734" s="2" t="s">
        <v>2163</v>
      </c>
      <c r="L1734" s="3">
        <v>33.33</v>
      </c>
      <c r="M1734" s="3">
        <v>35</v>
      </c>
      <c r="N1734" s="3">
        <v>69.99</v>
      </c>
      <c r="O1734" s="2" t="s">
        <v>212</v>
      </c>
      <c r="P1734" s="2" t="s">
        <v>258</v>
      </c>
      <c r="Q1734" s="2" t="s">
        <v>206</v>
      </c>
      <c r="R1734" s="2" t="s">
        <v>200</v>
      </c>
      <c r="S1734" s="2" t="s">
        <v>8881</v>
      </c>
      <c r="T1734" s="2" t="s">
        <v>2935</v>
      </c>
      <c r="U1734" s="2" t="s">
        <v>677</v>
      </c>
      <c r="V1734" s="2" t="s">
        <v>208</v>
      </c>
      <c r="W1734" s="2" t="s">
        <v>241</v>
      </c>
      <c r="X1734" s="2" t="s">
        <v>200</v>
      </c>
      <c r="Y1734" s="2" t="s">
        <v>2609</v>
      </c>
      <c r="Z1734" s="4">
        <v>326</v>
      </c>
      <c r="AA1734" s="4">
        <f>=ROUNDDOWN(108.666666666667,0)</f>
      </c>
      <c r="AB1734" s="5">
        <v>3</v>
      </c>
      <c r="AC1734" s="2" t="s">
        <v>8877</v>
      </c>
      <c r="AD1734" s="4">
        <v>50</v>
      </c>
      <c r="AE1734" s="4">
        <v>50</v>
      </c>
      <c r="AF1734" s="6">
        <v>65</v>
      </c>
      <c r="AG1734" s="6"/>
      <c r="AH1734" s="7">
        <v>1</v>
      </c>
      <c r="AI1734" s="4"/>
      <c r="AJ1734" s="4">
        <f>=ROUNDDOWN({0},0)</f>
      </c>
      <c r="AK1734" s="5"/>
      <c r="AL1734" s="2" t="s">
        <v>200</v>
      </c>
      <c r="AM1734" s="4"/>
      <c r="AN1734" s="4"/>
      <c r="AO1734" s="7"/>
      <c r="AP1734" s="4"/>
      <c r="AQ1734" s="8"/>
      <c r="AR1734" s="4"/>
      <c r="AS1734" s="8"/>
      <c r="AT1734" s="7"/>
      <c r="AU1734" s="7"/>
      <c r="AV1734" s="4" t="s">
        <v>200</v>
      </c>
      <c r="AW1734" s="8" t="s">
        <v>200</v>
      </c>
      <c r="AX1734" s="4" t="s">
        <v>200</v>
      </c>
      <c r="AY1734" s="8" t="s">
        <v>200</v>
      </c>
      <c r="AZ1734" s="7" t="s">
        <v>200</v>
      </c>
      <c r="BA1734" s="7" t="s">
        <v>200</v>
      </c>
      <c r="BB1734" s="7"/>
      <c r="BC1734" s="4" t="s">
        <v>200</v>
      </c>
      <c r="BD1734" s="8" t="s">
        <v>200</v>
      </c>
      <c r="BE1734" s="4" t="s">
        <v>200</v>
      </c>
      <c r="BF1734" s="8" t="s">
        <v>200</v>
      </c>
      <c r="BG1734" s="7" t="s">
        <v>200</v>
      </c>
      <c r="BH1734" s="7" t="s">
        <v>200</v>
      </c>
      <c r="BI1734" s="7"/>
      <c r="BJ1734" s="4">
        <v>10</v>
      </c>
      <c r="BK1734" s="8">
        <v>379.52</v>
      </c>
      <c r="BL1734" s="2" t="s">
        <v>426</v>
      </c>
      <c r="BM1734" s="7"/>
      <c r="BN1734" s="7"/>
      <c r="BO1734" s="4"/>
      <c r="BP1734" s="8"/>
      <c r="BQ1734" s="4"/>
      <c r="BR1734" s="8"/>
      <c r="BS1734" s="7"/>
      <c r="BT1734" s="7"/>
      <c r="BU1734" s="2" t="s">
        <v>8882</v>
      </c>
      <c r="BV1734" s="2" t="s">
        <v>200</v>
      </c>
      <c r="BW1734" s="2" t="s">
        <v>200</v>
      </c>
      <c r="BX1734" s="2" t="s">
        <v>264</v>
      </c>
      <c r="BY1734" s="2" t="s">
        <v>247</v>
      </c>
      <c r="BZ1734" s="2" t="s">
        <v>212</v>
      </c>
      <c r="CA1734" s="2" t="s">
        <v>2529</v>
      </c>
      <c r="CB1734" s="2" t="s">
        <v>451</v>
      </c>
      <c r="CC1734" s="2" t="s">
        <v>213</v>
      </c>
      <c r="CD1734" s="2" t="s">
        <v>200</v>
      </c>
      <c r="CE1734" s="4">
        <v>326</v>
      </c>
      <c r="CF1734" s="4"/>
      <c r="CG1734" s="4"/>
      <c r="CH1734" s="4"/>
      <c r="CI1734" s="4"/>
      <c r="CJ1734" s="4"/>
      <c r="CK1734" s="4"/>
      <c r="CL1734" s="4"/>
      <c r="CM1734" s="4"/>
      <c r="CN1734" s="4"/>
      <c r="CO1734" s="4"/>
      <c r="CP1734" s="4"/>
      <c r="CQ1734" s="4"/>
      <c r="CR1734" s="4"/>
      <c r="CS1734" s="4"/>
      <c r="CT1734" s="4"/>
      <c r="CU1734" s="4"/>
      <c r="CV1734" s="4"/>
      <c r="CW1734" s="4"/>
      <c r="CX1734" s="4"/>
      <c r="CY1734" s="4"/>
      <c r="CZ1734" s="4"/>
      <c r="DA1734" s="4"/>
      <c r="DB1734" s="4"/>
      <c r="DC1734" s="4"/>
      <c r="DD1734" s="4"/>
      <c r="DE1734" s="4"/>
      <c r="DF1734" s="4"/>
      <c r="DG1734" s="4"/>
      <c r="DH1734" s="4"/>
      <c r="DI1734" s="4"/>
      <c r="DJ1734" s="4"/>
      <c r="DK1734" s="4"/>
      <c r="DL1734" s="4"/>
      <c r="DM1734" s="4"/>
      <c r="DN1734" s="4"/>
      <c r="DO1734" s="4"/>
      <c r="DP1734" s="4"/>
      <c r="DQ1734" s="4"/>
      <c r="DR1734" s="4"/>
      <c r="DS1734" s="4"/>
      <c r="DT1734" s="4"/>
      <c r="DU1734" s="4"/>
      <c r="DV1734" s="4"/>
      <c r="DW1734" s="4"/>
      <c r="DX1734" s="4"/>
      <c r="DY1734" s="4"/>
      <c r="DZ1734" s="4"/>
      <c r="EA1734" s="4"/>
      <c r="EB1734" s="4"/>
      <c r="EC1734" s="4"/>
      <c r="ED1734" s="4"/>
      <c r="EE1734" s="4"/>
      <c r="EF1734" s="4"/>
      <c r="EG1734" s="4">
        <v>50</v>
      </c>
      <c r="EH1734" s="4"/>
      <c r="EI1734" s="4"/>
      <c r="EJ1734" s="4"/>
      <c r="EK1734" s="4"/>
      <c r="EL1734" s="4"/>
      <c r="EM1734" s="4"/>
      <c r="EN1734" s="4"/>
      <c r="EO1734" s="4"/>
      <c r="EP1734" s="4"/>
      <c r="EQ1734" s="4"/>
      <c r="ER1734" s="4"/>
      <c r="ES1734" s="4"/>
      <c r="ET1734" s="4"/>
      <c r="EU1734" s="4"/>
      <c r="EV1734" s="4"/>
      <c r="EW1734" s="4"/>
      <c r="EX1734" s="4"/>
      <c r="EY1734" s="4"/>
      <c r="EZ1734" s="4"/>
      <c r="FA1734" s="4"/>
      <c r="FB1734" s="4"/>
      <c r="FC1734" s="4"/>
      <c r="FD1734" s="4"/>
      <c r="FE1734" s="4"/>
      <c r="FF1734" s="4"/>
      <c r="FG1734" s="4"/>
      <c r="FH1734" s="4"/>
      <c r="FI1734" s="4"/>
      <c r="FJ1734" s="4"/>
      <c r="FK1734" s="4"/>
      <c r="FL1734" s="4"/>
      <c r="FM1734" s="4"/>
      <c r="FN1734" s="4"/>
      <c r="FO1734" s="4"/>
      <c r="FP1734" s="4"/>
      <c r="FQ1734" s="4"/>
      <c r="FR1734" s="4"/>
      <c r="FS1734" s="4"/>
      <c r="FT1734" s="4"/>
      <c r="FU1734" s="4"/>
      <c r="FV1734" s="4"/>
      <c r="FW1734" s="4"/>
      <c r="FX1734" s="4"/>
      <c r="FY1734" s="4"/>
      <c r="FZ1734" s="4"/>
      <c r="GA1734" s="4"/>
      <c r="GB1734" s="4"/>
      <c r="GC1734" s="4"/>
      <c r="GD1734" s="4"/>
      <c r="GE1734" s="4"/>
      <c r="GF1734" s="4"/>
      <c r="GG1734" s="4"/>
      <c r="GH1734" s="4"/>
    </row>
    <row r="1735">
      <c r="A1735" s="2" t="s">
        <v>8883</v>
      </c>
      <c r="B1735" s="2" t="s">
        <v>195</v>
      </c>
      <c r="C1735" s="2" t="s">
        <v>877</v>
      </c>
      <c r="D1735" s="2" t="s">
        <v>608</v>
      </c>
      <c r="E1735" s="2" t="s">
        <v>1324</v>
      </c>
      <c r="F1735" s="2" t="s">
        <v>8874</v>
      </c>
      <c r="G1735" s="2" t="s">
        <v>8874</v>
      </c>
      <c r="H1735" s="2" t="s">
        <v>8874</v>
      </c>
      <c r="I1735" s="2" t="s">
        <v>8875</v>
      </c>
      <c r="J1735" s="2" t="s">
        <v>612</v>
      </c>
      <c r="K1735" s="2" t="s">
        <v>2163</v>
      </c>
      <c r="L1735" s="3">
        <v>42.85</v>
      </c>
      <c r="M1735" s="3">
        <v>44.99</v>
      </c>
      <c r="N1735" s="3">
        <v>89.99</v>
      </c>
      <c r="O1735" s="2" t="s">
        <v>212</v>
      </c>
      <c r="P1735" s="2" t="s">
        <v>258</v>
      </c>
      <c r="Q1735" s="2" t="s">
        <v>206</v>
      </c>
      <c r="R1735" s="2" t="s">
        <v>200</v>
      </c>
      <c r="S1735" s="2" t="s">
        <v>8881</v>
      </c>
      <c r="T1735" s="2" t="s">
        <v>2935</v>
      </c>
      <c r="U1735" s="2" t="s">
        <v>454</v>
      </c>
      <c r="V1735" s="2" t="s">
        <v>208</v>
      </c>
      <c r="W1735" s="2" t="s">
        <v>241</v>
      </c>
      <c r="X1735" s="2" t="s">
        <v>200</v>
      </c>
      <c r="Y1735" s="2" t="s">
        <v>1940</v>
      </c>
      <c r="Z1735" s="4">
        <v>543</v>
      </c>
      <c r="AA1735" s="4">
        <f>=ROUNDDOWN(90.5,0)</f>
      </c>
      <c r="AB1735" s="5">
        <v>6</v>
      </c>
      <c r="AC1735" s="2" t="s">
        <v>8877</v>
      </c>
      <c r="AD1735" s="4">
        <v>80</v>
      </c>
      <c r="AE1735" s="4">
        <v>80</v>
      </c>
      <c r="AF1735" s="6">
        <v>65</v>
      </c>
      <c r="AG1735" s="6"/>
      <c r="AH1735" s="7">
        <v>1</v>
      </c>
      <c r="AI1735" s="4"/>
      <c r="AJ1735" s="4">
        <f>=ROUNDDOWN({0},0)</f>
      </c>
      <c r="AK1735" s="5"/>
      <c r="AL1735" s="2" t="s">
        <v>200</v>
      </c>
      <c r="AM1735" s="4"/>
      <c r="AN1735" s="4"/>
      <c r="AO1735" s="7"/>
      <c r="AP1735" s="4"/>
      <c r="AQ1735" s="8"/>
      <c r="AR1735" s="4"/>
      <c r="AS1735" s="8"/>
      <c r="AT1735" s="7"/>
      <c r="AU1735" s="7"/>
      <c r="AV1735" s="4" t="s">
        <v>200</v>
      </c>
      <c r="AW1735" s="8" t="s">
        <v>200</v>
      </c>
      <c r="AX1735" s="4" t="s">
        <v>200</v>
      </c>
      <c r="AY1735" s="8" t="s">
        <v>200</v>
      </c>
      <c r="AZ1735" s="7" t="s">
        <v>200</v>
      </c>
      <c r="BA1735" s="7" t="s">
        <v>200</v>
      </c>
      <c r="BB1735" s="7"/>
      <c r="BC1735" s="4" t="s">
        <v>200</v>
      </c>
      <c r="BD1735" s="8" t="s">
        <v>200</v>
      </c>
      <c r="BE1735" s="4" t="s">
        <v>200</v>
      </c>
      <c r="BF1735" s="8" t="s">
        <v>200</v>
      </c>
      <c r="BG1735" s="7" t="s">
        <v>200</v>
      </c>
      <c r="BH1735" s="7" t="s">
        <v>200</v>
      </c>
      <c r="BI1735" s="7"/>
      <c r="BJ1735" s="4">
        <v>6</v>
      </c>
      <c r="BK1735" s="8">
        <v>290.88</v>
      </c>
      <c r="BL1735" s="2" t="s">
        <v>1987</v>
      </c>
      <c r="BM1735" s="7"/>
      <c r="BN1735" s="7"/>
      <c r="BO1735" s="4"/>
      <c r="BP1735" s="8"/>
      <c r="BQ1735" s="4"/>
      <c r="BR1735" s="8"/>
      <c r="BS1735" s="7"/>
      <c r="BT1735" s="7"/>
      <c r="BU1735" s="2" t="s">
        <v>8884</v>
      </c>
      <c r="BV1735" s="2" t="s">
        <v>200</v>
      </c>
      <c r="BW1735" s="2" t="s">
        <v>200</v>
      </c>
      <c r="BX1735" s="2" t="s">
        <v>264</v>
      </c>
      <c r="BY1735" s="2" t="s">
        <v>247</v>
      </c>
      <c r="BZ1735" s="2" t="s">
        <v>212</v>
      </c>
      <c r="CA1735" s="2" t="s">
        <v>2529</v>
      </c>
      <c r="CB1735" s="2" t="s">
        <v>4987</v>
      </c>
      <c r="CC1735" s="2" t="s">
        <v>213</v>
      </c>
      <c r="CD1735" s="2" t="s">
        <v>200</v>
      </c>
      <c r="CE1735" s="4">
        <v>543</v>
      </c>
      <c r="CF1735" s="4"/>
      <c r="CG1735" s="4"/>
      <c r="CH1735" s="4"/>
      <c r="CI1735" s="4"/>
      <c r="CJ1735" s="4"/>
      <c r="CK1735" s="4"/>
      <c r="CL1735" s="4"/>
      <c r="CM1735" s="4"/>
      <c r="CN1735" s="4"/>
      <c r="CO1735" s="4"/>
      <c r="CP1735" s="4"/>
      <c r="CQ1735" s="4"/>
      <c r="CR1735" s="4"/>
      <c r="CS1735" s="4"/>
      <c r="CT1735" s="4"/>
      <c r="CU1735" s="4"/>
      <c r="CV1735" s="4"/>
      <c r="CW1735" s="4"/>
      <c r="CX1735" s="4"/>
      <c r="CY1735" s="4"/>
      <c r="CZ1735" s="4"/>
      <c r="DA1735" s="4"/>
      <c r="DB1735" s="4"/>
      <c r="DC1735" s="4"/>
      <c r="DD1735" s="4"/>
      <c r="DE1735" s="4"/>
      <c r="DF1735" s="4"/>
      <c r="DG1735" s="4"/>
      <c r="DH1735" s="4"/>
      <c r="DI1735" s="4"/>
      <c r="DJ1735" s="4"/>
      <c r="DK1735" s="4"/>
      <c r="DL1735" s="4"/>
      <c r="DM1735" s="4"/>
      <c r="DN1735" s="4"/>
      <c r="DO1735" s="4"/>
      <c r="DP1735" s="4"/>
      <c r="DQ1735" s="4"/>
      <c r="DR1735" s="4"/>
      <c r="DS1735" s="4"/>
      <c r="DT1735" s="4"/>
      <c r="DU1735" s="4"/>
      <c r="DV1735" s="4"/>
      <c r="DW1735" s="4"/>
      <c r="DX1735" s="4"/>
      <c r="DY1735" s="4"/>
      <c r="DZ1735" s="4"/>
      <c r="EA1735" s="4"/>
      <c r="EB1735" s="4"/>
      <c r="EC1735" s="4"/>
      <c r="ED1735" s="4"/>
      <c r="EE1735" s="4"/>
      <c r="EF1735" s="4"/>
      <c r="EG1735" s="4">
        <v>80</v>
      </c>
      <c r="EH1735" s="4"/>
      <c r="EI1735" s="4"/>
      <c r="EJ1735" s="4"/>
      <c r="EK1735" s="4"/>
      <c r="EL1735" s="4"/>
      <c r="EM1735" s="4"/>
      <c r="EN1735" s="4"/>
      <c r="EO1735" s="4"/>
      <c r="EP1735" s="4"/>
      <c r="EQ1735" s="4"/>
      <c r="ER1735" s="4"/>
      <c r="ES1735" s="4"/>
      <c r="ET1735" s="4"/>
      <c r="EU1735" s="4"/>
      <c r="EV1735" s="4"/>
      <c r="EW1735" s="4"/>
      <c r="EX1735" s="4"/>
      <c r="EY1735" s="4"/>
      <c r="EZ1735" s="4"/>
      <c r="FA1735" s="4"/>
      <c r="FB1735" s="4"/>
      <c r="FC1735" s="4"/>
      <c r="FD1735" s="4"/>
      <c r="FE1735" s="4"/>
      <c r="FF1735" s="4"/>
      <c r="FG1735" s="4"/>
      <c r="FH1735" s="4"/>
      <c r="FI1735" s="4"/>
      <c r="FJ1735" s="4"/>
      <c r="FK1735" s="4"/>
      <c r="FL1735" s="4"/>
      <c r="FM1735" s="4"/>
      <c r="FN1735" s="4"/>
      <c r="FO1735" s="4"/>
      <c r="FP1735" s="4"/>
      <c r="FQ1735" s="4"/>
      <c r="FR1735" s="4"/>
      <c r="FS1735" s="4"/>
      <c r="FT1735" s="4"/>
      <c r="FU1735" s="4"/>
      <c r="FV1735" s="4"/>
      <c r="FW1735" s="4"/>
      <c r="FX1735" s="4"/>
      <c r="FY1735" s="4"/>
      <c r="FZ1735" s="4"/>
      <c r="GA1735" s="4"/>
      <c r="GB1735" s="4"/>
      <c r="GC1735" s="4"/>
      <c r="GD1735" s="4"/>
      <c r="GE1735" s="4"/>
      <c r="GF1735" s="4"/>
      <c r="GG1735" s="4"/>
      <c r="GH1735" s="4"/>
    </row>
    <row r="1736">
      <c r="A1736" s="2" t="s">
        <v>8885</v>
      </c>
      <c r="B1736" s="2" t="s">
        <v>195</v>
      </c>
      <c r="C1736" s="2" t="s">
        <v>877</v>
      </c>
      <c r="D1736" s="2" t="s">
        <v>608</v>
      </c>
      <c r="E1736" s="2" t="s">
        <v>1324</v>
      </c>
      <c r="F1736" s="2" t="s">
        <v>8874</v>
      </c>
      <c r="G1736" s="2" t="s">
        <v>8874</v>
      </c>
      <c r="H1736" s="2" t="s">
        <v>8874</v>
      </c>
      <c r="I1736" s="2" t="s">
        <v>8880</v>
      </c>
      <c r="J1736" s="2" t="s">
        <v>256</v>
      </c>
      <c r="K1736" s="2" t="s">
        <v>565</v>
      </c>
      <c r="L1736" s="3">
        <v>33.33</v>
      </c>
      <c r="M1736" s="3">
        <v>35</v>
      </c>
      <c r="N1736" s="3">
        <v>69.99</v>
      </c>
      <c r="O1736" s="2" t="s">
        <v>212</v>
      </c>
      <c r="P1736" s="2" t="s">
        <v>258</v>
      </c>
      <c r="Q1736" s="2" t="s">
        <v>206</v>
      </c>
      <c r="R1736" s="2" t="s">
        <v>200</v>
      </c>
      <c r="S1736" s="2" t="s">
        <v>8886</v>
      </c>
      <c r="T1736" s="2" t="s">
        <v>2935</v>
      </c>
      <c r="U1736" s="2" t="s">
        <v>677</v>
      </c>
      <c r="V1736" s="2" t="s">
        <v>208</v>
      </c>
      <c r="W1736" s="2" t="s">
        <v>241</v>
      </c>
      <c r="X1736" s="2" t="s">
        <v>200</v>
      </c>
      <c r="Y1736" s="2" t="s">
        <v>2609</v>
      </c>
      <c r="Z1736" s="4">
        <v>280</v>
      </c>
      <c r="AA1736" s="4">
        <f>=ROUNDDOWN(93.3333333333333,0)</f>
      </c>
      <c r="AB1736" s="5">
        <v>3</v>
      </c>
      <c r="AC1736" s="2" t="s">
        <v>8877</v>
      </c>
      <c r="AD1736" s="4">
        <v>30</v>
      </c>
      <c r="AE1736" s="4">
        <v>30</v>
      </c>
      <c r="AF1736" s="6">
        <v>65</v>
      </c>
      <c r="AG1736" s="6"/>
      <c r="AH1736" s="7">
        <v>1</v>
      </c>
      <c r="AI1736" s="4"/>
      <c r="AJ1736" s="4">
        <f>=ROUNDDOWN({0},0)</f>
      </c>
      <c r="AK1736" s="5"/>
      <c r="AL1736" s="2" t="s">
        <v>200</v>
      </c>
      <c r="AM1736" s="4"/>
      <c r="AN1736" s="4"/>
      <c r="AO1736" s="7"/>
      <c r="AP1736" s="4"/>
      <c r="AQ1736" s="8"/>
      <c r="AR1736" s="4"/>
      <c r="AS1736" s="8"/>
      <c r="AT1736" s="7"/>
      <c r="AU1736" s="7"/>
      <c r="AV1736" s="4" t="s">
        <v>200</v>
      </c>
      <c r="AW1736" s="8" t="s">
        <v>200</v>
      </c>
      <c r="AX1736" s="4" t="s">
        <v>200</v>
      </c>
      <c r="AY1736" s="8" t="s">
        <v>200</v>
      </c>
      <c r="AZ1736" s="7" t="s">
        <v>200</v>
      </c>
      <c r="BA1736" s="7" t="s">
        <v>200</v>
      </c>
      <c r="BB1736" s="7"/>
      <c r="BC1736" s="4" t="s">
        <v>200</v>
      </c>
      <c r="BD1736" s="8" t="s">
        <v>200</v>
      </c>
      <c r="BE1736" s="4" t="s">
        <v>200</v>
      </c>
      <c r="BF1736" s="8" t="s">
        <v>200</v>
      </c>
      <c r="BG1736" s="7" t="s">
        <v>200</v>
      </c>
      <c r="BH1736" s="7" t="s">
        <v>200</v>
      </c>
      <c r="BI1736" s="7"/>
      <c r="BJ1736" s="4">
        <v>2</v>
      </c>
      <c r="BK1736" s="8">
        <v>65.8</v>
      </c>
      <c r="BL1736" s="2" t="s">
        <v>791</v>
      </c>
      <c r="BM1736" s="7"/>
      <c r="BN1736" s="7"/>
      <c r="BO1736" s="4"/>
      <c r="BP1736" s="8"/>
      <c r="BQ1736" s="4"/>
      <c r="BR1736" s="8"/>
      <c r="BS1736" s="7"/>
      <c r="BT1736" s="7"/>
      <c r="BU1736" s="2" t="s">
        <v>8887</v>
      </c>
      <c r="BV1736" s="2" t="s">
        <v>200</v>
      </c>
      <c r="BW1736" s="2" t="s">
        <v>200</v>
      </c>
      <c r="BX1736" s="2" t="s">
        <v>264</v>
      </c>
      <c r="BY1736" s="2" t="s">
        <v>247</v>
      </c>
      <c r="BZ1736" s="2" t="s">
        <v>212</v>
      </c>
      <c r="CA1736" s="2" t="s">
        <v>2529</v>
      </c>
      <c r="CB1736" s="2" t="s">
        <v>3161</v>
      </c>
      <c r="CC1736" s="2" t="s">
        <v>213</v>
      </c>
      <c r="CD1736" s="2" t="s">
        <v>200</v>
      </c>
      <c r="CE1736" s="4">
        <v>280</v>
      </c>
      <c r="CF1736" s="4"/>
      <c r="CG1736" s="4"/>
      <c r="CH1736" s="4"/>
      <c r="CI1736" s="4"/>
      <c r="CJ1736" s="4"/>
      <c r="CK1736" s="4"/>
      <c r="CL1736" s="4"/>
      <c r="CM1736" s="4"/>
      <c r="CN1736" s="4"/>
      <c r="CO1736" s="4"/>
      <c r="CP1736" s="4"/>
      <c r="CQ1736" s="4"/>
      <c r="CR1736" s="4"/>
      <c r="CS1736" s="4"/>
      <c r="CT1736" s="4"/>
      <c r="CU1736" s="4"/>
      <c r="CV1736" s="4"/>
      <c r="CW1736" s="4"/>
      <c r="CX1736" s="4"/>
      <c r="CY1736" s="4"/>
      <c r="CZ1736" s="4"/>
      <c r="DA1736" s="4"/>
      <c r="DB1736" s="4"/>
      <c r="DC1736" s="4"/>
      <c r="DD1736" s="4"/>
      <c r="DE1736" s="4"/>
      <c r="DF1736" s="4"/>
      <c r="DG1736" s="4"/>
      <c r="DH1736" s="4"/>
      <c r="DI1736" s="4"/>
      <c r="DJ1736" s="4"/>
      <c r="DK1736" s="4"/>
      <c r="DL1736" s="4"/>
      <c r="DM1736" s="4"/>
      <c r="DN1736" s="4"/>
      <c r="DO1736" s="4"/>
      <c r="DP1736" s="4"/>
      <c r="DQ1736" s="4"/>
      <c r="DR1736" s="4"/>
      <c r="DS1736" s="4"/>
      <c r="DT1736" s="4"/>
      <c r="DU1736" s="4"/>
      <c r="DV1736" s="4"/>
      <c r="DW1736" s="4"/>
      <c r="DX1736" s="4"/>
      <c r="DY1736" s="4"/>
      <c r="DZ1736" s="4"/>
      <c r="EA1736" s="4"/>
      <c r="EB1736" s="4"/>
      <c r="EC1736" s="4"/>
      <c r="ED1736" s="4"/>
      <c r="EE1736" s="4"/>
      <c r="EF1736" s="4"/>
      <c r="EG1736" s="4">
        <v>30</v>
      </c>
      <c r="EH1736" s="4"/>
      <c r="EI1736" s="4"/>
      <c r="EJ1736" s="4"/>
      <c r="EK1736" s="4"/>
      <c r="EL1736" s="4"/>
      <c r="EM1736" s="4"/>
      <c r="EN1736" s="4"/>
      <c r="EO1736" s="4"/>
      <c r="EP1736" s="4"/>
      <c r="EQ1736" s="4"/>
      <c r="ER1736" s="4"/>
      <c r="ES1736" s="4"/>
      <c r="ET1736" s="4"/>
      <c r="EU1736" s="4"/>
      <c r="EV1736" s="4"/>
      <c r="EW1736" s="4"/>
      <c r="EX1736" s="4"/>
      <c r="EY1736" s="4"/>
      <c r="EZ1736" s="4"/>
      <c r="FA1736" s="4"/>
      <c r="FB1736" s="4"/>
      <c r="FC1736" s="4"/>
      <c r="FD1736" s="4"/>
      <c r="FE1736" s="4"/>
      <c r="FF1736" s="4"/>
      <c r="FG1736" s="4"/>
      <c r="FH1736" s="4"/>
      <c r="FI1736" s="4"/>
      <c r="FJ1736" s="4"/>
      <c r="FK1736" s="4"/>
      <c r="FL1736" s="4"/>
      <c r="FM1736" s="4"/>
      <c r="FN1736" s="4"/>
      <c r="FO1736" s="4"/>
      <c r="FP1736" s="4"/>
      <c r="FQ1736" s="4"/>
      <c r="FR1736" s="4"/>
      <c r="FS1736" s="4"/>
      <c r="FT1736" s="4"/>
      <c r="FU1736" s="4"/>
      <c r="FV1736" s="4"/>
      <c r="FW1736" s="4"/>
      <c r="FX1736" s="4"/>
      <c r="FY1736" s="4"/>
      <c r="FZ1736" s="4"/>
      <c r="GA1736" s="4"/>
      <c r="GB1736" s="4"/>
      <c r="GC1736" s="4"/>
      <c r="GD1736" s="4"/>
      <c r="GE1736" s="4"/>
      <c r="GF1736" s="4"/>
      <c r="GG1736" s="4"/>
      <c r="GH1736" s="4"/>
    </row>
    <row r="1737">
      <c r="A1737" s="2" t="s">
        <v>8888</v>
      </c>
      <c r="B1737" s="2" t="s">
        <v>195</v>
      </c>
      <c r="C1737" s="2" t="s">
        <v>877</v>
      </c>
      <c r="D1737" s="2" t="s">
        <v>608</v>
      </c>
      <c r="E1737" s="2" t="s">
        <v>1324</v>
      </c>
      <c r="F1737" s="2" t="s">
        <v>8874</v>
      </c>
      <c r="G1737" s="2" t="s">
        <v>8874</v>
      </c>
      <c r="H1737" s="2" t="s">
        <v>8874</v>
      </c>
      <c r="I1737" s="2" t="s">
        <v>8875</v>
      </c>
      <c r="J1737" s="2" t="s">
        <v>302</v>
      </c>
      <c r="K1737" s="2" t="s">
        <v>565</v>
      </c>
      <c r="L1737" s="3">
        <v>47.61</v>
      </c>
      <c r="M1737" s="3">
        <v>49.99</v>
      </c>
      <c r="N1737" s="3">
        <v>99.99</v>
      </c>
      <c r="O1737" s="2" t="s">
        <v>212</v>
      </c>
      <c r="P1737" s="2" t="s">
        <v>258</v>
      </c>
      <c r="Q1737" s="2" t="s">
        <v>206</v>
      </c>
      <c r="R1737" s="2" t="s">
        <v>200</v>
      </c>
      <c r="S1737" s="2" t="s">
        <v>8886</v>
      </c>
      <c r="T1737" s="2" t="s">
        <v>2935</v>
      </c>
      <c r="U1737" s="2" t="s">
        <v>454</v>
      </c>
      <c r="V1737" s="2" t="s">
        <v>208</v>
      </c>
      <c r="W1737" s="2" t="s">
        <v>241</v>
      </c>
      <c r="X1737" s="2" t="s">
        <v>200</v>
      </c>
      <c r="Y1737" s="2" t="s">
        <v>1940</v>
      </c>
      <c r="Z1737" s="4">
        <v>337</v>
      </c>
      <c r="AA1737" s="4">
        <f>=ROUNDDOWN(67.4,0)</f>
      </c>
      <c r="AB1737" s="5">
        <v>5</v>
      </c>
      <c r="AC1737" s="2" t="s">
        <v>8877</v>
      </c>
      <c r="AD1737" s="4">
        <v>85</v>
      </c>
      <c r="AE1737" s="4">
        <v>85</v>
      </c>
      <c r="AF1737" s="6">
        <v>65</v>
      </c>
      <c r="AG1737" s="6"/>
      <c r="AH1737" s="7">
        <v>1</v>
      </c>
      <c r="AI1737" s="4"/>
      <c r="AJ1737" s="4">
        <f>=ROUNDDOWN({0},0)</f>
      </c>
      <c r="AK1737" s="5"/>
      <c r="AL1737" s="2" t="s">
        <v>200</v>
      </c>
      <c r="AM1737" s="4"/>
      <c r="AN1737" s="4"/>
      <c r="AO1737" s="7"/>
      <c r="AP1737" s="4"/>
      <c r="AQ1737" s="8"/>
      <c r="AR1737" s="4"/>
      <c r="AS1737" s="8"/>
      <c r="AT1737" s="7"/>
      <c r="AU1737" s="7"/>
      <c r="AV1737" s="4" t="s">
        <v>200</v>
      </c>
      <c r="AW1737" s="8" t="s">
        <v>200</v>
      </c>
      <c r="AX1737" s="4" t="s">
        <v>200</v>
      </c>
      <c r="AY1737" s="8" t="s">
        <v>200</v>
      </c>
      <c r="AZ1737" s="7" t="s">
        <v>200</v>
      </c>
      <c r="BA1737" s="7" t="s">
        <v>200</v>
      </c>
      <c r="BB1737" s="7"/>
      <c r="BC1737" s="4" t="s">
        <v>200</v>
      </c>
      <c r="BD1737" s="8" t="s">
        <v>200</v>
      </c>
      <c r="BE1737" s="4" t="s">
        <v>200</v>
      </c>
      <c r="BF1737" s="8" t="s">
        <v>200</v>
      </c>
      <c r="BG1737" s="7" t="s">
        <v>200</v>
      </c>
      <c r="BH1737" s="7" t="s">
        <v>200</v>
      </c>
      <c r="BI1737" s="7"/>
      <c r="BJ1737" s="4">
        <v>8</v>
      </c>
      <c r="BK1737" s="8">
        <v>430.41</v>
      </c>
      <c r="BL1737" s="2" t="s">
        <v>2440</v>
      </c>
      <c r="BM1737" s="7"/>
      <c r="BN1737" s="7"/>
      <c r="BO1737" s="4"/>
      <c r="BP1737" s="8"/>
      <c r="BQ1737" s="4"/>
      <c r="BR1737" s="8"/>
      <c r="BS1737" s="7"/>
      <c r="BT1737" s="7"/>
      <c r="BU1737" s="2" t="s">
        <v>8889</v>
      </c>
      <c r="BV1737" s="2" t="s">
        <v>200</v>
      </c>
      <c r="BW1737" s="2" t="s">
        <v>200</v>
      </c>
      <c r="BX1737" s="2" t="s">
        <v>264</v>
      </c>
      <c r="BY1737" s="2" t="s">
        <v>247</v>
      </c>
      <c r="BZ1737" s="2" t="s">
        <v>212</v>
      </c>
      <c r="CA1737" s="2" t="s">
        <v>2529</v>
      </c>
      <c r="CB1737" s="2" t="s">
        <v>3141</v>
      </c>
      <c r="CC1737" s="2" t="s">
        <v>213</v>
      </c>
      <c r="CD1737" s="2" t="s">
        <v>200</v>
      </c>
      <c r="CE1737" s="4">
        <v>337</v>
      </c>
      <c r="CF1737" s="4"/>
      <c r="CG1737" s="4"/>
      <c r="CH1737" s="4"/>
      <c r="CI1737" s="4"/>
      <c r="CJ1737" s="4"/>
      <c r="CK1737" s="4"/>
      <c r="CL1737" s="4"/>
      <c r="CM1737" s="4"/>
      <c r="CN1737" s="4"/>
      <c r="CO1737" s="4"/>
      <c r="CP1737" s="4"/>
      <c r="CQ1737" s="4"/>
      <c r="CR1737" s="4"/>
      <c r="CS1737" s="4"/>
      <c r="CT1737" s="4"/>
      <c r="CU1737" s="4"/>
      <c r="CV1737" s="4"/>
      <c r="CW1737" s="4"/>
      <c r="CX1737" s="4"/>
      <c r="CY1737" s="4"/>
      <c r="CZ1737" s="4"/>
      <c r="DA1737" s="4"/>
      <c r="DB1737" s="4"/>
      <c r="DC1737" s="4"/>
      <c r="DD1737" s="4"/>
      <c r="DE1737" s="4"/>
      <c r="DF1737" s="4"/>
      <c r="DG1737" s="4"/>
      <c r="DH1737" s="4"/>
      <c r="DI1737" s="4"/>
      <c r="DJ1737" s="4"/>
      <c r="DK1737" s="4"/>
      <c r="DL1737" s="4"/>
      <c r="DM1737" s="4"/>
      <c r="DN1737" s="4"/>
      <c r="DO1737" s="4"/>
      <c r="DP1737" s="4"/>
      <c r="DQ1737" s="4"/>
      <c r="DR1737" s="4"/>
      <c r="DS1737" s="4"/>
      <c r="DT1737" s="4"/>
      <c r="DU1737" s="4"/>
      <c r="DV1737" s="4"/>
      <c r="DW1737" s="4"/>
      <c r="DX1737" s="4"/>
      <c r="DY1737" s="4"/>
      <c r="DZ1737" s="4"/>
      <c r="EA1737" s="4"/>
      <c r="EB1737" s="4"/>
      <c r="EC1737" s="4"/>
      <c r="ED1737" s="4"/>
      <c r="EE1737" s="4"/>
      <c r="EF1737" s="4"/>
      <c r="EG1737" s="4">
        <v>85</v>
      </c>
      <c r="EH1737" s="4"/>
      <c r="EI1737" s="4"/>
      <c r="EJ1737" s="4"/>
      <c r="EK1737" s="4"/>
      <c r="EL1737" s="4"/>
      <c r="EM1737" s="4"/>
      <c r="EN1737" s="4"/>
      <c r="EO1737" s="4"/>
      <c r="EP1737" s="4"/>
      <c r="EQ1737" s="4"/>
      <c r="ER1737" s="4"/>
      <c r="ES1737" s="4"/>
      <c r="ET1737" s="4"/>
      <c r="EU1737" s="4"/>
      <c r="EV1737" s="4"/>
      <c r="EW1737" s="4"/>
      <c r="EX1737" s="4"/>
      <c r="EY1737" s="4"/>
      <c r="EZ1737" s="4"/>
      <c r="FA1737" s="4"/>
      <c r="FB1737" s="4"/>
      <c r="FC1737" s="4"/>
      <c r="FD1737" s="4"/>
      <c r="FE1737" s="4"/>
      <c r="FF1737" s="4"/>
      <c r="FG1737" s="4"/>
      <c r="FH1737" s="4"/>
      <c r="FI1737" s="4"/>
      <c r="FJ1737" s="4"/>
      <c r="FK1737" s="4"/>
      <c r="FL1737" s="4"/>
      <c r="FM1737" s="4"/>
      <c r="FN1737" s="4"/>
      <c r="FO1737" s="4"/>
      <c r="FP1737" s="4"/>
      <c r="FQ1737" s="4"/>
      <c r="FR1737" s="4"/>
      <c r="FS1737" s="4"/>
      <c r="FT1737" s="4"/>
      <c r="FU1737" s="4"/>
      <c r="FV1737" s="4"/>
      <c r="FW1737" s="4"/>
      <c r="FX1737" s="4"/>
      <c r="FY1737" s="4"/>
      <c r="FZ1737" s="4"/>
      <c r="GA1737" s="4"/>
      <c r="GB1737" s="4"/>
      <c r="GC1737" s="4"/>
      <c r="GD1737" s="4"/>
      <c r="GE1737" s="4"/>
      <c r="GF1737" s="4"/>
      <c r="GG1737" s="4"/>
      <c r="GH1737" s="4"/>
    </row>
    <row r="1738">
      <c r="A1738" s="2" t="s">
        <v>8890</v>
      </c>
      <c r="B1738" s="2" t="s">
        <v>903</v>
      </c>
      <c r="C1738" s="2" t="s">
        <v>706</v>
      </c>
      <c r="D1738" s="2" t="s">
        <v>1818</v>
      </c>
      <c r="E1738" s="2" t="s">
        <v>2020</v>
      </c>
      <c r="F1738" s="2" t="s">
        <v>8891</v>
      </c>
      <c r="G1738" s="2" t="s">
        <v>8891</v>
      </c>
      <c r="H1738" s="2" t="s">
        <v>200</v>
      </c>
      <c r="I1738" s="2" t="s">
        <v>8892</v>
      </c>
      <c r="J1738" s="2" t="s">
        <v>302</v>
      </c>
      <c r="K1738" s="2" t="s">
        <v>4544</v>
      </c>
      <c r="L1738" s="3">
        <v>90.65</v>
      </c>
      <c r="M1738" s="3">
        <v>95.18</v>
      </c>
      <c r="N1738" s="3">
        <v>259</v>
      </c>
      <c r="O1738" s="2" t="s">
        <v>212</v>
      </c>
      <c r="P1738" s="2" t="s">
        <v>258</v>
      </c>
      <c r="Q1738" s="2" t="s">
        <v>206</v>
      </c>
      <c r="R1738" s="2" t="s">
        <v>200</v>
      </c>
      <c r="S1738" s="2" t="s">
        <v>8893</v>
      </c>
      <c r="T1738" s="2" t="s">
        <v>200</v>
      </c>
      <c r="U1738" s="2" t="s">
        <v>454</v>
      </c>
      <c r="V1738" s="2" t="s">
        <v>208</v>
      </c>
      <c r="W1738" s="2" t="s">
        <v>419</v>
      </c>
      <c r="X1738" s="2" t="s">
        <v>970</v>
      </c>
      <c r="Y1738" s="2" t="s">
        <v>261</v>
      </c>
      <c r="Z1738" s="4"/>
      <c r="AA1738" s="4">
        <f>=ROUNDDOWN({0},0)</f>
      </c>
      <c r="AB1738" s="5">
        <v>3</v>
      </c>
      <c r="AC1738" s="2" t="s">
        <v>1674</v>
      </c>
      <c r="AD1738" s="4">
        <v>100</v>
      </c>
      <c r="AE1738" s="4">
        <v>100</v>
      </c>
      <c r="AF1738" s="6">
        <v>67</v>
      </c>
      <c r="AG1738" s="6"/>
      <c r="AH1738" s="7">
        <v>0.1</v>
      </c>
      <c r="AI1738" s="4"/>
      <c r="AJ1738" s="4">
        <f>=ROUNDDOWN({0},0)</f>
      </c>
      <c r="AK1738" s="5"/>
      <c r="AL1738" s="2" t="s">
        <v>200</v>
      </c>
      <c r="AM1738" s="4"/>
      <c r="AN1738" s="4"/>
      <c r="AO1738" s="7"/>
      <c r="AP1738" s="4"/>
      <c r="AQ1738" s="8"/>
      <c r="AR1738" s="4"/>
      <c r="AS1738" s="8"/>
      <c r="AT1738" s="7"/>
      <c r="AU1738" s="7"/>
      <c r="AV1738" s="4"/>
      <c r="AW1738" s="8"/>
      <c r="AX1738" s="4"/>
      <c r="AY1738" s="8"/>
      <c r="AZ1738" s="7"/>
      <c r="BA1738" s="7"/>
      <c r="BB1738" s="7"/>
      <c r="BC1738" s="4" t="s">
        <v>200</v>
      </c>
      <c r="BD1738" s="8" t="s">
        <v>200</v>
      </c>
      <c r="BE1738" s="4" t="s">
        <v>200</v>
      </c>
      <c r="BF1738" s="8" t="s">
        <v>200</v>
      </c>
      <c r="BG1738" s="7" t="s">
        <v>200</v>
      </c>
      <c r="BH1738" s="7" t="s">
        <v>200</v>
      </c>
      <c r="BI1738" s="7"/>
      <c r="BJ1738" s="4">
        <v>11</v>
      </c>
      <c r="BK1738" s="8">
        <v>1161.93</v>
      </c>
      <c r="BL1738" s="2" t="s">
        <v>8894</v>
      </c>
      <c r="BM1738" s="7"/>
      <c r="BN1738" s="7"/>
      <c r="BO1738" s="4"/>
      <c r="BP1738" s="8"/>
      <c r="BQ1738" s="4"/>
      <c r="BR1738" s="8"/>
      <c r="BS1738" s="7"/>
      <c r="BT1738" s="7"/>
      <c r="BU1738" s="2" t="s">
        <v>8895</v>
      </c>
      <c r="BV1738" s="2" t="s">
        <v>200</v>
      </c>
      <c r="BW1738" s="2" t="s">
        <v>200</v>
      </c>
      <c r="BX1738" s="2" t="s">
        <v>264</v>
      </c>
      <c r="BY1738" s="2" t="s">
        <v>247</v>
      </c>
      <c r="BZ1738" s="2" t="s">
        <v>212</v>
      </c>
      <c r="CA1738" s="2" t="s">
        <v>1597</v>
      </c>
      <c r="CB1738" s="2" t="s">
        <v>3521</v>
      </c>
      <c r="CC1738" s="2" t="s">
        <v>213</v>
      </c>
      <c r="CD1738" s="2" t="s">
        <v>200</v>
      </c>
      <c r="CE1738" s="4"/>
      <c r="CF1738" s="4"/>
      <c r="CG1738" s="4"/>
      <c r="CH1738" s="4"/>
      <c r="CI1738" s="4"/>
      <c r="CJ1738" s="4"/>
      <c r="CK1738" s="4"/>
      <c r="CL1738" s="4"/>
      <c r="CM1738" s="4"/>
      <c r="CN1738" s="4"/>
      <c r="CO1738" s="4"/>
      <c r="CP1738" s="4"/>
      <c r="CQ1738" s="4"/>
      <c r="CR1738" s="4"/>
      <c r="CS1738" s="4"/>
      <c r="CT1738" s="4"/>
      <c r="CU1738" s="4"/>
      <c r="CV1738" s="4"/>
      <c r="CW1738" s="4"/>
      <c r="CX1738" s="4"/>
      <c r="CY1738" s="4"/>
      <c r="CZ1738" s="4"/>
      <c r="DA1738" s="4"/>
      <c r="DB1738" s="4"/>
      <c r="DC1738" s="4"/>
      <c r="DD1738" s="4"/>
      <c r="DE1738" s="4"/>
      <c r="DF1738" s="4"/>
      <c r="DG1738" s="4"/>
      <c r="DH1738" s="4"/>
      <c r="DI1738" s="4"/>
      <c r="DJ1738" s="4"/>
      <c r="DK1738" s="4"/>
      <c r="DL1738" s="4"/>
      <c r="DM1738" s="4"/>
      <c r="DN1738" s="4"/>
      <c r="DO1738" s="4"/>
      <c r="DP1738" s="4"/>
      <c r="DQ1738" s="4"/>
      <c r="DR1738" s="4"/>
      <c r="DS1738" s="4"/>
      <c r="DT1738" s="4"/>
      <c r="DU1738" s="4"/>
      <c r="DV1738" s="4"/>
      <c r="DW1738" s="4">
        <v>100</v>
      </c>
      <c r="DX1738" s="4"/>
      <c r="DY1738" s="4"/>
      <c r="DZ1738" s="4"/>
      <c r="EA1738" s="4"/>
      <c r="EB1738" s="4"/>
      <c r="EC1738" s="4"/>
      <c r="ED1738" s="4"/>
      <c r="EE1738" s="4"/>
      <c r="EF1738" s="4"/>
      <c r="EG1738" s="4"/>
      <c r="EH1738" s="4"/>
      <c r="EI1738" s="4"/>
      <c r="EJ1738" s="4"/>
      <c r="EK1738" s="4"/>
      <c r="EL1738" s="4"/>
      <c r="EM1738" s="4"/>
      <c r="EN1738" s="4"/>
      <c r="EO1738" s="4"/>
      <c r="EP1738" s="4"/>
      <c r="EQ1738" s="4"/>
      <c r="ER1738" s="4"/>
      <c r="ES1738" s="4"/>
      <c r="ET1738" s="4"/>
      <c r="EU1738" s="4"/>
      <c r="EV1738" s="4"/>
      <c r="EW1738" s="4"/>
      <c r="EX1738" s="4"/>
      <c r="EY1738" s="4"/>
      <c r="EZ1738" s="4"/>
      <c r="FA1738" s="4"/>
      <c r="FB1738" s="4"/>
      <c r="FC1738" s="4"/>
      <c r="FD1738" s="4"/>
      <c r="FE1738" s="4"/>
      <c r="FF1738" s="4"/>
      <c r="FG1738" s="4"/>
      <c r="FH1738" s="4"/>
      <c r="FI1738" s="4"/>
      <c r="FJ1738" s="4"/>
      <c r="FK1738" s="4"/>
      <c r="FL1738" s="4"/>
      <c r="FM1738" s="4"/>
      <c r="FN1738" s="4"/>
      <c r="FO1738" s="4"/>
      <c r="FP1738" s="4"/>
      <c r="FQ1738" s="4"/>
      <c r="FR1738" s="4"/>
      <c r="FS1738" s="4"/>
      <c r="FT1738" s="4"/>
      <c r="FU1738" s="4"/>
      <c r="FV1738" s="4"/>
      <c r="FW1738" s="4"/>
      <c r="FX1738" s="4"/>
      <c r="FY1738" s="4"/>
      <c r="FZ1738" s="4"/>
      <c r="GA1738" s="4"/>
      <c r="GB1738" s="4"/>
      <c r="GC1738" s="4"/>
      <c r="GD1738" s="4"/>
      <c r="GE1738" s="4"/>
      <c r="GF1738" s="4"/>
      <c r="GG1738" s="4"/>
      <c r="GH1738" s="4"/>
    </row>
    <row r="1739">
      <c r="A1739" s="2" t="s">
        <v>8896</v>
      </c>
      <c r="B1739" s="2" t="s">
        <v>903</v>
      </c>
      <c r="C1739" s="2" t="s">
        <v>706</v>
      </c>
      <c r="D1739" s="2" t="s">
        <v>1818</v>
      </c>
      <c r="E1739" s="2" t="s">
        <v>2020</v>
      </c>
      <c r="F1739" s="2" t="s">
        <v>8891</v>
      </c>
      <c r="G1739" s="2" t="s">
        <v>8891</v>
      </c>
      <c r="H1739" s="2" t="s">
        <v>200</v>
      </c>
      <c r="I1739" s="2" t="s">
        <v>8892</v>
      </c>
      <c r="J1739" s="2" t="s">
        <v>302</v>
      </c>
      <c r="K1739" s="2" t="s">
        <v>8897</v>
      </c>
      <c r="L1739" s="3">
        <v>90.65</v>
      </c>
      <c r="M1739" s="3">
        <v>95.18</v>
      </c>
      <c r="N1739" s="3">
        <v>259</v>
      </c>
      <c r="O1739" s="2" t="s">
        <v>460</v>
      </c>
      <c r="P1739" s="2" t="s">
        <v>258</v>
      </c>
      <c r="Q1739" s="2" t="s">
        <v>206</v>
      </c>
      <c r="R1739" s="2" t="s">
        <v>200</v>
      </c>
      <c r="S1739" s="2" t="s">
        <v>8898</v>
      </c>
      <c r="T1739" s="2" t="s">
        <v>200</v>
      </c>
      <c r="U1739" s="2" t="s">
        <v>454</v>
      </c>
      <c r="V1739" s="2" t="s">
        <v>208</v>
      </c>
      <c r="W1739" s="2" t="s">
        <v>419</v>
      </c>
      <c r="X1739" s="2" t="s">
        <v>970</v>
      </c>
      <c r="Y1739" s="2" t="s">
        <v>261</v>
      </c>
      <c r="Z1739" s="4">
        <v>55</v>
      </c>
      <c r="AA1739" s="4">
        <f>=ROUNDDOWN(27.5,0)</f>
      </c>
      <c r="AB1739" s="5">
        <v>2</v>
      </c>
      <c r="AC1739" s="2" t="s">
        <v>200</v>
      </c>
      <c r="AD1739" s="4"/>
      <c r="AE1739" s="4"/>
      <c r="AF1739" s="6">
        <v>67</v>
      </c>
      <c r="AG1739" s="6"/>
      <c r="AH1739" s="7">
        <v>1</v>
      </c>
      <c r="AI1739" s="4"/>
      <c r="AJ1739" s="4">
        <f>=ROUNDDOWN({0},0)</f>
      </c>
      <c r="AK1739" s="5"/>
      <c r="AL1739" s="2" t="s">
        <v>200</v>
      </c>
      <c r="AM1739" s="4"/>
      <c r="AN1739" s="4"/>
      <c r="AO1739" s="7"/>
      <c r="AP1739" s="4"/>
      <c r="AQ1739" s="8"/>
      <c r="AR1739" s="4"/>
      <c r="AS1739" s="8"/>
      <c r="AT1739" s="7"/>
      <c r="AU1739" s="7"/>
      <c r="AV1739" s="4"/>
      <c r="AW1739" s="8"/>
      <c r="AX1739" s="4"/>
      <c r="AY1739" s="8"/>
      <c r="AZ1739" s="7"/>
      <c r="BA1739" s="7"/>
      <c r="BB1739" s="7"/>
      <c r="BC1739" s="4" t="s">
        <v>200</v>
      </c>
      <c r="BD1739" s="8" t="s">
        <v>200</v>
      </c>
      <c r="BE1739" s="4" t="s">
        <v>200</v>
      </c>
      <c r="BF1739" s="8" t="s">
        <v>200</v>
      </c>
      <c r="BG1739" s="7" t="s">
        <v>200</v>
      </c>
      <c r="BH1739" s="7" t="s">
        <v>200</v>
      </c>
      <c r="BI1739" s="7"/>
      <c r="BJ1739" s="4">
        <v>6</v>
      </c>
      <c r="BK1739" s="8">
        <v>716.89</v>
      </c>
      <c r="BL1739" s="2" t="s">
        <v>8899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8900</v>
      </c>
      <c r="BV1739" s="2" t="s">
        <v>200</v>
      </c>
      <c r="BW1739" s="2" t="s">
        <v>200</v>
      </c>
      <c r="BX1739" s="2" t="s">
        <v>264</v>
      </c>
      <c r="BY1739" s="2" t="s">
        <v>247</v>
      </c>
      <c r="BZ1739" s="2" t="s">
        <v>212</v>
      </c>
      <c r="CA1739" s="2" t="s">
        <v>265</v>
      </c>
      <c r="CB1739" s="2" t="s">
        <v>8901</v>
      </c>
      <c r="CC1739" s="2" t="s">
        <v>213</v>
      </c>
      <c r="CD1739" s="2" t="s">
        <v>200</v>
      </c>
      <c r="CE1739" s="4">
        <v>55</v>
      </c>
      <c r="CF1739" s="4"/>
      <c r="CG1739" s="4"/>
      <c r="CH1739" s="4"/>
      <c r="CI1739" s="4"/>
      <c r="CJ1739" s="4"/>
      <c r="CK1739" s="4"/>
      <c r="CL1739" s="4"/>
      <c r="CM1739" s="4"/>
      <c r="CN1739" s="4"/>
      <c r="CO1739" s="4"/>
      <c r="CP1739" s="4"/>
      <c r="CQ1739" s="4"/>
      <c r="CR1739" s="4"/>
      <c r="CS1739" s="4"/>
      <c r="CT1739" s="4"/>
      <c r="CU1739" s="4"/>
      <c r="CV1739" s="4"/>
      <c r="CW1739" s="4"/>
      <c r="CX1739" s="4"/>
      <c r="CY1739" s="4"/>
      <c r="CZ1739" s="4"/>
      <c r="DA1739" s="4"/>
      <c r="DB1739" s="4"/>
      <c r="DC1739" s="4"/>
      <c r="DD1739" s="4"/>
      <c r="DE1739" s="4"/>
      <c r="DF1739" s="4"/>
      <c r="DG1739" s="4"/>
      <c r="DH1739" s="4"/>
      <c r="DI1739" s="4"/>
      <c r="DJ1739" s="4"/>
      <c r="DK1739" s="4"/>
      <c r="DL1739" s="4"/>
      <c r="DM1739" s="4"/>
      <c r="DN1739" s="4"/>
      <c r="DO1739" s="4"/>
      <c r="DP1739" s="4"/>
      <c r="DQ1739" s="4"/>
      <c r="DR1739" s="4"/>
      <c r="DS1739" s="4"/>
      <c r="DT1739" s="4"/>
      <c r="DU1739" s="4"/>
      <c r="DV1739" s="4"/>
      <c r="DW1739" s="4"/>
      <c r="DX1739" s="4"/>
      <c r="DY1739" s="4"/>
      <c r="DZ1739" s="4"/>
      <c r="EA1739" s="4"/>
      <c r="EB1739" s="4"/>
      <c r="EC1739" s="4"/>
      <c r="ED1739" s="4"/>
      <c r="EE1739" s="4"/>
      <c r="EF1739" s="4"/>
      <c r="EG1739" s="4"/>
      <c r="EH1739" s="4"/>
      <c r="EI1739" s="4"/>
      <c r="EJ1739" s="4"/>
      <c r="EK1739" s="4"/>
      <c r="EL1739" s="4"/>
      <c r="EM1739" s="4"/>
      <c r="EN1739" s="4"/>
      <c r="EO1739" s="4"/>
      <c r="EP1739" s="4"/>
      <c r="EQ1739" s="4"/>
      <c r="ER1739" s="4"/>
      <c r="ES1739" s="4"/>
      <c r="ET1739" s="4"/>
      <c r="EU1739" s="4"/>
      <c r="EV1739" s="4"/>
      <c r="EW1739" s="4"/>
      <c r="EX1739" s="4"/>
      <c r="EY1739" s="4"/>
      <c r="EZ1739" s="4"/>
      <c r="FA1739" s="4"/>
      <c r="FB1739" s="4"/>
      <c r="FC1739" s="4"/>
      <c r="FD1739" s="4"/>
      <c r="FE1739" s="4"/>
      <c r="FF1739" s="4"/>
      <c r="FG1739" s="4"/>
      <c r="FH1739" s="4"/>
      <c r="FI1739" s="4"/>
      <c r="FJ1739" s="4"/>
      <c r="FK1739" s="4"/>
      <c r="FL1739" s="4"/>
      <c r="FM1739" s="4"/>
      <c r="FN1739" s="4"/>
      <c r="FO1739" s="4"/>
      <c r="FP1739" s="4"/>
      <c r="FQ1739" s="4"/>
      <c r="FR1739" s="4"/>
      <c r="FS1739" s="4"/>
      <c r="FT1739" s="4"/>
      <c r="FU1739" s="4"/>
      <c r="FV1739" s="4"/>
      <c r="FW1739" s="4"/>
      <c r="FX1739" s="4"/>
      <c r="FY1739" s="4"/>
      <c r="FZ1739" s="4"/>
      <c r="GA1739" s="4"/>
      <c r="GB1739" s="4"/>
      <c r="GC1739" s="4"/>
      <c r="GD1739" s="4"/>
      <c r="GE1739" s="4"/>
      <c r="GF1739" s="4"/>
      <c r="GG1739" s="4"/>
      <c r="GH1739" s="4"/>
    </row>
    <row r="1740">
      <c r="A1740" s="2" t="s">
        <v>8902</v>
      </c>
      <c r="B1740" s="2" t="s">
        <v>744</v>
      </c>
      <c r="C1740" s="2" t="s">
        <v>231</v>
      </c>
      <c r="D1740" s="2" t="s">
        <v>4557</v>
      </c>
      <c r="E1740" s="2" t="s">
        <v>1633</v>
      </c>
      <c r="F1740" s="2" t="s">
        <v>8903</v>
      </c>
      <c r="G1740" s="2" t="s">
        <v>8904</v>
      </c>
      <c r="H1740" s="2" t="s">
        <v>3718</v>
      </c>
      <c r="I1740" s="2" t="s">
        <v>8905</v>
      </c>
      <c r="J1740" s="2" t="s">
        <v>711</v>
      </c>
      <c r="K1740" s="2" t="s">
        <v>857</v>
      </c>
      <c r="L1740" s="3">
        <v>475</v>
      </c>
      <c r="M1740" s="3">
        <v>498.75</v>
      </c>
      <c r="N1740" s="3">
        <v>999</v>
      </c>
      <c r="O1740" s="2" t="s">
        <v>460</v>
      </c>
      <c r="P1740" s="2" t="s">
        <v>285</v>
      </c>
      <c r="Q1740" s="2" t="s">
        <v>206</v>
      </c>
      <c r="R1740" s="2" t="s">
        <v>200</v>
      </c>
      <c r="S1740" s="2" t="s">
        <v>200</v>
      </c>
      <c r="T1740" s="2" t="s">
        <v>200</v>
      </c>
      <c r="U1740" s="2" t="s">
        <v>270</v>
      </c>
      <c r="V1740" s="2" t="s">
        <v>208</v>
      </c>
      <c r="W1740" s="2" t="s">
        <v>419</v>
      </c>
      <c r="X1740" s="2" t="s">
        <v>200</v>
      </c>
      <c r="Y1740" s="2" t="s">
        <v>8906</v>
      </c>
      <c r="Z1740" s="4">
        <v>252</v>
      </c>
      <c r="AA1740" s="4">
        <f>=ROUNDDOWN(252,0)</f>
      </c>
      <c r="AB1740" s="5">
        <v>1</v>
      </c>
      <c r="AC1740" s="2" t="s">
        <v>200</v>
      </c>
      <c r="AD1740" s="4"/>
      <c r="AE1740" s="4"/>
      <c r="AF1740" s="6">
        <v>65</v>
      </c>
      <c r="AG1740" s="6"/>
      <c r="AH1740" s="7">
        <v>1</v>
      </c>
      <c r="AI1740" s="4"/>
      <c r="AJ1740" s="4">
        <f>=ROUNDDOWN({0},0)</f>
      </c>
      <c r="AK1740" s="5"/>
      <c r="AL1740" s="2" t="s">
        <v>200</v>
      </c>
      <c r="AM1740" s="4"/>
      <c r="AN1740" s="4"/>
      <c r="AO1740" s="7"/>
      <c r="AP1740" s="4"/>
      <c r="AQ1740" s="8"/>
      <c r="AR1740" s="4"/>
      <c r="AS1740" s="8"/>
      <c r="AT1740" s="7"/>
      <c r="AU1740" s="7"/>
      <c r="AV1740" s="4"/>
      <c r="AW1740" s="8"/>
      <c r="AX1740" s="4"/>
      <c r="AY1740" s="8"/>
      <c r="AZ1740" s="7"/>
      <c r="BA1740" s="7"/>
      <c r="BB1740" s="7"/>
      <c r="BC1740" s="4"/>
      <c r="BD1740" s="8"/>
      <c r="BE1740" s="4"/>
      <c r="BF1740" s="8"/>
      <c r="BG1740" s="7"/>
      <c r="BH1740" s="7"/>
      <c r="BI1740" s="7"/>
      <c r="BJ1740" s="4">
        <v>2</v>
      </c>
      <c r="BK1740" s="8">
        <v>599.37</v>
      </c>
      <c r="BL1740" s="2" t="s">
        <v>752</v>
      </c>
      <c r="BM1740" s="7"/>
      <c r="BN1740" s="7"/>
      <c r="BO1740" s="4"/>
      <c r="BP1740" s="8"/>
      <c r="BQ1740" s="4"/>
      <c r="BR1740" s="8"/>
      <c r="BS1740" s="7"/>
      <c r="BT1740" s="7"/>
      <c r="BU1740" s="2" t="s">
        <v>8907</v>
      </c>
      <c r="BV1740" s="2" t="s">
        <v>200</v>
      </c>
      <c r="BW1740" s="2" t="s">
        <v>200</v>
      </c>
      <c r="BX1740" s="2" t="s">
        <v>289</v>
      </c>
      <c r="BY1740" s="2" t="s">
        <v>247</v>
      </c>
      <c r="BZ1740" s="2" t="s">
        <v>212</v>
      </c>
      <c r="CA1740" s="2" t="s">
        <v>8908</v>
      </c>
      <c r="CB1740" s="2" t="s">
        <v>3423</v>
      </c>
      <c r="CC1740" s="2" t="s">
        <v>213</v>
      </c>
      <c r="CD1740" s="2" t="s">
        <v>200</v>
      </c>
      <c r="CE1740" s="4"/>
      <c r="CF1740" s="4">
        <v>252</v>
      </c>
      <c r="CG1740" s="4"/>
      <c r="CH1740" s="4"/>
      <c r="CI1740" s="4"/>
      <c r="CJ1740" s="4"/>
      <c r="CK1740" s="4"/>
      <c r="CL1740" s="4"/>
      <c r="CM1740" s="4"/>
      <c r="CN1740" s="4"/>
      <c r="CO1740" s="4"/>
      <c r="CP1740" s="4"/>
      <c r="CQ1740" s="4"/>
      <c r="CR1740" s="4"/>
      <c r="CS1740" s="4"/>
      <c r="CT1740" s="4"/>
      <c r="CU1740" s="4"/>
      <c r="CV1740" s="4"/>
      <c r="CW1740" s="4"/>
      <c r="CX1740" s="4"/>
      <c r="CY1740" s="4"/>
      <c r="CZ1740" s="4"/>
      <c r="DA1740" s="4"/>
      <c r="DB1740" s="4"/>
      <c r="DC1740" s="4"/>
      <c r="DD1740" s="4"/>
      <c r="DE1740" s="4"/>
      <c r="DF1740" s="4"/>
      <c r="DG1740" s="4"/>
      <c r="DH1740" s="4"/>
      <c r="DI1740" s="4"/>
      <c r="DJ1740" s="4"/>
      <c r="DK1740" s="4"/>
      <c r="DL1740" s="4"/>
      <c r="DM1740" s="4"/>
      <c r="DN1740" s="4"/>
      <c r="DO1740" s="4"/>
      <c r="DP1740" s="4"/>
      <c r="DQ1740" s="4"/>
      <c r="DR1740" s="4"/>
      <c r="DS1740" s="4"/>
      <c r="DT1740" s="4"/>
      <c r="DU1740" s="4"/>
      <c r="DV1740" s="4"/>
      <c r="DW1740" s="4"/>
      <c r="DX1740" s="4"/>
      <c r="DY1740" s="4"/>
      <c r="DZ1740" s="4"/>
      <c r="EA1740" s="4"/>
      <c r="EB1740" s="4"/>
      <c r="EC1740" s="4"/>
      <c r="ED1740" s="4"/>
      <c r="EE1740" s="4"/>
      <c r="EF1740" s="4"/>
      <c r="EG1740" s="4"/>
      <c r="EH1740" s="4"/>
      <c r="EI1740" s="4"/>
      <c r="EJ1740" s="4"/>
      <c r="EK1740" s="4"/>
      <c r="EL1740" s="4"/>
      <c r="EM1740" s="4"/>
      <c r="EN1740" s="4"/>
      <c r="EO1740" s="4"/>
      <c r="EP1740" s="4"/>
      <c r="EQ1740" s="4"/>
      <c r="ER1740" s="4"/>
      <c r="ES1740" s="4"/>
      <c r="ET1740" s="4"/>
      <c r="EU1740" s="4"/>
      <c r="EV1740" s="4"/>
      <c r="EW1740" s="4"/>
      <c r="EX1740" s="4"/>
      <c r="EY1740" s="4"/>
      <c r="EZ1740" s="4"/>
      <c r="FA1740" s="4"/>
      <c r="FB1740" s="4"/>
      <c r="FC1740" s="4"/>
      <c r="FD1740" s="4"/>
      <c r="FE1740" s="4"/>
      <c r="FF1740" s="4"/>
      <c r="FG1740" s="4"/>
      <c r="FH1740" s="4"/>
      <c r="FI1740" s="4"/>
      <c r="FJ1740" s="4"/>
      <c r="FK1740" s="4"/>
      <c r="FL1740" s="4"/>
      <c r="FM1740" s="4"/>
      <c r="FN1740" s="4"/>
      <c r="FO1740" s="4"/>
      <c r="FP1740" s="4"/>
      <c r="FQ1740" s="4"/>
      <c r="FR1740" s="4"/>
      <c r="FS1740" s="4"/>
      <c r="FT1740" s="4"/>
      <c r="FU1740" s="4"/>
      <c r="FV1740" s="4"/>
      <c r="FW1740" s="4"/>
      <c r="FX1740" s="4"/>
      <c r="FY1740" s="4"/>
      <c r="FZ1740" s="4"/>
      <c r="GA1740" s="4"/>
      <c r="GB1740" s="4"/>
      <c r="GC1740" s="4"/>
      <c r="GD1740" s="4"/>
      <c r="GE1740" s="4"/>
      <c r="GF1740" s="4"/>
      <c r="GG1740" s="4"/>
      <c r="GH1740" s="4"/>
    </row>
    <row r="1741">
      <c r="A1741" s="2" t="s">
        <v>8909</v>
      </c>
      <c r="B1741" s="2" t="s">
        <v>827</v>
      </c>
      <c r="C1741" s="2" t="s">
        <v>231</v>
      </c>
      <c r="D1741" s="2" t="s">
        <v>828</v>
      </c>
      <c r="E1741" s="2" t="s">
        <v>1011</v>
      </c>
      <c r="F1741" s="2" t="s">
        <v>8910</v>
      </c>
      <c r="G1741" s="2" t="s">
        <v>2688</v>
      </c>
      <c r="H1741" s="2" t="s">
        <v>8911</v>
      </c>
      <c r="I1741" s="2" t="s">
        <v>8018</v>
      </c>
      <c r="J1741" s="2" t="s">
        <v>1016</v>
      </c>
      <c r="K1741" s="2" t="s">
        <v>5339</v>
      </c>
      <c r="L1741" s="3">
        <v>15.45</v>
      </c>
      <c r="M1741" s="3">
        <v>16.22</v>
      </c>
      <c r="N1741" s="3">
        <v>34.99</v>
      </c>
      <c r="O1741" s="2" t="s">
        <v>212</v>
      </c>
      <c r="P1741" s="2" t="s">
        <v>205</v>
      </c>
      <c r="Q1741" s="2" t="s">
        <v>206</v>
      </c>
      <c r="R1741" s="2" t="s">
        <v>200</v>
      </c>
      <c r="S1741" s="2" t="s">
        <v>8912</v>
      </c>
      <c r="T1741" s="2" t="s">
        <v>200</v>
      </c>
      <c r="U1741" s="2" t="s">
        <v>270</v>
      </c>
      <c r="V1741" s="2" t="s">
        <v>3675</v>
      </c>
      <c r="W1741" s="2" t="s">
        <v>200</v>
      </c>
      <c r="X1741" s="2" t="s">
        <v>200</v>
      </c>
      <c r="Y1741" s="2" t="s">
        <v>3977</v>
      </c>
      <c r="Z1741" s="4">
        <v>355</v>
      </c>
      <c r="AA1741" s="4">
        <f>=ROUNDDOWN(6.82692307692308,0)</f>
      </c>
      <c r="AB1741" s="5">
        <v>52</v>
      </c>
      <c r="AC1741" s="2" t="s">
        <v>107</v>
      </c>
      <c r="AD1741" s="4">
        <v>448</v>
      </c>
      <c r="AE1741" s="4">
        <v>1212</v>
      </c>
      <c r="AF1741" s="6">
        <v>65</v>
      </c>
      <c r="AG1741" s="6"/>
      <c r="AH1741" s="7">
        <v>1</v>
      </c>
      <c r="AI1741" s="4"/>
      <c r="AJ1741" s="4">
        <f>=ROUNDDOWN({0},0)</f>
      </c>
      <c r="AK1741" s="5"/>
      <c r="AL1741" s="2" t="s">
        <v>200</v>
      </c>
      <c r="AM1741" s="4"/>
      <c r="AN1741" s="4"/>
      <c r="AO1741" s="7"/>
      <c r="AP1741" s="4"/>
      <c r="AQ1741" s="8"/>
      <c r="AR1741" s="4"/>
      <c r="AS1741" s="8"/>
      <c r="AT1741" s="7"/>
      <c r="AU1741" s="7"/>
      <c r="AV1741" s="4" t="s">
        <v>200</v>
      </c>
      <c r="AW1741" s="8" t="s">
        <v>200</v>
      </c>
      <c r="AX1741" s="4" t="s">
        <v>200</v>
      </c>
      <c r="AY1741" s="8" t="s">
        <v>200</v>
      </c>
      <c r="AZ1741" s="7" t="s">
        <v>200</v>
      </c>
      <c r="BA1741" s="7" t="s">
        <v>200</v>
      </c>
      <c r="BB1741" s="7"/>
      <c r="BC1741" s="4" t="s">
        <v>200</v>
      </c>
      <c r="BD1741" s="8" t="s">
        <v>200</v>
      </c>
      <c r="BE1741" s="4" t="s">
        <v>200</v>
      </c>
      <c r="BF1741" s="8" t="s">
        <v>200</v>
      </c>
      <c r="BG1741" s="7" t="s">
        <v>200</v>
      </c>
      <c r="BH1741" s="7" t="s">
        <v>200</v>
      </c>
      <c r="BI1741" s="7"/>
      <c r="BJ1741" s="4">
        <v>1</v>
      </c>
      <c r="BK1741" s="8">
        <v>17.77</v>
      </c>
      <c r="BL1741" s="2" t="s">
        <v>1029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8913</v>
      </c>
      <c r="BV1741" s="2" t="s">
        <v>200</v>
      </c>
      <c r="BW1741" s="2" t="s">
        <v>200</v>
      </c>
      <c r="BX1741" s="2" t="s">
        <v>264</v>
      </c>
      <c r="BY1741" s="2" t="s">
        <v>247</v>
      </c>
      <c r="BZ1741" s="2" t="s">
        <v>212</v>
      </c>
      <c r="CA1741" s="2" t="s">
        <v>1640</v>
      </c>
      <c r="CB1741" s="2" t="s">
        <v>200</v>
      </c>
      <c r="CC1741" s="2" t="s">
        <v>213</v>
      </c>
      <c r="CD1741" s="2" t="s">
        <v>200</v>
      </c>
      <c r="CE1741" s="4"/>
      <c r="CF1741" s="4"/>
      <c r="CG1741" s="4"/>
      <c r="CH1741" s="4">
        <v>355</v>
      </c>
      <c r="CI1741" s="4"/>
      <c r="CJ1741" s="4"/>
      <c r="CK1741" s="4"/>
      <c r="CL1741" s="4"/>
      <c r="CM1741" s="4"/>
      <c r="CN1741" s="4"/>
      <c r="CO1741" s="4"/>
      <c r="CP1741" s="4"/>
      <c r="CQ1741" s="4"/>
      <c r="CR1741" s="4"/>
      <c r="CS1741" s="4">
        <v>448</v>
      </c>
      <c r="CT1741" s="4"/>
      <c r="CU1741" s="4"/>
      <c r="CV1741" s="4"/>
      <c r="CW1741" s="4"/>
      <c r="CX1741" s="4">
        <v>764</v>
      </c>
      <c r="CY1741" s="4"/>
      <c r="CZ1741" s="4"/>
      <c r="DA1741" s="4"/>
      <c r="DB1741" s="4"/>
      <c r="DC1741" s="4"/>
      <c r="DD1741" s="4"/>
      <c r="DE1741" s="4"/>
      <c r="DF1741" s="4"/>
      <c r="DG1741" s="4"/>
      <c r="DH1741" s="4"/>
      <c r="DI1741" s="4"/>
      <c r="DJ1741" s="4"/>
      <c r="DK1741" s="4"/>
      <c r="DL1741" s="4"/>
      <c r="DM1741" s="4"/>
      <c r="DN1741" s="4"/>
      <c r="DO1741" s="4"/>
      <c r="DP1741" s="4"/>
      <c r="DQ1741" s="4"/>
      <c r="DR1741" s="4"/>
      <c r="DS1741" s="4"/>
      <c r="DT1741" s="4"/>
      <c r="DU1741" s="4"/>
      <c r="DV1741" s="4"/>
      <c r="DW1741" s="4"/>
      <c r="DX1741" s="4"/>
      <c r="DY1741" s="4"/>
      <c r="DZ1741" s="4"/>
      <c r="EA1741" s="4"/>
      <c r="EB1741" s="4"/>
      <c r="EC1741" s="4"/>
      <c r="ED1741" s="4"/>
      <c r="EE1741" s="4"/>
      <c r="EF1741" s="4"/>
      <c r="EG1741" s="4"/>
      <c r="EH1741" s="4"/>
      <c r="EI1741" s="4"/>
      <c r="EJ1741" s="4"/>
      <c r="EK1741" s="4"/>
      <c r="EL1741" s="4"/>
      <c r="EM1741" s="4"/>
      <c r="EN1741" s="4"/>
      <c r="EO1741" s="4"/>
      <c r="EP1741" s="4"/>
      <c r="EQ1741" s="4"/>
      <c r="ER1741" s="4"/>
      <c r="ES1741" s="4"/>
      <c r="ET1741" s="4"/>
      <c r="EU1741" s="4"/>
      <c r="EV1741" s="4"/>
      <c r="EW1741" s="4"/>
      <c r="EX1741" s="4"/>
      <c r="EY1741" s="4"/>
      <c r="EZ1741" s="4"/>
      <c r="FA1741" s="4"/>
      <c r="FB1741" s="4"/>
      <c r="FC1741" s="4"/>
      <c r="FD1741" s="4"/>
      <c r="FE1741" s="4"/>
      <c r="FF1741" s="4"/>
      <c r="FG1741" s="4"/>
      <c r="FH1741" s="4"/>
      <c r="FI1741" s="4"/>
      <c r="FJ1741" s="4"/>
      <c r="FK1741" s="4"/>
      <c r="FL1741" s="4"/>
      <c r="FM1741" s="4"/>
      <c r="FN1741" s="4"/>
      <c r="FO1741" s="4"/>
      <c r="FP1741" s="4"/>
      <c r="FQ1741" s="4"/>
      <c r="FR1741" s="4"/>
      <c r="FS1741" s="4"/>
      <c r="FT1741" s="4"/>
      <c r="FU1741" s="4"/>
      <c r="FV1741" s="4"/>
      <c r="FW1741" s="4"/>
      <c r="FX1741" s="4"/>
      <c r="FY1741" s="4"/>
      <c r="FZ1741" s="4"/>
      <c r="GA1741" s="4"/>
      <c r="GB1741" s="4"/>
      <c r="GC1741" s="4"/>
      <c r="GD1741" s="4"/>
      <c r="GE1741" s="4"/>
      <c r="GF1741" s="4"/>
      <c r="GG1741" s="4"/>
      <c r="GH1741" s="4"/>
    </row>
    <row r="1742">
      <c r="A1742" s="2" t="s">
        <v>8914</v>
      </c>
      <c r="B1742" s="2" t="s">
        <v>827</v>
      </c>
      <c r="C1742" s="2" t="s">
        <v>231</v>
      </c>
      <c r="D1742" s="2" t="s">
        <v>828</v>
      </c>
      <c r="E1742" s="2" t="s">
        <v>1011</v>
      </c>
      <c r="F1742" s="2" t="s">
        <v>8910</v>
      </c>
      <c r="G1742" s="2" t="s">
        <v>2688</v>
      </c>
      <c r="H1742" s="2" t="s">
        <v>8911</v>
      </c>
      <c r="I1742" s="2" t="s">
        <v>8018</v>
      </c>
      <c r="J1742" s="2" t="s">
        <v>1242</v>
      </c>
      <c r="K1742" s="2" t="s">
        <v>5339</v>
      </c>
      <c r="L1742" s="3">
        <v>17.47</v>
      </c>
      <c r="M1742" s="3">
        <v>18.34</v>
      </c>
      <c r="N1742" s="3">
        <v>39.99</v>
      </c>
      <c r="O1742" s="2" t="s">
        <v>212</v>
      </c>
      <c r="P1742" s="2" t="s">
        <v>205</v>
      </c>
      <c r="Q1742" s="2" t="s">
        <v>206</v>
      </c>
      <c r="R1742" s="2" t="s">
        <v>200</v>
      </c>
      <c r="S1742" s="2" t="s">
        <v>8912</v>
      </c>
      <c r="T1742" s="2" t="s">
        <v>200</v>
      </c>
      <c r="U1742" s="2" t="s">
        <v>270</v>
      </c>
      <c r="V1742" s="2" t="s">
        <v>3675</v>
      </c>
      <c r="W1742" s="2" t="s">
        <v>200</v>
      </c>
      <c r="X1742" s="2" t="s">
        <v>200</v>
      </c>
      <c r="Y1742" s="2" t="s">
        <v>3977</v>
      </c>
      <c r="Z1742" s="4">
        <v>170</v>
      </c>
      <c r="AA1742" s="4">
        <f>=ROUNDDOWN(6.53846153846154,0)</f>
      </c>
      <c r="AB1742" s="5">
        <v>26</v>
      </c>
      <c r="AC1742" s="2" t="s">
        <v>107</v>
      </c>
      <c r="AD1742" s="4">
        <v>232</v>
      </c>
      <c r="AE1742" s="4">
        <v>616</v>
      </c>
      <c r="AF1742" s="6">
        <v>65</v>
      </c>
      <c r="AG1742" s="6"/>
      <c r="AH1742" s="7">
        <v>1</v>
      </c>
      <c r="AI1742" s="4"/>
      <c r="AJ1742" s="4">
        <f>=ROUNDDOWN({0},0)</f>
      </c>
      <c r="AK1742" s="5"/>
      <c r="AL1742" s="2" t="s">
        <v>200</v>
      </c>
      <c r="AM1742" s="4"/>
      <c r="AN1742" s="4"/>
      <c r="AO1742" s="7"/>
      <c r="AP1742" s="4"/>
      <c r="AQ1742" s="8"/>
      <c r="AR1742" s="4"/>
      <c r="AS1742" s="8"/>
      <c r="AT1742" s="7"/>
      <c r="AU1742" s="7"/>
      <c r="AV1742" s="4" t="s">
        <v>200</v>
      </c>
      <c r="AW1742" s="8" t="s">
        <v>200</v>
      </c>
      <c r="AX1742" s="4" t="s">
        <v>200</v>
      </c>
      <c r="AY1742" s="8" t="s">
        <v>200</v>
      </c>
      <c r="AZ1742" s="7" t="s">
        <v>200</v>
      </c>
      <c r="BA1742" s="7" t="s">
        <v>200</v>
      </c>
      <c r="BB1742" s="7"/>
      <c r="BC1742" s="4" t="s">
        <v>200</v>
      </c>
      <c r="BD1742" s="8" t="s">
        <v>200</v>
      </c>
      <c r="BE1742" s="4" t="s">
        <v>200</v>
      </c>
      <c r="BF1742" s="8" t="s">
        <v>200</v>
      </c>
      <c r="BG1742" s="7" t="s">
        <v>200</v>
      </c>
      <c r="BH1742" s="7" t="s">
        <v>200</v>
      </c>
      <c r="BI1742" s="7"/>
      <c r="BJ1742" s="4">
        <v>2</v>
      </c>
      <c r="BK1742" s="8">
        <v>40.18</v>
      </c>
      <c r="BL1742" s="2" t="s">
        <v>1029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8915</v>
      </c>
      <c r="BV1742" s="2" t="s">
        <v>200</v>
      </c>
      <c r="BW1742" s="2" t="s">
        <v>200</v>
      </c>
      <c r="BX1742" s="2" t="s">
        <v>264</v>
      </c>
      <c r="BY1742" s="2" t="s">
        <v>247</v>
      </c>
      <c r="BZ1742" s="2" t="s">
        <v>212</v>
      </c>
      <c r="CA1742" s="2" t="s">
        <v>1640</v>
      </c>
      <c r="CB1742" s="2" t="s">
        <v>200</v>
      </c>
      <c r="CC1742" s="2" t="s">
        <v>213</v>
      </c>
      <c r="CD1742" s="2" t="s">
        <v>200</v>
      </c>
      <c r="CE1742" s="4"/>
      <c r="CF1742" s="4"/>
      <c r="CG1742" s="4"/>
      <c r="CH1742" s="4">
        <v>170</v>
      </c>
      <c r="CI1742" s="4"/>
      <c r="CJ1742" s="4"/>
      <c r="CK1742" s="4"/>
      <c r="CL1742" s="4"/>
      <c r="CM1742" s="4"/>
      <c r="CN1742" s="4"/>
      <c r="CO1742" s="4"/>
      <c r="CP1742" s="4"/>
      <c r="CQ1742" s="4"/>
      <c r="CR1742" s="4"/>
      <c r="CS1742" s="4">
        <v>232</v>
      </c>
      <c r="CT1742" s="4"/>
      <c r="CU1742" s="4"/>
      <c r="CV1742" s="4"/>
      <c r="CW1742" s="4"/>
      <c r="CX1742" s="4">
        <v>384</v>
      </c>
      <c r="CY1742" s="4"/>
      <c r="CZ1742" s="4"/>
      <c r="DA1742" s="4"/>
      <c r="DB1742" s="4"/>
      <c r="DC1742" s="4"/>
      <c r="DD1742" s="4"/>
      <c r="DE1742" s="4"/>
      <c r="DF1742" s="4"/>
      <c r="DG1742" s="4"/>
      <c r="DH1742" s="4"/>
      <c r="DI1742" s="4"/>
      <c r="DJ1742" s="4"/>
      <c r="DK1742" s="4"/>
      <c r="DL1742" s="4"/>
      <c r="DM1742" s="4"/>
      <c r="DN1742" s="4"/>
      <c r="DO1742" s="4"/>
      <c r="DP1742" s="4"/>
      <c r="DQ1742" s="4"/>
      <c r="DR1742" s="4"/>
      <c r="DS1742" s="4"/>
      <c r="DT1742" s="4"/>
      <c r="DU1742" s="4"/>
      <c r="DV1742" s="4"/>
      <c r="DW1742" s="4"/>
      <c r="DX1742" s="4"/>
      <c r="DY1742" s="4"/>
      <c r="DZ1742" s="4"/>
      <c r="EA1742" s="4"/>
      <c r="EB1742" s="4"/>
      <c r="EC1742" s="4"/>
      <c r="ED1742" s="4"/>
      <c r="EE1742" s="4"/>
      <c r="EF1742" s="4"/>
      <c r="EG1742" s="4"/>
      <c r="EH1742" s="4"/>
      <c r="EI1742" s="4"/>
      <c r="EJ1742" s="4"/>
      <c r="EK1742" s="4"/>
      <c r="EL1742" s="4"/>
      <c r="EM1742" s="4"/>
      <c r="EN1742" s="4"/>
      <c r="EO1742" s="4"/>
      <c r="EP1742" s="4"/>
      <c r="EQ1742" s="4"/>
      <c r="ER1742" s="4"/>
      <c r="ES1742" s="4"/>
      <c r="ET1742" s="4"/>
      <c r="EU1742" s="4"/>
      <c r="EV1742" s="4"/>
      <c r="EW1742" s="4"/>
      <c r="EX1742" s="4"/>
      <c r="EY1742" s="4"/>
      <c r="EZ1742" s="4"/>
      <c r="FA1742" s="4"/>
      <c r="FB1742" s="4"/>
      <c r="FC1742" s="4"/>
      <c r="FD1742" s="4"/>
      <c r="FE1742" s="4"/>
      <c r="FF1742" s="4"/>
      <c r="FG1742" s="4"/>
      <c r="FH1742" s="4"/>
      <c r="FI1742" s="4"/>
      <c r="FJ1742" s="4"/>
      <c r="FK1742" s="4"/>
      <c r="FL1742" s="4"/>
      <c r="FM1742" s="4"/>
      <c r="FN1742" s="4"/>
      <c r="FO1742" s="4"/>
      <c r="FP1742" s="4"/>
      <c r="FQ1742" s="4"/>
      <c r="FR1742" s="4"/>
      <c r="FS1742" s="4"/>
      <c r="FT1742" s="4"/>
      <c r="FU1742" s="4"/>
      <c r="FV1742" s="4"/>
      <c r="FW1742" s="4"/>
      <c r="FX1742" s="4"/>
      <c r="FY1742" s="4"/>
      <c r="FZ1742" s="4"/>
      <c r="GA1742" s="4"/>
      <c r="GB1742" s="4"/>
      <c r="GC1742" s="4"/>
      <c r="GD1742" s="4"/>
      <c r="GE1742" s="4"/>
      <c r="GF1742" s="4"/>
      <c r="GG1742" s="4"/>
      <c r="GH1742" s="4"/>
    </row>
    <row r="1743">
      <c r="A1743" s="2" t="s">
        <v>8916</v>
      </c>
      <c r="B1743" s="2" t="s">
        <v>903</v>
      </c>
      <c r="C1743" s="2" t="s">
        <v>1523</v>
      </c>
      <c r="D1743" s="2" t="s">
        <v>1818</v>
      </c>
      <c r="E1743" s="2" t="s">
        <v>2020</v>
      </c>
      <c r="F1743" s="2" t="s">
        <v>8917</v>
      </c>
      <c r="G1743" s="2" t="s">
        <v>8917</v>
      </c>
      <c r="H1743" s="2" t="s">
        <v>8917</v>
      </c>
      <c r="I1743" s="2" t="s">
        <v>8918</v>
      </c>
      <c r="J1743" s="2" t="s">
        <v>297</v>
      </c>
      <c r="K1743" s="2" t="s">
        <v>221</v>
      </c>
      <c r="L1743" s="3">
        <v>85.12</v>
      </c>
      <c r="M1743" s="3">
        <v>89.38</v>
      </c>
      <c r="N1743" s="3">
        <v>249.99</v>
      </c>
      <c r="O1743" s="2" t="s">
        <v>212</v>
      </c>
      <c r="P1743" s="2" t="s">
        <v>760</v>
      </c>
      <c r="Q1743" s="2" t="s">
        <v>206</v>
      </c>
      <c r="R1743" s="2" t="s">
        <v>200</v>
      </c>
      <c r="S1743" s="2" t="s">
        <v>200</v>
      </c>
      <c r="T1743" s="2" t="s">
        <v>200</v>
      </c>
      <c r="U1743" s="2" t="s">
        <v>454</v>
      </c>
      <c r="V1743" s="2" t="s">
        <v>208</v>
      </c>
      <c r="W1743" s="2" t="s">
        <v>736</v>
      </c>
      <c r="X1743" s="2" t="s">
        <v>200</v>
      </c>
      <c r="Y1743" s="2" t="s">
        <v>4717</v>
      </c>
      <c r="Z1743" s="4">
        <v>162</v>
      </c>
      <c r="AA1743" s="4">
        <f>=ROUNDDOWN(270,0)</f>
      </c>
      <c r="AB1743" s="5">
        <v>0.6</v>
      </c>
      <c r="AC1743" s="2" t="s">
        <v>200</v>
      </c>
      <c r="AD1743" s="4"/>
      <c r="AE1743" s="4"/>
      <c r="AF1743" s="6">
        <v>65</v>
      </c>
      <c r="AG1743" s="6"/>
      <c r="AH1743" s="7">
        <v>1</v>
      </c>
      <c r="AI1743" s="4"/>
      <c r="AJ1743" s="4">
        <f>=ROUNDDOWN({0},0)</f>
      </c>
      <c r="AK1743" s="5"/>
      <c r="AL1743" s="2" t="s">
        <v>200</v>
      </c>
      <c r="AM1743" s="4"/>
      <c r="AN1743" s="4"/>
      <c r="AO1743" s="7"/>
      <c r="AP1743" s="4"/>
      <c r="AQ1743" s="8"/>
      <c r="AR1743" s="4"/>
      <c r="AS1743" s="8"/>
      <c r="AT1743" s="7"/>
      <c r="AU1743" s="7"/>
      <c r="AV1743" s="4"/>
      <c r="AW1743" s="8"/>
      <c r="AX1743" s="4"/>
      <c r="AY1743" s="8"/>
      <c r="AZ1743" s="7"/>
      <c r="BA1743" s="7"/>
      <c r="BB1743" s="7"/>
      <c r="BC1743" s="4"/>
      <c r="BD1743" s="8"/>
      <c r="BE1743" s="4"/>
      <c r="BF1743" s="8"/>
      <c r="BG1743" s="7"/>
      <c r="BH1743" s="7"/>
      <c r="BI1743" s="7"/>
      <c r="BJ1743" s="4"/>
      <c r="BK1743" s="8"/>
      <c r="BL1743" s="2" t="s">
        <v>762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8919</v>
      </c>
      <c r="BV1743" s="2" t="s">
        <v>200</v>
      </c>
      <c r="BW1743" s="2" t="s">
        <v>200</v>
      </c>
      <c r="BX1743" s="2" t="s">
        <v>289</v>
      </c>
      <c r="BY1743" s="2" t="s">
        <v>247</v>
      </c>
      <c r="BZ1743" s="2" t="s">
        <v>212</v>
      </c>
      <c r="CA1743" s="2" t="s">
        <v>4521</v>
      </c>
      <c r="CB1743" s="2" t="s">
        <v>764</v>
      </c>
      <c r="CC1743" s="2" t="s">
        <v>213</v>
      </c>
      <c r="CD1743" s="2" t="s">
        <v>200</v>
      </c>
      <c r="CE1743" s="4">
        <v>162</v>
      </c>
      <c r="CF1743" s="4"/>
      <c r="CG1743" s="4"/>
      <c r="CH1743" s="4"/>
      <c r="CI1743" s="4"/>
      <c r="CJ1743" s="4"/>
      <c r="CK1743" s="4"/>
      <c r="CL1743" s="4"/>
      <c r="CM1743" s="4"/>
      <c r="CN1743" s="4"/>
      <c r="CO1743" s="4"/>
      <c r="CP1743" s="4"/>
      <c r="CQ1743" s="4"/>
      <c r="CR1743" s="4"/>
      <c r="CS1743" s="4"/>
      <c r="CT1743" s="4"/>
      <c r="CU1743" s="4"/>
      <c r="CV1743" s="4"/>
      <c r="CW1743" s="4"/>
      <c r="CX1743" s="4"/>
      <c r="CY1743" s="4"/>
      <c r="CZ1743" s="4"/>
      <c r="DA1743" s="4"/>
      <c r="DB1743" s="4"/>
      <c r="DC1743" s="4"/>
      <c r="DD1743" s="4"/>
      <c r="DE1743" s="4"/>
      <c r="DF1743" s="4"/>
      <c r="DG1743" s="4"/>
      <c r="DH1743" s="4"/>
      <c r="DI1743" s="4"/>
      <c r="DJ1743" s="4"/>
      <c r="DK1743" s="4"/>
      <c r="DL1743" s="4"/>
      <c r="DM1743" s="4"/>
      <c r="DN1743" s="4"/>
      <c r="DO1743" s="4"/>
      <c r="DP1743" s="4"/>
      <c r="DQ1743" s="4"/>
      <c r="DR1743" s="4"/>
      <c r="DS1743" s="4"/>
      <c r="DT1743" s="4"/>
      <c r="DU1743" s="4"/>
      <c r="DV1743" s="4"/>
      <c r="DW1743" s="4"/>
      <c r="DX1743" s="4"/>
      <c r="DY1743" s="4"/>
      <c r="DZ1743" s="4"/>
      <c r="EA1743" s="4"/>
      <c r="EB1743" s="4"/>
      <c r="EC1743" s="4"/>
      <c r="ED1743" s="4"/>
      <c r="EE1743" s="4"/>
      <c r="EF1743" s="4"/>
      <c r="EG1743" s="4"/>
      <c r="EH1743" s="4"/>
      <c r="EI1743" s="4"/>
      <c r="EJ1743" s="4"/>
      <c r="EK1743" s="4"/>
      <c r="EL1743" s="4"/>
      <c r="EM1743" s="4"/>
      <c r="EN1743" s="4"/>
      <c r="EO1743" s="4"/>
      <c r="EP1743" s="4"/>
      <c r="EQ1743" s="4"/>
      <c r="ER1743" s="4"/>
      <c r="ES1743" s="4"/>
      <c r="ET1743" s="4"/>
      <c r="EU1743" s="4"/>
      <c r="EV1743" s="4"/>
      <c r="EW1743" s="4"/>
      <c r="EX1743" s="4"/>
      <c r="EY1743" s="4"/>
      <c r="EZ1743" s="4"/>
      <c r="FA1743" s="4"/>
      <c r="FB1743" s="4"/>
      <c r="FC1743" s="4"/>
      <c r="FD1743" s="4"/>
      <c r="FE1743" s="4"/>
      <c r="FF1743" s="4"/>
      <c r="FG1743" s="4"/>
      <c r="FH1743" s="4"/>
      <c r="FI1743" s="4"/>
      <c r="FJ1743" s="4"/>
      <c r="FK1743" s="4"/>
      <c r="FL1743" s="4"/>
      <c r="FM1743" s="4"/>
      <c r="FN1743" s="4"/>
      <c r="FO1743" s="4"/>
      <c r="FP1743" s="4"/>
      <c r="FQ1743" s="4"/>
      <c r="FR1743" s="4"/>
      <c r="FS1743" s="4"/>
      <c r="FT1743" s="4"/>
      <c r="FU1743" s="4"/>
      <c r="FV1743" s="4"/>
      <c r="FW1743" s="4"/>
      <c r="FX1743" s="4"/>
      <c r="FY1743" s="4"/>
      <c r="FZ1743" s="4"/>
      <c r="GA1743" s="4"/>
      <c r="GB1743" s="4"/>
      <c r="GC1743" s="4"/>
      <c r="GD1743" s="4"/>
      <c r="GE1743" s="4"/>
      <c r="GF1743" s="4"/>
      <c r="GG1743" s="4"/>
      <c r="GH1743" s="4"/>
    </row>
    <row r="1744">
      <c r="A1744" s="2" t="s">
        <v>8920</v>
      </c>
      <c r="B1744" s="2" t="s">
        <v>827</v>
      </c>
      <c r="C1744" s="2" t="s">
        <v>1523</v>
      </c>
      <c r="D1744" s="2" t="s">
        <v>828</v>
      </c>
      <c r="E1744" s="2" t="s">
        <v>1011</v>
      </c>
      <c r="F1744" s="2" t="s">
        <v>8921</v>
      </c>
      <c r="G1744" s="2" t="s">
        <v>8921</v>
      </c>
      <c r="H1744" s="2" t="s">
        <v>8921</v>
      </c>
      <c r="I1744" s="2" t="s">
        <v>8922</v>
      </c>
      <c r="J1744" s="2" t="s">
        <v>1613</v>
      </c>
      <c r="K1744" s="2" t="s">
        <v>7679</v>
      </c>
      <c r="L1744" s="3">
        <v>20.43</v>
      </c>
      <c r="M1744" s="3">
        <v>21.45</v>
      </c>
      <c r="N1744" s="3">
        <v>59.99</v>
      </c>
      <c r="O1744" s="2" t="s">
        <v>212</v>
      </c>
      <c r="P1744" s="2" t="s">
        <v>285</v>
      </c>
      <c r="Q1744" s="2" t="s">
        <v>206</v>
      </c>
      <c r="R1744" s="2" t="s">
        <v>200</v>
      </c>
      <c r="S1744" s="2" t="s">
        <v>200</v>
      </c>
      <c r="T1744" s="2" t="s">
        <v>200</v>
      </c>
      <c r="U1744" s="2" t="s">
        <v>270</v>
      </c>
      <c r="V1744" s="2" t="s">
        <v>1077</v>
      </c>
      <c r="W1744" s="2" t="s">
        <v>242</v>
      </c>
      <c r="X1744" s="2" t="s">
        <v>200</v>
      </c>
      <c r="Y1744" s="2" t="s">
        <v>1215</v>
      </c>
      <c r="Z1744" s="4"/>
      <c r="AA1744" s="4">
        <f>=ROUNDDOWN({0},0)</f>
      </c>
      <c r="AB1744" s="5">
        <v>0.5</v>
      </c>
      <c r="AC1744" s="2" t="s">
        <v>200</v>
      </c>
      <c r="AD1744" s="4"/>
      <c r="AE1744" s="4"/>
      <c r="AF1744" s="6">
        <v>65</v>
      </c>
      <c r="AG1744" s="6"/>
      <c r="AH1744" s="7">
        <v>1</v>
      </c>
      <c r="AI1744" s="4"/>
      <c r="AJ1744" s="4">
        <f>=ROUNDDOWN({0},0)</f>
      </c>
      <c r="AK1744" s="5"/>
      <c r="AL1744" s="2" t="s">
        <v>200</v>
      </c>
      <c r="AM1744" s="4"/>
      <c r="AN1744" s="4"/>
      <c r="AO1744" s="7"/>
      <c r="AP1744" s="4"/>
      <c r="AQ1744" s="8"/>
      <c r="AR1744" s="4"/>
      <c r="AS1744" s="8"/>
      <c r="AT1744" s="7"/>
      <c r="AU1744" s="7"/>
      <c r="AV1744" s="4"/>
      <c r="AW1744" s="8"/>
      <c r="AX1744" s="4"/>
      <c r="AY1744" s="8"/>
      <c r="AZ1744" s="7"/>
      <c r="BA1744" s="7"/>
      <c r="BB1744" s="7"/>
      <c r="BC1744" s="4"/>
      <c r="BD1744" s="8"/>
      <c r="BE1744" s="4"/>
      <c r="BF1744" s="8"/>
      <c r="BG1744" s="7"/>
      <c r="BH1744" s="7"/>
      <c r="BI1744" s="7"/>
      <c r="BJ1744" s="4">
        <v>6</v>
      </c>
      <c r="BK1744" s="8">
        <v>30.9</v>
      </c>
      <c r="BL1744" s="2" t="s">
        <v>1614</v>
      </c>
      <c r="BM1744" s="7"/>
      <c r="BN1744" s="7"/>
      <c r="BO1744" s="4"/>
      <c r="BP1744" s="8"/>
      <c r="BQ1744" s="4"/>
      <c r="BR1744" s="8"/>
      <c r="BS1744" s="7"/>
      <c r="BT1744" s="7"/>
      <c r="BU1744" s="2" t="s">
        <v>8923</v>
      </c>
      <c r="BV1744" s="2" t="s">
        <v>200</v>
      </c>
      <c r="BW1744" s="2" t="s">
        <v>200</v>
      </c>
      <c r="BX1744" s="2" t="s">
        <v>289</v>
      </c>
      <c r="BY1744" s="2" t="s">
        <v>247</v>
      </c>
      <c r="BZ1744" s="2" t="s">
        <v>212</v>
      </c>
      <c r="CA1744" s="2" t="s">
        <v>1610</v>
      </c>
      <c r="CB1744" s="2" t="s">
        <v>2452</v>
      </c>
      <c r="CC1744" s="2" t="s">
        <v>213</v>
      </c>
      <c r="CD1744" s="2" t="s">
        <v>200</v>
      </c>
      <c r="CE1744" s="4"/>
      <c r="CF1744" s="4"/>
      <c r="CG1744" s="4"/>
      <c r="CH1744" s="4"/>
      <c r="CI1744" s="4"/>
      <c r="CJ1744" s="4"/>
      <c r="CK1744" s="4"/>
      <c r="CL1744" s="4"/>
      <c r="CM1744" s="4"/>
      <c r="CN1744" s="4"/>
      <c r="CO1744" s="4"/>
      <c r="CP1744" s="4"/>
      <c r="CQ1744" s="4"/>
      <c r="CR1744" s="4"/>
      <c r="CS1744" s="4"/>
      <c r="CT1744" s="4"/>
      <c r="CU1744" s="4"/>
      <c r="CV1744" s="4"/>
      <c r="CW1744" s="4"/>
      <c r="CX1744" s="4"/>
      <c r="CY1744" s="4"/>
      <c r="CZ1744" s="4"/>
      <c r="DA1744" s="4"/>
      <c r="DB1744" s="4"/>
      <c r="DC1744" s="4"/>
      <c r="DD1744" s="4"/>
      <c r="DE1744" s="4"/>
      <c r="DF1744" s="4"/>
      <c r="DG1744" s="4"/>
      <c r="DH1744" s="4"/>
      <c r="DI1744" s="4"/>
      <c r="DJ1744" s="4"/>
      <c r="DK1744" s="4"/>
      <c r="DL1744" s="4"/>
      <c r="DM1744" s="4"/>
      <c r="DN1744" s="4"/>
      <c r="DO1744" s="4"/>
      <c r="DP1744" s="4"/>
      <c r="DQ1744" s="4"/>
      <c r="DR1744" s="4"/>
      <c r="DS1744" s="4"/>
      <c r="DT1744" s="4"/>
      <c r="DU1744" s="4"/>
      <c r="DV1744" s="4"/>
      <c r="DW1744" s="4"/>
      <c r="DX1744" s="4"/>
      <c r="DY1744" s="4"/>
      <c r="DZ1744" s="4"/>
      <c r="EA1744" s="4"/>
      <c r="EB1744" s="4"/>
      <c r="EC1744" s="4"/>
      <c r="ED1744" s="4"/>
      <c r="EE1744" s="4"/>
      <c r="EF1744" s="4"/>
      <c r="EG1744" s="4"/>
      <c r="EH1744" s="4"/>
      <c r="EI1744" s="4"/>
      <c r="EJ1744" s="4"/>
      <c r="EK1744" s="4"/>
      <c r="EL1744" s="4"/>
      <c r="EM1744" s="4"/>
      <c r="EN1744" s="4"/>
      <c r="EO1744" s="4"/>
      <c r="EP1744" s="4"/>
      <c r="EQ1744" s="4"/>
      <c r="ER1744" s="4"/>
      <c r="ES1744" s="4"/>
      <c r="ET1744" s="4"/>
      <c r="EU1744" s="4"/>
      <c r="EV1744" s="4"/>
      <c r="EW1744" s="4"/>
      <c r="EX1744" s="4"/>
      <c r="EY1744" s="4"/>
      <c r="EZ1744" s="4"/>
      <c r="FA1744" s="4"/>
      <c r="FB1744" s="4"/>
      <c r="FC1744" s="4"/>
      <c r="FD1744" s="4"/>
      <c r="FE1744" s="4"/>
      <c r="FF1744" s="4"/>
      <c r="FG1744" s="4"/>
      <c r="FH1744" s="4"/>
      <c r="FI1744" s="4"/>
      <c r="FJ1744" s="4"/>
      <c r="FK1744" s="4"/>
      <c r="FL1744" s="4"/>
      <c r="FM1744" s="4"/>
      <c r="FN1744" s="4"/>
      <c r="FO1744" s="4"/>
      <c r="FP1744" s="4"/>
      <c r="FQ1744" s="4"/>
      <c r="FR1744" s="4"/>
      <c r="FS1744" s="4"/>
      <c r="FT1744" s="4"/>
      <c r="FU1744" s="4"/>
      <c r="FV1744" s="4"/>
      <c r="FW1744" s="4"/>
      <c r="FX1744" s="4"/>
      <c r="FY1744" s="4"/>
      <c r="FZ1744" s="4"/>
      <c r="GA1744" s="4"/>
      <c r="GB1744" s="4"/>
      <c r="GC1744" s="4"/>
      <c r="GD1744" s="4"/>
      <c r="GE1744" s="4"/>
      <c r="GF1744" s="4"/>
      <c r="GG1744" s="4"/>
      <c r="GH1744" s="4"/>
    </row>
    <row r="1745">
      <c r="A1745" s="2" t="s">
        <v>8924</v>
      </c>
      <c r="B1745" s="2" t="s">
        <v>827</v>
      </c>
      <c r="C1745" s="2" t="s">
        <v>1010</v>
      </c>
      <c r="D1745" s="2" t="s">
        <v>828</v>
      </c>
      <c r="E1745" s="2" t="s">
        <v>1011</v>
      </c>
      <c r="F1745" s="2" t="s">
        <v>8925</v>
      </c>
      <c r="G1745" s="2" t="s">
        <v>1865</v>
      </c>
      <c r="H1745" s="2" t="s">
        <v>8926</v>
      </c>
      <c r="I1745" s="2" t="s">
        <v>8927</v>
      </c>
      <c r="J1745" s="2" t="s">
        <v>1242</v>
      </c>
      <c r="K1745" s="2" t="s">
        <v>436</v>
      </c>
      <c r="L1745" s="3">
        <v>22.5</v>
      </c>
      <c r="M1745" s="3">
        <v>23.62</v>
      </c>
      <c r="N1745" s="3">
        <v>49.99</v>
      </c>
      <c r="O1745" s="2" t="s">
        <v>212</v>
      </c>
      <c r="P1745" s="2" t="s">
        <v>258</v>
      </c>
      <c r="Q1745" s="2" t="s">
        <v>206</v>
      </c>
      <c r="R1745" s="2" t="s">
        <v>200</v>
      </c>
      <c r="S1745" s="2" t="s">
        <v>8928</v>
      </c>
      <c r="T1745" s="2" t="s">
        <v>200</v>
      </c>
      <c r="U1745" s="2" t="s">
        <v>200</v>
      </c>
      <c r="V1745" s="2" t="s">
        <v>1695</v>
      </c>
      <c r="W1745" s="2" t="s">
        <v>379</v>
      </c>
      <c r="X1745" s="2" t="s">
        <v>1020</v>
      </c>
      <c r="Y1745" s="2" t="s">
        <v>8929</v>
      </c>
      <c r="Z1745" s="4">
        <v>321</v>
      </c>
      <c r="AA1745" s="4">
        <f>=ROUNDDOWN(29.1818181818182,0)</f>
      </c>
      <c r="AB1745" s="5">
        <v>11</v>
      </c>
      <c r="AC1745" s="2" t="s">
        <v>200</v>
      </c>
      <c r="AD1745" s="4"/>
      <c r="AE1745" s="4"/>
      <c r="AF1745" s="6">
        <v>65</v>
      </c>
      <c r="AG1745" s="6"/>
      <c r="AH1745" s="7">
        <v>1</v>
      </c>
      <c r="AI1745" s="4"/>
      <c r="AJ1745" s="4">
        <f>=ROUNDDOWN({0},0)</f>
      </c>
      <c r="AK1745" s="5"/>
      <c r="AL1745" s="2" t="s">
        <v>200</v>
      </c>
      <c r="AM1745" s="4"/>
      <c r="AN1745" s="4"/>
      <c r="AO1745" s="7"/>
      <c r="AP1745" s="4"/>
      <c r="AQ1745" s="8"/>
      <c r="AR1745" s="4"/>
      <c r="AS1745" s="8"/>
      <c r="AT1745" s="7"/>
      <c r="AU1745" s="7"/>
      <c r="AV1745" s="4"/>
      <c r="AW1745" s="8"/>
      <c r="AX1745" s="4"/>
      <c r="AY1745" s="8"/>
      <c r="AZ1745" s="7"/>
      <c r="BA1745" s="7"/>
      <c r="BB1745" s="7"/>
      <c r="BC1745" s="4"/>
      <c r="BD1745" s="8"/>
      <c r="BE1745" s="4"/>
      <c r="BF1745" s="8"/>
      <c r="BG1745" s="7"/>
      <c r="BH1745" s="7"/>
      <c r="BI1745" s="7"/>
      <c r="BJ1745" s="4">
        <v>75</v>
      </c>
      <c r="BK1745" s="8">
        <v>2001.43</v>
      </c>
      <c r="BL1745" s="2" t="s">
        <v>8930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8931</v>
      </c>
      <c r="BV1745" s="2" t="s">
        <v>200</v>
      </c>
      <c r="BW1745" s="2" t="s">
        <v>200</v>
      </c>
      <c r="BX1745" s="2" t="s">
        <v>264</v>
      </c>
      <c r="BY1745" s="2" t="s">
        <v>247</v>
      </c>
      <c r="BZ1745" s="2" t="s">
        <v>212</v>
      </c>
      <c r="CA1745" s="2" t="s">
        <v>3795</v>
      </c>
      <c r="CB1745" s="2" t="s">
        <v>8932</v>
      </c>
      <c r="CC1745" s="2" t="s">
        <v>213</v>
      </c>
      <c r="CD1745" s="2" t="s">
        <v>200</v>
      </c>
      <c r="CE1745" s="4">
        <v>321</v>
      </c>
      <c r="CF1745" s="4"/>
      <c r="CG1745" s="4"/>
      <c r="CH1745" s="4"/>
      <c r="CI1745" s="4"/>
      <c r="CJ1745" s="4"/>
      <c r="CK1745" s="4"/>
      <c r="CL1745" s="4"/>
      <c r="CM1745" s="4"/>
      <c r="CN1745" s="4"/>
      <c r="CO1745" s="4"/>
      <c r="CP1745" s="4"/>
      <c r="CQ1745" s="4"/>
      <c r="CR1745" s="4"/>
      <c r="CS1745" s="4"/>
      <c r="CT1745" s="4"/>
      <c r="CU1745" s="4"/>
      <c r="CV1745" s="4"/>
      <c r="CW1745" s="4"/>
      <c r="CX1745" s="4"/>
      <c r="CY1745" s="4"/>
      <c r="CZ1745" s="4"/>
      <c r="DA1745" s="4"/>
      <c r="DB1745" s="4"/>
      <c r="DC1745" s="4"/>
      <c r="DD1745" s="4"/>
      <c r="DE1745" s="4"/>
      <c r="DF1745" s="4"/>
      <c r="DG1745" s="4"/>
      <c r="DH1745" s="4"/>
      <c r="DI1745" s="4"/>
      <c r="DJ1745" s="4"/>
      <c r="DK1745" s="4"/>
      <c r="DL1745" s="4"/>
      <c r="DM1745" s="4"/>
      <c r="DN1745" s="4"/>
      <c r="DO1745" s="4"/>
      <c r="DP1745" s="4"/>
      <c r="DQ1745" s="4"/>
      <c r="DR1745" s="4"/>
      <c r="DS1745" s="4"/>
      <c r="DT1745" s="4"/>
      <c r="DU1745" s="4"/>
      <c r="DV1745" s="4"/>
      <c r="DW1745" s="4"/>
      <c r="DX1745" s="4"/>
      <c r="DY1745" s="4"/>
      <c r="DZ1745" s="4"/>
      <c r="EA1745" s="4"/>
      <c r="EB1745" s="4"/>
      <c r="EC1745" s="4"/>
      <c r="ED1745" s="4"/>
      <c r="EE1745" s="4"/>
      <c r="EF1745" s="4"/>
      <c r="EG1745" s="4"/>
      <c r="EH1745" s="4"/>
      <c r="EI1745" s="4"/>
      <c r="EJ1745" s="4"/>
      <c r="EK1745" s="4"/>
      <c r="EL1745" s="4"/>
      <c r="EM1745" s="4"/>
      <c r="EN1745" s="4"/>
      <c r="EO1745" s="4"/>
      <c r="EP1745" s="4"/>
      <c r="EQ1745" s="4"/>
      <c r="ER1745" s="4"/>
      <c r="ES1745" s="4"/>
      <c r="ET1745" s="4"/>
      <c r="EU1745" s="4"/>
      <c r="EV1745" s="4"/>
      <c r="EW1745" s="4"/>
      <c r="EX1745" s="4"/>
      <c r="EY1745" s="4"/>
      <c r="EZ1745" s="4"/>
      <c r="FA1745" s="4"/>
      <c r="FB1745" s="4"/>
      <c r="FC1745" s="4"/>
      <c r="FD1745" s="4"/>
      <c r="FE1745" s="4"/>
      <c r="FF1745" s="4"/>
      <c r="FG1745" s="4"/>
      <c r="FH1745" s="4"/>
      <c r="FI1745" s="4"/>
      <c r="FJ1745" s="4"/>
      <c r="FK1745" s="4"/>
      <c r="FL1745" s="4"/>
      <c r="FM1745" s="4"/>
      <c r="FN1745" s="4"/>
      <c r="FO1745" s="4"/>
      <c r="FP1745" s="4"/>
      <c r="FQ1745" s="4"/>
      <c r="FR1745" s="4"/>
      <c r="FS1745" s="4"/>
      <c r="FT1745" s="4"/>
      <c r="FU1745" s="4"/>
      <c r="FV1745" s="4"/>
      <c r="FW1745" s="4"/>
      <c r="FX1745" s="4"/>
      <c r="FY1745" s="4"/>
      <c r="FZ1745" s="4"/>
      <c r="GA1745" s="4"/>
      <c r="GB1745" s="4"/>
      <c r="GC1745" s="4"/>
      <c r="GD1745" s="4"/>
      <c r="GE1745" s="4"/>
      <c r="GF1745" s="4"/>
      <c r="GG1745" s="4"/>
      <c r="GH1745" s="4"/>
    </row>
    <row r="1746">
      <c r="A1746" s="2" t="s">
        <v>8933</v>
      </c>
      <c r="B1746" s="2" t="s">
        <v>827</v>
      </c>
      <c r="C1746" s="2" t="s">
        <v>1252</v>
      </c>
      <c r="D1746" s="2" t="s">
        <v>828</v>
      </c>
      <c r="E1746" s="2" t="s">
        <v>878</v>
      </c>
      <c r="F1746" s="2" t="s">
        <v>5843</v>
      </c>
      <c r="G1746" s="2" t="s">
        <v>5843</v>
      </c>
      <c r="H1746" s="2" t="s">
        <v>5843</v>
      </c>
      <c r="I1746" s="2" t="s">
        <v>8934</v>
      </c>
      <c r="J1746" s="2" t="s">
        <v>8935</v>
      </c>
      <c r="K1746" s="2" t="s">
        <v>6446</v>
      </c>
      <c r="L1746" s="3">
        <v>30</v>
      </c>
      <c r="M1746" s="3">
        <v>31.5</v>
      </c>
      <c r="N1746" s="3">
        <v>59.99</v>
      </c>
      <c r="O1746" s="2" t="s">
        <v>417</v>
      </c>
      <c r="P1746" s="2" t="s">
        <v>1258</v>
      </c>
      <c r="Q1746" s="2" t="s">
        <v>206</v>
      </c>
      <c r="R1746" s="2" t="s">
        <v>1259</v>
      </c>
      <c r="S1746" s="2" t="s">
        <v>200</v>
      </c>
      <c r="T1746" s="2" t="s">
        <v>200</v>
      </c>
      <c r="U1746" s="2" t="s">
        <v>677</v>
      </c>
      <c r="V1746" s="2" t="s">
        <v>616</v>
      </c>
      <c r="W1746" s="2" t="s">
        <v>200</v>
      </c>
      <c r="X1746" s="2" t="s">
        <v>200</v>
      </c>
      <c r="Y1746" s="2" t="s">
        <v>8936</v>
      </c>
      <c r="Z1746" s="4">
        <v>750</v>
      </c>
      <c r="AA1746" s="4">
        <f>=ROUNDDOWN(535.714285714286,0)</f>
      </c>
      <c r="AB1746" s="5">
        <v>1.4</v>
      </c>
      <c r="AC1746" s="2" t="s">
        <v>200</v>
      </c>
      <c r="AD1746" s="4"/>
      <c r="AE1746" s="4"/>
      <c r="AF1746" s="6">
        <v>64</v>
      </c>
      <c r="AG1746" s="6"/>
      <c r="AH1746" s="7">
        <v>1</v>
      </c>
      <c r="AI1746" s="4"/>
      <c r="AJ1746" s="4">
        <f>=ROUNDDOWN({0},0)</f>
      </c>
      <c r="AK1746" s="5"/>
      <c r="AL1746" s="2" t="s">
        <v>200</v>
      </c>
      <c r="AM1746" s="4"/>
      <c r="AN1746" s="4"/>
      <c r="AO1746" s="7"/>
      <c r="AP1746" s="4"/>
      <c r="AQ1746" s="8"/>
      <c r="AR1746" s="4"/>
      <c r="AS1746" s="8"/>
      <c r="AT1746" s="7"/>
      <c r="AU1746" s="7"/>
      <c r="AV1746" s="4" t="s">
        <v>200</v>
      </c>
      <c r="AW1746" s="8" t="s">
        <v>200</v>
      </c>
      <c r="AX1746" s="4" t="s">
        <v>200</v>
      </c>
      <c r="AY1746" s="8" t="s">
        <v>200</v>
      </c>
      <c r="AZ1746" s="7" t="s">
        <v>200</v>
      </c>
      <c r="BA1746" s="7" t="s">
        <v>200</v>
      </c>
      <c r="BB1746" s="7"/>
      <c r="BC1746" s="4" t="s">
        <v>200</v>
      </c>
      <c r="BD1746" s="8" t="s">
        <v>200</v>
      </c>
      <c r="BE1746" s="4" t="s">
        <v>200</v>
      </c>
      <c r="BF1746" s="8" t="s">
        <v>200</v>
      </c>
      <c r="BG1746" s="7" t="s">
        <v>200</v>
      </c>
      <c r="BH1746" s="7" t="s">
        <v>200</v>
      </c>
      <c r="BI1746" s="7"/>
      <c r="BJ1746" s="4">
        <v>15</v>
      </c>
      <c r="BK1746" s="8">
        <v>338.22</v>
      </c>
      <c r="BL1746" s="2" t="s">
        <v>8937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8938</v>
      </c>
      <c r="BV1746" s="2" t="s">
        <v>200</v>
      </c>
      <c r="BW1746" s="2" t="s">
        <v>200</v>
      </c>
      <c r="BX1746" s="2" t="s">
        <v>264</v>
      </c>
      <c r="BY1746" s="2" t="s">
        <v>247</v>
      </c>
      <c r="BZ1746" s="2" t="s">
        <v>212</v>
      </c>
      <c r="CA1746" s="2" t="s">
        <v>3273</v>
      </c>
      <c r="CB1746" s="2" t="s">
        <v>200</v>
      </c>
      <c r="CC1746" s="2" t="s">
        <v>213</v>
      </c>
      <c r="CD1746" s="2" t="s">
        <v>200</v>
      </c>
      <c r="CE1746" s="4">
        <v>750</v>
      </c>
      <c r="CF1746" s="4"/>
      <c r="CG1746" s="4"/>
      <c r="CH1746" s="4"/>
      <c r="CI1746" s="4"/>
      <c r="CJ1746" s="4"/>
      <c r="CK1746" s="4"/>
      <c r="CL1746" s="4"/>
      <c r="CM1746" s="4"/>
      <c r="CN1746" s="4"/>
      <c r="CO1746" s="4"/>
      <c r="CP1746" s="4"/>
      <c r="CQ1746" s="4"/>
      <c r="CR1746" s="4"/>
      <c r="CS1746" s="4"/>
      <c r="CT1746" s="4"/>
      <c r="CU1746" s="4"/>
      <c r="CV1746" s="4"/>
      <c r="CW1746" s="4"/>
      <c r="CX1746" s="4"/>
      <c r="CY1746" s="4"/>
      <c r="CZ1746" s="4"/>
      <c r="DA1746" s="4"/>
      <c r="DB1746" s="4"/>
      <c r="DC1746" s="4"/>
      <c r="DD1746" s="4"/>
      <c r="DE1746" s="4"/>
      <c r="DF1746" s="4"/>
      <c r="DG1746" s="4"/>
      <c r="DH1746" s="4"/>
      <c r="DI1746" s="4"/>
      <c r="DJ1746" s="4"/>
      <c r="DK1746" s="4"/>
      <c r="DL1746" s="4"/>
      <c r="DM1746" s="4"/>
      <c r="DN1746" s="4"/>
      <c r="DO1746" s="4"/>
      <c r="DP1746" s="4"/>
      <c r="DQ1746" s="4"/>
      <c r="DR1746" s="4"/>
      <c r="DS1746" s="4"/>
      <c r="DT1746" s="4"/>
      <c r="DU1746" s="4"/>
      <c r="DV1746" s="4"/>
      <c r="DW1746" s="4"/>
      <c r="DX1746" s="4"/>
      <c r="DY1746" s="4"/>
      <c r="DZ1746" s="4"/>
      <c r="EA1746" s="4"/>
      <c r="EB1746" s="4"/>
      <c r="EC1746" s="4"/>
      <c r="ED1746" s="4"/>
      <c r="EE1746" s="4"/>
      <c r="EF1746" s="4"/>
      <c r="EG1746" s="4"/>
      <c r="EH1746" s="4"/>
      <c r="EI1746" s="4"/>
      <c r="EJ1746" s="4"/>
      <c r="EK1746" s="4"/>
      <c r="EL1746" s="4"/>
      <c r="EM1746" s="4"/>
      <c r="EN1746" s="4"/>
      <c r="EO1746" s="4"/>
      <c r="EP1746" s="4"/>
      <c r="EQ1746" s="4"/>
      <c r="ER1746" s="4"/>
      <c r="ES1746" s="4"/>
      <c r="ET1746" s="4"/>
      <c r="EU1746" s="4"/>
      <c r="EV1746" s="4"/>
      <c r="EW1746" s="4"/>
      <c r="EX1746" s="4"/>
      <c r="EY1746" s="4"/>
      <c r="EZ1746" s="4"/>
      <c r="FA1746" s="4"/>
      <c r="FB1746" s="4"/>
      <c r="FC1746" s="4"/>
      <c r="FD1746" s="4"/>
      <c r="FE1746" s="4"/>
      <c r="FF1746" s="4"/>
      <c r="FG1746" s="4"/>
      <c r="FH1746" s="4"/>
      <c r="FI1746" s="4"/>
      <c r="FJ1746" s="4"/>
      <c r="FK1746" s="4"/>
      <c r="FL1746" s="4"/>
      <c r="FM1746" s="4"/>
      <c r="FN1746" s="4"/>
      <c r="FO1746" s="4"/>
      <c r="FP1746" s="4"/>
      <c r="FQ1746" s="4"/>
      <c r="FR1746" s="4"/>
      <c r="FS1746" s="4"/>
      <c r="FT1746" s="4"/>
      <c r="FU1746" s="4"/>
      <c r="FV1746" s="4"/>
      <c r="FW1746" s="4"/>
      <c r="FX1746" s="4"/>
      <c r="FY1746" s="4"/>
      <c r="FZ1746" s="4"/>
      <c r="GA1746" s="4"/>
      <c r="GB1746" s="4"/>
      <c r="GC1746" s="4"/>
      <c r="GD1746" s="4"/>
      <c r="GE1746" s="4"/>
      <c r="GF1746" s="4"/>
      <c r="GG1746" s="4"/>
      <c r="GH1746" s="4"/>
    </row>
    <row r="1747">
      <c r="A1747" s="2" t="s">
        <v>8939</v>
      </c>
      <c r="B1747" s="2" t="s">
        <v>827</v>
      </c>
      <c r="C1747" s="2" t="s">
        <v>1252</v>
      </c>
      <c r="D1747" s="2" t="s">
        <v>828</v>
      </c>
      <c r="E1747" s="2" t="s">
        <v>878</v>
      </c>
      <c r="F1747" s="2" t="s">
        <v>5843</v>
      </c>
      <c r="G1747" s="2" t="s">
        <v>5843</v>
      </c>
      <c r="H1747" s="2" t="s">
        <v>5843</v>
      </c>
      <c r="I1747" s="2" t="s">
        <v>8934</v>
      </c>
      <c r="J1747" s="2" t="s">
        <v>2713</v>
      </c>
      <c r="K1747" s="2" t="s">
        <v>6446</v>
      </c>
      <c r="L1747" s="3">
        <v>30</v>
      </c>
      <c r="M1747" s="3">
        <v>31.5</v>
      </c>
      <c r="N1747" s="3">
        <v>59.99</v>
      </c>
      <c r="O1747" s="2" t="s">
        <v>417</v>
      </c>
      <c r="P1747" s="2" t="s">
        <v>1258</v>
      </c>
      <c r="Q1747" s="2" t="s">
        <v>206</v>
      </c>
      <c r="R1747" s="2" t="s">
        <v>1259</v>
      </c>
      <c r="S1747" s="2" t="s">
        <v>200</v>
      </c>
      <c r="T1747" s="2" t="s">
        <v>200</v>
      </c>
      <c r="U1747" s="2" t="s">
        <v>677</v>
      </c>
      <c r="V1747" s="2" t="s">
        <v>616</v>
      </c>
      <c r="W1747" s="2" t="s">
        <v>200</v>
      </c>
      <c r="X1747" s="2" t="s">
        <v>200</v>
      </c>
      <c r="Y1747" s="2" t="s">
        <v>8936</v>
      </c>
      <c r="Z1747" s="4">
        <v>193</v>
      </c>
      <c r="AA1747" s="4">
        <f>=ROUNDDOWN(137.857142857143,0)</f>
      </c>
      <c r="AB1747" s="5">
        <v>1.4</v>
      </c>
      <c r="AC1747" s="2" t="s">
        <v>200</v>
      </c>
      <c r="AD1747" s="4"/>
      <c r="AE1747" s="4"/>
      <c r="AF1747" s="6">
        <v>64</v>
      </c>
      <c r="AG1747" s="6"/>
      <c r="AH1747" s="7">
        <v>1</v>
      </c>
      <c r="AI1747" s="4"/>
      <c r="AJ1747" s="4">
        <f>=ROUNDDOWN({0},0)</f>
      </c>
      <c r="AK1747" s="5"/>
      <c r="AL1747" s="2" t="s">
        <v>200</v>
      </c>
      <c r="AM1747" s="4"/>
      <c r="AN1747" s="4"/>
      <c r="AO1747" s="7"/>
      <c r="AP1747" s="4"/>
      <c r="AQ1747" s="8"/>
      <c r="AR1747" s="4"/>
      <c r="AS1747" s="8"/>
      <c r="AT1747" s="7"/>
      <c r="AU1747" s="7"/>
      <c r="AV1747" s="4" t="s">
        <v>200</v>
      </c>
      <c r="AW1747" s="8" t="s">
        <v>200</v>
      </c>
      <c r="AX1747" s="4" t="s">
        <v>200</v>
      </c>
      <c r="AY1747" s="8" t="s">
        <v>200</v>
      </c>
      <c r="AZ1747" s="7" t="s">
        <v>200</v>
      </c>
      <c r="BA1747" s="7" t="s">
        <v>200</v>
      </c>
      <c r="BB1747" s="7"/>
      <c r="BC1747" s="4" t="s">
        <v>200</v>
      </c>
      <c r="BD1747" s="8" t="s">
        <v>200</v>
      </c>
      <c r="BE1747" s="4" t="s">
        <v>200</v>
      </c>
      <c r="BF1747" s="8" t="s">
        <v>200</v>
      </c>
      <c r="BG1747" s="7" t="s">
        <v>200</v>
      </c>
      <c r="BH1747" s="7" t="s">
        <v>200</v>
      </c>
      <c r="BI1747" s="7"/>
      <c r="BJ1747" s="4">
        <v>4</v>
      </c>
      <c r="BK1747" s="8">
        <v>107.96</v>
      </c>
      <c r="BL1747" s="2" t="s">
        <v>2738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8940</v>
      </c>
      <c r="BV1747" s="2" t="s">
        <v>200</v>
      </c>
      <c r="BW1747" s="2" t="s">
        <v>200</v>
      </c>
      <c r="BX1747" s="2" t="s">
        <v>264</v>
      </c>
      <c r="BY1747" s="2" t="s">
        <v>247</v>
      </c>
      <c r="BZ1747" s="2" t="s">
        <v>212</v>
      </c>
      <c r="CA1747" s="2" t="s">
        <v>3273</v>
      </c>
      <c r="CB1747" s="2" t="s">
        <v>200</v>
      </c>
      <c r="CC1747" s="2" t="s">
        <v>213</v>
      </c>
      <c r="CD1747" s="2" t="s">
        <v>200</v>
      </c>
      <c r="CE1747" s="4">
        <v>193</v>
      </c>
      <c r="CF1747" s="4"/>
      <c r="CG1747" s="4"/>
      <c r="CH1747" s="4"/>
      <c r="CI1747" s="4"/>
      <c r="CJ1747" s="4"/>
      <c r="CK1747" s="4"/>
      <c r="CL1747" s="4"/>
      <c r="CM1747" s="4"/>
      <c r="CN1747" s="4"/>
      <c r="CO1747" s="4"/>
      <c r="CP1747" s="4"/>
      <c r="CQ1747" s="4"/>
      <c r="CR1747" s="4"/>
      <c r="CS1747" s="4"/>
      <c r="CT1747" s="4"/>
      <c r="CU1747" s="4"/>
      <c r="CV1747" s="4"/>
      <c r="CW1747" s="4"/>
      <c r="CX1747" s="4"/>
      <c r="CY1747" s="4"/>
      <c r="CZ1747" s="4"/>
      <c r="DA1747" s="4"/>
      <c r="DB1747" s="4"/>
      <c r="DC1747" s="4"/>
      <c r="DD1747" s="4"/>
      <c r="DE1747" s="4"/>
      <c r="DF1747" s="4"/>
      <c r="DG1747" s="4"/>
      <c r="DH1747" s="4"/>
      <c r="DI1747" s="4"/>
      <c r="DJ1747" s="4"/>
      <c r="DK1747" s="4"/>
      <c r="DL1747" s="4"/>
      <c r="DM1747" s="4"/>
      <c r="DN1747" s="4"/>
      <c r="DO1747" s="4"/>
      <c r="DP1747" s="4"/>
      <c r="DQ1747" s="4"/>
      <c r="DR1747" s="4"/>
      <c r="DS1747" s="4"/>
      <c r="DT1747" s="4"/>
      <c r="DU1747" s="4"/>
      <c r="DV1747" s="4"/>
      <c r="DW1747" s="4"/>
      <c r="DX1747" s="4"/>
      <c r="DY1747" s="4"/>
      <c r="DZ1747" s="4"/>
      <c r="EA1747" s="4"/>
      <c r="EB1747" s="4"/>
      <c r="EC1747" s="4"/>
      <c r="ED1747" s="4"/>
      <c r="EE1747" s="4"/>
      <c r="EF1747" s="4"/>
      <c r="EG1747" s="4"/>
      <c r="EH1747" s="4"/>
      <c r="EI1747" s="4"/>
      <c r="EJ1747" s="4"/>
      <c r="EK1747" s="4"/>
      <c r="EL1747" s="4"/>
      <c r="EM1747" s="4"/>
      <c r="EN1747" s="4"/>
      <c r="EO1747" s="4"/>
      <c r="EP1747" s="4"/>
      <c r="EQ1747" s="4"/>
      <c r="ER1747" s="4"/>
      <c r="ES1747" s="4"/>
      <c r="ET1747" s="4"/>
      <c r="EU1747" s="4"/>
      <c r="EV1747" s="4"/>
      <c r="EW1747" s="4"/>
      <c r="EX1747" s="4"/>
      <c r="EY1747" s="4"/>
      <c r="EZ1747" s="4"/>
      <c r="FA1747" s="4"/>
      <c r="FB1747" s="4"/>
      <c r="FC1747" s="4"/>
      <c r="FD1747" s="4"/>
      <c r="FE1747" s="4"/>
      <c r="FF1747" s="4"/>
      <c r="FG1747" s="4"/>
      <c r="FH1747" s="4"/>
      <c r="FI1747" s="4"/>
      <c r="FJ1747" s="4"/>
      <c r="FK1747" s="4"/>
      <c r="FL1747" s="4"/>
      <c r="FM1747" s="4"/>
      <c r="FN1747" s="4"/>
      <c r="FO1747" s="4"/>
      <c r="FP1747" s="4"/>
      <c r="FQ1747" s="4"/>
      <c r="FR1747" s="4"/>
      <c r="FS1747" s="4"/>
      <c r="FT1747" s="4"/>
      <c r="FU1747" s="4"/>
      <c r="FV1747" s="4"/>
      <c r="FW1747" s="4"/>
      <c r="FX1747" s="4"/>
      <c r="FY1747" s="4"/>
      <c r="FZ1747" s="4"/>
      <c r="GA1747" s="4"/>
      <c r="GB1747" s="4"/>
      <c r="GC1747" s="4"/>
      <c r="GD1747" s="4"/>
      <c r="GE1747" s="4"/>
      <c r="GF1747" s="4"/>
      <c r="GG1747" s="4"/>
      <c r="GH1747" s="4"/>
    </row>
    <row r="1748">
      <c r="A1748" s="2" t="s">
        <v>8941</v>
      </c>
      <c r="B1748" s="2" t="s">
        <v>827</v>
      </c>
      <c r="C1748" s="2" t="s">
        <v>1252</v>
      </c>
      <c r="D1748" s="2" t="s">
        <v>828</v>
      </c>
      <c r="E1748" s="2" t="s">
        <v>878</v>
      </c>
      <c r="F1748" s="2" t="s">
        <v>5843</v>
      </c>
      <c r="G1748" s="2" t="s">
        <v>5843</v>
      </c>
      <c r="H1748" s="2" t="s">
        <v>5843</v>
      </c>
      <c r="I1748" s="2" t="s">
        <v>8934</v>
      </c>
      <c r="J1748" s="2" t="s">
        <v>8935</v>
      </c>
      <c r="K1748" s="2" t="s">
        <v>5995</v>
      </c>
      <c r="L1748" s="3">
        <v>30</v>
      </c>
      <c r="M1748" s="3">
        <v>31.5</v>
      </c>
      <c r="N1748" s="3">
        <v>59.99</v>
      </c>
      <c r="O1748" s="2" t="s">
        <v>417</v>
      </c>
      <c r="P1748" s="2" t="s">
        <v>1258</v>
      </c>
      <c r="Q1748" s="2" t="s">
        <v>206</v>
      </c>
      <c r="R1748" s="2" t="s">
        <v>1259</v>
      </c>
      <c r="S1748" s="2" t="s">
        <v>200</v>
      </c>
      <c r="T1748" s="2" t="s">
        <v>378</v>
      </c>
      <c r="U1748" s="2" t="s">
        <v>677</v>
      </c>
      <c r="V1748" s="2" t="s">
        <v>616</v>
      </c>
      <c r="W1748" s="2" t="s">
        <v>200</v>
      </c>
      <c r="X1748" s="2" t="s">
        <v>419</v>
      </c>
      <c r="Y1748" s="2" t="s">
        <v>8936</v>
      </c>
      <c r="Z1748" s="4">
        <v>243</v>
      </c>
      <c r="AA1748" s="4">
        <f>=ROUNDDOWN(115.714285714286,0)</f>
      </c>
      <c r="AB1748" s="5">
        <v>2.1</v>
      </c>
      <c r="AC1748" s="2" t="s">
        <v>200</v>
      </c>
      <c r="AD1748" s="4"/>
      <c r="AE1748" s="4"/>
      <c r="AF1748" s="6">
        <v>64</v>
      </c>
      <c r="AG1748" s="6"/>
      <c r="AH1748" s="7">
        <v>1</v>
      </c>
      <c r="AI1748" s="4"/>
      <c r="AJ1748" s="4">
        <f>=ROUNDDOWN({0},0)</f>
      </c>
      <c r="AK1748" s="5"/>
      <c r="AL1748" s="2" t="s">
        <v>200</v>
      </c>
      <c r="AM1748" s="4"/>
      <c r="AN1748" s="4"/>
      <c r="AO1748" s="7"/>
      <c r="AP1748" s="4"/>
      <c r="AQ1748" s="8"/>
      <c r="AR1748" s="4"/>
      <c r="AS1748" s="8"/>
      <c r="AT1748" s="7"/>
      <c r="AU1748" s="7"/>
      <c r="AV1748" s="4" t="s">
        <v>200</v>
      </c>
      <c r="AW1748" s="8" t="s">
        <v>200</v>
      </c>
      <c r="AX1748" s="4" t="s">
        <v>200</v>
      </c>
      <c r="AY1748" s="8" t="s">
        <v>200</v>
      </c>
      <c r="AZ1748" s="7" t="s">
        <v>200</v>
      </c>
      <c r="BA1748" s="7" t="s">
        <v>200</v>
      </c>
      <c r="BB1748" s="7"/>
      <c r="BC1748" s="4" t="s">
        <v>200</v>
      </c>
      <c r="BD1748" s="8" t="s">
        <v>200</v>
      </c>
      <c r="BE1748" s="4" t="s">
        <v>200</v>
      </c>
      <c r="BF1748" s="8" t="s">
        <v>200</v>
      </c>
      <c r="BG1748" s="7" t="s">
        <v>200</v>
      </c>
      <c r="BH1748" s="7" t="s">
        <v>200</v>
      </c>
      <c r="BI1748" s="7"/>
      <c r="BJ1748" s="4">
        <v>22</v>
      </c>
      <c r="BK1748" s="8">
        <v>409.64</v>
      </c>
      <c r="BL1748" s="2" t="s">
        <v>8942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8943</v>
      </c>
      <c r="BV1748" s="2" t="s">
        <v>200</v>
      </c>
      <c r="BW1748" s="2" t="s">
        <v>200</v>
      </c>
      <c r="BX1748" s="2" t="s">
        <v>264</v>
      </c>
      <c r="BY1748" s="2" t="s">
        <v>247</v>
      </c>
      <c r="BZ1748" s="2" t="s">
        <v>212</v>
      </c>
      <c r="CA1748" s="2" t="s">
        <v>3273</v>
      </c>
      <c r="CB1748" s="2" t="s">
        <v>2626</v>
      </c>
      <c r="CC1748" s="2" t="s">
        <v>213</v>
      </c>
      <c r="CD1748" s="2" t="s">
        <v>200</v>
      </c>
      <c r="CE1748" s="4">
        <v>243</v>
      </c>
      <c r="CF1748" s="4"/>
      <c r="CG1748" s="4"/>
      <c r="CH1748" s="4"/>
      <c r="CI1748" s="4"/>
      <c r="CJ1748" s="4"/>
      <c r="CK1748" s="4"/>
      <c r="CL1748" s="4"/>
      <c r="CM1748" s="4"/>
      <c r="CN1748" s="4"/>
      <c r="CO1748" s="4"/>
      <c r="CP1748" s="4"/>
      <c r="CQ1748" s="4"/>
      <c r="CR1748" s="4"/>
      <c r="CS1748" s="4"/>
      <c r="CT1748" s="4"/>
      <c r="CU1748" s="4"/>
      <c r="CV1748" s="4"/>
      <c r="CW1748" s="4"/>
      <c r="CX1748" s="4"/>
      <c r="CY1748" s="4"/>
      <c r="CZ1748" s="4"/>
      <c r="DA1748" s="4"/>
      <c r="DB1748" s="4"/>
      <c r="DC1748" s="4"/>
      <c r="DD1748" s="4"/>
      <c r="DE1748" s="4"/>
      <c r="DF1748" s="4"/>
      <c r="DG1748" s="4"/>
      <c r="DH1748" s="4"/>
      <c r="DI1748" s="4"/>
      <c r="DJ1748" s="4"/>
      <c r="DK1748" s="4"/>
      <c r="DL1748" s="4"/>
      <c r="DM1748" s="4"/>
      <c r="DN1748" s="4"/>
      <c r="DO1748" s="4"/>
      <c r="DP1748" s="4"/>
      <c r="DQ1748" s="4"/>
      <c r="DR1748" s="4"/>
      <c r="DS1748" s="4"/>
      <c r="DT1748" s="4"/>
      <c r="DU1748" s="4"/>
      <c r="DV1748" s="4"/>
      <c r="DW1748" s="4"/>
      <c r="DX1748" s="4"/>
      <c r="DY1748" s="4"/>
      <c r="DZ1748" s="4"/>
      <c r="EA1748" s="4"/>
      <c r="EB1748" s="4"/>
      <c r="EC1748" s="4"/>
      <c r="ED1748" s="4"/>
      <c r="EE1748" s="4"/>
      <c r="EF1748" s="4"/>
      <c r="EG1748" s="4"/>
      <c r="EH1748" s="4"/>
      <c r="EI1748" s="4"/>
      <c r="EJ1748" s="4"/>
      <c r="EK1748" s="4"/>
      <c r="EL1748" s="4"/>
      <c r="EM1748" s="4"/>
      <c r="EN1748" s="4"/>
      <c r="EO1748" s="4"/>
      <c r="EP1748" s="4"/>
      <c r="EQ1748" s="4"/>
      <c r="ER1748" s="4"/>
      <c r="ES1748" s="4"/>
      <c r="ET1748" s="4"/>
      <c r="EU1748" s="4"/>
      <c r="EV1748" s="4"/>
      <c r="EW1748" s="4"/>
      <c r="EX1748" s="4"/>
      <c r="EY1748" s="4"/>
      <c r="EZ1748" s="4"/>
      <c r="FA1748" s="4"/>
      <c r="FB1748" s="4"/>
      <c r="FC1748" s="4"/>
      <c r="FD1748" s="4"/>
      <c r="FE1748" s="4"/>
      <c r="FF1748" s="4"/>
      <c r="FG1748" s="4"/>
      <c r="FH1748" s="4"/>
      <c r="FI1748" s="4"/>
      <c r="FJ1748" s="4"/>
      <c r="FK1748" s="4"/>
      <c r="FL1748" s="4"/>
      <c r="FM1748" s="4"/>
      <c r="FN1748" s="4"/>
      <c r="FO1748" s="4"/>
      <c r="FP1748" s="4"/>
      <c r="FQ1748" s="4"/>
      <c r="FR1748" s="4"/>
      <c r="FS1748" s="4"/>
      <c r="FT1748" s="4"/>
      <c r="FU1748" s="4"/>
      <c r="FV1748" s="4"/>
      <c r="FW1748" s="4"/>
      <c r="FX1748" s="4"/>
      <c r="FY1748" s="4"/>
      <c r="FZ1748" s="4"/>
      <c r="GA1748" s="4"/>
      <c r="GB1748" s="4"/>
      <c r="GC1748" s="4"/>
      <c r="GD1748" s="4"/>
      <c r="GE1748" s="4"/>
      <c r="GF1748" s="4"/>
      <c r="GG1748" s="4"/>
      <c r="GH1748" s="4"/>
    </row>
    <row r="1749">
      <c r="A1749" s="2" t="s">
        <v>8944</v>
      </c>
      <c r="B1749" s="2" t="s">
        <v>827</v>
      </c>
      <c r="C1749" s="2" t="s">
        <v>1252</v>
      </c>
      <c r="D1749" s="2" t="s">
        <v>828</v>
      </c>
      <c r="E1749" s="2" t="s">
        <v>878</v>
      </c>
      <c r="F1749" s="2" t="s">
        <v>5843</v>
      </c>
      <c r="G1749" s="2" t="s">
        <v>5843</v>
      </c>
      <c r="H1749" s="2" t="s">
        <v>5843</v>
      </c>
      <c r="I1749" s="2" t="s">
        <v>8934</v>
      </c>
      <c r="J1749" s="2" t="s">
        <v>2713</v>
      </c>
      <c r="K1749" s="2" t="s">
        <v>5995</v>
      </c>
      <c r="L1749" s="3">
        <v>30</v>
      </c>
      <c r="M1749" s="3">
        <v>31.5</v>
      </c>
      <c r="N1749" s="3">
        <v>59.99</v>
      </c>
      <c r="O1749" s="2" t="s">
        <v>417</v>
      </c>
      <c r="P1749" s="2" t="s">
        <v>1258</v>
      </c>
      <c r="Q1749" s="2" t="s">
        <v>206</v>
      </c>
      <c r="R1749" s="2" t="s">
        <v>1259</v>
      </c>
      <c r="S1749" s="2" t="s">
        <v>200</v>
      </c>
      <c r="T1749" s="2" t="s">
        <v>378</v>
      </c>
      <c r="U1749" s="2" t="s">
        <v>677</v>
      </c>
      <c r="V1749" s="2" t="s">
        <v>616</v>
      </c>
      <c r="W1749" s="2" t="s">
        <v>200</v>
      </c>
      <c r="X1749" s="2" t="s">
        <v>419</v>
      </c>
      <c r="Y1749" s="2" t="s">
        <v>8936</v>
      </c>
      <c r="Z1749" s="4">
        <v>92</v>
      </c>
      <c r="AA1749" s="4">
        <f>=ROUNDDOWN(92,0)</f>
      </c>
      <c r="AB1749" s="5">
        <v>1</v>
      </c>
      <c r="AC1749" s="2" t="s">
        <v>200</v>
      </c>
      <c r="AD1749" s="4"/>
      <c r="AE1749" s="4"/>
      <c r="AF1749" s="6">
        <v>64</v>
      </c>
      <c r="AG1749" s="6"/>
      <c r="AH1749" s="7">
        <v>1</v>
      </c>
      <c r="AI1749" s="4"/>
      <c r="AJ1749" s="4">
        <f>=ROUNDDOWN({0},0)</f>
      </c>
      <c r="AK1749" s="5"/>
      <c r="AL1749" s="2" t="s">
        <v>200</v>
      </c>
      <c r="AM1749" s="4"/>
      <c r="AN1749" s="4"/>
      <c r="AO1749" s="7"/>
      <c r="AP1749" s="4"/>
      <c r="AQ1749" s="8"/>
      <c r="AR1749" s="4"/>
      <c r="AS1749" s="8"/>
      <c r="AT1749" s="7"/>
      <c r="AU1749" s="7"/>
      <c r="AV1749" s="4" t="s">
        <v>200</v>
      </c>
      <c r="AW1749" s="8" t="s">
        <v>200</v>
      </c>
      <c r="AX1749" s="4" t="s">
        <v>200</v>
      </c>
      <c r="AY1749" s="8" t="s">
        <v>200</v>
      </c>
      <c r="AZ1749" s="7" t="s">
        <v>200</v>
      </c>
      <c r="BA1749" s="7" t="s">
        <v>200</v>
      </c>
      <c r="BB1749" s="7"/>
      <c r="BC1749" s="4" t="s">
        <v>200</v>
      </c>
      <c r="BD1749" s="8" t="s">
        <v>200</v>
      </c>
      <c r="BE1749" s="4" t="s">
        <v>200</v>
      </c>
      <c r="BF1749" s="8" t="s">
        <v>200</v>
      </c>
      <c r="BG1749" s="7" t="s">
        <v>200</v>
      </c>
      <c r="BH1749" s="7" t="s">
        <v>200</v>
      </c>
      <c r="BI1749" s="7"/>
      <c r="BJ1749" s="4">
        <v>6</v>
      </c>
      <c r="BK1749" s="8">
        <v>107.95</v>
      </c>
      <c r="BL1749" s="2" t="s">
        <v>2738</v>
      </c>
      <c r="BM1749" s="7"/>
      <c r="BN1749" s="7"/>
      <c r="BO1749" s="4"/>
      <c r="BP1749" s="8"/>
      <c r="BQ1749" s="4"/>
      <c r="BR1749" s="8"/>
      <c r="BS1749" s="7"/>
      <c r="BT1749" s="7"/>
      <c r="BU1749" s="2" t="s">
        <v>8945</v>
      </c>
      <c r="BV1749" s="2" t="s">
        <v>200</v>
      </c>
      <c r="BW1749" s="2" t="s">
        <v>200</v>
      </c>
      <c r="BX1749" s="2" t="s">
        <v>264</v>
      </c>
      <c r="BY1749" s="2" t="s">
        <v>247</v>
      </c>
      <c r="BZ1749" s="2" t="s">
        <v>212</v>
      </c>
      <c r="CA1749" s="2" t="s">
        <v>3273</v>
      </c>
      <c r="CB1749" s="2" t="s">
        <v>703</v>
      </c>
      <c r="CC1749" s="2" t="s">
        <v>213</v>
      </c>
      <c r="CD1749" s="2" t="s">
        <v>200</v>
      </c>
      <c r="CE1749" s="4">
        <v>92</v>
      </c>
      <c r="CF1749" s="4"/>
      <c r="CG1749" s="4"/>
      <c r="CH1749" s="4"/>
      <c r="CI1749" s="4"/>
      <c r="CJ1749" s="4"/>
      <c r="CK1749" s="4"/>
      <c r="CL1749" s="4"/>
      <c r="CM1749" s="4"/>
      <c r="CN1749" s="4"/>
      <c r="CO1749" s="4"/>
      <c r="CP1749" s="4"/>
      <c r="CQ1749" s="4"/>
      <c r="CR1749" s="4"/>
      <c r="CS1749" s="4"/>
      <c r="CT1749" s="4"/>
      <c r="CU1749" s="4"/>
      <c r="CV1749" s="4"/>
      <c r="CW1749" s="4"/>
      <c r="CX1749" s="4"/>
      <c r="CY1749" s="4"/>
      <c r="CZ1749" s="4"/>
      <c r="DA1749" s="4"/>
      <c r="DB1749" s="4"/>
      <c r="DC1749" s="4"/>
      <c r="DD1749" s="4"/>
      <c r="DE1749" s="4"/>
      <c r="DF1749" s="4"/>
      <c r="DG1749" s="4"/>
      <c r="DH1749" s="4"/>
      <c r="DI1749" s="4"/>
      <c r="DJ1749" s="4"/>
      <c r="DK1749" s="4"/>
      <c r="DL1749" s="4"/>
      <c r="DM1749" s="4"/>
      <c r="DN1749" s="4"/>
      <c r="DO1749" s="4"/>
      <c r="DP1749" s="4"/>
      <c r="DQ1749" s="4"/>
      <c r="DR1749" s="4"/>
      <c r="DS1749" s="4"/>
      <c r="DT1749" s="4"/>
      <c r="DU1749" s="4"/>
      <c r="DV1749" s="4"/>
      <c r="DW1749" s="4"/>
      <c r="DX1749" s="4"/>
      <c r="DY1749" s="4"/>
      <c r="DZ1749" s="4"/>
      <c r="EA1749" s="4"/>
      <c r="EB1749" s="4"/>
      <c r="EC1749" s="4"/>
      <c r="ED1749" s="4"/>
      <c r="EE1749" s="4"/>
      <c r="EF1749" s="4"/>
      <c r="EG1749" s="4"/>
      <c r="EH1749" s="4"/>
      <c r="EI1749" s="4"/>
      <c r="EJ1749" s="4"/>
      <c r="EK1749" s="4"/>
      <c r="EL1749" s="4"/>
      <c r="EM1749" s="4"/>
      <c r="EN1749" s="4"/>
      <c r="EO1749" s="4"/>
      <c r="EP1749" s="4"/>
      <c r="EQ1749" s="4"/>
      <c r="ER1749" s="4"/>
      <c r="ES1749" s="4"/>
      <c r="ET1749" s="4"/>
      <c r="EU1749" s="4"/>
      <c r="EV1749" s="4"/>
      <c r="EW1749" s="4"/>
      <c r="EX1749" s="4"/>
      <c r="EY1749" s="4"/>
      <c r="EZ1749" s="4"/>
      <c r="FA1749" s="4"/>
      <c r="FB1749" s="4"/>
      <c r="FC1749" s="4"/>
      <c r="FD1749" s="4"/>
      <c r="FE1749" s="4"/>
      <c r="FF1749" s="4"/>
      <c r="FG1749" s="4"/>
      <c r="FH1749" s="4"/>
      <c r="FI1749" s="4"/>
      <c r="FJ1749" s="4"/>
      <c r="FK1749" s="4"/>
      <c r="FL1749" s="4"/>
      <c r="FM1749" s="4"/>
      <c r="FN1749" s="4"/>
      <c r="FO1749" s="4"/>
      <c r="FP1749" s="4"/>
      <c r="FQ1749" s="4"/>
      <c r="FR1749" s="4"/>
      <c r="FS1749" s="4"/>
      <c r="FT1749" s="4"/>
      <c r="FU1749" s="4"/>
      <c r="FV1749" s="4"/>
      <c r="FW1749" s="4"/>
      <c r="FX1749" s="4"/>
      <c r="FY1749" s="4"/>
      <c r="FZ1749" s="4"/>
      <c r="GA1749" s="4"/>
      <c r="GB1749" s="4"/>
      <c r="GC1749" s="4"/>
      <c r="GD1749" s="4"/>
      <c r="GE1749" s="4"/>
      <c r="GF1749" s="4"/>
      <c r="GG1749" s="4"/>
      <c r="GH1749" s="4"/>
    </row>
    <row r="1750">
      <c r="A1750" s="2" t="s">
        <v>8946</v>
      </c>
      <c r="B1750" s="2" t="s">
        <v>903</v>
      </c>
      <c r="C1750" s="2" t="s">
        <v>1252</v>
      </c>
      <c r="D1750" s="2" t="s">
        <v>608</v>
      </c>
      <c r="E1750" s="2" t="s">
        <v>1324</v>
      </c>
      <c r="F1750" s="2" t="s">
        <v>8947</v>
      </c>
      <c r="G1750" s="2" t="s">
        <v>5755</v>
      </c>
      <c r="H1750" s="2" t="s">
        <v>5755</v>
      </c>
      <c r="I1750" s="2" t="s">
        <v>8948</v>
      </c>
      <c r="J1750" s="2" t="s">
        <v>612</v>
      </c>
      <c r="K1750" s="2" t="s">
        <v>8949</v>
      </c>
      <c r="L1750" s="3">
        <v>22.7</v>
      </c>
      <c r="M1750" s="3">
        <v>23.84</v>
      </c>
      <c r="N1750" s="3">
        <v>39.99</v>
      </c>
      <c r="O1750" s="2" t="s">
        <v>460</v>
      </c>
      <c r="P1750" s="2" t="s">
        <v>1258</v>
      </c>
      <c r="Q1750" s="2" t="s">
        <v>206</v>
      </c>
      <c r="R1750" s="2" t="s">
        <v>1259</v>
      </c>
      <c r="S1750" s="2" t="s">
        <v>8950</v>
      </c>
      <c r="T1750" s="2" t="s">
        <v>378</v>
      </c>
      <c r="U1750" s="2" t="s">
        <v>454</v>
      </c>
      <c r="V1750" s="2" t="s">
        <v>885</v>
      </c>
      <c r="W1750" s="2" t="s">
        <v>241</v>
      </c>
      <c r="X1750" s="2" t="s">
        <v>419</v>
      </c>
      <c r="Y1750" s="2" t="s">
        <v>8951</v>
      </c>
      <c r="Z1750" s="4">
        <v>2763</v>
      </c>
      <c r="AA1750" s="4">
        <f>=ROUNDDOWN(1454.21052631579,0)</f>
      </c>
      <c r="AB1750" s="5">
        <v>1.9</v>
      </c>
      <c r="AC1750" s="2" t="s">
        <v>200</v>
      </c>
      <c r="AD1750" s="4"/>
      <c r="AE1750" s="4"/>
      <c r="AF1750" s="6">
        <v>64</v>
      </c>
      <c r="AG1750" s="6"/>
      <c r="AH1750" s="7">
        <v>1</v>
      </c>
      <c r="AI1750" s="4"/>
      <c r="AJ1750" s="4">
        <f>=ROUNDDOWN({0},0)</f>
      </c>
      <c r="AK1750" s="5"/>
      <c r="AL1750" s="2" t="s">
        <v>200</v>
      </c>
      <c r="AM1750" s="4"/>
      <c r="AN1750" s="4"/>
      <c r="AO1750" s="7"/>
      <c r="AP1750" s="4"/>
      <c r="AQ1750" s="8"/>
      <c r="AR1750" s="4"/>
      <c r="AS1750" s="8"/>
      <c r="AT1750" s="7"/>
      <c r="AU1750" s="7"/>
      <c r="AV1750" s="4"/>
      <c r="AW1750" s="8"/>
      <c r="AX1750" s="4"/>
      <c r="AY1750" s="8"/>
      <c r="AZ1750" s="7"/>
      <c r="BA1750" s="7"/>
      <c r="BB1750" s="7"/>
      <c r="BC1750" s="4"/>
      <c r="BD1750" s="8"/>
      <c r="BE1750" s="4"/>
      <c r="BF1750" s="8"/>
      <c r="BG1750" s="7"/>
      <c r="BH1750" s="7"/>
      <c r="BI1750" s="7"/>
      <c r="BJ1750" s="4">
        <v>4</v>
      </c>
      <c r="BK1750" s="8">
        <v>139.96</v>
      </c>
      <c r="BL1750" s="2" t="s">
        <v>958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8952</v>
      </c>
      <c r="BV1750" s="2" t="s">
        <v>200</v>
      </c>
      <c r="BW1750" s="2" t="s">
        <v>200</v>
      </c>
      <c r="BX1750" s="2" t="s">
        <v>264</v>
      </c>
      <c r="BY1750" s="2" t="s">
        <v>247</v>
      </c>
      <c r="BZ1750" s="2" t="s">
        <v>212</v>
      </c>
      <c r="CA1750" s="2" t="s">
        <v>1888</v>
      </c>
      <c r="CB1750" s="2" t="s">
        <v>1891</v>
      </c>
      <c r="CC1750" s="2" t="s">
        <v>213</v>
      </c>
      <c r="CD1750" s="2" t="s">
        <v>200</v>
      </c>
      <c r="CE1750" s="4">
        <v>2763</v>
      </c>
      <c r="CF1750" s="4"/>
      <c r="CG1750" s="4"/>
      <c r="CH1750" s="4"/>
      <c r="CI1750" s="4"/>
      <c r="CJ1750" s="4"/>
      <c r="CK1750" s="4"/>
      <c r="CL1750" s="4"/>
      <c r="CM1750" s="4"/>
      <c r="CN1750" s="4"/>
      <c r="CO1750" s="4"/>
      <c r="CP1750" s="4"/>
      <c r="CQ1750" s="4"/>
      <c r="CR1750" s="4"/>
      <c r="CS1750" s="4"/>
      <c r="CT1750" s="4"/>
      <c r="CU1750" s="4"/>
      <c r="CV1750" s="4"/>
      <c r="CW1750" s="4"/>
      <c r="CX1750" s="4"/>
      <c r="CY1750" s="4"/>
      <c r="CZ1750" s="4"/>
      <c r="DA1750" s="4"/>
      <c r="DB1750" s="4"/>
      <c r="DC1750" s="4"/>
      <c r="DD1750" s="4"/>
      <c r="DE1750" s="4"/>
      <c r="DF1750" s="4"/>
      <c r="DG1750" s="4"/>
      <c r="DH1750" s="4"/>
      <c r="DI1750" s="4"/>
      <c r="DJ1750" s="4"/>
      <c r="DK1750" s="4"/>
      <c r="DL1750" s="4"/>
      <c r="DM1750" s="4"/>
      <c r="DN1750" s="4"/>
      <c r="DO1750" s="4"/>
      <c r="DP1750" s="4"/>
      <c r="DQ1750" s="4"/>
      <c r="DR1750" s="4"/>
      <c r="DS1750" s="4"/>
      <c r="DT1750" s="4"/>
      <c r="DU1750" s="4"/>
      <c r="DV1750" s="4"/>
      <c r="DW1750" s="4"/>
      <c r="DX1750" s="4"/>
      <c r="DY1750" s="4"/>
      <c r="DZ1750" s="4"/>
      <c r="EA1750" s="4"/>
      <c r="EB1750" s="4"/>
      <c r="EC1750" s="4"/>
      <c r="ED1750" s="4"/>
      <c r="EE1750" s="4"/>
      <c r="EF1750" s="4"/>
      <c r="EG1750" s="4"/>
      <c r="EH1750" s="4"/>
      <c r="EI1750" s="4"/>
      <c r="EJ1750" s="4"/>
      <c r="EK1750" s="4"/>
      <c r="EL1750" s="4"/>
      <c r="EM1750" s="4"/>
      <c r="EN1750" s="4"/>
      <c r="EO1750" s="4"/>
      <c r="EP1750" s="4"/>
      <c r="EQ1750" s="4"/>
      <c r="ER1750" s="4"/>
      <c r="ES1750" s="4"/>
      <c r="ET1750" s="4"/>
      <c r="EU1750" s="4"/>
      <c r="EV1750" s="4"/>
      <c r="EW1750" s="4"/>
      <c r="EX1750" s="4"/>
      <c r="EY1750" s="4"/>
      <c r="EZ1750" s="4"/>
      <c r="FA1750" s="4"/>
      <c r="FB1750" s="4"/>
      <c r="FC1750" s="4"/>
      <c r="FD1750" s="4"/>
      <c r="FE1750" s="4"/>
      <c r="FF1750" s="4"/>
      <c r="FG1750" s="4"/>
      <c r="FH1750" s="4"/>
      <c r="FI1750" s="4"/>
      <c r="FJ1750" s="4"/>
      <c r="FK1750" s="4"/>
      <c r="FL1750" s="4"/>
      <c r="FM1750" s="4"/>
      <c r="FN1750" s="4"/>
      <c r="FO1750" s="4"/>
      <c r="FP1750" s="4"/>
      <c r="FQ1750" s="4"/>
      <c r="FR1750" s="4"/>
      <c r="FS1750" s="4"/>
      <c r="FT1750" s="4"/>
      <c r="FU1750" s="4"/>
      <c r="FV1750" s="4"/>
      <c r="FW1750" s="4"/>
      <c r="FX1750" s="4"/>
      <c r="FY1750" s="4"/>
      <c r="FZ1750" s="4"/>
      <c r="GA1750" s="4"/>
      <c r="GB1750" s="4"/>
      <c r="GC1750" s="4"/>
      <c r="GD1750" s="4"/>
      <c r="GE1750" s="4"/>
      <c r="GF1750" s="4"/>
      <c r="GG1750" s="4"/>
      <c r="GH1750" s="4"/>
    </row>
    <row r="1751">
      <c r="A1751" s="2" t="s">
        <v>8953</v>
      </c>
      <c r="B1751" s="2" t="s">
        <v>903</v>
      </c>
      <c r="C1751" s="2" t="s">
        <v>1323</v>
      </c>
      <c r="D1751" s="2" t="s">
        <v>608</v>
      </c>
      <c r="E1751" s="2" t="s">
        <v>1324</v>
      </c>
      <c r="F1751" s="2" t="s">
        <v>8954</v>
      </c>
      <c r="G1751" s="2" t="s">
        <v>8954</v>
      </c>
      <c r="H1751" s="2" t="s">
        <v>8954</v>
      </c>
      <c r="I1751" s="2" t="s">
        <v>1324</v>
      </c>
      <c r="J1751" s="2" t="s">
        <v>612</v>
      </c>
      <c r="K1751" s="2" t="s">
        <v>5040</v>
      </c>
      <c r="L1751" s="3">
        <v>78.37</v>
      </c>
      <c r="M1751" s="3">
        <v>82.29</v>
      </c>
      <c r="N1751" s="3">
        <v>189.99</v>
      </c>
      <c r="O1751" s="2" t="s">
        <v>212</v>
      </c>
      <c r="P1751" s="2" t="s">
        <v>205</v>
      </c>
      <c r="Q1751" s="2" t="s">
        <v>206</v>
      </c>
      <c r="R1751" s="2" t="s">
        <v>200</v>
      </c>
      <c r="S1751" s="2" t="s">
        <v>200</v>
      </c>
      <c r="T1751" s="2" t="s">
        <v>312</v>
      </c>
      <c r="U1751" s="2" t="s">
        <v>454</v>
      </c>
      <c r="V1751" s="2" t="s">
        <v>339</v>
      </c>
      <c r="W1751" s="2" t="s">
        <v>200</v>
      </c>
      <c r="X1751" s="2" t="s">
        <v>200</v>
      </c>
      <c r="Y1751" s="2" t="s">
        <v>200</v>
      </c>
      <c r="Z1751" s="4"/>
      <c r="AA1751" s="4">
        <f>=ROUNDDOWN({0},0)</f>
      </c>
      <c r="AB1751" s="5"/>
      <c r="AC1751" s="2" t="s">
        <v>200</v>
      </c>
      <c r="AD1751" s="4"/>
      <c r="AE1751" s="4"/>
      <c r="AF1751" s="6"/>
      <c r="AG1751" s="6"/>
      <c r="AH1751" s="7"/>
      <c r="AI1751" s="4"/>
      <c r="AJ1751" s="4">
        <f>=ROUNDDOWN({0},0)</f>
      </c>
      <c r="AK1751" s="5"/>
      <c r="AL1751" s="2" t="s">
        <v>200</v>
      </c>
      <c r="AM1751" s="4"/>
      <c r="AN1751" s="4"/>
      <c r="AO1751" s="7"/>
      <c r="AP1751" s="4"/>
      <c r="AQ1751" s="8"/>
      <c r="AR1751" s="4"/>
      <c r="AS1751" s="8"/>
      <c r="AT1751" s="7"/>
      <c r="AU1751" s="7"/>
      <c r="AV1751" s="4" t="s">
        <v>200</v>
      </c>
      <c r="AW1751" s="8" t="s">
        <v>200</v>
      </c>
      <c r="AX1751" s="4" t="s">
        <v>200</v>
      </c>
      <c r="AY1751" s="8" t="s">
        <v>200</v>
      </c>
      <c r="AZ1751" s="7" t="s">
        <v>200</v>
      </c>
      <c r="BA1751" s="7" t="s">
        <v>200</v>
      </c>
      <c r="BB1751" s="7"/>
      <c r="BC1751" s="4" t="s">
        <v>200</v>
      </c>
      <c r="BD1751" s="8" t="s">
        <v>200</v>
      </c>
      <c r="BE1751" s="4" t="s">
        <v>200</v>
      </c>
      <c r="BF1751" s="8" t="s">
        <v>200</v>
      </c>
      <c r="BG1751" s="7" t="s">
        <v>200</v>
      </c>
      <c r="BH1751" s="7" t="s">
        <v>200</v>
      </c>
      <c r="BI1751" s="7"/>
      <c r="BJ1751" s="4"/>
      <c r="BK1751" s="8"/>
      <c r="BL1751" s="2" t="s">
        <v>200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210</v>
      </c>
      <c r="BV1751" s="2" t="s">
        <v>200</v>
      </c>
      <c r="BW1751" s="2" t="s">
        <v>200</v>
      </c>
      <c r="BX1751" s="2" t="s">
        <v>210</v>
      </c>
      <c r="BY1751" s="2" t="s">
        <v>1329</v>
      </c>
      <c r="BZ1751" s="2" t="s">
        <v>212</v>
      </c>
      <c r="CA1751" s="2" t="s">
        <v>200</v>
      </c>
      <c r="CB1751" s="2" t="s">
        <v>200</v>
      </c>
      <c r="CC1751" s="2" t="s">
        <v>213</v>
      </c>
      <c r="CD1751" s="2" t="s">
        <v>200</v>
      </c>
      <c r="CE1751" s="4"/>
      <c r="CF1751" s="4"/>
      <c r="CG1751" s="4"/>
      <c r="CH1751" s="4"/>
      <c r="CI1751" s="4"/>
      <c r="CJ1751" s="4"/>
      <c r="CK1751" s="4"/>
      <c r="CL1751" s="4"/>
      <c r="CM1751" s="4"/>
      <c r="CN1751" s="4"/>
      <c r="CO1751" s="4"/>
      <c r="CP1751" s="4"/>
      <c r="CQ1751" s="4"/>
      <c r="CR1751" s="4"/>
      <c r="CS1751" s="4"/>
      <c r="CT1751" s="4"/>
      <c r="CU1751" s="4"/>
      <c r="CV1751" s="4"/>
      <c r="CW1751" s="4"/>
      <c r="CX1751" s="4"/>
      <c r="CY1751" s="4"/>
      <c r="CZ1751" s="4"/>
      <c r="DA1751" s="4"/>
      <c r="DB1751" s="4"/>
      <c r="DC1751" s="4"/>
      <c r="DD1751" s="4"/>
      <c r="DE1751" s="4"/>
      <c r="DF1751" s="4"/>
      <c r="DG1751" s="4"/>
      <c r="DH1751" s="4"/>
      <c r="DI1751" s="4"/>
      <c r="DJ1751" s="4"/>
      <c r="DK1751" s="4"/>
      <c r="DL1751" s="4"/>
      <c r="DM1751" s="4"/>
      <c r="DN1751" s="4"/>
      <c r="DO1751" s="4"/>
      <c r="DP1751" s="4"/>
      <c r="DQ1751" s="4"/>
      <c r="DR1751" s="4"/>
      <c r="DS1751" s="4"/>
      <c r="DT1751" s="4"/>
      <c r="DU1751" s="4"/>
      <c r="DV1751" s="4"/>
      <c r="DW1751" s="4"/>
      <c r="DX1751" s="4"/>
      <c r="DY1751" s="4"/>
      <c r="DZ1751" s="4"/>
      <c r="EA1751" s="4"/>
      <c r="EB1751" s="4"/>
      <c r="EC1751" s="4"/>
      <c r="ED1751" s="4"/>
      <c r="EE1751" s="4"/>
      <c r="EF1751" s="4"/>
      <c r="EG1751" s="4"/>
      <c r="EH1751" s="4"/>
      <c r="EI1751" s="4"/>
      <c r="EJ1751" s="4"/>
      <c r="EK1751" s="4"/>
      <c r="EL1751" s="4"/>
      <c r="EM1751" s="4"/>
      <c r="EN1751" s="4"/>
      <c r="EO1751" s="4"/>
      <c r="EP1751" s="4"/>
      <c r="EQ1751" s="4"/>
      <c r="ER1751" s="4"/>
      <c r="ES1751" s="4"/>
      <c r="ET1751" s="4"/>
      <c r="EU1751" s="4"/>
      <c r="EV1751" s="4"/>
      <c r="EW1751" s="4"/>
      <c r="EX1751" s="4"/>
      <c r="EY1751" s="4"/>
      <c r="EZ1751" s="4"/>
      <c r="FA1751" s="4"/>
      <c r="FB1751" s="4"/>
      <c r="FC1751" s="4"/>
      <c r="FD1751" s="4"/>
      <c r="FE1751" s="4"/>
      <c r="FF1751" s="4"/>
      <c r="FG1751" s="4"/>
      <c r="FH1751" s="4"/>
      <c r="FI1751" s="4"/>
      <c r="FJ1751" s="4"/>
      <c r="FK1751" s="4"/>
      <c r="FL1751" s="4"/>
      <c r="FM1751" s="4"/>
      <c r="FN1751" s="4"/>
      <c r="FO1751" s="4"/>
      <c r="FP1751" s="4"/>
      <c r="FQ1751" s="4"/>
      <c r="FR1751" s="4"/>
      <c r="FS1751" s="4"/>
      <c r="FT1751" s="4"/>
      <c r="FU1751" s="4"/>
      <c r="FV1751" s="4"/>
      <c r="FW1751" s="4"/>
      <c r="FX1751" s="4"/>
      <c r="FY1751" s="4"/>
      <c r="FZ1751" s="4"/>
      <c r="GA1751" s="4"/>
      <c r="GB1751" s="4"/>
      <c r="GC1751" s="4"/>
      <c r="GD1751" s="4"/>
      <c r="GE1751" s="4"/>
      <c r="GF1751" s="4"/>
      <c r="GG1751" s="4"/>
      <c r="GH1751" s="4"/>
    </row>
    <row r="1752">
      <c r="A1752" s="2" t="s">
        <v>8955</v>
      </c>
      <c r="B1752" s="2" t="s">
        <v>903</v>
      </c>
      <c r="C1752" s="2" t="s">
        <v>1323</v>
      </c>
      <c r="D1752" s="2" t="s">
        <v>608</v>
      </c>
      <c r="E1752" s="2" t="s">
        <v>1324</v>
      </c>
      <c r="F1752" s="2" t="s">
        <v>8954</v>
      </c>
      <c r="G1752" s="2" t="s">
        <v>8954</v>
      </c>
      <c r="H1752" s="2" t="s">
        <v>8954</v>
      </c>
      <c r="I1752" s="2" t="s">
        <v>1324</v>
      </c>
      <c r="J1752" s="2" t="s">
        <v>924</v>
      </c>
      <c r="K1752" s="2" t="s">
        <v>5040</v>
      </c>
      <c r="L1752" s="3">
        <v>90.75</v>
      </c>
      <c r="M1752" s="3">
        <v>95.29</v>
      </c>
      <c r="N1752" s="3">
        <v>219.99</v>
      </c>
      <c r="O1752" s="2" t="s">
        <v>212</v>
      </c>
      <c r="P1752" s="2" t="s">
        <v>205</v>
      </c>
      <c r="Q1752" s="2" t="s">
        <v>206</v>
      </c>
      <c r="R1752" s="2" t="s">
        <v>200</v>
      </c>
      <c r="S1752" s="2" t="s">
        <v>200</v>
      </c>
      <c r="T1752" s="2" t="s">
        <v>312</v>
      </c>
      <c r="U1752" s="2" t="s">
        <v>454</v>
      </c>
      <c r="V1752" s="2" t="s">
        <v>339</v>
      </c>
      <c r="W1752" s="2" t="s">
        <v>200</v>
      </c>
      <c r="X1752" s="2" t="s">
        <v>200</v>
      </c>
      <c r="Y1752" s="2" t="s">
        <v>200</v>
      </c>
      <c r="Z1752" s="4"/>
      <c r="AA1752" s="4">
        <f>=ROUNDDOWN({0},0)</f>
      </c>
      <c r="AB1752" s="5"/>
      <c r="AC1752" s="2" t="s">
        <v>200</v>
      </c>
      <c r="AD1752" s="4"/>
      <c r="AE1752" s="4"/>
      <c r="AF1752" s="6"/>
      <c r="AG1752" s="6"/>
      <c r="AH1752" s="7"/>
      <c r="AI1752" s="4"/>
      <c r="AJ1752" s="4">
        <f>=ROUNDDOWN({0},0)</f>
      </c>
      <c r="AK1752" s="5"/>
      <c r="AL1752" s="2" t="s">
        <v>200</v>
      </c>
      <c r="AM1752" s="4"/>
      <c r="AN1752" s="4"/>
      <c r="AO1752" s="7"/>
      <c r="AP1752" s="4"/>
      <c r="AQ1752" s="8"/>
      <c r="AR1752" s="4"/>
      <c r="AS1752" s="8"/>
      <c r="AT1752" s="7"/>
      <c r="AU1752" s="7"/>
      <c r="AV1752" s="4" t="s">
        <v>200</v>
      </c>
      <c r="AW1752" s="8" t="s">
        <v>200</v>
      </c>
      <c r="AX1752" s="4" t="s">
        <v>200</v>
      </c>
      <c r="AY1752" s="8" t="s">
        <v>200</v>
      </c>
      <c r="AZ1752" s="7" t="s">
        <v>200</v>
      </c>
      <c r="BA1752" s="7" t="s">
        <v>200</v>
      </c>
      <c r="BB1752" s="7"/>
      <c r="BC1752" s="4" t="s">
        <v>200</v>
      </c>
      <c r="BD1752" s="8" t="s">
        <v>200</v>
      </c>
      <c r="BE1752" s="4" t="s">
        <v>200</v>
      </c>
      <c r="BF1752" s="8" t="s">
        <v>200</v>
      </c>
      <c r="BG1752" s="7" t="s">
        <v>200</v>
      </c>
      <c r="BH1752" s="7" t="s">
        <v>200</v>
      </c>
      <c r="BI1752" s="7"/>
      <c r="BJ1752" s="4"/>
      <c r="BK1752" s="8"/>
      <c r="BL1752" s="2" t="s">
        <v>200</v>
      </c>
      <c r="BM1752" s="7"/>
      <c r="BN1752" s="7"/>
      <c r="BO1752" s="4"/>
      <c r="BP1752" s="8"/>
      <c r="BQ1752" s="4"/>
      <c r="BR1752" s="8"/>
      <c r="BS1752" s="7"/>
      <c r="BT1752" s="7"/>
      <c r="BU1752" s="2" t="s">
        <v>210</v>
      </c>
      <c r="BV1752" s="2" t="s">
        <v>200</v>
      </c>
      <c r="BW1752" s="2" t="s">
        <v>200</v>
      </c>
      <c r="BX1752" s="2" t="s">
        <v>210</v>
      </c>
      <c r="BY1752" s="2" t="s">
        <v>1329</v>
      </c>
      <c r="BZ1752" s="2" t="s">
        <v>212</v>
      </c>
      <c r="CA1752" s="2" t="s">
        <v>200</v>
      </c>
      <c r="CB1752" s="2" t="s">
        <v>200</v>
      </c>
      <c r="CC1752" s="2" t="s">
        <v>213</v>
      </c>
      <c r="CD1752" s="2" t="s">
        <v>200</v>
      </c>
      <c r="CE1752" s="4"/>
      <c r="CF1752" s="4"/>
      <c r="CG1752" s="4"/>
      <c r="CH1752" s="4"/>
      <c r="CI1752" s="4"/>
      <c r="CJ1752" s="4"/>
      <c r="CK1752" s="4"/>
      <c r="CL1752" s="4"/>
      <c r="CM1752" s="4"/>
      <c r="CN1752" s="4"/>
      <c r="CO1752" s="4"/>
      <c r="CP1752" s="4"/>
      <c r="CQ1752" s="4"/>
      <c r="CR1752" s="4"/>
      <c r="CS1752" s="4"/>
      <c r="CT1752" s="4"/>
      <c r="CU1752" s="4"/>
      <c r="CV1752" s="4"/>
      <c r="CW1752" s="4"/>
      <c r="CX1752" s="4"/>
      <c r="CY1752" s="4"/>
      <c r="CZ1752" s="4"/>
      <c r="DA1752" s="4"/>
      <c r="DB1752" s="4"/>
      <c r="DC1752" s="4"/>
      <c r="DD1752" s="4"/>
      <c r="DE1752" s="4"/>
      <c r="DF1752" s="4"/>
      <c r="DG1752" s="4"/>
      <c r="DH1752" s="4"/>
      <c r="DI1752" s="4"/>
      <c r="DJ1752" s="4"/>
      <c r="DK1752" s="4"/>
      <c r="DL1752" s="4"/>
      <c r="DM1752" s="4"/>
      <c r="DN1752" s="4"/>
      <c r="DO1752" s="4"/>
      <c r="DP1752" s="4"/>
      <c r="DQ1752" s="4"/>
      <c r="DR1752" s="4"/>
      <c r="DS1752" s="4"/>
      <c r="DT1752" s="4"/>
      <c r="DU1752" s="4"/>
      <c r="DV1752" s="4"/>
      <c r="DW1752" s="4"/>
      <c r="DX1752" s="4"/>
      <c r="DY1752" s="4"/>
      <c r="DZ1752" s="4"/>
      <c r="EA1752" s="4"/>
      <c r="EB1752" s="4"/>
      <c r="EC1752" s="4"/>
      <c r="ED1752" s="4"/>
      <c r="EE1752" s="4"/>
      <c r="EF1752" s="4"/>
      <c r="EG1752" s="4"/>
      <c r="EH1752" s="4"/>
      <c r="EI1752" s="4"/>
      <c r="EJ1752" s="4"/>
      <c r="EK1752" s="4"/>
      <c r="EL1752" s="4"/>
      <c r="EM1752" s="4"/>
      <c r="EN1752" s="4"/>
      <c r="EO1752" s="4"/>
      <c r="EP1752" s="4"/>
      <c r="EQ1752" s="4"/>
      <c r="ER1752" s="4"/>
      <c r="ES1752" s="4"/>
      <c r="ET1752" s="4"/>
      <c r="EU1752" s="4"/>
      <c r="EV1752" s="4"/>
      <c r="EW1752" s="4"/>
      <c r="EX1752" s="4"/>
      <c r="EY1752" s="4"/>
      <c r="EZ1752" s="4"/>
      <c r="FA1752" s="4"/>
      <c r="FB1752" s="4"/>
      <c r="FC1752" s="4"/>
      <c r="FD1752" s="4"/>
      <c r="FE1752" s="4"/>
      <c r="FF1752" s="4"/>
      <c r="FG1752" s="4"/>
      <c r="FH1752" s="4"/>
      <c r="FI1752" s="4"/>
      <c r="FJ1752" s="4"/>
      <c r="FK1752" s="4"/>
      <c r="FL1752" s="4"/>
      <c r="FM1752" s="4"/>
      <c r="FN1752" s="4"/>
      <c r="FO1752" s="4"/>
      <c r="FP1752" s="4"/>
      <c r="FQ1752" s="4"/>
      <c r="FR1752" s="4"/>
      <c r="FS1752" s="4"/>
      <c r="FT1752" s="4"/>
      <c r="FU1752" s="4"/>
      <c r="FV1752" s="4"/>
      <c r="FW1752" s="4"/>
      <c r="FX1752" s="4"/>
      <c r="FY1752" s="4"/>
      <c r="FZ1752" s="4"/>
      <c r="GA1752" s="4"/>
      <c r="GB1752" s="4"/>
      <c r="GC1752" s="4"/>
      <c r="GD1752" s="4"/>
      <c r="GE1752" s="4"/>
      <c r="GF1752" s="4"/>
      <c r="GG1752" s="4"/>
      <c r="GH1752" s="4"/>
    </row>
    <row r="1753">
      <c r="A1753" s="2" t="s">
        <v>8956</v>
      </c>
      <c r="B1753" s="2" t="s">
        <v>195</v>
      </c>
      <c r="C1753" s="2" t="s">
        <v>624</v>
      </c>
      <c r="D1753" s="2" t="s">
        <v>197</v>
      </c>
      <c r="E1753" s="2" t="s">
        <v>198</v>
      </c>
      <c r="F1753" s="2" t="s">
        <v>8957</v>
      </c>
      <c r="G1753" s="2" t="s">
        <v>8957</v>
      </c>
      <c r="H1753" s="2" t="s">
        <v>8957</v>
      </c>
      <c r="I1753" s="2" t="s">
        <v>4625</v>
      </c>
      <c r="J1753" s="2" t="s">
        <v>256</v>
      </c>
      <c r="K1753" s="2" t="s">
        <v>8815</v>
      </c>
      <c r="L1753" s="3">
        <v>26.85</v>
      </c>
      <c r="M1753" s="3">
        <v>28.19</v>
      </c>
      <c r="N1753" s="3">
        <v>59.99</v>
      </c>
      <c r="O1753" s="2" t="s">
        <v>212</v>
      </c>
      <c r="P1753" s="2" t="s">
        <v>675</v>
      </c>
      <c r="Q1753" s="2" t="s">
        <v>206</v>
      </c>
      <c r="R1753" s="2" t="s">
        <v>200</v>
      </c>
      <c r="S1753" s="2" t="s">
        <v>200</v>
      </c>
      <c r="T1753" s="2" t="s">
        <v>312</v>
      </c>
      <c r="U1753" s="2" t="s">
        <v>270</v>
      </c>
      <c r="V1753" s="2" t="s">
        <v>208</v>
      </c>
      <c r="W1753" s="2" t="s">
        <v>910</v>
      </c>
      <c r="X1753" s="2" t="s">
        <v>200</v>
      </c>
      <c r="Y1753" s="2" t="s">
        <v>200</v>
      </c>
      <c r="Z1753" s="4"/>
      <c r="AA1753" s="4">
        <f>=ROUNDDOWN({0},0)</f>
      </c>
      <c r="AB1753" s="5"/>
      <c r="AC1753" s="2" t="s">
        <v>200</v>
      </c>
      <c r="AD1753" s="4"/>
      <c r="AE1753" s="4"/>
      <c r="AF1753" s="6"/>
      <c r="AG1753" s="6"/>
      <c r="AH1753" s="7"/>
      <c r="AI1753" s="4"/>
      <c r="AJ1753" s="4">
        <f>=ROUNDDOWN({0},0)</f>
      </c>
      <c r="AK1753" s="5"/>
      <c r="AL1753" s="2" t="s">
        <v>200</v>
      </c>
      <c r="AM1753" s="4"/>
      <c r="AN1753" s="4"/>
      <c r="AO1753" s="7"/>
      <c r="AP1753" s="4"/>
      <c r="AQ1753" s="8"/>
      <c r="AR1753" s="4"/>
      <c r="AS1753" s="8"/>
      <c r="AT1753" s="7"/>
      <c r="AU1753" s="7"/>
      <c r="AV1753" s="4" t="s">
        <v>200</v>
      </c>
      <c r="AW1753" s="8" t="s">
        <v>200</v>
      </c>
      <c r="AX1753" s="4" t="s">
        <v>200</v>
      </c>
      <c r="AY1753" s="8" t="s">
        <v>200</v>
      </c>
      <c r="AZ1753" s="7" t="s">
        <v>200</v>
      </c>
      <c r="BA1753" s="7" t="s">
        <v>200</v>
      </c>
      <c r="BB1753" s="7"/>
      <c r="BC1753" s="4" t="s">
        <v>200</v>
      </c>
      <c r="BD1753" s="8" t="s">
        <v>200</v>
      </c>
      <c r="BE1753" s="4" t="s">
        <v>200</v>
      </c>
      <c r="BF1753" s="8" t="s">
        <v>200</v>
      </c>
      <c r="BG1753" s="7" t="s">
        <v>200</v>
      </c>
      <c r="BH1753" s="7" t="s">
        <v>200</v>
      </c>
      <c r="BI1753" s="7"/>
      <c r="BJ1753" s="4"/>
      <c r="BK1753" s="8"/>
      <c r="BL1753" s="2" t="s">
        <v>200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210</v>
      </c>
      <c r="BV1753" s="2" t="s">
        <v>200</v>
      </c>
      <c r="BW1753" s="2" t="s">
        <v>200</v>
      </c>
      <c r="BX1753" s="2" t="s">
        <v>210</v>
      </c>
      <c r="BY1753" s="2" t="s">
        <v>211</v>
      </c>
      <c r="BZ1753" s="2" t="s">
        <v>212</v>
      </c>
      <c r="CA1753" s="2" t="s">
        <v>200</v>
      </c>
      <c r="CB1753" s="2" t="s">
        <v>200</v>
      </c>
      <c r="CC1753" s="2" t="s">
        <v>213</v>
      </c>
      <c r="CD1753" s="2" t="s">
        <v>200</v>
      </c>
      <c r="CE1753" s="4"/>
      <c r="CF1753" s="4"/>
      <c r="CG1753" s="4"/>
      <c r="CH1753" s="4"/>
      <c r="CI1753" s="4"/>
      <c r="CJ1753" s="4"/>
      <c r="CK1753" s="4"/>
      <c r="CL1753" s="4"/>
      <c r="CM1753" s="4"/>
      <c r="CN1753" s="4"/>
      <c r="CO1753" s="4"/>
      <c r="CP1753" s="4"/>
      <c r="CQ1753" s="4"/>
      <c r="CR1753" s="4"/>
      <c r="CS1753" s="4"/>
      <c r="CT1753" s="4"/>
      <c r="CU1753" s="4"/>
      <c r="CV1753" s="4"/>
      <c r="CW1753" s="4"/>
      <c r="CX1753" s="4"/>
      <c r="CY1753" s="4"/>
      <c r="CZ1753" s="4"/>
      <c r="DA1753" s="4"/>
      <c r="DB1753" s="4"/>
      <c r="DC1753" s="4"/>
      <c r="DD1753" s="4"/>
      <c r="DE1753" s="4"/>
      <c r="DF1753" s="4"/>
      <c r="DG1753" s="4"/>
      <c r="DH1753" s="4"/>
      <c r="DI1753" s="4"/>
      <c r="DJ1753" s="4"/>
      <c r="DK1753" s="4"/>
      <c r="DL1753" s="4"/>
      <c r="DM1753" s="4"/>
      <c r="DN1753" s="4"/>
      <c r="DO1753" s="4"/>
      <c r="DP1753" s="4"/>
      <c r="DQ1753" s="4"/>
      <c r="DR1753" s="4"/>
      <c r="DS1753" s="4"/>
      <c r="DT1753" s="4"/>
      <c r="DU1753" s="4"/>
      <c r="DV1753" s="4"/>
      <c r="DW1753" s="4"/>
      <c r="DX1753" s="4"/>
      <c r="DY1753" s="4"/>
      <c r="DZ1753" s="4"/>
      <c r="EA1753" s="4"/>
      <c r="EB1753" s="4"/>
      <c r="EC1753" s="4"/>
      <c r="ED1753" s="4"/>
      <c r="EE1753" s="4"/>
      <c r="EF1753" s="4"/>
      <c r="EG1753" s="4"/>
      <c r="EH1753" s="4"/>
      <c r="EI1753" s="4"/>
      <c r="EJ1753" s="4"/>
      <c r="EK1753" s="4"/>
      <c r="EL1753" s="4"/>
      <c r="EM1753" s="4"/>
      <c r="EN1753" s="4"/>
      <c r="EO1753" s="4"/>
      <c r="EP1753" s="4"/>
      <c r="EQ1753" s="4"/>
      <c r="ER1753" s="4"/>
      <c r="ES1753" s="4"/>
      <c r="ET1753" s="4"/>
      <c r="EU1753" s="4"/>
      <c r="EV1753" s="4"/>
      <c r="EW1753" s="4"/>
      <c r="EX1753" s="4"/>
      <c r="EY1753" s="4"/>
      <c r="EZ1753" s="4"/>
      <c r="FA1753" s="4"/>
      <c r="FB1753" s="4"/>
      <c r="FC1753" s="4"/>
      <c r="FD1753" s="4"/>
      <c r="FE1753" s="4"/>
      <c r="FF1753" s="4"/>
      <c r="FG1753" s="4"/>
      <c r="FH1753" s="4"/>
      <c r="FI1753" s="4"/>
      <c r="FJ1753" s="4"/>
      <c r="FK1753" s="4"/>
      <c r="FL1753" s="4"/>
      <c r="FM1753" s="4"/>
      <c r="FN1753" s="4"/>
      <c r="FO1753" s="4"/>
      <c r="FP1753" s="4"/>
      <c r="FQ1753" s="4"/>
      <c r="FR1753" s="4"/>
      <c r="FS1753" s="4"/>
      <c r="FT1753" s="4"/>
      <c r="FU1753" s="4"/>
      <c r="FV1753" s="4"/>
      <c r="FW1753" s="4"/>
      <c r="FX1753" s="4"/>
      <c r="FY1753" s="4"/>
      <c r="FZ1753" s="4"/>
      <c r="GA1753" s="4"/>
      <c r="GB1753" s="4"/>
      <c r="GC1753" s="4"/>
      <c r="GD1753" s="4"/>
      <c r="GE1753" s="4"/>
      <c r="GF1753" s="4"/>
      <c r="GG1753" s="4"/>
      <c r="GH1753" s="4"/>
    </row>
    <row r="1754">
      <c r="A1754" s="2" t="s">
        <v>8958</v>
      </c>
      <c r="B1754" s="2" t="s">
        <v>195</v>
      </c>
      <c r="C1754" s="2" t="s">
        <v>624</v>
      </c>
      <c r="D1754" s="2" t="s">
        <v>197</v>
      </c>
      <c r="E1754" s="2" t="s">
        <v>198</v>
      </c>
      <c r="F1754" s="2" t="s">
        <v>8957</v>
      </c>
      <c r="G1754" s="2" t="s">
        <v>8957</v>
      </c>
      <c r="H1754" s="2" t="s">
        <v>8957</v>
      </c>
      <c r="I1754" s="2" t="s">
        <v>4625</v>
      </c>
      <c r="J1754" s="2" t="s">
        <v>612</v>
      </c>
      <c r="K1754" s="2" t="s">
        <v>8815</v>
      </c>
      <c r="L1754" s="3">
        <v>33.33</v>
      </c>
      <c r="M1754" s="3">
        <v>35</v>
      </c>
      <c r="N1754" s="3">
        <v>69.99</v>
      </c>
      <c r="O1754" s="2" t="s">
        <v>212</v>
      </c>
      <c r="P1754" s="2" t="s">
        <v>675</v>
      </c>
      <c r="Q1754" s="2" t="s">
        <v>206</v>
      </c>
      <c r="R1754" s="2" t="s">
        <v>200</v>
      </c>
      <c r="S1754" s="2" t="s">
        <v>200</v>
      </c>
      <c r="T1754" s="2" t="s">
        <v>312</v>
      </c>
      <c r="U1754" s="2" t="s">
        <v>270</v>
      </c>
      <c r="V1754" s="2" t="s">
        <v>208</v>
      </c>
      <c r="W1754" s="2" t="s">
        <v>910</v>
      </c>
      <c r="X1754" s="2" t="s">
        <v>200</v>
      </c>
      <c r="Y1754" s="2" t="s">
        <v>200</v>
      </c>
      <c r="Z1754" s="4"/>
      <c r="AA1754" s="4">
        <f>=ROUNDDOWN({0},0)</f>
      </c>
      <c r="AB1754" s="5"/>
      <c r="AC1754" s="2" t="s">
        <v>200</v>
      </c>
      <c r="AD1754" s="4"/>
      <c r="AE1754" s="4"/>
      <c r="AF1754" s="6"/>
      <c r="AG1754" s="6"/>
      <c r="AH1754" s="7"/>
      <c r="AI1754" s="4"/>
      <c r="AJ1754" s="4">
        <f>=ROUNDDOWN({0},0)</f>
      </c>
      <c r="AK1754" s="5"/>
      <c r="AL1754" s="2" t="s">
        <v>200</v>
      </c>
      <c r="AM1754" s="4"/>
      <c r="AN1754" s="4"/>
      <c r="AO1754" s="7"/>
      <c r="AP1754" s="4"/>
      <c r="AQ1754" s="8"/>
      <c r="AR1754" s="4"/>
      <c r="AS1754" s="8"/>
      <c r="AT1754" s="7"/>
      <c r="AU1754" s="7"/>
      <c r="AV1754" s="4" t="s">
        <v>200</v>
      </c>
      <c r="AW1754" s="8" t="s">
        <v>200</v>
      </c>
      <c r="AX1754" s="4" t="s">
        <v>200</v>
      </c>
      <c r="AY1754" s="8" t="s">
        <v>200</v>
      </c>
      <c r="AZ1754" s="7" t="s">
        <v>200</v>
      </c>
      <c r="BA1754" s="7" t="s">
        <v>200</v>
      </c>
      <c r="BB1754" s="7"/>
      <c r="BC1754" s="4" t="s">
        <v>200</v>
      </c>
      <c r="BD1754" s="8" t="s">
        <v>200</v>
      </c>
      <c r="BE1754" s="4" t="s">
        <v>200</v>
      </c>
      <c r="BF1754" s="8" t="s">
        <v>200</v>
      </c>
      <c r="BG1754" s="7" t="s">
        <v>200</v>
      </c>
      <c r="BH1754" s="7" t="s">
        <v>200</v>
      </c>
      <c r="BI1754" s="7"/>
      <c r="BJ1754" s="4"/>
      <c r="BK1754" s="8"/>
      <c r="BL1754" s="2" t="s">
        <v>200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210</v>
      </c>
      <c r="BV1754" s="2" t="s">
        <v>200</v>
      </c>
      <c r="BW1754" s="2" t="s">
        <v>200</v>
      </c>
      <c r="BX1754" s="2" t="s">
        <v>210</v>
      </c>
      <c r="BY1754" s="2" t="s">
        <v>211</v>
      </c>
      <c r="BZ1754" s="2" t="s">
        <v>212</v>
      </c>
      <c r="CA1754" s="2" t="s">
        <v>200</v>
      </c>
      <c r="CB1754" s="2" t="s">
        <v>200</v>
      </c>
      <c r="CC1754" s="2" t="s">
        <v>213</v>
      </c>
      <c r="CD1754" s="2" t="s">
        <v>200</v>
      </c>
      <c r="CE1754" s="4"/>
      <c r="CF1754" s="4"/>
      <c r="CG1754" s="4"/>
      <c r="CH1754" s="4"/>
      <c r="CI1754" s="4"/>
      <c r="CJ1754" s="4"/>
      <c r="CK1754" s="4"/>
      <c r="CL1754" s="4"/>
      <c r="CM1754" s="4"/>
      <c r="CN1754" s="4"/>
      <c r="CO1754" s="4"/>
      <c r="CP1754" s="4"/>
      <c r="CQ1754" s="4"/>
      <c r="CR1754" s="4"/>
      <c r="CS1754" s="4"/>
      <c r="CT1754" s="4"/>
      <c r="CU1754" s="4"/>
      <c r="CV1754" s="4"/>
      <c r="CW1754" s="4"/>
      <c r="CX1754" s="4"/>
      <c r="CY1754" s="4"/>
      <c r="CZ1754" s="4"/>
      <c r="DA1754" s="4"/>
      <c r="DB1754" s="4"/>
      <c r="DC1754" s="4"/>
      <c r="DD1754" s="4"/>
      <c r="DE1754" s="4"/>
      <c r="DF1754" s="4"/>
      <c r="DG1754" s="4"/>
      <c r="DH1754" s="4"/>
      <c r="DI1754" s="4"/>
      <c r="DJ1754" s="4"/>
      <c r="DK1754" s="4"/>
      <c r="DL1754" s="4"/>
      <c r="DM1754" s="4"/>
      <c r="DN1754" s="4"/>
      <c r="DO1754" s="4"/>
      <c r="DP1754" s="4"/>
      <c r="DQ1754" s="4"/>
      <c r="DR1754" s="4"/>
      <c r="DS1754" s="4"/>
      <c r="DT1754" s="4"/>
      <c r="DU1754" s="4"/>
      <c r="DV1754" s="4"/>
      <c r="DW1754" s="4"/>
      <c r="DX1754" s="4"/>
      <c r="DY1754" s="4"/>
      <c r="DZ1754" s="4"/>
      <c r="EA1754" s="4"/>
      <c r="EB1754" s="4"/>
      <c r="EC1754" s="4"/>
      <c r="ED1754" s="4"/>
      <c r="EE1754" s="4"/>
      <c r="EF1754" s="4"/>
      <c r="EG1754" s="4"/>
      <c r="EH1754" s="4"/>
      <c r="EI1754" s="4"/>
      <c r="EJ1754" s="4"/>
      <c r="EK1754" s="4"/>
      <c r="EL1754" s="4"/>
      <c r="EM1754" s="4"/>
      <c r="EN1754" s="4"/>
      <c r="EO1754" s="4"/>
      <c r="EP1754" s="4"/>
      <c r="EQ1754" s="4"/>
      <c r="ER1754" s="4"/>
      <c r="ES1754" s="4"/>
      <c r="ET1754" s="4"/>
      <c r="EU1754" s="4"/>
      <c r="EV1754" s="4"/>
      <c r="EW1754" s="4"/>
      <c r="EX1754" s="4"/>
      <c r="EY1754" s="4"/>
      <c r="EZ1754" s="4"/>
      <c r="FA1754" s="4"/>
      <c r="FB1754" s="4"/>
      <c r="FC1754" s="4"/>
      <c r="FD1754" s="4"/>
      <c r="FE1754" s="4"/>
      <c r="FF1754" s="4"/>
      <c r="FG1754" s="4"/>
      <c r="FH1754" s="4"/>
      <c r="FI1754" s="4"/>
      <c r="FJ1754" s="4"/>
      <c r="FK1754" s="4"/>
      <c r="FL1754" s="4"/>
      <c r="FM1754" s="4"/>
      <c r="FN1754" s="4"/>
      <c r="FO1754" s="4"/>
      <c r="FP1754" s="4"/>
      <c r="FQ1754" s="4"/>
      <c r="FR1754" s="4"/>
      <c r="FS1754" s="4"/>
      <c r="FT1754" s="4"/>
      <c r="FU1754" s="4"/>
      <c r="FV1754" s="4"/>
      <c r="FW1754" s="4"/>
      <c r="FX1754" s="4"/>
      <c r="FY1754" s="4"/>
      <c r="FZ1754" s="4"/>
      <c r="GA1754" s="4"/>
      <c r="GB1754" s="4"/>
      <c r="GC1754" s="4"/>
      <c r="GD1754" s="4"/>
      <c r="GE1754" s="4"/>
      <c r="GF1754" s="4"/>
      <c r="GG1754" s="4"/>
      <c r="GH1754" s="4"/>
    </row>
    <row r="1755">
      <c r="A1755" s="2" t="s">
        <v>8959</v>
      </c>
      <c r="B1755" s="2" t="s">
        <v>195</v>
      </c>
      <c r="C1755" s="2" t="s">
        <v>624</v>
      </c>
      <c r="D1755" s="2" t="s">
        <v>197</v>
      </c>
      <c r="E1755" s="2" t="s">
        <v>198</v>
      </c>
      <c r="F1755" s="2" t="s">
        <v>8957</v>
      </c>
      <c r="G1755" s="2" t="s">
        <v>8957</v>
      </c>
      <c r="H1755" s="2" t="s">
        <v>8957</v>
      </c>
      <c r="I1755" s="2" t="s">
        <v>4625</v>
      </c>
      <c r="J1755" s="2" t="s">
        <v>302</v>
      </c>
      <c r="K1755" s="2" t="s">
        <v>8815</v>
      </c>
      <c r="L1755" s="3">
        <v>38.09</v>
      </c>
      <c r="M1755" s="3">
        <v>39.99</v>
      </c>
      <c r="N1755" s="3">
        <v>79.99</v>
      </c>
      <c r="O1755" s="2" t="s">
        <v>212</v>
      </c>
      <c r="P1755" s="2" t="s">
        <v>675</v>
      </c>
      <c r="Q1755" s="2" t="s">
        <v>206</v>
      </c>
      <c r="R1755" s="2" t="s">
        <v>200</v>
      </c>
      <c r="S1755" s="2" t="s">
        <v>200</v>
      </c>
      <c r="T1755" s="2" t="s">
        <v>312</v>
      </c>
      <c r="U1755" s="2" t="s">
        <v>270</v>
      </c>
      <c r="V1755" s="2" t="s">
        <v>208</v>
      </c>
      <c r="W1755" s="2" t="s">
        <v>910</v>
      </c>
      <c r="X1755" s="2" t="s">
        <v>200</v>
      </c>
      <c r="Y1755" s="2" t="s">
        <v>200</v>
      </c>
      <c r="Z1755" s="4"/>
      <c r="AA1755" s="4">
        <f>=ROUNDDOWN({0},0)</f>
      </c>
      <c r="AB1755" s="5"/>
      <c r="AC1755" s="2" t="s">
        <v>200</v>
      </c>
      <c r="AD1755" s="4"/>
      <c r="AE1755" s="4"/>
      <c r="AF1755" s="6"/>
      <c r="AG1755" s="6"/>
      <c r="AH1755" s="7"/>
      <c r="AI1755" s="4"/>
      <c r="AJ1755" s="4">
        <f>=ROUNDDOWN({0},0)</f>
      </c>
      <c r="AK1755" s="5"/>
      <c r="AL1755" s="2" t="s">
        <v>200</v>
      </c>
      <c r="AM1755" s="4"/>
      <c r="AN1755" s="4"/>
      <c r="AO1755" s="7"/>
      <c r="AP1755" s="4"/>
      <c r="AQ1755" s="8"/>
      <c r="AR1755" s="4"/>
      <c r="AS1755" s="8"/>
      <c r="AT1755" s="7"/>
      <c r="AU1755" s="7"/>
      <c r="AV1755" s="4" t="s">
        <v>200</v>
      </c>
      <c r="AW1755" s="8" t="s">
        <v>200</v>
      </c>
      <c r="AX1755" s="4" t="s">
        <v>200</v>
      </c>
      <c r="AY1755" s="8" t="s">
        <v>200</v>
      </c>
      <c r="AZ1755" s="7" t="s">
        <v>200</v>
      </c>
      <c r="BA1755" s="7" t="s">
        <v>200</v>
      </c>
      <c r="BB1755" s="7"/>
      <c r="BC1755" s="4" t="s">
        <v>200</v>
      </c>
      <c r="BD1755" s="8" t="s">
        <v>200</v>
      </c>
      <c r="BE1755" s="4" t="s">
        <v>200</v>
      </c>
      <c r="BF1755" s="8" t="s">
        <v>200</v>
      </c>
      <c r="BG1755" s="7" t="s">
        <v>200</v>
      </c>
      <c r="BH1755" s="7" t="s">
        <v>200</v>
      </c>
      <c r="BI1755" s="7"/>
      <c r="BJ1755" s="4"/>
      <c r="BK1755" s="8"/>
      <c r="BL1755" s="2" t="s">
        <v>200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210</v>
      </c>
      <c r="BV1755" s="2" t="s">
        <v>200</v>
      </c>
      <c r="BW1755" s="2" t="s">
        <v>200</v>
      </c>
      <c r="BX1755" s="2" t="s">
        <v>210</v>
      </c>
      <c r="BY1755" s="2" t="s">
        <v>211</v>
      </c>
      <c r="BZ1755" s="2" t="s">
        <v>212</v>
      </c>
      <c r="CA1755" s="2" t="s">
        <v>200</v>
      </c>
      <c r="CB1755" s="2" t="s">
        <v>200</v>
      </c>
      <c r="CC1755" s="2" t="s">
        <v>213</v>
      </c>
      <c r="CD1755" s="2" t="s">
        <v>200</v>
      </c>
      <c r="CE1755" s="4"/>
      <c r="CF1755" s="4"/>
      <c r="CG1755" s="4"/>
      <c r="CH1755" s="4"/>
      <c r="CI1755" s="4"/>
      <c r="CJ1755" s="4"/>
      <c r="CK1755" s="4"/>
      <c r="CL1755" s="4"/>
      <c r="CM1755" s="4"/>
      <c r="CN1755" s="4"/>
      <c r="CO1755" s="4"/>
      <c r="CP1755" s="4"/>
      <c r="CQ1755" s="4"/>
      <c r="CR1755" s="4"/>
      <c r="CS1755" s="4"/>
      <c r="CT1755" s="4"/>
      <c r="CU1755" s="4"/>
      <c r="CV1755" s="4"/>
      <c r="CW1755" s="4"/>
      <c r="CX1755" s="4"/>
      <c r="CY1755" s="4"/>
      <c r="CZ1755" s="4"/>
      <c r="DA1755" s="4"/>
      <c r="DB1755" s="4"/>
      <c r="DC1755" s="4"/>
      <c r="DD1755" s="4"/>
      <c r="DE1755" s="4"/>
      <c r="DF1755" s="4"/>
      <c r="DG1755" s="4"/>
      <c r="DH1755" s="4"/>
      <c r="DI1755" s="4"/>
      <c r="DJ1755" s="4"/>
      <c r="DK1755" s="4"/>
      <c r="DL1755" s="4"/>
      <c r="DM1755" s="4"/>
      <c r="DN1755" s="4"/>
      <c r="DO1755" s="4"/>
      <c r="DP1755" s="4"/>
      <c r="DQ1755" s="4"/>
      <c r="DR1755" s="4"/>
      <c r="DS1755" s="4"/>
      <c r="DT1755" s="4"/>
      <c r="DU1755" s="4"/>
      <c r="DV1755" s="4"/>
      <c r="DW1755" s="4"/>
      <c r="DX1755" s="4"/>
      <c r="DY1755" s="4"/>
      <c r="DZ1755" s="4"/>
      <c r="EA1755" s="4"/>
      <c r="EB1755" s="4"/>
      <c r="EC1755" s="4"/>
      <c r="ED1755" s="4"/>
      <c r="EE1755" s="4"/>
      <c r="EF1755" s="4"/>
      <c r="EG1755" s="4"/>
      <c r="EH1755" s="4"/>
      <c r="EI1755" s="4"/>
      <c r="EJ1755" s="4"/>
      <c r="EK1755" s="4"/>
      <c r="EL1755" s="4"/>
      <c r="EM1755" s="4"/>
      <c r="EN1755" s="4"/>
      <c r="EO1755" s="4"/>
      <c r="EP1755" s="4"/>
      <c r="EQ1755" s="4"/>
      <c r="ER1755" s="4"/>
      <c r="ES1755" s="4"/>
      <c r="ET1755" s="4"/>
      <c r="EU1755" s="4"/>
      <c r="EV1755" s="4"/>
      <c r="EW1755" s="4"/>
      <c r="EX1755" s="4"/>
      <c r="EY1755" s="4"/>
      <c r="EZ1755" s="4"/>
      <c r="FA1755" s="4"/>
      <c r="FB1755" s="4"/>
      <c r="FC1755" s="4"/>
      <c r="FD1755" s="4"/>
      <c r="FE1755" s="4"/>
      <c r="FF1755" s="4"/>
      <c r="FG1755" s="4"/>
      <c r="FH1755" s="4"/>
      <c r="FI1755" s="4"/>
      <c r="FJ1755" s="4"/>
      <c r="FK1755" s="4"/>
      <c r="FL1755" s="4"/>
      <c r="FM1755" s="4"/>
      <c r="FN1755" s="4"/>
      <c r="FO1755" s="4"/>
      <c r="FP1755" s="4"/>
      <c r="FQ1755" s="4"/>
      <c r="FR1755" s="4"/>
      <c r="FS1755" s="4"/>
      <c r="FT1755" s="4"/>
      <c r="FU1755" s="4"/>
      <c r="FV1755" s="4"/>
      <c r="FW1755" s="4"/>
      <c r="FX1755" s="4"/>
      <c r="FY1755" s="4"/>
      <c r="FZ1755" s="4"/>
      <c r="GA1755" s="4"/>
      <c r="GB1755" s="4"/>
      <c r="GC1755" s="4"/>
      <c r="GD1755" s="4"/>
      <c r="GE1755" s="4"/>
      <c r="GF1755" s="4"/>
      <c r="GG1755" s="4"/>
      <c r="GH1755" s="4"/>
    </row>
    <row r="1756">
      <c r="A1756" s="2" t="s">
        <v>8960</v>
      </c>
      <c r="B1756" s="2" t="s">
        <v>195</v>
      </c>
      <c r="C1756" s="2" t="s">
        <v>624</v>
      </c>
      <c r="D1756" s="2" t="s">
        <v>197</v>
      </c>
      <c r="E1756" s="2" t="s">
        <v>198</v>
      </c>
      <c r="F1756" s="2" t="s">
        <v>8957</v>
      </c>
      <c r="G1756" s="2" t="s">
        <v>8957</v>
      </c>
      <c r="H1756" s="2" t="s">
        <v>8957</v>
      </c>
      <c r="I1756" s="2" t="s">
        <v>4625</v>
      </c>
      <c r="J1756" s="2" t="s">
        <v>256</v>
      </c>
      <c r="K1756" s="2" t="s">
        <v>7023</v>
      </c>
      <c r="L1756" s="3">
        <v>26.85</v>
      </c>
      <c r="M1756" s="3">
        <v>28.19</v>
      </c>
      <c r="N1756" s="3">
        <v>59.99</v>
      </c>
      <c r="O1756" s="2" t="s">
        <v>212</v>
      </c>
      <c r="P1756" s="2" t="s">
        <v>675</v>
      </c>
      <c r="Q1756" s="2" t="s">
        <v>206</v>
      </c>
      <c r="R1756" s="2" t="s">
        <v>200</v>
      </c>
      <c r="S1756" s="2" t="s">
        <v>200</v>
      </c>
      <c r="T1756" s="2" t="s">
        <v>312</v>
      </c>
      <c r="U1756" s="2" t="s">
        <v>270</v>
      </c>
      <c r="V1756" s="2" t="s">
        <v>208</v>
      </c>
      <c r="W1756" s="2" t="s">
        <v>910</v>
      </c>
      <c r="X1756" s="2" t="s">
        <v>200</v>
      </c>
      <c r="Y1756" s="2" t="s">
        <v>200</v>
      </c>
      <c r="Z1756" s="4"/>
      <c r="AA1756" s="4">
        <f>=ROUNDDOWN({0},0)</f>
      </c>
      <c r="AB1756" s="5"/>
      <c r="AC1756" s="2" t="s">
        <v>200</v>
      </c>
      <c r="AD1756" s="4"/>
      <c r="AE1756" s="4"/>
      <c r="AF1756" s="6"/>
      <c r="AG1756" s="6"/>
      <c r="AH1756" s="7"/>
      <c r="AI1756" s="4"/>
      <c r="AJ1756" s="4">
        <f>=ROUNDDOWN({0},0)</f>
      </c>
      <c r="AK1756" s="5"/>
      <c r="AL1756" s="2" t="s">
        <v>200</v>
      </c>
      <c r="AM1756" s="4"/>
      <c r="AN1756" s="4"/>
      <c r="AO1756" s="7"/>
      <c r="AP1756" s="4"/>
      <c r="AQ1756" s="8"/>
      <c r="AR1756" s="4"/>
      <c r="AS1756" s="8"/>
      <c r="AT1756" s="7"/>
      <c r="AU1756" s="7"/>
      <c r="AV1756" s="4" t="s">
        <v>200</v>
      </c>
      <c r="AW1756" s="8" t="s">
        <v>200</v>
      </c>
      <c r="AX1756" s="4" t="s">
        <v>200</v>
      </c>
      <c r="AY1756" s="8" t="s">
        <v>200</v>
      </c>
      <c r="AZ1756" s="7" t="s">
        <v>200</v>
      </c>
      <c r="BA1756" s="7" t="s">
        <v>200</v>
      </c>
      <c r="BB1756" s="7"/>
      <c r="BC1756" s="4" t="s">
        <v>200</v>
      </c>
      <c r="BD1756" s="8" t="s">
        <v>200</v>
      </c>
      <c r="BE1756" s="4" t="s">
        <v>200</v>
      </c>
      <c r="BF1756" s="8" t="s">
        <v>200</v>
      </c>
      <c r="BG1756" s="7" t="s">
        <v>200</v>
      </c>
      <c r="BH1756" s="7" t="s">
        <v>200</v>
      </c>
      <c r="BI1756" s="7"/>
      <c r="BJ1756" s="4"/>
      <c r="BK1756" s="8"/>
      <c r="BL1756" s="2" t="s">
        <v>200</v>
      </c>
      <c r="BM1756" s="7"/>
      <c r="BN1756" s="7"/>
      <c r="BO1756" s="4"/>
      <c r="BP1756" s="8"/>
      <c r="BQ1756" s="4"/>
      <c r="BR1756" s="8"/>
      <c r="BS1756" s="7"/>
      <c r="BT1756" s="7"/>
      <c r="BU1756" s="2" t="s">
        <v>210</v>
      </c>
      <c r="BV1756" s="2" t="s">
        <v>200</v>
      </c>
      <c r="BW1756" s="2" t="s">
        <v>200</v>
      </c>
      <c r="BX1756" s="2" t="s">
        <v>210</v>
      </c>
      <c r="BY1756" s="2" t="s">
        <v>211</v>
      </c>
      <c r="BZ1756" s="2" t="s">
        <v>212</v>
      </c>
      <c r="CA1756" s="2" t="s">
        <v>200</v>
      </c>
      <c r="CB1756" s="2" t="s">
        <v>200</v>
      </c>
      <c r="CC1756" s="2" t="s">
        <v>213</v>
      </c>
      <c r="CD1756" s="2" t="s">
        <v>200</v>
      </c>
      <c r="CE1756" s="4"/>
      <c r="CF1756" s="4"/>
      <c r="CG1756" s="4"/>
      <c r="CH1756" s="4"/>
      <c r="CI1756" s="4"/>
      <c r="CJ1756" s="4"/>
      <c r="CK1756" s="4"/>
      <c r="CL1756" s="4"/>
      <c r="CM1756" s="4"/>
      <c r="CN1756" s="4"/>
      <c r="CO1756" s="4"/>
      <c r="CP1756" s="4"/>
      <c r="CQ1756" s="4"/>
      <c r="CR1756" s="4"/>
      <c r="CS1756" s="4"/>
      <c r="CT1756" s="4"/>
      <c r="CU1756" s="4"/>
      <c r="CV1756" s="4"/>
      <c r="CW1756" s="4"/>
      <c r="CX1756" s="4"/>
      <c r="CY1756" s="4"/>
      <c r="CZ1756" s="4"/>
      <c r="DA1756" s="4"/>
      <c r="DB1756" s="4"/>
      <c r="DC1756" s="4"/>
      <c r="DD1756" s="4"/>
      <c r="DE1756" s="4"/>
      <c r="DF1756" s="4"/>
      <c r="DG1756" s="4"/>
      <c r="DH1756" s="4"/>
      <c r="DI1756" s="4"/>
      <c r="DJ1756" s="4"/>
      <c r="DK1756" s="4"/>
      <c r="DL1756" s="4"/>
      <c r="DM1756" s="4"/>
      <c r="DN1756" s="4"/>
      <c r="DO1756" s="4"/>
      <c r="DP1756" s="4"/>
      <c r="DQ1756" s="4"/>
      <c r="DR1756" s="4"/>
      <c r="DS1756" s="4"/>
      <c r="DT1756" s="4"/>
      <c r="DU1756" s="4"/>
      <c r="DV1756" s="4"/>
      <c r="DW1756" s="4"/>
      <c r="DX1756" s="4"/>
      <c r="DY1756" s="4"/>
      <c r="DZ1756" s="4"/>
      <c r="EA1756" s="4"/>
      <c r="EB1756" s="4"/>
      <c r="EC1756" s="4"/>
      <c r="ED1756" s="4"/>
      <c r="EE1756" s="4"/>
      <c r="EF1756" s="4"/>
      <c r="EG1756" s="4"/>
      <c r="EH1756" s="4"/>
      <c r="EI1756" s="4"/>
      <c r="EJ1756" s="4"/>
      <c r="EK1756" s="4"/>
      <c r="EL1756" s="4"/>
      <c r="EM1756" s="4"/>
      <c r="EN1756" s="4"/>
      <c r="EO1756" s="4"/>
      <c r="EP1756" s="4"/>
      <c r="EQ1756" s="4"/>
      <c r="ER1756" s="4"/>
      <c r="ES1756" s="4"/>
      <c r="ET1756" s="4"/>
      <c r="EU1756" s="4"/>
      <c r="EV1756" s="4"/>
      <c r="EW1756" s="4"/>
      <c r="EX1756" s="4"/>
      <c r="EY1756" s="4"/>
      <c r="EZ1756" s="4"/>
      <c r="FA1756" s="4"/>
      <c r="FB1756" s="4"/>
      <c r="FC1756" s="4"/>
      <c r="FD1756" s="4"/>
      <c r="FE1756" s="4"/>
      <c r="FF1756" s="4"/>
      <c r="FG1756" s="4"/>
      <c r="FH1756" s="4"/>
      <c r="FI1756" s="4"/>
      <c r="FJ1756" s="4"/>
      <c r="FK1756" s="4"/>
      <c r="FL1756" s="4"/>
      <c r="FM1756" s="4"/>
      <c r="FN1756" s="4"/>
      <c r="FO1756" s="4"/>
      <c r="FP1756" s="4"/>
      <c r="FQ1756" s="4"/>
      <c r="FR1756" s="4"/>
      <c r="FS1756" s="4"/>
      <c r="FT1756" s="4"/>
      <c r="FU1756" s="4"/>
      <c r="FV1756" s="4"/>
      <c r="FW1756" s="4"/>
      <c r="FX1756" s="4"/>
      <c r="FY1756" s="4"/>
      <c r="FZ1756" s="4"/>
      <c r="GA1756" s="4"/>
      <c r="GB1756" s="4"/>
      <c r="GC1756" s="4"/>
      <c r="GD1756" s="4"/>
      <c r="GE1756" s="4"/>
      <c r="GF1756" s="4"/>
      <c r="GG1756" s="4"/>
      <c r="GH1756" s="4"/>
    </row>
    <row r="1757">
      <c r="A1757" s="2" t="s">
        <v>8961</v>
      </c>
      <c r="B1757" s="2" t="s">
        <v>195</v>
      </c>
      <c r="C1757" s="2" t="s">
        <v>624</v>
      </c>
      <c r="D1757" s="2" t="s">
        <v>197</v>
      </c>
      <c r="E1757" s="2" t="s">
        <v>198</v>
      </c>
      <c r="F1757" s="2" t="s">
        <v>8957</v>
      </c>
      <c r="G1757" s="2" t="s">
        <v>8957</v>
      </c>
      <c r="H1757" s="2" t="s">
        <v>8957</v>
      </c>
      <c r="I1757" s="2" t="s">
        <v>4625</v>
      </c>
      <c r="J1757" s="2" t="s">
        <v>612</v>
      </c>
      <c r="K1757" s="2" t="s">
        <v>7023</v>
      </c>
      <c r="L1757" s="3">
        <v>33.33</v>
      </c>
      <c r="M1757" s="3">
        <v>35</v>
      </c>
      <c r="N1757" s="3">
        <v>69.99</v>
      </c>
      <c r="O1757" s="2" t="s">
        <v>212</v>
      </c>
      <c r="P1757" s="2" t="s">
        <v>675</v>
      </c>
      <c r="Q1757" s="2" t="s">
        <v>206</v>
      </c>
      <c r="R1757" s="2" t="s">
        <v>200</v>
      </c>
      <c r="S1757" s="2" t="s">
        <v>200</v>
      </c>
      <c r="T1757" s="2" t="s">
        <v>312</v>
      </c>
      <c r="U1757" s="2" t="s">
        <v>270</v>
      </c>
      <c r="V1757" s="2" t="s">
        <v>208</v>
      </c>
      <c r="W1757" s="2" t="s">
        <v>910</v>
      </c>
      <c r="X1757" s="2" t="s">
        <v>200</v>
      </c>
      <c r="Y1757" s="2" t="s">
        <v>200</v>
      </c>
      <c r="Z1757" s="4"/>
      <c r="AA1757" s="4">
        <f>=ROUNDDOWN({0},0)</f>
      </c>
      <c r="AB1757" s="5"/>
      <c r="AC1757" s="2" t="s">
        <v>200</v>
      </c>
      <c r="AD1757" s="4"/>
      <c r="AE1757" s="4"/>
      <c r="AF1757" s="6"/>
      <c r="AG1757" s="6"/>
      <c r="AH1757" s="7"/>
      <c r="AI1757" s="4"/>
      <c r="AJ1757" s="4">
        <f>=ROUNDDOWN({0},0)</f>
      </c>
      <c r="AK1757" s="5"/>
      <c r="AL1757" s="2" t="s">
        <v>200</v>
      </c>
      <c r="AM1757" s="4"/>
      <c r="AN1757" s="4"/>
      <c r="AO1757" s="7"/>
      <c r="AP1757" s="4"/>
      <c r="AQ1757" s="8"/>
      <c r="AR1757" s="4"/>
      <c r="AS1757" s="8"/>
      <c r="AT1757" s="7"/>
      <c r="AU1757" s="7"/>
      <c r="AV1757" s="4" t="s">
        <v>200</v>
      </c>
      <c r="AW1757" s="8" t="s">
        <v>200</v>
      </c>
      <c r="AX1757" s="4" t="s">
        <v>200</v>
      </c>
      <c r="AY1757" s="8" t="s">
        <v>200</v>
      </c>
      <c r="AZ1757" s="7" t="s">
        <v>200</v>
      </c>
      <c r="BA1757" s="7" t="s">
        <v>200</v>
      </c>
      <c r="BB1757" s="7"/>
      <c r="BC1757" s="4" t="s">
        <v>200</v>
      </c>
      <c r="BD1757" s="8" t="s">
        <v>200</v>
      </c>
      <c r="BE1757" s="4" t="s">
        <v>200</v>
      </c>
      <c r="BF1757" s="8" t="s">
        <v>200</v>
      </c>
      <c r="BG1757" s="7" t="s">
        <v>200</v>
      </c>
      <c r="BH1757" s="7" t="s">
        <v>200</v>
      </c>
      <c r="BI1757" s="7"/>
      <c r="BJ1757" s="4"/>
      <c r="BK1757" s="8"/>
      <c r="BL1757" s="2" t="s">
        <v>200</v>
      </c>
      <c r="BM1757" s="7"/>
      <c r="BN1757" s="7"/>
      <c r="BO1757" s="4"/>
      <c r="BP1757" s="8"/>
      <c r="BQ1757" s="4"/>
      <c r="BR1757" s="8"/>
      <c r="BS1757" s="7"/>
      <c r="BT1757" s="7"/>
      <c r="BU1757" s="2" t="s">
        <v>210</v>
      </c>
      <c r="BV1757" s="2" t="s">
        <v>200</v>
      </c>
      <c r="BW1757" s="2" t="s">
        <v>200</v>
      </c>
      <c r="BX1757" s="2" t="s">
        <v>210</v>
      </c>
      <c r="BY1757" s="2" t="s">
        <v>211</v>
      </c>
      <c r="BZ1757" s="2" t="s">
        <v>212</v>
      </c>
      <c r="CA1757" s="2" t="s">
        <v>200</v>
      </c>
      <c r="CB1757" s="2" t="s">
        <v>200</v>
      </c>
      <c r="CC1757" s="2" t="s">
        <v>213</v>
      </c>
      <c r="CD1757" s="2" t="s">
        <v>200</v>
      </c>
      <c r="CE1757" s="4"/>
      <c r="CF1757" s="4"/>
      <c r="CG1757" s="4"/>
      <c r="CH1757" s="4"/>
      <c r="CI1757" s="4"/>
      <c r="CJ1757" s="4"/>
      <c r="CK1757" s="4"/>
      <c r="CL1757" s="4"/>
      <c r="CM1757" s="4"/>
      <c r="CN1757" s="4"/>
      <c r="CO1757" s="4"/>
      <c r="CP1757" s="4"/>
      <c r="CQ1757" s="4"/>
      <c r="CR1757" s="4"/>
      <c r="CS1757" s="4"/>
      <c r="CT1757" s="4"/>
      <c r="CU1757" s="4"/>
      <c r="CV1757" s="4"/>
      <c r="CW1757" s="4"/>
      <c r="CX1757" s="4"/>
      <c r="CY1757" s="4"/>
      <c r="CZ1757" s="4"/>
      <c r="DA1757" s="4"/>
      <c r="DB1757" s="4"/>
      <c r="DC1757" s="4"/>
      <c r="DD1757" s="4"/>
      <c r="DE1757" s="4"/>
      <c r="DF1757" s="4"/>
      <c r="DG1757" s="4"/>
      <c r="DH1757" s="4"/>
      <c r="DI1757" s="4"/>
      <c r="DJ1757" s="4"/>
      <c r="DK1757" s="4"/>
      <c r="DL1757" s="4"/>
      <c r="DM1757" s="4"/>
      <c r="DN1757" s="4"/>
      <c r="DO1757" s="4"/>
      <c r="DP1757" s="4"/>
      <c r="DQ1757" s="4"/>
      <c r="DR1757" s="4"/>
      <c r="DS1757" s="4"/>
      <c r="DT1757" s="4"/>
      <c r="DU1757" s="4"/>
      <c r="DV1757" s="4"/>
      <c r="DW1757" s="4"/>
      <c r="DX1757" s="4"/>
      <c r="DY1757" s="4"/>
      <c r="DZ1757" s="4"/>
      <c r="EA1757" s="4"/>
      <c r="EB1757" s="4"/>
      <c r="EC1757" s="4"/>
      <c r="ED1757" s="4"/>
      <c r="EE1757" s="4"/>
      <c r="EF1757" s="4"/>
      <c r="EG1757" s="4"/>
      <c r="EH1757" s="4"/>
      <c r="EI1757" s="4"/>
      <c r="EJ1757" s="4"/>
      <c r="EK1757" s="4"/>
      <c r="EL1757" s="4"/>
      <c r="EM1757" s="4"/>
      <c r="EN1757" s="4"/>
      <c r="EO1757" s="4"/>
      <c r="EP1757" s="4"/>
      <c r="EQ1757" s="4"/>
      <c r="ER1757" s="4"/>
      <c r="ES1757" s="4"/>
      <c r="ET1757" s="4"/>
      <c r="EU1757" s="4"/>
      <c r="EV1757" s="4"/>
      <c r="EW1757" s="4"/>
      <c r="EX1757" s="4"/>
      <c r="EY1757" s="4"/>
      <c r="EZ1757" s="4"/>
      <c r="FA1757" s="4"/>
      <c r="FB1757" s="4"/>
      <c r="FC1757" s="4"/>
      <c r="FD1757" s="4"/>
      <c r="FE1757" s="4"/>
      <c r="FF1757" s="4"/>
      <c r="FG1757" s="4"/>
      <c r="FH1757" s="4"/>
      <c r="FI1757" s="4"/>
      <c r="FJ1757" s="4"/>
      <c r="FK1757" s="4"/>
      <c r="FL1757" s="4"/>
      <c r="FM1757" s="4"/>
      <c r="FN1757" s="4"/>
      <c r="FO1757" s="4"/>
      <c r="FP1757" s="4"/>
      <c r="FQ1757" s="4"/>
      <c r="FR1757" s="4"/>
      <c r="FS1757" s="4"/>
      <c r="FT1757" s="4"/>
      <c r="FU1757" s="4"/>
      <c r="FV1757" s="4"/>
      <c r="FW1757" s="4"/>
      <c r="FX1757" s="4"/>
      <c r="FY1757" s="4"/>
      <c r="FZ1757" s="4"/>
      <c r="GA1757" s="4"/>
      <c r="GB1757" s="4"/>
      <c r="GC1757" s="4"/>
      <c r="GD1757" s="4"/>
      <c r="GE1757" s="4"/>
      <c r="GF1757" s="4"/>
      <c r="GG1757" s="4"/>
      <c r="GH1757" s="4"/>
    </row>
    <row r="1758">
      <c r="A1758" s="2" t="s">
        <v>8962</v>
      </c>
      <c r="B1758" s="2" t="s">
        <v>195</v>
      </c>
      <c r="C1758" s="2" t="s">
        <v>624</v>
      </c>
      <c r="D1758" s="2" t="s">
        <v>197</v>
      </c>
      <c r="E1758" s="2" t="s">
        <v>198</v>
      </c>
      <c r="F1758" s="2" t="s">
        <v>8957</v>
      </c>
      <c r="G1758" s="2" t="s">
        <v>8957</v>
      </c>
      <c r="H1758" s="2" t="s">
        <v>8957</v>
      </c>
      <c r="I1758" s="2" t="s">
        <v>4625</v>
      </c>
      <c r="J1758" s="2" t="s">
        <v>302</v>
      </c>
      <c r="K1758" s="2" t="s">
        <v>7023</v>
      </c>
      <c r="L1758" s="3">
        <v>38.09</v>
      </c>
      <c r="M1758" s="3">
        <v>39.99</v>
      </c>
      <c r="N1758" s="3">
        <v>79.99</v>
      </c>
      <c r="O1758" s="2" t="s">
        <v>212</v>
      </c>
      <c r="P1758" s="2" t="s">
        <v>675</v>
      </c>
      <c r="Q1758" s="2" t="s">
        <v>206</v>
      </c>
      <c r="R1758" s="2" t="s">
        <v>200</v>
      </c>
      <c r="S1758" s="2" t="s">
        <v>200</v>
      </c>
      <c r="T1758" s="2" t="s">
        <v>312</v>
      </c>
      <c r="U1758" s="2" t="s">
        <v>270</v>
      </c>
      <c r="V1758" s="2" t="s">
        <v>208</v>
      </c>
      <c r="W1758" s="2" t="s">
        <v>910</v>
      </c>
      <c r="X1758" s="2" t="s">
        <v>200</v>
      </c>
      <c r="Y1758" s="2" t="s">
        <v>200</v>
      </c>
      <c r="Z1758" s="4"/>
      <c r="AA1758" s="4">
        <f>=ROUNDDOWN({0},0)</f>
      </c>
      <c r="AB1758" s="5"/>
      <c r="AC1758" s="2" t="s">
        <v>200</v>
      </c>
      <c r="AD1758" s="4"/>
      <c r="AE1758" s="4"/>
      <c r="AF1758" s="6"/>
      <c r="AG1758" s="6"/>
      <c r="AH1758" s="7"/>
      <c r="AI1758" s="4"/>
      <c r="AJ1758" s="4">
        <f>=ROUNDDOWN({0},0)</f>
      </c>
      <c r="AK1758" s="5"/>
      <c r="AL1758" s="2" t="s">
        <v>200</v>
      </c>
      <c r="AM1758" s="4"/>
      <c r="AN1758" s="4"/>
      <c r="AO1758" s="7"/>
      <c r="AP1758" s="4"/>
      <c r="AQ1758" s="8"/>
      <c r="AR1758" s="4"/>
      <c r="AS1758" s="8"/>
      <c r="AT1758" s="7"/>
      <c r="AU1758" s="7"/>
      <c r="AV1758" s="4" t="s">
        <v>200</v>
      </c>
      <c r="AW1758" s="8" t="s">
        <v>200</v>
      </c>
      <c r="AX1758" s="4" t="s">
        <v>200</v>
      </c>
      <c r="AY1758" s="8" t="s">
        <v>200</v>
      </c>
      <c r="AZ1758" s="7" t="s">
        <v>200</v>
      </c>
      <c r="BA1758" s="7" t="s">
        <v>200</v>
      </c>
      <c r="BB1758" s="7"/>
      <c r="BC1758" s="4" t="s">
        <v>200</v>
      </c>
      <c r="BD1758" s="8" t="s">
        <v>200</v>
      </c>
      <c r="BE1758" s="4" t="s">
        <v>200</v>
      </c>
      <c r="BF1758" s="8" t="s">
        <v>200</v>
      </c>
      <c r="BG1758" s="7" t="s">
        <v>200</v>
      </c>
      <c r="BH1758" s="7" t="s">
        <v>200</v>
      </c>
      <c r="BI1758" s="7"/>
      <c r="BJ1758" s="4"/>
      <c r="BK1758" s="8"/>
      <c r="BL1758" s="2" t="s">
        <v>200</v>
      </c>
      <c r="BM1758" s="7"/>
      <c r="BN1758" s="7"/>
      <c r="BO1758" s="4"/>
      <c r="BP1758" s="8"/>
      <c r="BQ1758" s="4"/>
      <c r="BR1758" s="8"/>
      <c r="BS1758" s="7"/>
      <c r="BT1758" s="7"/>
      <c r="BU1758" s="2" t="s">
        <v>210</v>
      </c>
      <c r="BV1758" s="2" t="s">
        <v>200</v>
      </c>
      <c r="BW1758" s="2" t="s">
        <v>200</v>
      </c>
      <c r="BX1758" s="2" t="s">
        <v>210</v>
      </c>
      <c r="BY1758" s="2" t="s">
        <v>211</v>
      </c>
      <c r="BZ1758" s="2" t="s">
        <v>212</v>
      </c>
      <c r="CA1758" s="2" t="s">
        <v>200</v>
      </c>
      <c r="CB1758" s="2" t="s">
        <v>200</v>
      </c>
      <c r="CC1758" s="2" t="s">
        <v>213</v>
      </c>
      <c r="CD1758" s="2" t="s">
        <v>200</v>
      </c>
      <c r="CE1758" s="4"/>
      <c r="CF1758" s="4"/>
      <c r="CG1758" s="4"/>
      <c r="CH1758" s="4"/>
      <c r="CI1758" s="4"/>
      <c r="CJ1758" s="4"/>
      <c r="CK1758" s="4"/>
      <c r="CL1758" s="4"/>
      <c r="CM1758" s="4"/>
      <c r="CN1758" s="4"/>
      <c r="CO1758" s="4"/>
      <c r="CP1758" s="4"/>
      <c r="CQ1758" s="4"/>
      <c r="CR1758" s="4"/>
      <c r="CS1758" s="4"/>
      <c r="CT1758" s="4"/>
      <c r="CU1758" s="4"/>
      <c r="CV1758" s="4"/>
      <c r="CW1758" s="4"/>
      <c r="CX1758" s="4"/>
      <c r="CY1758" s="4"/>
      <c r="CZ1758" s="4"/>
      <c r="DA1758" s="4"/>
      <c r="DB1758" s="4"/>
      <c r="DC1758" s="4"/>
      <c r="DD1758" s="4"/>
      <c r="DE1758" s="4"/>
      <c r="DF1758" s="4"/>
      <c r="DG1758" s="4"/>
      <c r="DH1758" s="4"/>
      <c r="DI1758" s="4"/>
      <c r="DJ1758" s="4"/>
      <c r="DK1758" s="4"/>
      <c r="DL1758" s="4"/>
      <c r="DM1758" s="4"/>
      <c r="DN1758" s="4"/>
      <c r="DO1758" s="4"/>
      <c r="DP1758" s="4"/>
      <c r="DQ1758" s="4"/>
      <c r="DR1758" s="4"/>
      <c r="DS1758" s="4"/>
      <c r="DT1758" s="4"/>
      <c r="DU1758" s="4"/>
      <c r="DV1758" s="4"/>
      <c r="DW1758" s="4"/>
      <c r="DX1758" s="4"/>
      <c r="DY1758" s="4"/>
      <c r="DZ1758" s="4"/>
      <c r="EA1758" s="4"/>
      <c r="EB1758" s="4"/>
      <c r="EC1758" s="4"/>
      <c r="ED1758" s="4"/>
      <c r="EE1758" s="4"/>
      <c r="EF1758" s="4"/>
      <c r="EG1758" s="4"/>
      <c r="EH1758" s="4"/>
      <c r="EI1758" s="4"/>
      <c r="EJ1758" s="4"/>
      <c r="EK1758" s="4"/>
      <c r="EL1758" s="4"/>
      <c r="EM1758" s="4"/>
      <c r="EN1758" s="4"/>
      <c r="EO1758" s="4"/>
      <c r="EP1758" s="4"/>
      <c r="EQ1758" s="4"/>
      <c r="ER1758" s="4"/>
      <c r="ES1758" s="4"/>
      <c r="ET1758" s="4"/>
      <c r="EU1758" s="4"/>
      <c r="EV1758" s="4"/>
      <c r="EW1758" s="4"/>
      <c r="EX1758" s="4"/>
      <c r="EY1758" s="4"/>
      <c r="EZ1758" s="4"/>
      <c r="FA1758" s="4"/>
      <c r="FB1758" s="4"/>
      <c r="FC1758" s="4"/>
      <c r="FD1758" s="4"/>
      <c r="FE1758" s="4"/>
      <c r="FF1758" s="4"/>
      <c r="FG1758" s="4"/>
      <c r="FH1758" s="4"/>
      <c r="FI1758" s="4"/>
      <c r="FJ1758" s="4"/>
      <c r="FK1758" s="4"/>
      <c r="FL1758" s="4"/>
      <c r="FM1758" s="4"/>
      <c r="FN1758" s="4"/>
      <c r="FO1758" s="4"/>
      <c r="FP1758" s="4"/>
      <c r="FQ1758" s="4"/>
      <c r="FR1758" s="4"/>
      <c r="FS1758" s="4"/>
      <c r="FT1758" s="4"/>
      <c r="FU1758" s="4"/>
      <c r="FV1758" s="4"/>
      <c r="FW1758" s="4"/>
      <c r="FX1758" s="4"/>
      <c r="FY1758" s="4"/>
      <c r="FZ1758" s="4"/>
      <c r="GA1758" s="4"/>
      <c r="GB1758" s="4"/>
      <c r="GC1758" s="4"/>
      <c r="GD1758" s="4"/>
      <c r="GE1758" s="4"/>
      <c r="GF1758" s="4"/>
      <c r="GG1758" s="4"/>
      <c r="GH1758" s="4"/>
    </row>
    <row r="1759">
      <c r="A1759" s="2" t="s">
        <v>8963</v>
      </c>
      <c r="B1759" s="2" t="s">
        <v>932</v>
      </c>
      <c r="C1759" s="2" t="s">
        <v>1252</v>
      </c>
      <c r="D1759" s="2" t="s">
        <v>608</v>
      </c>
      <c r="E1759" s="2" t="s">
        <v>904</v>
      </c>
      <c r="F1759" s="2" t="s">
        <v>8964</v>
      </c>
      <c r="G1759" s="2" t="s">
        <v>200</v>
      </c>
      <c r="H1759" s="2" t="s">
        <v>200</v>
      </c>
      <c r="I1759" s="2" t="s">
        <v>8965</v>
      </c>
      <c r="J1759" s="2" t="s">
        <v>302</v>
      </c>
      <c r="K1759" s="2" t="s">
        <v>8966</v>
      </c>
      <c r="L1759" s="3">
        <v>40.59</v>
      </c>
      <c r="M1759" s="3">
        <v>42.62</v>
      </c>
      <c r="N1759" s="3">
        <v>69.99</v>
      </c>
      <c r="O1759" s="2" t="s">
        <v>460</v>
      </c>
      <c r="P1759" s="2" t="s">
        <v>1258</v>
      </c>
      <c r="Q1759" s="2" t="s">
        <v>206</v>
      </c>
      <c r="R1759" s="2" t="s">
        <v>1259</v>
      </c>
      <c r="S1759" s="2" t="s">
        <v>200</v>
      </c>
      <c r="T1759" s="2" t="s">
        <v>378</v>
      </c>
      <c r="U1759" s="2" t="s">
        <v>909</v>
      </c>
      <c r="V1759" s="2" t="s">
        <v>616</v>
      </c>
      <c r="W1759" s="2" t="s">
        <v>241</v>
      </c>
      <c r="X1759" s="2" t="s">
        <v>241</v>
      </c>
      <c r="Y1759" s="2" t="s">
        <v>8967</v>
      </c>
      <c r="Z1759" s="4">
        <v>795</v>
      </c>
      <c r="AA1759" s="4">
        <f>=ROUNDDOWN(418.421052631579,0)</f>
      </c>
      <c r="AB1759" s="5">
        <v>1.9</v>
      </c>
      <c r="AC1759" s="2" t="s">
        <v>200</v>
      </c>
      <c r="AD1759" s="4"/>
      <c r="AE1759" s="4"/>
      <c r="AF1759" s="6">
        <v>64</v>
      </c>
      <c r="AG1759" s="6"/>
      <c r="AH1759" s="7">
        <v>1</v>
      </c>
      <c r="AI1759" s="4"/>
      <c r="AJ1759" s="4">
        <f>=ROUNDDOWN({0},0)</f>
      </c>
      <c r="AK1759" s="5"/>
      <c r="AL1759" s="2" t="s">
        <v>200</v>
      </c>
      <c r="AM1759" s="4"/>
      <c r="AN1759" s="4"/>
      <c r="AO1759" s="7"/>
      <c r="AP1759" s="4"/>
      <c r="AQ1759" s="8"/>
      <c r="AR1759" s="4"/>
      <c r="AS1759" s="8"/>
      <c r="AT1759" s="7"/>
      <c r="AU1759" s="7"/>
      <c r="AV1759" s="4"/>
      <c r="AW1759" s="8"/>
      <c r="AX1759" s="4"/>
      <c r="AY1759" s="8"/>
      <c r="AZ1759" s="7"/>
      <c r="BA1759" s="7"/>
      <c r="BB1759" s="7"/>
      <c r="BC1759" s="4"/>
      <c r="BD1759" s="8"/>
      <c r="BE1759" s="4"/>
      <c r="BF1759" s="8"/>
      <c r="BG1759" s="7"/>
      <c r="BH1759" s="7"/>
      <c r="BI1759" s="7"/>
      <c r="BJ1759" s="4">
        <v>5</v>
      </c>
      <c r="BK1759" s="8">
        <v>229.95</v>
      </c>
      <c r="BL1759" s="2" t="s">
        <v>4571</v>
      </c>
      <c r="BM1759" s="7"/>
      <c r="BN1759" s="7"/>
      <c r="BO1759" s="4"/>
      <c r="BP1759" s="8"/>
      <c r="BQ1759" s="4"/>
      <c r="BR1759" s="8"/>
      <c r="BS1759" s="7"/>
      <c r="BT1759" s="7"/>
      <c r="BU1759" s="2" t="s">
        <v>8968</v>
      </c>
      <c r="BV1759" s="2" t="s">
        <v>200</v>
      </c>
      <c r="BW1759" s="2" t="s">
        <v>200</v>
      </c>
      <c r="BX1759" s="2" t="s">
        <v>264</v>
      </c>
      <c r="BY1759" s="2" t="s">
        <v>247</v>
      </c>
      <c r="BZ1759" s="2" t="s">
        <v>212</v>
      </c>
      <c r="CA1759" s="2" t="s">
        <v>1263</v>
      </c>
      <c r="CB1759" s="2" t="s">
        <v>329</v>
      </c>
      <c r="CC1759" s="2" t="s">
        <v>213</v>
      </c>
      <c r="CD1759" s="2" t="s">
        <v>200</v>
      </c>
      <c r="CE1759" s="4">
        <v>795</v>
      </c>
      <c r="CF1759" s="4"/>
      <c r="CG1759" s="4"/>
      <c r="CH1759" s="4"/>
      <c r="CI1759" s="4"/>
      <c r="CJ1759" s="4"/>
      <c r="CK1759" s="4"/>
      <c r="CL1759" s="4"/>
      <c r="CM1759" s="4"/>
      <c r="CN1759" s="4"/>
      <c r="CO1759" s="4"/>
      <c r="CP1759" s="4"/>
      <c r="CQ1759" s="4"/>
      <c r="CR1759" s="4"/>
      <c r="CS1759" s="4"/>
      <c r="CT1759" s="4"/>
      <c r="CU1759" s="4"/>
      <c r="CV1759" s="4"/>
      <c r="CW1759" s="4"/>
      <c r="CX1759" s="4"/>
      <c r="CY1759" s="4"/>
      <c r="CZ1759" s="4"/>
      <c r="DA1759" s="4"/>
      <c r="DB1759" s="4"/>
      <c r="DC1759" s="4"/>
      <c r="DD1759" s="4"/>
      <c r="DE1759" s="4"/>
      <c r="DF1759" s="4"/>
      <c r="DG1759" s="4"/>
      <c r="DH1759" s="4"/>
      <c r="DI1759" s="4"/>
      <c r="DJ1759" s="4"/>
      <c r="DK1759" s="4"/>
      <c r="DL1759" s="4"/>
      <c r="DM1759" s="4"/>
      <c r="DN1759" s="4"/>
      <c r="DO1759" s="4"/>
      <c r="DP1759" s="4"/>
      <c r="DQ1759" s="4"/>
      <c r="DR1759" s="4"/>
      <c r="DS1759" s="4"/>
      <c r="DT1759" s="4"/>
      <c r="DU1759" s="4"/>
      <c r="DV1759" s="4"/>
      <c r="DW1759" s="4"/>
      <c r="DX1759" s="4"/>
      <c r="DY1759" s="4"/>
      <c r="DZ1759" s="4"/>
      <c r="EA1759" s="4"/>
      <c r="EB1759" s="4"/>
      <c r="EC1759" s="4"/>
      <c r="ED1759" s="4"/>
      <c r="EE1759" s="4"/>
      <c r="EF1759" s="4"/>
      <c r="EG1759" s="4"/>
      <c r="EH1759" s="4"/>
      <c r="EI1759" s="4"/>
      <c r="EJ1759" s="4"/>
      <c r="EK1759" s="4"/>
      <c r="EL1759" s="4"/>
      <c r="EM1759" s="4"/>
      <c r="EN1759" s="4"/>
      <c r="EO1759" s="4"/>
      <c r="EP1759" s="4"/>
      <c r="EQ1759" s="4"/>
      <c r="ER1759" s="4"/>
      <c r="ES1759" s="4"/>
      <c r="ET1759" s="4"/>
      <c r="EU1759" s="4"/>
      <c r="EV1759" s="4"/>
      <c r="EW1759" s="4"/>
      <c r="EX1759" s="4"/>
      <c r="EY1759" s="4"/>
      <c r="EZ1759" s="4"/>
      <c r="FA1759" s="4"/>
      <c r="FB1759" s="4"/>
      <c r="FC1759" s="4"/>
      <c r="FD1759" s="4"/>
      <c r="FE1759" s="4"/>
      <c r="FF1759" s="4"/>
      <c r="FG1759" s="4"/>
      <c r="FH1759" s="4"/>
      <c r="FI1759" s="4"/>
      <c r="FJ1759" s="4"/>
      <c r="FK1759" s="4"/>
      <c r="FL1759" s="4"/>
      <c r="FM1759" s="4"/>
      <c r="FN1759" s="4"/>
      <c r="FO1759" s="4"/>
      <c r="FP1759" s="4"/>
      <c r="FQ1759" s="4"/>
      <c r="FR1759" s="4"/>
      <c r="FS1759" s="4"/>
      <c r="FT1759" s="4"/>
      <c r="FU1759" s="4"/>
      <c r="FV1759" s="4"/>
      <c r="FW1759" s="4"/>
      <c r="FX1759" s="4"/>
      <c r="FY1759" s="4"/>
      <c r="FZ1759" s="4"/>
      <c r="GA1759" s="4"/>
      <c r="GB1759" s="4"/>
      <c r="GC1759" s="4"/>
      <c r="GD1759" s="4"/>
      <c r="GE1759" s="4"/>
      <c r="GF1759" s="4"/>
      <c r="GG1759" s="4"/>
      <c r="GH1759" s="4"/>
    </row>
    <row r="1760">
      <c r="A1760" s="2" t="s">
        <v>8969</v>
      </c>
      <c r="B1760" s="2" t="s">
        <v>719</v>
      </c>
      <c r="C1760" s="2" t="s">
        <v>1839</v>
      </c>
      <c r="D1760" s="2" t="s">
        <v>1554</v>
      </c>
      <c r="E1760" s="2" t="s">
        <v>1555</v>
      </c>
      <c r="F1760" s="2" t="s">
        <v>8970</v>
      </c>
      <c r="G1760" s="2" t="s">
        <v>8970</v>
      </c>
      <c r="H1760" s="2" t="s">
        <v>8970</v>
      </c>
      <c r="I1760" s="2" t="s">
        <v>8971</v>
      </c>
      <c r="J1760" s="2" t="s">
        <v>711</v>
      </c>
      <c r="K1760" s="2" t="s">
        <v>733</v>
      </c>
      <c r="L1760" s="3">
        <v>19.29</v>
      </c>
      <c r="M1760" s="3">
        <v>20.25</v>
      </c>
      <c r="N1760" s="3">
        <v>49.99</v>
      </c>
      <c r="O1760" s="2" t="s">
        <v>417</v>
      </c>
      <c r="P1760" s="2" t="s">
        <v>285</v>
      </c>
      <c r="Q1760" s="2" t="s">
        <v>206</v>
      </c>
      <c r="R1760" s="2" t="s">
        <v>200</v>
      </c>
      <c r="S1760" s="2" t="s">
        <v>8972</v>
      </c>
      <c r="T1760" s="2" t="s">
        <v>200</v>
      </c>
      <c r="U1760" s="2" t="s">
        <v>454</v>
      </c>
      <c r="V1760" s="2" t="s">
        <v>724</v>
      </c>
      <c r="W1760" s="2" t="s">
        <v>379</v>
      </c>
      <c r="X1760" s="2" t="s">
        <v>241</v>
      </c>
      <c r="Y1760" s="2" t="s">
        <v>1559</v>
      </c>
      <c r="Z1760" s="4">
        <v>50</v>
      </c>
      <c r="AA1760" s="4">
        <f>=ROUNDDOWN(71.4285714285714,0)</f>
      </c>
      <c r="AB1760" s="5">
        <v>0.7</v>
      </c>
      <c r="AC1760" s="2" t="s">
        <v>200</v>
      </c>
      <c r="AD1760" s="4"/>
      <c r="AE1760" s="4"/>
      <c r="AF1760" s="6">
        <v>63</v>
      </c>
      <c r="AG1760" s="6"/>
      <c r="AH1760" s="7">
        <v>1</v>
      </c>
      <c r="AI1760" s="4"/>
      <c r="AJ1760" s="4">
        <f>=ROUNDDOWN({0},0)</f>
      </c>
      <c r="AK1760" s="5"/>
      <c r="AL1760" s="2" t="s">
        <v>200</v>
      </c>
      <c r="AM1760" s="4"/>
      <c r="AN1760" s="4"/>
      <c r="AO1760" s="7"/>
      <c r="AP1760" s="4"/>
      <c r="AQ1760" s="8"/>
      <c r="AR1760" s="4"/>
      <c r="AS1760" s="8"/>
      <c r="AT1760" s="7"/>
      <c r="AU1760" s="7"/>
      <c r="AV1760" s="4"/>
      <c r="AW1760" s="8"/>
      <c r="AX1760" s="4"/>
      <c r="AY1760" s="8"/>
      <c r="AZ1760" s="7"/>
      <c r="BA1760" s="7"/>
      <c r="BB1760" s="7"/>
      <c r="BC1760" s="4"/>
      <c r="BD1760" s="8"/>
      <c r="BE1760" s="4"/>
      <c r="BF1760" s="8"/>
      <c r="BG1760" s="7"/>
      <c r="BH1760" s="7"/>
      <c r="BI1760" s="7"/>
      <c r="BJ1760" s="4"/>
      <c r="BK1760" s="8"/>
      <c r="BL1760" s="2" t="s">
        <v>813</v>
      </c>
      <c r="BM1760" s="7"/>
      <c r="BN1760" s="7"/>
      <c r="BO1760" s="4"/>
      <c r="BP1760" s="8"/>
      <c r="BQ1760" s="4"/>
      <c r="BR1760" s="8"/>
      <c r="BS1760" s="7"/>
      <c r="BT1760" s="7"/>
      <c r="BU1760" s="2" t="s">
        <v>8973</v>
      </c>
      <c r="BV1760" s="2" t="s">
        <v>200</v>
      </c>
      <c r="BW1760" s="2" t="s">
        <v>200</v>
      </c>
      <c r="BX1760" s="2" t="s">
        <v>289</v>
      </c>
      <c r="BY1760" s="2" t="s">
        <v>247</v>
      </c>
      <c r="BZ1760" s="2" t="s">
        <v>212</v>
      </c>
      <c r="CA1760" s="2" t="s">
        <v>3102</v>
      </c>
      <c r="CB1760" s="2" t="s">
        <v>4304</v>
      </c>
      <c r="CC1760" s="2" t="s">
        <v>213</v>
      </c>
      <c r="CD1760" s="2" t="s">
        <v>200</v>
      </c>
      <c r="CE1760" s="4"/>
      <c r="CF1760" s="4">
        <v>50</v>
      </c>
      <c r="CG1760" s="4"/>
      <c r="CH1760" s="4"/>
      <c r="CI1760" s="4"/>
      <c r="CJ1760" s="4"/>
      <c r="CK1760" s="4"/>
      <c r="CL1760" s="4"/>
      <c r="CM1760" s="4"/>
      <c r="CN1760" s="4"/>
      <c r="CO1760" s="4"/>
      <c r="CP1760" s="4"/>
      <c r="CQ1760" s="4"/>
      <c r="CR1760" s="4"/>
      <c r="CS1760" s="4"/>
      <c r="CT1760" s="4"/>
      <c r="CU1760" s="4"/>
      <c r="CV1760" s="4"/>
      <c r="CW1760" s="4"/>
      <c r="CX1760" s="4"/>
      <c r="CY1760" s="4"/>
      <c r="CZ1760" s="4"/>
      <c r="DA1760" s="4"/>
      <c r="DB1760" s="4"/>
      <c r="DC1760" s="4"/>
      <c r="DD1760" s="4"/>
      <c r="DE1760" s="4"/>
      <c r="DF1760" s="4"/>
      <c r="DG1760" s="4"/>
      <c r="DH1760" s="4"/>
      <c r="DI1760" s="4"/>
      <c r="DJ1760" s="4"/>
      <c r="DK1760" s="4"/>
      <c r="DL1760" s="4"/>
      <c r="DM1760" s="4"/>
      <c r="DN1760" s="4"/>
      <c r="DO1760" s="4"/>
      <c r="DP1760" s="4"/>
      <c r="DQ1760" s="4"/>
      <c r="DR1760" s="4"/>
      <c r="DS1760" s="4"/>
      <c r="DT1760" s="4"/>
      <c r="DU1760" s="4"/>
      <c r="DV1760" s="4"/>
      <c r="DW1760" s="4"/>
      <c r="DX1760" s="4"/>
      <c r="DY1760" s="4"/>
      <c r="DZ1760" s="4"/>
      <c r="EA1760" s="4"/>
      <c r="EB1760" s="4"/>
      <c r="EC1760" s="4"/>
      <c r="ED1760" s="4"/>
      <c r="EE1760" s="4"/>
      <c r="EF1760" s="4"/>
      <c r="EG1760" s="4"/>
      <c r="EH1760" s="4"/>
      <c r="EI1760" s="4"/>
      <c r="EJ1760" s="4"/>
      <c r="EK1760" s="4"/>
      <c r="EL1760" s="4"/>
      <c r="EM1760" s="4"/>
      <c r="EN1760" s="4"/>
      <c r="EO1760" s="4"/>
      <c r="EP1760" s="4"/>
      <c r="EQ1760" s="4"/>
      <c r="ER1760" s="4"/>
      <c r="ES1760" s="4"/>
      <c r="ET1760" s="4"/>
      <c r="EU1760" s="4"/>
      <c r="EV1760" s="4"/>
      <c r="EW1760" s="4"/>
      <c r="EX1760" s="4"/>
      <c r="EY1760" s="4"/>
      <c r="EZ1760" s="4"/>
      <c r="FA1760" s="4"/>
      <c r="FB1760" s="4"/>
      <c r="FC1760" s="4"/>
      <c r="FD1760" s="4"/>
      <c r="FE1760" s="4"/>
      <c r="FF1760" s="4"/>
      <c r="FG1760" s="4"/>
      <c r="FH1760" s="4"/>
      <c r="FI1760" s="4"/>
      <c r="FJ1760" s="4"/>
      <c r="FK1760" s="4"/>
      <c r="FL1760" s="4"/>
      <c r="FM1760" s="4"/>
      <c r="FN1760" s="4"/>
      <c r="FO1760" s="4"/>
      <c r="FP1760" s="4"/>
      <c r="FQ1760" s="4"/>
      <c r="FR1760" s="4"/>
      <c r="FS1760" s="4"/>
      <c r="FT1760" s="4"/>
      <c r="FU1760" s="4"/>
      <c r="FV1760" s="4"/>
      <c r="FW1760" s="4"/>
      <c r="FX1760" s="4"/>
      <c r="FY1760" s="4"/>
      <c r="FZ1760" s="4"/>
      <c r="GA1760" s="4"/>
      <c r="GB1760" s="4"/>
      <c r="GC1760" s="4"/>
      <c r="GD1760" s="4"/>
      <c r="GE1760" s="4"/>
      <c r="GF1760" s="4"/>
      <c r="GG1760" s="4"/>
      <c r="GH1760" s="4"/>
    </row>
    <row r="1761">
      <c r="A1761" s="2" t="s">
        <v>8974</v>
      </c>
      <c r="B1761" s="2" t="s">
        <v>744</v>
      </c>
      <c r="C1761" s="2" t="s">
        <v>231</v>
      </c>
      <c r="D1761" s="2" t="s">
        <v>2839</v>
      </c>
      <c r="E1761" s="2" t="s">
        <v>2840</v>
      </c>
      <c r="F1761" s="2" t="s">
        <v>1680</v>
      </c>
      <c r="G1761" s="2" t="s">
        <v>2930</v>
      </c>
      <c r="H1761" s="2" t="s">
        <v>8975</v>
      </c>
      <c r="I1761" s="2" t="s">
        <v>3379</v>
      </c>
      <c r="J1761" s="2" t="s">
        <v>711</v>
      </c>
      <c r="K1761" s="2" t="s">
        <v>1174</v>
      </c>
      <c r="L1761" s="3">
        <v>380.97</v>
      </c>
      <c r="M1761" s="3">
        <v>400.02</v>
      </c>
      <c r="N1761" s="3">
        <v>799</v>
      </c>
      <c r="O1761" s="2" t="s">
        <v>460</v>
      </c>
      <c r="P1761" s="2" t="s">
        <v>285</v>
      </c>
      <c r="Q1761" s="2" t="s">
        <v>206</v>
      </c>
      <c r="R1761" s="2" t="s">
        <v>200</v>
      </c>
      <c r="S1761" s="2" t="s">
        <v>200</v>
      </c>
      <c r="T1761" s="2" t="s">
        <v>200</v>
      </c>
      <c r="U1761" s="2" t="s">
        <v>200</v>
      </c>
      <c r="V1761" s="2" t="s">
        <v>616</v>
      </c>
      <c r="W1761" s="2" t="s">
        <v>736</v>
      </c>
      <c r="X1761" s="2" t="s">
        <v>419</v>
      </c>
      <c r="Y1761" s="2" t="s">
        <v>1978</v>
      </c>
      <c r="Z1761" s="4">
        <v>67</v>
      </c>
      <c r="AA1761" s="4">
        <f>=ROUNDDOWN(33.5,0)</f>
      </c>
      <c r="AB1761" s="5">
        <v>2</v>
      </c>
      <c r="AC1761" s="2" t="s">
        <v>200</v>
      </c>
      <c r="AD1761" s="4"/>
      <c r="AE1761" s="4"/>
      <c r="AF1761" s="6">
        <v>74</v>
      </c>
      <c r="AG1761" s="6"/>
      <c r="AH1761" s="7">
        <v>1</v>
      </c>
      <c r="AI1761" s="4"/>
      <c r="AJ1761" s="4">
        <f>=ROUNDDOWN({0},0)</f>
      </c>
      <c r="AK1761" s="5"/>
      <c r="AL1761" s="2" t="s">
        <v>200</v>
      </c>
      <c r="AM1761" s="4"/>
      <c r="AN1761" s="4"/>
      <c r="AO1761" s="7"/>
      <c r="AP1761" s="4"/>
      <c r="AQ1761" s="8"/>
      <c r="AR1761" s="4"/>
      <c r="AS1761" s="8"/>
      <c r="AT1761" s="7"/>
      <c r="AU1761" s="7"/>
      <c r="AV1761" s="4"/>
      <c r="AW1761" s="8"/>
      <c r="AX1761" s="4"/>
      <c r="AY1761" s="8"/>
      <c r="AZ1761" s="7"/>
      <c r="BA1761" s="7"/>
      <c r="BB1761" s="7"/>
      <c r="BC1761" s="4"/>
      <c r="BD1761" s="8"/>
      <c r="BE1761" s="4"/>
      <c r="BF1761" s="8"/>
      <c r="BG1761" s="7"/>
      <c r="BH1761" s="7"/>
      <c r="BI1761" s="7"/>
      <c r="BJ1761" s="4">
        <v>4</v>
      </c>
      <c r="BK1761" s="8">
        <v>824.04</v>
      </c>
      <c r="BL1761" s="2" t="s">
        <v>752</v>
      </c>
      <c r="BM1761" s="7"/>
      <c r="BN1761" s="7"/>
      <c r="BO1761" s="4"/>
      <c r="BP1761" s="8"/>
      <c r="BQ1761" s="4"/>
      <c r="BR1761" s="8"/>
      <c r="BS1761" s="7"/>
      <c r="BT1761" s="7"/>
      <c r="BU1761" s="2" t="s">
        <v>8976</v>
      </c>
      <c r="BV1761" s="2" t="s">
        <v>200</v>
      </c>
      <c r="BW1761" s="2" t="s">
        <v>200</v>
      </c>
      <c r="BX1761" s="2" t="s">
        <v>289</v>
      </c>
      <c r="BY1761" s="2" t="s">
        <v>247</v>
      </c>
      <c r="BZ1761" s="2" t="s">
        <v>212</v>
      </c>
      <c r="CA1761" s="2" t="s">
        <v>5543</v>
      </c>
      <c r="CB1761" s="2" t="s">
        <v>200</v>
      </c>
      <c r="CC1761" s="2" t="s">
        <v>213</v>
      </c>
      <c r="CD1761" s="2" t="s">
        <v>200</v>
      </c>
      <c r="CE1761" s="4"/>
      <c r="CF1761" s="4">
        <v>67</v>
      </c>
      <c r="CG1761" s="4"/>
      <c r="CH1761" s="4"/>
      <c r="CI1761" s="4"/>
      <c r="CJ1761" s="4"/>
      <c r="CK1761" s="4"/>
      <c r="CL1761" s="4"/>
      <c r="CM1761" s="4"/>
      <c r="CN1761" s="4"/>
      <c r="CO1761" s="4"/>
      <c r="CP1761" s="4"/>
      <c r="CQ1761" s="4"/>
      <c r="CR1761" s="4"/>
      <c r="CS1761" s="4"/>
      <c r="CT1761" s="4"/>
      <c r="CU1761" s="4"/>
      <c r="CV1761" s="4"/>
      <c r="CW1761" s="4"/>
      <c r="CX1761" s="4"/>
      <c r="CY1761" s="4"/>
      <c r="CZ1761" s="4"/>
      <c r="DA1761" s="4"/>
      <c r="DB1761" s="4"/>
      <c r="DC1761" s="4"/>
      <c r="DD1761" s="4"/>
      <c r="DE1761" s="4"/>
      <c r="DF1761" s="4"/>
      <c r="DG1761" s="4"/>
      <c r="DH1761" s="4"/>
      <c r="DI1761" s="4"/>
      <c r="DJ1761" s="4"/>
      <c r="DK1761" s="4"/>
      <c r="DL1761" s="4"/>
      <c r="DM1761" s="4"/>
      <c r="DN1761" s="4"/>
      <c r="DO1761" s="4"/>
      <c r="DP1761" s="4"/>
      <c r="DQ1761" s="4"/>
      <c r="DR1761" s="4"/>
      <c r="DS1761" s="4"/>
      <c r="DT1761" s="4"/>
      <c r="DU1761" s="4"/>
      <c r="DV1761" s="4"/>
      <c r="DW1761" s="4"/>
      <c r="DX1761" s="4"/>
      <c r="DY1761" s="4"/>
      <c r="DZ1761" s="4"/>
      <c r="EA1761" s="4"/>
      <c r="EB1761" s="4"/>
      <c r="EC1761" s="4"/>
      <c r="ED1761" s="4"/>
      <c r="EE1761" s="4"/>
      <c r="EF1761" s="4"/>
      <c r="EG1761" s="4"/>
      <c r="EH1761" s="4"/>
      <c r="EI1761" s="4"/>
      <c r="EJ1761" s="4"/>
      <c r="EK1761" s="4"/>
      <c r="EL1761" s="4"/>
      <c r="EM1761" s="4"/>
      <c r="EN1761" s="4"/>
      <c r="EO1761" s="4"/>
      <c r="EP1761" s="4"/>
      <c r="EQ1761" s="4"/>
      <c r="ER1761" s="4"/>
      <c r="ES1761" s="4"/>
      <c r="ET1761" s="4"/>
      <c r="EU1761" s="4"/>
      <c r="EV1761" s="4"/>
      <c r="EW1761" s="4"/>
      <c r="EX1761" s="4"/>
      <c r="EY1761" s="4"/>
      <c r="EZ1761" s="4"/>
      <c r="FA1761" s="4"/>
      <c r="FB1761" s="4"/>
      <c r="FC1761" s="4"/>
      <c r="FD1761" s="4"/>
      <c r="FE1761" s="4"/>
      <c r="FF1761" s="4"/>
      <c r="FG1761" s="4"/>
      <c r="FH1761" s="4"/>
      <c r="FI1761" s="4"/>
      <c r="FJ1761" s="4"/>
      <c r="FK1761" s="4"/>
      <c r="FL1761" s="4"/>
      <c r="FM1761" s="4"/>
      <c r="FN1761" s="4"/>
      <c r="FO1761" s="4"/>
      <c r="FP1761" s="4"/>
      <c r="FQ1761" s="4"/>
      <c r="FR1761" s="4"/>
      <c r="FS1761" s="4"/>
      <c r="FT1761" s="4"/>
      <c r="FU1761" s="4"/>
      <c r="FV1761" s="4"/>
      <c r="FW1761" s="4"/>
      <c r="FX1761" s="4"/>
      <c r="FY1761" s="4"/>
      <c r="FZ1761" s="4"/>
      <c r="GA1761" s="4"/>
      <c r="GB1761" s="4"/>
      <c r="GC1761" s="4"/>
      <c r="GD1761" s="4"/>
      <c r="GE1761" s="4"/>
      <c r="GF1761" s="4"/>
      <c r="GG1761" s="4"/>
      <c r="GH1761" s="4"/>
    </row>
    <row r="1762">
      <c r="A1762" s="2" t="s">
        <v>8977</v>
      </c>
      <c r="B1762" s="2" t="s">
        <v>903</v>
      </c>
      <c r="C1762" s="2" t="s">
        <v>231</v>
      </c>
      <c r="D1762" s="2" t="s">
        <v>1818</v>
      </c>
      <c r="E1762" s="2" t="s">
        <v>1819</v>
      </c>
      <c r="F1762" s="2" t="s">
        <v>8978</v>
      </c>
      <c r="G1762" s="2" t="s">
        <v>8979</v>
      </c>
      <c r="H1762" s="2" t="s">
        <v>1013</v>
      </c>
      <c r="I1762" s="2" t="s">
        <v>8980</v>
      </c>
      <c r="J1762" s="2" t="s">
        <v>924</v>
      </c>
      <c r="K1762" s="2" t="s">
        <v>416</v>
      </c>
      <c r="L1762" s="3">
        <v>62.6</v>
      </c>
      <c r="M1762" s="3">
        <v>65.73</v>
      </c>
      <c r="N1762" s="3">
        <v>129.99</v>
      </c>
      <c r="O1762" s="2" t="s">
        <v>212</v>
      </c>
      <c r="P1762" s="2" t="s">
        <v>258</v>
      </c>
      <c r="Q1762" s="2" t="s">
        <v>206</v>
      </c>
      <c r="R1762" s="2" t="s">
        <v>200</v>
      </c>
      <c r="S1762" s="2" t="s">
        <v>8981</v>
      </c>
      <c r="T1762" s="2" t="s">
        <v>8982</v>
      </c>
      <c r="U1762" s="2" t="s">
        <v>662</v>
      </c>
      <c r="V1762" s="2" t="s">
        <v>940</v>
      </c>
      <c r="W1762" s="2" t="s">
        <v>6276</v>
      </c>
      <c r="X1762" s="2" t="s">
        <v>8246</v>
      </c>
      <c r="Y1762" s="2" t="s">
        <v>261</v>
      </c>
      <c r="Z1762" s="4">
        <v>1171</v>
      </c>
      <c r="AA1762" s="4">
        <f>=ROUNDDOWN(55.7619047619048,0)</f>
      </c>
      <c r="AB1762" s="5">
        <v>21</v>
      </c>
      <c r="AC1762" s="2" t="s">
        <v>200</v>
      </c>
      <c r="AD1762" s="4"/>
      <c r="AE1762" s="4"/>
      <c r="AF1762" s="6">
        <v>65</v>
      </c>
      <c r="AG1762" s="6"/>
      <c r="AH1762" s="7">
        <v>1</v>
      </c>
      <c r="AI1762" s="4"/>
      <c r="AJ1762" s="4">
        <f>=ROUNDDOWN({0},0)</f>
      </c>
      <c r="AK1762" s="5"/>
      <c r="AL1762" s="2" t="s">
        <v>200</v>
      </c>
      <c r="AM1762" s="4"/>
      <c r="AN1762" s="4"/>
      <c r="AO1762" s="7"/>
      <c r="AP1762" s="4"/>
      <c r="AQ1762" s="8"/>
      <c r="AR1762" s="4"/>
      <c r="AS1762" s="8"/>
      <c r="AT1762" s="7"/>
      <c r="AU1762" s="7"/>
      <c r="AV1762" s="4"/>
      <c r="AW1762" s="8"/>
      <c r="AX1762" s="4"/>
      <c r="AY1762" s="8"/>
      <c r="AZ1762" s="7"/>
      <c r="BA1762" s="7"/>
      <c r="BB1762" s="7"/>
      <c r="BC1762" s="4"/>
      <c r="BD1762" s="8"/>
      <c r="BE1762" s="4"/>
      <c r="BF1762" s="8"/>
      <c r="BG1762" s="7"/>
      <c r="BH1762" s="7"/>
      <c r="BI1762" s="7"/>
      <c r="BJ1762" s="4">
        <v>58</v>
      </c>
      <c r="BK1762" s="8">
        <v>3834.06</v>
      </c>
      <c r="BL1762" s="2" t="s">
        <v>8983</v>
      </c>
      <c r="BM1762" s="7"/>
      <c r="BN1762" s="7"/>
      <c r="BO1762" s="4"/>
      <c r="BP1762" s="8"/>
      <c r="BQ1762" s="4"/>
      <c r="BR1762" s="8"/>
      <c r="BS1762" s="7"/>
      <c r="BT1762" s="7"/>
      <c r="BU1762" s="2" t="s">
        <v>8984</v>
      </c>
      <c r="BV1762" s="2" t="s">
        <v>200</v>
      </c>
      <c r="BW1762" s="2" t="s">
        <v>200</v>
      </c>
      <c r="BX1762" s="2" t="s">
        <v>264</v>
      </c>
      <c r="BY1762" s="2" t="s">
        <v>247</v>
      </c>
      <c r="BZ1762" s="2" t="s">
        <v>212</v>
      </c>
      <c r="CA1762" s="2" t="s">
        <v>8985</v>
      </c>
      <c r="CB1762" s="2" t="s">
        <v>7307</v>
      </c>
      <c r="CC1762" s="2" t="s">
        <v>213</v>
      </c>
      <c r="CD1762" s="2" t="s">
        <v>200</v>
      </c>
      <c r="CE1762" s="4">
        <v>607</v>
      </c>
      <c r="CF1762" s="4">
        <v>547</v>
      </c>
      <c r="CG1762" s="4"/>
      <c r="CH1762" s="4"/>
      <c r="CI1762" s="4"/>
      <c r="CJ1762" s="4"/>
      <c r="CK1762" s="4">
        <v>17</v>
      </c>
      <c r="CL1762" s="4"/>
      <c r="CM1762" s="4"/>
      <c r="CN1762" s="4"/>
      <c r="CO1762" s="4"/>
      <c r="CP1762" s="4"/>
      <c r="CQ1762" s="4"/>
      <c r="CR1762" s="4"/>
      <c r="CS1762" s="4"/>
      <c r="CT1762" s="4"/>
      <c r="CU1762" s="4"/>
      <c r="CV1762" s="4"/>
      <c r="CW1762" s="4"/>
      <c r="CX1762" s="4"/>
      <c r="CY1762" s="4"/>
      <c r="CZ1762" s="4"/>
      <c r="DA1762" s="4"/>
      <c r="DB1762" s="4"/>
      <c r="DC1762" s="4"/>
      <c r="DD1762" s="4"/>
      <c r="DE1762" s="4"/>
      <c r="DF1762" s="4"/>
      <c r="DG1762" s="4"/>
      <c r="DH1762" s="4"/>
      <c r="DI1762" s="4"/>
      <c r="DJ1762" s="4"/>
      <c r="DK1762" s="4"/>
      <c r="DL1762" s="4"/>
      <c r="DM1762" s="4"/>
      <c r="DN1762" s="4"/>
      <c r="DO1762" s="4"/>
      <c r="DP1762" s="4"/>
      <c r="DQ1762" s="4"/>
      <c r="DR1762" s="4"/>
      <c r="DS1762" s="4"/>
      <c r="DT1762" s="4"/>
      <c r="DU1762" s="4"/>
      <c r="DV1762" s="4"/>
      <c r="DW1762" s="4"/>
      <c r="DX1762" s="4"/>
      <c r="DY1762" s="4"/>
      <c r="DZ1762" s="4"/>
      <c r="EA1762" s="4"/>
      <c r="EB1762" s="4"/>
      <c r="EC1762" s="4"/>
      <c r="ED1762" s="4"/>
      <c r="EE1762" s="4"/>
      <c r="EF1762" s="4"/>
      <c r="EG1762" s="4"/>
      <c r="EH1762" s="4"/>
      <c r="EI1762" s="4"/>
      <c r="EJ1762" s="4"/>
      <c r="EK1762" s="4"/>
      <c r="EL1762" s="4"/>
      <c r="EM1762" s="4"/>
      <c r="EN1762" s="4"/>
      <c r="EO1762" s="4"/>
      <c r="EP1762" s="4"/>
      <c r="EQ1762" s="4"/>
      <c r="ER1762" s="4"/>
      <c r="ES1762" s="4"/>
      <c r="ET1762" s="4"/>
      <c r="EU1762" s="4"/>
      <c r="EV1762" s="4"/>
      <c r="EW1762" s="4"/>
      <c r="EX1762" s="4"/>
      <c r="EY1762" s="4"/>
      <c r="EZ1762" s="4"/>
      <c r="FA1762" s="4"/>
      <c r="FB1762" s="4"/>
      <c r="FC1762" s="4"/>
      <c r="FD1762" s="4"/>
      <c r="FE1762" s="4"/>
      <c r="FF1762" s="4"/>
      <c r="FG1762" s="4"/>
      <c r="FH1762" s="4"/>
      <c r="FI1762" s="4"/>
      <c r="FJ1762" s="4"/>
      <c r="FK1762" s="4"/>
      <c r="FL1762" s="4"/>
      <c r="FM1762" s="4"/>
      <c r="FN1762" s="4"/>
      <c r="FO1762" s="4"/>
      <c r="FP1762" s="4"/>
      <c r="FQ1762" s="4"/>
      <c r="FR1762" s="4"/>
      <c r="FS1762" s="4"/>
      <c r="FT1762" s="4"/>
      <c r="FU1762" s="4"/>
      <c r="FV1762" s="4"/>
      <c r="FW1762" s="4"/>
      <c r="FX1762" s="4"/>
      <c r="FY1762" s="4"/>
      <c r="FZ1762" s="4"/>
      <c r="GA1762" s="4"/>
      <c r="GB1762" s="4"/>
      <c r="GC1762" s="4"/>
      <c r="GD1762" s="4"/>
      <c r="GE1762" s="4"/>
      <c r="GF1762" s="4"/>
      <c r="GG1762" s="4"/>
      <c r="GH1762" s="4"/>
    </row>
    <row r="1763">
      <c r="A1763" s="2" t="s">
        <v>8986</v>
      </c>
      <c r="B1763" s="2" t="s">
        <v>744</v>
      </c>
      <c r="C1763" s="2" t="s">
        <v>231</v>
      </c>
      <c r="D1763" s="2" t="s">
        <v>1806</v>
      </c>
      <c r="E1763" s="2" t="s">
        <v>2569</v>
      </c>
      <c r="F1763" s="2" t="s">
        <v>866</v>
      </c>
      <c r="G1763" s="2" t="s">
        <v>8987</v>
      </c>
      <c r="H1763" s="2" t="s">
        <v>6689</v>
      </c>
      <c r="I1763" s="2" t="s">
        <v>8988</v>
      </c>
      <c r="J1763" s="2" t="s">
        <v>711</v>
      </c>
      <c r="K1763" s="2" t="s">
        <v>1135</v>
      </c>
      <c r="L1763" s="3">
        <v>198</v>
      </c>
      <c r="M1763" s="3">
        <v>207.9</v>
      </c>
      <c r="N1763" s="3">
        <v>419</v>
      </c>
      <c r="O1763" s="2" t="s">
        <v>460</v>
      </c>
      <c r="P1763" s="2" t="s">
        <v>285</v>
      </c>
      <c r="Q1763" s="2" t="s">
        <v>206</v>
      </c>
      <c r="R1763" s="2" t="s">
        <v>200</v>
      </c>
      <c r="S1763" s="2" t="s">
        <v>200</v>
      </c>
      <c r="T1763" s="2" t="s">
        <v>200</v>
      </c>
      <c r="U1763" s="2" t="s">
        <v>200</v>
      </c>
      <c r="V1763" s="2" t="s">
        <v>616</v>
      </c>
      <c r="W1763" s="2" t="s">
        <v>2095</v>
      </c>
      <c r="X1763" s="2" t="s">
        <v>241</v>
      </c>
      <c r="Y1763" s="2" t="s">
        <v>8989</v>
      </c>
      <c r="Z1763" s="4">
        <v>12</v>
      </c>
      <c r="AA1763" s="4">
        <f>=ROUNDDOWN(120,0)</f>
      </c>
      <c r="AB1763" s="5">
        <v>0.1</v>
      </c>
      <c r="AC1763" s="2" t="s">
        <v>200</v>
      </c>
      <c r="AD1763" s="4"/>
      <c r="AE1763" s="4"/>
      <c r="AF1763" s="6">
        <v>65</v>
      </c>
      <c r="AG1763" s="6"/>
      <c r="AH1763" s="7">
        <v>1</v>
      </c>
      <c r="AI1763" s="4"/>
      <c r="AJ1763" s="4">
        <f>=ROUNDDOWN({0},0)</f>
      </c>
      <c r="AK1763" s="5"/>
      <c r="AL1763" s="2" t="s">
        <v>200</v>
      </c>
      <c r="AM1763" s="4"/>
      <c r="AN1763" s="4"/>
      <c r="AO1763" s="7"/>
      <c r="AP1763" s="4"/>
      <c r="AQ1763" s="8"/>
      <c r="AR1763" s="4"/>
      <c r="AS1763" s="8"/>
      <c r="AT1763" s="7"/>
      <c r="AU1763" s="7"/>
      <c r="AV1763" s="4" t="s">
        <v>200</v>
      </c>
      <c r="AW1763" s="8" t="s">
        <v>200</v>
      </c>
      <c r="AX1763" s="4" t="s">
        <v>200</v>
      </c>
      <c r="AY1763" s="8" t="s">
        <v>200</v>
      </c>
      <c r="AZ1763" s="7" t="s">
        <v>200</v>
      </c>
      <c r="BA1763" s="7" t="s">
        <v>200</v>
      </c>
      <c r="BB1763" s="7" t="s">
        <v>200</v>
      </c>
      <c r="BC1763" s="4" t="s">
        <v>200</v>
      </c>
      <c r="BD1763" s="8" t="s">
        <v>200</v>
      </c>
      <c r="BE1763" s="4" t="s">
        <v>200</v>
      </c>
      <c r="BF1763" s="8" t="s">
        <v>200</v>
      </c>
      <c r="BG1763" s="7" t="s">
        <v>200</v>
      </c>
      <c r="BH1763" s="7" t="s">
        <v>200</v>
      </c>
      <c r="BI1763" s="7"/>
      <c r="BJ1763" s="4">
        <v>2</v>
      </c>
      <c r="BK1763" s="8">
        <v>189</v>
      </c>
      <c r="BL1763" s="2" t="s">
        <v>813</v>
      </c>
      <c r="BM1763" s="7"/>
      <c r="BN1763" s="7"/>
      <c r="BO1763" s="4"/>
      <c r="BP1763" s="8"/>
      <c r="BQ1763" s="4"/>
      <c r="BR1763" s="8"/>
      <c r="BS1763" s="7"/>
      <c r="BT1763" s="7"/>
      <c r="BU1763" s="2" t="s">
        <v>8990</v>
      </c>
      <c r="BV1763" s="2" t="s">
        <v>200</v>
      </c>
      <c r="BW1763" s="2" t="s">
        <v>200</v>
      </c>
      <c r="BX1763" s="2" t="s">
        <v>289</v>
      </c>
      <c r="BY1763" s="2" t="s">
        <v>247</v>
      </c>
      <c r="BZ1763" s="2" t="s">
        <v>212</v>
      </c>
      <c r="CA1763" s="2" t="s">
        <v>4379</v>
      </c>
      <c r="CB1763" s="2" t="s">
        <v>5168</v>
      </c>
      <c r="CC1763" s="2" t="s">
        <v>213</v>
      </c>
      <c r="CD1763" s="2" t="s">
        <v>200</v>
      </c>
      <c r="CE1763" s="4"/>
      <c r="CF1763" s="4">
        <v>12</v>
      </c>
      <c r="CG1763" s="4"/>
      <c r="CH1763" s="4"/>
      <c r="CI1763" s="4"/>
      <c r="CJ1763" s="4"/>
      <c r="CK1763" s="4"/>
      <c r="CL1763" s="4"/>
      <c r="CM1763" s="4"/>
      <c r="CN1763" s="4"/>
      <c r="CO1763" s="4"/>
      <c r="CP1763" s="4"/>
      <c r="CQ1763" s="4"/>
      <c r="CR1763" s="4"/>
      <c r="CS1763" s="4"/>
      <c r="CT1763" s="4"/>
      <c r="CU1763" s="4"/>
      <c r="CV1763" s="4"/>
      <c r="CW1763" s="4"/>
      <c r="CX1763" s="4"/>
      <c r="CY1763" s="4"/>
      <c r="CZ1763" s="4"/>
      <c r="DA1763" s="4"/>
      <c r="DB1763" s="4"/>
      <c r="DC1763" s="4"/>
      <c r="DD1763" s="4"/>
      <c r="DE1763" s="4"/>
      <c r="DF1763" s="4"/>
      <c r="DG1763" s="4"/>
      <c r="DH1763" s="4"/>
      <c r="DI1763" s="4"/>
      <c r="DJ1763" s="4"/>
      <c r="DK1763" s="4"/>
      <c r="DL1763" s="4"/>
      <c r="DM1763" s="4"/>
      <c r="DN1763" s="4"/>
      <c r="DO1763" s="4"/>
      <c r="DP1763" s="4"/>
      <c r="DQ1763" s="4"/>
      <c r="DR1763" s="4"/>
      <c r="DS1763" s="4"/>
      <c r="DT1763" s="4"/>
      <c r="DU1763" s="4"/>
      <c r="DV1763" s="4"/>
      <c r="DW1763" s="4"/>
      <c r="DX1763" s="4"/>
      <c r="DY1763" s="4"/>
      <c r="DZ1763" s="4"/>
      <c r="EA1763" s="4"/>
      <c r="EB1763" s="4"/>
      <c r="EC1763" s="4"/>
      <c r="ED1763" s="4"/>
      <c r="EE1763" s="4"/>
      <c r="EF1763" s="4"/>
      <c r="EG1763" s="4"/>
      <c r="EH1763" s="4"/>
      <c r="EI1763" s="4"/>
      <c r="EJ1763" s="4"/>
      <c r="EK1763" s="4"/>
      <c r="EL1763" s="4"/>
      <c r="EM1763" s="4"/>
      <c r="EN1763" s="4"/>
      <c r="EO1763" s="4"/>
      <c r="EP1763" s="4"/>
      <c r="EQ1763" s="4"/>
      <c r="ER1763" s="4"/>
      <c r="ES1763" s="4"/>
      <c r="ET1763" s="4"/>
      <c r="EU1763" s="4"/>
      <c r="EV1763" s="4"/>
      <c r="EW1763" s="4"/>
      <c r="EX1763" s="4"/>
      <c r="EY1763" s="4"/>
      <c r="EZ1763" s="4"/>
      <c r="FA1763" s="4"/>
      <c r="FB1763" s="4"/>
      <c r="FC1763" s="4"/>
      <c r="FD1763" s="4"/>
      <c r="FE1763" s="4"/>
      <c r="FF1763" s="4"/>
      <c r="FG1763" s="4"/>
      <c r="FH1763" s="4"/>
      <c r="FI1763" s="4"/>
      <c r="FJ1763" s="4"/>
      <c r="FK1763" s="4"/>
      <c r="FL1763" s="4"/>
      <c r="FM1763" s="4"/>
      <c r="FN1763" s="4"/>
      <c r="FO1763" s="4"/>
      <c r="FP1763" s="4"/>
      <c r="FQ1763" s="4"/>
      <c r="FR1763" s="4"/>
      <c r="FS1763" s="4"/>
      <c r="FT1763" s="4"/>
      <c r="FU1763" s="4"/>
      <c r="FV1763" s="4"/>
      <c r="FW1763" s="4"/>
      <c r="FX1763" s="4"/>
      <c r="FY1763" s="4"/>
      <c r="FZ1763" s="4"/>
      <c r="GA1763" s="4"/>
      <c r="GB1763" s="4"/>
      <c r="GC1763" s="4"/>
      <c r="GD1763" s="4"/>
      <c r="GE1763" s="4"/>
      <c r="GF1763" s="4"/>
      <c r="GG1763" s="4"/>
      <c r="GH1763" s="4"/>
    </row>
    <row r="1764">
      <c r="A1764" s="2" t="s">
        <v>8991</v>
      </c>
      <c r="B1764" s="2" t="s">
        <v>744</v>
      </c>
      <c r="C1764" s="2" t="s">
        <v>231</v>
      </c>
      <c r="D1764" s="2" t="s">
        <v>1806</v>
      </c>
      <c r="E1764" s="2" t="s">
        <v>6184</v>
      </c>
      <c r="F1764" s="2" t="s">
        <v>866</v>
      </c>
      <c r="G1764" s="2" t="s">
        <v>8987</v>
      </c>
      <c r="H1764" s="2" t="s">
        <v>6689</v>
      </c>
      <c r="I1764" s="2" t="s">
        <v>6184</v>
      </c>
      <c r="J1764" s="2" t="s">
        <v>711</v>
      </c>
      <c r="K1764" s="2" t="s">
        <v>1135</v>
      </c>
      <c r="L1764" s="3">
        <v>118</v>
      </c>
      <c r="M1764" s="3">
        <v>123.9</v>
      </c>
      <c r="N1764" s="3">
        <v>249</v>
      </c>
      <c r="O1764" s="2" t="s">
        <v>417</v>
      </c>
      <c r="P1764" s="2" t="s">
        <v>285</v>
      </c>
      <c r="Q1764" s="2" t="s">
        <v>206</v>
      </c>
      <c r="R1764" s="2" t="s">
        <v>200</v>
      </c>
      <c r="S1764" s="2" t="s">
        <v>200</v>
      </c>
      <c r="T1764" s="2" t="s">
        <v>200</v>
      </c>
      <c r="U1764" s="2" t="s">
        <v>270</v>
      </c>
      <c r="V1764" s="2" t="s">
        <v>616</v>
      </c>
      <c r="W1764" s="2" t="s">
        <v>2095</v>
      </c>
      <c r="X1764" s="2" t="s">
        <v>241</v>
      </c>
      <c r="Y1764" s="2" t="s">
        <v>8989</v>
      </c>
      <c r="Z1764" s="4">
        <v>2</v>
      </c>
      <c r="AA1764" s="4">
        <f>=ROUNDDOWN(6.66666666666667,0)</f>
      </c>
      <c r="AB1764" s="5">
        <v>0.3</v>
      </c>
      <c r="AC1764" s="2" t="s">
        <v>200</v>
      </c>
      <c r="AD1764" s="4"/>
      <c r="AE1764" s="4"/>
      <c r="AF1764" s="6">
        <v>65</v>
      </c>
      <c r="AG1764" s="6"/>
      <c r="AH1764" s="7">
        <v>1</v>
      </c>
      <c r="AI1764" s="4"/>
      <c r="AJ1764" s="4">
        <f>=ROUNDDOWN({0},0)</f>
      </c>
      <c r="AK1764" s="5"/>
      <c r="AL1764" s="2" t="s">
        <v>200</v>
      </c>
      <c r="AM1764" s="4"/>
      <c r="AN1764" s="4"/>
      <c r="AO1764" s="7"/>
      <c r="AP1764" s="4"/>
      <c r="AQ1764" s="8"/>
      <c r="AR1764" s="4"/>
      <c r="AS1764" s="8"/>
      <c r="AT1764" s="7"/>
      <c r="AU1764" s="7"/>
      <c r="AV1764" s="4" t="s">
        <v>200</v>
      </c>
      <c r="AW1764" s="8" t="s">
        <v>200</v>
      </c>
      <c r="AX1764" s="4" t="s">
        <v>200</v>
      </c>
      <c r="AY1764" s="8" t="s">
        <v>200</v>
      </c>
      <c r="AZ1764" s="7" t="s">
        <v>200</v>
      </c>
      <c r="BA1764" s="7" t="s">
        <v>200</v>
      </c>
      <c r="BB1764" s="7" t="s">
        <v>200</v>
      </c>
      <c r="BC1764" s="4" t="s">
        <v>200</v>
      </c>
      <c r="BD1764" s="8" t="s">
        <v>200</v>
      </c>
      <c r="BE1764" s="4" t="s">
        <v>200</v>
      </c>
      <c r="BF1764" s="8" t="s">
        <v>200</v>
      </c>
      <c r="BG1764" s="7" t="s">
        <v>200</v>
      </c>
      <c r="BH1764" s="7" t="s">
        <v>200</v>
      </c>
      <c r="BI1764" s="7"/>
      <c r="BJ1764" s="4">
        <v>4</v>
      </c>
      <c r="BK1764" s="8">
        <v>247.8</v>
      </c>
      <c r="BL1764" s="2" t="s">
        <v>1518</v>
      </c>
      <c r="BM1764" s="7"/>
      <c r="BN1764" s="7"/>
      <c r="BO1764" s="4"/>
      <c r="BP1764" s="8"/>
      <c r="BQ1764" s="4"/>
      <c r="BR1764" s="8"/>
      <c r="BS1764" s="7"/>
      <c r="BT1764" s="7"/>
      <c r="BU1764" s="2" t="s">
        <v>8992</v>
      </c>
      <c r="BV1764" s="2" t="s">
        <v>200</v>
      </c>
      <c r="BW1764" s="2" t="s">
        <v>200</v>
      </c>
      <c r="BX1764" s="2" t="s">
        <v>289</v>
      </c>
      <c r="BY1764" s="2" t="s">
        <v>247</v>
      </c>
      <c r="BZ1764" s="2" t="s">
        <v>212</v>
      </c>
      <c r="CA1764" s="2" t="s">
        <v>4379</v>
      </c>
      <c r="CB1764" s="2" t="s">
        <v>875</v>
      </c>
      <c r="CC1764" s="2" t="s">
        <v>213</v>
      </c>
      <c r="CD1764" s="2" t="s">
        <v>200</v>
      </c>
      <c r="CE1764" s="4"/>
      <c r="CF1764" s="4">
        <v>2</v>
      </c>
      <c r="CG1764" s="4"/>
      <c r="CH1764" s="4"/>
      <c r="CI1764" s="4"/>
      <c r="CJ1764" s="4"/>
      <c r="CK1764" s="4"/>
      <c r="CL1764" s="4"/>
      <c r="CM1764" s="4"/>
      <c r="CN1764" s="4"/>
      <c r="CO1764" s="4"/>
      <c r="CP1764" s="4"/>
      <c r="CQ1764" s="4"/>
      <c r="CR1764" s="4"/>
      <c r="CS1764" s="4"/>
      <c r="CT1764" s="4"/>
      <c r="CU1764" s="4"/>
      <c r="CV1764" s="4"/>
      <c r="CW1764" s="4"/>
      <c r="CX1764" s="4"/>
      <c r="CY1764" s="4"/>
      <c r="CZ1764" s="4"/>
      <c r="DA1764" s="4"/>
      <c r="DB1764" s="4"/>
      <c r="DC1764" s="4"/>
      <c r="DD1764" s="4"/>
      <c r="DE1764" s="4"/>
      <c r="DF1764" s="4"/>
      <c r="DG1764" s="4"/>
      <c r="DH1764" s="4"/>
      <c r="DI1764" s="4"/>
      <c r="DJ1764" s="4"/>
      <c r="DK1764" s="4"/>
      <c r="DL1764" s="4"/>
      <c r="DM1764" s="4"/>
      <c r="DN1764" s="4"/>
      <c r="DO1764" s="4"/>
      <c r="DP1764" s="4"/>
      <c r="DQ1764" s="4"/>
      <c r="DR1764" s="4"/>
      <c r="DS1764" s="4"/>
      <c r="DT1764" s="4"/>
      <c r="DU1764" s="4"/>
      <c r="DV1764" s="4"/>
      <c r="DW1764" s="4"/>
      <c r="DX1764" s="4"/>
      <c r="DY1764" s="4"/>
      <c r="DZ1764" s="4"/>
      <c r="EA1764" s="4"/>
      <c r="EB1764" s="4"/>
      <c r="EC1764" s="4"/>
      <c r="ED1764" s="4"/>
      <c r="EE1764" s="4"/>
      <c r="EF1764" s="4"/>
      <c r="EG1764" s="4"/>
      <c r="EH1764" s="4"/>
      <c r="EI1764" s="4"/>
      <c r="EJ1764" s="4"/>
      <c r="EK1764" s="4"/>
      <c r="EL1764" s="4"/>
      <c r="EM1764" s="4"/>
      <c r="EN1764" s="4"/>
      <c r="EO1764" s="4"/>
      <c r="EP1764" s="4"/>
      <c r="EQ1764" s="4"/>
      <c r="ER1764" s="4"/>
      <c r="ES1764" s="4"/>
      <c r="ET1764" s="4"/>
      <c r="EU1764" s="4"/>
      <c r="EV1764" s="4"/>
      <c r="EW1764" s="4"/>
      <c r="EX1764" s="4"/>
      <c r="EY1764" s="4"/>
      <c r="EZ1764" s="4"/>
      <c r="FA1764" s="4"/>
      <c r="FB1764" s="4"/>
      <c r="FC1764" s="4"/>
      <c r="FD1764" s="4"/>
      <c r="FE1764" s="4"/>
      <c r="FF1764" s="4"/>
      <c r="FG1764" s="4"/>
      <c r="FH1764" s="4"/>
      <c r="FI1764" s="4"/>
      <c r="FJ1764" s="4"/>
      <c r="FK1764" s="4"/>
      <c r="FL1764" s="4"/>
      <c r="FM1764" s="4"/>
      <c r="FN1764" s="4"/>
      <c r="FO1764" s="4"/>
      <c r="FP1764" s="4"/>
      <c r="FQ1764" s="4"/>
      <c r="FR1764" s="4"/>
      <c r="FS1764" s="4"/>
      <c r="FT1764" s="4"/>
      <c r="FU1764" s="4"/>
      <c r="FV1764" s="4"/>
      <c r="FW1764" s="4"/>
      <c r="FX1764" s="4"/>
      <c r="FY1764" s="4"/>
      <c r="FZ1764" s="4"/>
      <c r="GA1764" s="4"/>
      <c r="GB1764" s="4"/>
      <c r="GC1764" s="4"/>
      <c r="GD1764" s="4"/>
      <c r="GE1764" s="4"/>
      <c r="GF1764" s="4"/>
      <c r="GG1764" s="4"/>
      <c r="GH1764" s="4"/>
    </row>
    <row r="1765">
      <c r="A1765" s="2" t="s">
        <v>8993</v>
      </c>
      <c r="B1765" s="2" t="s">
        <v>903</v>
      </c>
      <c r="C1765" s="2" t="s">
        <v>231</v>
      </c>
      <c r="D1765" s="2" t="s">
        <v>1818</v>
      </c>
      <c r="E1765" s="2" t="s">
        <v>2020</v>
      </c>
      <c r="F1765" s="2" t="s">
        <v>866</v>
      </c>
      <c r="G1765" s="2" t="s">
        <v>8994</v>
      </c>
      <c r="H1765" s="2" t="s">
        <v>8995</v>
      </c>
      <c r="I1765" s="2" t="s">
        <v>8996</v>
      </c>
      <c r="J1765" s="2" t="s">
        <v>297</v>
      </c>
      <c r="K1765" s="2" t="s">
        <v>2233</v>
      </c>
      <c r="L1765" s="3">
        <v>50.281143</v>
      </c>
      <c r="M1765" s="3">
        <v>52.79</v>
      </c>
      <c r="N1765" s="3">
        <v>109.99</v>
      </c>
      <c r="O1765" s="2" t="s">
        <v>212</v>
      </c>
      <c r="P1765" s="2" t="s">
        <v>675</v>
      </c>
      <c r="Q1765" s="2" t="s">
        <v>206</v>
      </c>
      <c r="R1765" s="2" t="s">
        <v>200</v>
      </c>
      <c r="S1765" s="2" t="s">
        <v>200</v>
      </c>
      <c r="T1765" s="2" t="s">
        <v>1176</v>
      </c>
      <c r="U1765" s="2" t="s">
        <v>454</v>
      </c>
      <c r="V1765" s="2" t="s">
        <v>940</v>
      </c>
      <c r="W1765" s="2" t="s">
        <v>736</v>
      </c>
      <c r="X1765" s="2" t="s">
        <v>2691</v>
      </c>
      <c r="Y1765" s="2" t="s">
        <v>200</v>
      </c>
      <c r="Z1765" s="4"/>
      <c r="AA1765" s="4">
        <f>=ROUNDDOWN({0},0)</f>
      </c>
      <c r="AB1765" s="5"/>
      <c r="AC1765" s="2" t="s">
        <v>8997</v>
      </c>
      <c r="AD1765" s="4">
        <v>365</v>
      </c>
      <c r="AE1765" s="4">
        <v>365</v>
      </c>
      <c r="AF1765" s="6">
        <v>64</v>
      </c>
      <c r="AG1765" s="6"/>
      <c r="AH1765" s="7"/>
      <c r="AI1765" s="4"/>
      <c r="AJ1765" s="4">
        <f>=ROUNDDOWN({0},0)</f>
      </c>
      <c r="AK1765" s="5"/>
      <c r="AL1765" s="2" t="s">
        <v>200</v>
      </c>
      <c r="AM1765" s="4"/>
      <c r="AN1765" s="4"/>
      <c r="AO1765" s="7"/>
      <c r="AP1765" s="4"/>
      <c r="AQ1765" s="8"/>
      <c r="AR1765" s="4"/>
      <c r="AS1765" s="8"/>
      <c r="AT1765" s="7"/>
      <c r="AU1765" s="7"/>
      <c r="AV1765" s="4" t="s">
        <v>200</v>
      </c>
      <c r="AW1765" s="8" t="s">
        <v>200</v>
      </c>
      <c r="AX1765" s="4" t="s">
        <v>200</v>
      </c>
      <c r="AY1765" s="8" t="s">
        <v>200</v>
      </c>
      <c r="AZ1765" s="7" t="s">
        <v>200</v>
      </c>
      <c r="BA1765" s="7" t="s">
        <v>200</v>
      </c>
      <c r="BB1765" s="7"/>
      <c r="BC1765" s="4" t="s">
        <v>200</v>
      </c>
      <c r="BD1765" s="8" t="s">
        <v>200</v>
      </c>
      <c r="BE1765" s="4" t="s">
        <v>200</v>
      </c>
      <c r="BF1765" s="8" t="s">
        <v>200</v>
      </c>
      <c r="BG1765" s="7" t="s">
        <v>200</v>
      </c>
      <c r="BH1765" s="7" t="s">
        <v>200</v>
      </c>
      <c r="BI1765" s="7"/>
      <c r="BJ1765" s="4"/>
      <c r="BK1765" s="8"/>
      <c r="BL1765" s="2" t="s">
        <v>200</v>
      </c>
      <c r="BM1765" s="7"/>
      <c r="BN1765" s="7"/>
      <c r="BO1765" s="4"/>
      <c r="BP1765" s="8"/>
      <c r="BQ1765" s="4"/>
      <c r="BR1765" s="8"/>
      <c r="BS1765" s="7"/>
      <c r="BT1765" s="7"/>
      <c r="BU1765" s="2" t="s">
        <v>210</v>
      </c>
      <c r="BV1765" s="2" t="s">
        <v>200</v>
      </c>
      <c r="BW1765" s="2" t="s">
        <v>200</v>
      </c>
      <c r="BX1765" s="2" t="s">
        <v>210</v>
      </c>
      <c r="BY1765" s="2" t="s">
        <v>211</v>
      </c>
      <c r="BZ1765" s="2" t="s">
        <v>212</v>
      </c>
      <c r="CA1765" s="2" t="s">
        <v>200</v>
      </c>
      <c r="CB1765" s="2" t="s">
        <v>200</v>
      </c>
      <c r="CC1765" s="2" t="s">
        <v>213</v>
      </c>
      <c r="CD1765" s="2" t="s">
        <v>200</v>
      </c>
      <c r="CE1765" s="4"/>
      <c r="CF1765" s="4"/>
      <c r="CG1765" s="4"/>
      <c r="CH1765" s="4"/>
      <c r="CI1765" s="4"/>
      <c r="CJ1765" s="4"/>
      <c r="CK1765" s="4"/>
      <c r="CL1765" s="4"/>
      <c r="CM1765" s="4"/>
      <c r="CN1765" s="4"/>
      <c r="CO1765" s="4"/>
      <c r="CP1765" s="4"/>
      <c r="CQ1765" s="4"/>
      <c r="CR1765" s="4"/>
      <c r="CS1765" s="4"/>
      <c r="CT1765" s="4"/>
      <c r="CU1765" s="4"/>
      <c r="CV1765" s="4"/>
      <c r="CW1765" s="4"/>
      <c r="CX1765" s="4"/>
      <c r="CY1765" s="4"/>
      <c r="CZ1765" s="4"/>
      <c r="DA1765" s="4"/>
      <c r="DB1765" s="4"/>
      <c r="DC1765" s="4"/>
      <c r="DD1765" s="4"/>
      <c r="DE1765" s="4"/>
      <c r="DF1765" s="4"/>
      <c r="DG1765" s="4"/>
      <c r="DH1765" s="4"/>
      <c r="DI1765" s="4"/>
      <c r="DJ1765" s="4"/>
      <c r="DK1765" s="4"/>
      <c r="DL1765" s="4"/>
      <c r="DM1765" s="4"/>
      <c r="DN1765" s="4"/>
      <c r="DO1765" s="4"/>
      <c r="DP1765" s="4"/>
      <c r="DQ1765" s="4"/>
      <c r="DR1765" s="4"/>
      <c r="DS1765" s="4"/>
      <c r="DT1765" s="4"/>
      <c r="DU1765" s="4"/>
      <c r="DV1765" s="4"/>
      <c r="DW1765" s="4"/>
      <c r="DX1765" s="4"/>
      <c r="DY1765" s="4"/>
      <c r="DZ1765" s="4"/>
      <c r="EA1765" s="4"/>
      <c r="EB1765" s="4"/>
      <c r="EC1765" s="4"/>
      <c r="ED1765" s="4"/>
      <c r="EE1765" s="4"/>
      <c r="EF1765" s="4"/>
      <c r="EG1765" s="4"/>
      <c r="EH1765" s="4"/>
      <c r="EI1765" s="4"/>
      <c r="EJ1765" s="4"/>
      <c r="EK1765" s="4"/>
      <c r="EL1765" s="4"/>
      <c r="EM1765" s="4"/>
      <c r="EN1765" s="4"/>
      <c r="EO1765" s="4"/>
      <c r="EP1765" s="4"/>
      <c r="EQ1765" s="4"/>
      <c r="ER1765" s="4"/>
      <c r="ES1765" s="4"/>
      <c r="ET1765" s="4"/>
      <c r="EU1765" s="4"/>
      <c r="EV1765" s="4"/>
      <c r="EW1765" s="4"/>
      <c r="EX1765" s="4"/>
      <c r="EY1765" s="4"/>
      <c r="EZ1765" s="4"/>
      <c r="FA1765" s="4"/>
      <c r="FB1765" s="4"/>
      <c r="FC1765" s="4"/>
      <c r="FD1765" s="4"/>
      <c r="FE1765" s="4"/>
      <c r="FF1765" s="4"/>
      <c r="FG1765" s="4"/>
      <c r="FH1765" s="4"/>
      <c r="FI1765" s="4"/>
      <c r="FJ1765" s="4"/>
      <c r="FK1765" s="4"/>
      <c r="FL1765" s="4"/>
      <c r="FM1765" s="4"/>
      <c r="FN1765" s="4"/>
      <c r="FO1765" s="4"/>
      <c r="FP1765" s="4"/>
      <c r="FQ1765" s="4"/>
      <c r="FR1765" s="4"/>
      <c r="FS1765" s="4"/>
      <c r="FT1765" s="4"/>
      <c r="FU1765" s="4"/>
      <c r="FV1765" s="4"/>
      <c r="FW1765" s="4"/>
      <c r="FX1765" s="4"/>
      <c r="FY1765" s="4"/>
      <c r="FZ1765" s="4">
        <v>365</v>
      </c>
      <c r="GA1765" s="4"/>
      <c r="GB1765" s="4"/>
      <c r="GC1765" s="4"/>
      <c r="GD1765" s="4"/>
      <c r="GE1765" s="4"/>
      <c r="GF1765" s="4"/>
      <c r="GG1765" s="4"/>
      <c r="GH1765" s="4"/>
    </row>
    <row r="1766">
      <c r="A1766" s="2" t="s">
        <v>8998</v>
      </c>
      <c r="B1766" s="2" t="s">
        <v>903</v>
      </c>
      <c r="C1766" s="2" t="s">
        <v>231</v>
      </c>
      <c r="D1766" s="2" t="s">
        <v>1818</v>
      </c>
      <c r="E1766" s="2" t="s">
        <v>2020</v>
      </c>
      <c r="F1766" s="2" t="s">
        <v>866</v>
      </c>
      <c r="G1766" s="2" t="s">
        <v>8994</v>
      </c>
      <c r="H1766" s="2" t="s">
        <v>8995</v>
      </c>
      <c r="I1766" s="2" t="s">
        <v>8996</v>
      </c>
      <c r="J1766" s="2" t="s">
        <v>302</v>
      </c>
      <c r="K1766" s="2" t="s">
        <v>2233</v>
      </c>
      <c r="L1766" s="3">
        <v>59.424</v>
      </c>
      <c r="M1766" s="3">
        <v>62.39</v>
      </c>
      <c r="N1766" s="3">
        <v>129.99</v>
      </c>
      <c r="O1766" s="2" t="s">
        <v>212</v>
      </c>
      <c r="P1766" s="2" t="s">
        <v>675</v>
      </c>
      <c r="Q1766" s="2" t="s">
        <v>206</v>
      </c>
      <c r="R1766" s="2" t="s">
        <v>200</v>
      </c>
      <c r="S1766" s="2" t="s">
        <v>200</v>
      </c>
      <c r="T1766" s="2" t="s">
        <v>1176</v>
      </c>
      <c r="U1766" s="2" t="s">
        <v>454</v>
      </c>
      <c r="V1766" s="2" t="s">
        <v>940</v>
      </c>
      <c r="W1766" s="2" t="s">
        <v>736</v>
      </c>
      <c r="X1766" s="2" t="s">
        <v>2691</v>
      </c>
      <c r="Y1766" s="2" t="s">
        <v>200</v>
      </c>
      <c r="Z1766" s="4"/>
      <c r="AA1766" s="4">
        <f>=ROUNDDOWN({0},0)</f>
      </c>
      <c r="AB1766" s="5"/>
      <c r="AC1766" s="2" t="s">
        <v>8997</v>
      </c>
      <c r="AD1766" s="4">
        <v>375</v>
      </c>
      <c r="AE1766" s="4">
        <v>375</v>
      </c>
      <c r="AF1766" s="6">
        <v>64</v>
      </c>
      <c r="AG1766" s="6"/>
      <c r="AH1766" s="7"/>
      <c r="AI1766" s="4"/>
      <c r="AJ1766" s="4">
        <f>=ROUNDDOWN({0},0)</f>
      </c>
      <c r="AK1766" s="5"/>
      <c r="AL1766" s="2" t="s">
        <v>200</v>
      </c>
      <c r="AM1766" s="4"/>
      <c r="AN1766" s="4"/>
      <c r="AO1766" s="7"/>
      <c r="AP1766" s="4"/>
      <c r="AQ1766" s="8"/>
      <c r="AR1766" s="4"/>
      <c r="AS1766" s="8"/>
      <c r="AT1766" s="7"/>
      <c r="AU1766" s="7"/>
      <c r="AV1766" s="4" t="s">
        <v>200</v>
      </c>
      <c r="AW1766" s="8" t="s">
        <v>200</v>
      </c>
      <c r="AX1766" s="4" t="s">
        <v>200</v>
      </c>
      <c r="AY1766" s="8" t="s">
        <v>200</v>
      </c>
      <c r="AZ1766" s="7" t="s">
        <v>200</v>
      </c>
      <c r="BA1766" s="7" t="s">
        <v>200</v>
      </c>
      <c r="BB1766" s="7"/>
      <c r="BC1766" s="4" t="s">
        <v>200</v>
      </c>
      <c r="BD1766" s="8" t="s">
        <v>200</v>
      </c>
      <c r="BE1766" s="4" t="s">
        <v>200</v>
      </c>
      <c r="BF1766" s="8" t="s">
        <v>200</v>
      </c>
      <c r="BG1766" s="7" t="s">
        <v>200</v>
      </c>
      <c r="BH1766" s="7" t="s">
        <v>200</v>
      </c>
      <c r="BI1766" s="7"/>
      <c r="BJ1766" s="4"/>
      <c r="BK1766" s="8"/>
      <c r="BL1766" s="2" t="s">
        <v>200</v>
      </c>
      <c r="BM1766" s="7"/>
      <c r="BN1766" s="7"/>
      <c r="BO1766" s="4"/>
      <c r="BP1766" s="8"/>
      <c r="BQ1766" s="4"/>
      <c r="BR1766" s="8"/>
      <c r="BS1766" s="7"/>
      <c r="BT1766" s="7"/>
      <c r="BU1766" s="2" t="s">
        <v>210</v>
      </c>
      <c r="BV1766" s="2" t="s">
        <v>200</v>
      </c>
      <c r="BW1766" s="2" t="s">
        <v>200</v>
      </c>
      <c r="BX1766" s="2" t="s">
        <v>210</v>
      </c>
      <c r="BY1766" s="2" t="s">
        <v>211</v>
      </c>
      <c r="BZ1766" s="2" t="s">
        <v>212</v>
      </c>
      <c r="CA1766" s="2" t="s">
        <v>200</v>
      </c>
      <c r="CB1766" s="2" t="s">
        <v>200</v>
      </c>
      <c r="CC1766" s="2" t="s">
        <v>213</v>
      </c>
      <c r="CD1766" s="2" t="s">
        <v>200</v>
      </c>
      <c r="CE1766" s="4"/>
      <c r="CF1766" s="4"/>
      <c r="CG1766" s="4"/>
      <c r="CH1766" s="4"/>
      <c r="CI1766" s="4"/>
      <c r="CJ1766" s="4"/>
      <c r="CK1766" s="4"/>
      <c r="CL1766" s="4"/>
      <c r="CM1766" s="4"/>
      <c r="CN1766" s="4"/>
      <c r="CO1766" s="4"/>
      <c r="CP1766" s="4"/>
      <c r="CQ1766" s="4"/>
      <c r="CR1766" s="4"/>
      <c r="CS1766" s="4"/>
      <c r="CT1766" s="4"/>
      <c r="CU1766" s="4"/>
      <c r="CV1766" s="4"/>
      <c r="CW1766" s="4"/>
      <c r="CX1766" s="4"/>
      <c r="CY1766" s="4"/>
      <c r="CZ1766" s="4"/>
      <c r="DA1766" s="4"/>
      <c r="DB1766" s="4"/>
      <c r="DC1766" s="4"/>
      <c r="DD1766" s="4"/>
      <c r="DE1766" s="4"/>
      <c r="DF1766" s="4"/>
      <c r="DG1766" s="4"/>
      <c r="DH1766" s="4"/>
      <c r="DI1766" s="4"/>
      <c r="DJ1766" s="4"/>
      <c r="DK1766" s="4"/>
      <c r="DL1766" s="4"/>
      <c r="DM1766" s="4"/>
      <c r="DN1766" s="4"/>
      <c r="DO1766" s="4"/>
      <c r="DP1766" s="4"/>
      <c r="DQ1766" s="4"/>
      <c r="DR1766" s="4"/>
      <c r="DS1766" s="4"/>
      <c r="DT1766" s="4"/>
      <c r="DU1766" s="4"/>
      <c r="DV1766" s="4"/>
      <c r="DW1766" s="4"/>
      <c r="DX1766" s="4"/>
      <c r="DY1766" s="4"/>
      <c r="DZ1766" s="4"/>
      <c r="EA1766" s="4"/>
      <c r="EB1766" s="4"/>
      <c r="EC1766" s="4"/>
      <c r="ED1766" s="4"/>
      <c r="EE1766" s="4"/>
      <c r="EF1766" s="4"/>
      <c r="EG1766" s="4"/>
      <c r="EH1766" s="4"/>
      <c r="EI1766" s="4"/>
      <c r="EJ1766" s="4"/>
      <c r="EK1766" s="4"/>
      <c r="EL1766" s="4"/>
      <c r="EM1766" s="4"/>
      <c r="EN1766" s="4"/>
      <c r="EO1766" s="4"/>
      <c r="EP1766" s="4"/>
      <c r="EQ1766" s="4"/>
      <c r="ER1766" s="4"/>
      <c r="ES1766" s="4"/>
      <c r="ET1766" s="4"/>
      <c r="EU1766" s="4"/>
      <c r="EV1766" s="4"/>
      <c r="EW1766" s="4"/>
      <c r="EX1766" s="4"/>
      <c r="EY1766" s="4"/>
      <c r="EZ1766" s="4"/>
      <c r="FA1766" s="4"/>
      <c r="FB1766" s="4"/>
      <c r="FC1766" s="4"/>
      <c r="FD1766" s="4"/>
      <c r="FE1766" s="4"/>
      <c r="FF1766" s="4"/>
      <c r="FG1766" s="4"/>
      <c r="FH1766" s="4"/>
      <c r="FI1766" s="4"/>
      <c r="FJ1766" s="4"/>
      <c r="FK1766" s="4"/>
      <c r="FL1766" s="4"/>
      <c r="FM1766" s="4"/>
      <c r="FN1766" s="4"/>
      <c r="FO1766" s="4"/>
      <c r="FP1766" s="4"/>
      <c r="FQ1766" s="4"/>
      <c r="FR1766" s="4"/>
      <c r="FS1766" s="4"/>
      <c r="FT1766" s="4"/>
      <c r="FU1766" s="4"/>
      <c r="FV1766" s="4"/>
      <c r="FW1766" s="4"/>
      <c r="FX1766" s="4"/>
      <c r="FY1766" s="4"/>
      <c r="FZ1766" s="4">
        <v>375</v>
      </c>
      <c r="GA1766" s="4"/>
      <c r="GB1766" s="4"/>
      <c r="GC1766" s="4"/>
      <c r="GD1766" s="4"/>
      <c r="GE1766" s="4"/>
      <c r="GF1766" s="4"/>
      <c r="GG1766" s="4"/>
      <c r="GH1766" s="4"/>
    </row>
    <row r="1767">
      <c r="A1767" s="2" t="s">
        <v>8999</v>
      </c>
      <c r="B1767" s="2" t="s">
        <v>903</v>
      </c>
      <c r="C1767" s="2" t="s">
        <v>231</v>
      </c>
      <c r="D1767" s="2" t="s">
        <v>1818</v>
      </c>
      <c r="E1767" s="2" t="s">
        <v>2020</v>
      </c>
      <c r="F1767" s="2" t="s">
        <v>866</v>
      </c>
      <c r="G1767" s="2" t="s">
        <v>8994</v>
      </c>
      <c r="H1767" s="2" t="s">
        <v>8995</v>
      </c>
      <c r="I1767" s="2" t="s">
        <v>8996</v>
      </c>
      <c r="J1767" s="2" t="s">
        <v>297</v>
      </c>
      <c r="K1767" s="2" t="s">
        <v>257</v>
      </c>
      <c r="L1767" s="3">
        <v>50.281143</v>
      </c>
      <c r="M1767" s="3">
        <v>52.79</v>
      </c>
      <c r="N1767" s="3">
        <v>109.99</v>
      </c>
      <c r="O1767" s="2" t="s">
        <v>212</v>
      </c>
      <c r="P1767" s="2" t="s">
        <v>675</v>
      </c>
      <c r="Q1767" s="2" t="s">
        <v>206</v>
      </c>
      <c r="R1767" s="2" t="s">
        <v>200</v>
      </c>
      <c r="S1767" s="2" t="s">
        <v>200</v>
      </c>
      <c r="T1767" s="2" t="s">
        <v>1176</v>
      </c>
      <c r="U1767" s="2" t="s">
        <v>454</v>
      </c>
      <c r="V1767" s="2" t="s">
        <v>940</v>
      </c>
      <c r="W1767" s="2" t="s">
        <v>736</v>
      </c>
      <c r="X1767" s="2" t="s">
        <v>2691</v>
      </c>
      <c r="Y1767" s="2" t="s">
        <v>200</v>
      </c>
      <c r="Z1767" s="4"/>
      <c r="AA1767" s="4">
        <f>=ROUNDDOWN({0},0)</f>
      </c>
      <c r="AB1767" s="5"/>
      <c r="AC1767" s="2" t="s">
        <v>8997</v>
      </c>
      <c r="AD1767" s="4">
        <v>500</v>
      </c>
      <c r="AE1767" s="4">
        <v>500</v>
      </c>
      <c r="AF1767" s="6">
        <v>64</v>
      </c>
      <c r="AG1767" s="6"/>
      <c r="AH1767" s="7"/>
      <c r="AI1767" s="4"/>
      <c r="AJ1767" s="4">
        <f>=ROUNDDOWN({0},0)</f>
      </c>
      <c r="AK1767" s="5"/>
      <c r="AL1767" s="2" t="s">
        <v>200</v>
      </c>
      <c r="AM1767" s="4"/>
      <c r="AN1767" s="4"/>
      <c r="AO1767" s="7"/>
      <c r="AP1767" s="4"/>
      <c r="AQ1767" s="8"/>
      <c r="AR1767" s="4"/>
      <c r="AS1767" s="8"/>
      <c r="AT1767" s="7"/>
      <c r="AU1767" s="7"/>
      <c r="AV1767" s="4" t="s">
        <v>200</v>
      </c>
      <c r="AW1767" s="8" t="s">
        <v>200</v>
      </c>
      <c r="AX1767" s="4" t="s">
        <v>200</v>
      </c>
      <c r="AY1767" s="8" t="s">
        <v>200</v>
      </c>
      <c r="AZ1767" s="7" t="s">
        <v>200</v>
      </c>
      <c r="BA1767" s="7" t="s">
        <v>200</v>
      </c>
      <c r="BB1767" s="7"/>
      <c r="BC1767" s="4" t="s">
        <v>200</v>
      </c>
      <c r="BD1767" s="8" t="s">
        <v>200</v>
      </c>
      <c r="BE1767" s="4" t="s">
        <v>200</v>
      </c>
      <c r="BF1767" s="8" t="s">
        <v>200</v>
      </c>
      <c r="BG1767" s="7" t="s">
        <v>200</v>
      </c>
      <c r="BH1767" s="7" t="s">
        <v>200</v>
      </c>
      <c r="BI1767" s="7"/>
      <c r="BJ1767" s="4"/>
      <c r="BK1767" s="8"/>
      <c r="BL1767" s="2" t="s">
        <v>200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210</v>
      </c>
      <c r="BV1767" s="2" t="s">
        <v>200</v>
      </c>
      <c r="BW1767" s="2" t="s">
        <v>200</v>
      </c>
      <c r="BX1767" s="2" t="s">
        <v>210</v>
      </c>
      <c r="BY1767" s="2" t="s">
        <v>211</v>
      </c>
      <c r="BZ1767" s="2" t="s">
        <v>212</v>
      </c>
      <c r="CA1767" s="2" t="s">
        <v>200</v>
      </c>
      <c r="CB1767" s="2" t="s">
        <v>200</v>
      </c>
      <c r="CC1767" s="2" t="s">
        <v>213</v>
      </c>
      <c r="CD1767" s="2" t="s">
        <v>200</v>
      </c>
      <c r="CE1767" s="4"/>
      <c r="CF1767" s="4"/>
      <c r="CG1767" s="4"/>
      <c r="CH1767" s="4"/>
      <c r="CI1767" s="4"/>
      <c r="CJ1767" s="4"/>
      <c r="CK1767" s="4"/>
      <c r="CL1767" s="4"/>
      <c r="CM1767" s="4"/>
      <c r="CN1767" s="4"/>
      <c r="CO1767" s="4"/>
      <c r="CP1767" s="4"/>
      <c r="CQ1767" s="4"/>
      <c r="CR1767" s="4"/>
      <c r="CS1767" s="4"/>
      <c r="CT1767" s="4"/>
      <c r="CU1767" s="4"/>
      <c r="CV1767" s="4"/>
      <c r="CW1767" s="4"/>
      <c r="CX1767" s="4"/>
      <c r="CY1767" s="4"/>
      <c r="CZ1767" s="4"/>
      <c r="DA1767" s="4"/>
      <c r="DB1767" s="4"/>
      <c r="DC1767" s="4"/>
      <c r="DD1767" s="4"/>
      <c r="DE1767" s="4"/>
      <c r="DF1767" s="4"/>
      <c r="DG1767" s="4"/>
      <c r="DH1767" s="4"/>
      <c r="DI1767" s="4"/>
      <c r="DJ1767" s="4"/>
      <c r="DK1767" s="4"/>
      <c r="DL1767" s="4"/>
      <c r="DM1767" s="4"/>
      <c r="DN1767" s="4"/>
      <c r="DO1767" s="4"/>
      <c r="DP1767" s="4"/>
      <c r="DQ1767" s="4"/>
      <c r="DR1767" s="4"/>
      <c r="DS1767" s="4"/>
      <c r="DT1767" s="4"/>
      <c r="DU1767" s="4"/>
      <c r="DV1767" s="4"/>
      <c r="DW1767" s="4"/>
      <c r="DX1767" s="4"/>
      <c r="DY1767" s="4"/>
      <c r="DZ1767" s="4"/>
      <c r="EA1767" s="4"/>
      <c r="EB1767" s="4"/>
      <c r="EC1767" s="4"/>
      <c r="ED1767" s="4"/>
      <c r="EE1767" s="4"/>
      <c r="EF1767" s="4"/>
      <c r="EG1767" s="4"/>
      <c r="EH1767" s="4"/>
      <c r="EI1767" s="4"/>
      <c r="EJ1767" s="4"/>
      <c r="EK1767" s="4"/>
      <c r="EL1767" s="4"/>
      <c r="EM1767" s="4"/>
      <c r="EN1767" s="4"/>
      <c r="EO1767" s="4"/>
      <c r="EP1767" s="4"/>
      <c r="EQ1767" s="4"/>
      <c r="ER1767" s="4"/>
      <c r="ES1767" s="4"/>
      <c r="ET1767" s="4"/>
      <c r="EU1767" s="4"/>
      <c r="EV1767" s="4"/>
      <c r="EW1767" s="4"/>
      <c r="EX1767" s="4"/>
      <c r="EY1767" s="4"/>
      <c r="EZ1767" s="4"/>
      <c r="FA1767" s="4"/>
      <c r="FB1767" s="4"/>
      <c r="FC1767" s="4"/>
      <c r="FD1767" s="4"/>
      <c r="FE1767" s="4"/>
      <c r="FF1767" s="4"/>
      <c r="FG1767" s="4"/>
      <c r="FH1767" s="4"/>
      <c r="FI1767" s="4"/>
      <c r="FJ1767" s="4"/>
      <c r="FK1767" s="4"/>
      <c r="FL1767" s="4"/>
      <c r="FM1767" s="4"/>
      <c r="FN1767" s="4"/>
      <c r="FO1767" s="4"/>
      <c r="FP1767" s="4"/>
      <c r="FQ1767" s="4"/>
      <c r="FR1767" s="4"/>
      <c r="FS1767" s="4"/>
      <c r="FT1767" s="4"/>
      <c r="FU1767" s="4"/>
      <c r="FV1767" s="4"/>
      <c r="FW1767" s="4"/>
      <c r="FX1767" s="4"/>
      <c r="FY1767" s="4"/>
      <c r="FZ1767" s="4">
        <v>500</v>
      </c>
      <c r="GA1767" s="4"/>
      <c r="GB1767" s="4"/>
      <c r="GC1767" s="4"/>
      <c r="GD1767" s="4"/>
      <c r="GE1767" s="4"/>
      <c r="GF1767" s="4"/>
      <c r="GG1767" s="4"/>
      <c r="GH1767" s="4"/>
    </row>
    <row r="1768">
      <c r="A1768" s="2" t="s">
        <v>9000</v>
      </c>
      <c r="B1768" s="2" t="s">
        <v>903</v>
      </c>
      <c r="C1768" s="2" t="s">
        <v>231</v>
      </c>
      <c r="D1768" s="2" t="s">
        <v>1818</v>
      </c>
      <c r="E1768" s="2" t="s">
        <v>2020</v>
      </c>
      <c r="F1768" s="2" t="s">
        <v>866</v>
      </c>
      <c r="G1768" s="2" t="s">
        <v>8994</v>
      </c>
      <c r="H1768" s="2" t="s">
        <v>8995</v>
      </c>
      <c r="I1768" s="2" t="s">
        <v>8996</v>
      </c>
      <c r="J1768" s="2" t="s">
        <v>302</v>
      </c>
      <c r="K1768" s="2" t="s">
        <v>257</v>
      </c>
      <c r="L1768" s="3">
        <v>59.424</v>
      </c>
      <c r="M1768" s="3">
        <v>62.39</v>
      </c>
      <c r="N1768" s="3">
        <v>129.99</v>
      </c>
      <c r="O1768" s="2" t="s">
        <v>212</v>
      </c>
      <c r="P1768" s="2" t="s">
        <v>675</v>
      </c>
      <c r="Q1768" s="2" t="s">
        <v>206</v>
      </c>
      <c r="R1768" s="2" t="s">
        <v>200</v>
      </c>
      <c r="S1768" s="2" t="s">
        <v>200</v>
      </c>
      <c r="T1768" s="2" t="s">
        <v>1176</v>
      </c>
      <c r="U1768" s="2" t="s">
        <v>454</v>
      </c>
      <c r="V1768" s="2" t="s">
        <v>940</v>
      </c>
      <c r="W1768" s="2" t="s">
        <v>736</v>
      </c>
      <c r="X1768" s="2" t="s">
        <v>2691</v>
      </c>
      <c r="Y1768" s="2" t="s">
        <v>200</v>
      </c>
      <c r="Z1768" s="4"/>
      <c r="AA1768" s="4">
        <f>=ROUNDDOWN({0},0)</f>
      </c>
      <c r="AB1768" s="5"/>
      <c r="AC1768" s="2" t="s">
        <v>8997</v>
      </c>
      <c r="AD1768" s="4">
        <v>535</v>
      </c>
      <c r="AE1768" s="4">
        <v>535</v>
      </c>
      <c r="AF1768" s="6">
        <v>64</v>
      </c>
      <c r="AG1768" s="6"/>
      <c r="AH1768" s="7"/>
      <c r="AI1768" s="4"/>
      <c r="AJ1768" s="4">
        <f>=ROUNDDOWN({0},0)</f>
      </c>
      <c r="AK1768" s="5"/>
      <c r="AL1768" s="2" t="s">
        <v>200</v>
      </c>
      <c r="AM1768" s="4"/>
      <c r="AN1768" s="4"/>
      <c r="AO1768" s="7"/>
      <c r="AP1768" s="4"/>
      <c r="AQ1768" s="8"/>
      <c r="AR1768" s="4"/>
      <c r="AS1768" s="8"/>
      <c r="AT1768" s="7"/>
      <c r="AU1768" s="7"/>
      <c r="AV1768" s="4" t="s">
        <v>200</v>
      </c>
      <c r="AW1768" s="8" t="s">
        <v>200</v>
      </c>
      <c r="AX1768" s="4" t="s">
        <v>200</v>
      </c>
      <c r="AY1768" s="8" t="s">
        <v>200</v>
      </c>
      <c r="AZ1768" s="7" t="s">
        <v>200</v>
      </c>
      <c r="BA1768" s="7" t="s">
        <v>200</v>
      </c>
      <c r="BB1768" s="7"/>
      <c r="BC1768" s="4" t="s">
        <v>200</v>
      </c>
      <c r="BD1768" s="8" t="s">
        <v>200</v>
      </c>
      <c r="BE1768" s="4" t="s">
        <v>200</v>
      </c>
      <c r="BF1768" s="8" t="s">
        <v>200</v>
      </c>
      <c r="BG1768" s="7" t="s">
        <v>200</v>
      </c>
      <c r="BH1768" s="7" t="s">
        <v>200</v>
      </c>
      <c r="BI1768" s="7"/>
      <c r="BJ1768" s="4"/>
      <c r="BK1768" s="8"/>
      <c r="BL1768" s="2" t="s">
        <v>200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210</v>
      </c>
      <c r="BV1768" s="2" t="s">
        <v>200</v>
      </c>
      <c r="BW1768" s="2" t="s">
        <v>200</v>
      </c>
      <c r="BX1768" s="2" t="s">
        <v>210</v>
      </c>
      <c r="BY1768" s="2" t="s">
        <v>211</v>
      </c>
      <c r="BZ1768" s="2" t="s">
        <v>212</v>
      </c>
      <c r="CA1768" s="2" t="s">
        <v>200</v>
      </c>
      <c r="CB1768" s="2" t="s">
        <v>200</v>
      </c>
      <c r="CC1768" s="2" t="s">
        <v>213</v>
      </c>
      <c r="CD1768" s="2" t="s">
        <v>200</v>
      </c>
      <c r="CE1768" s="4"/>
      <c r="CF1768" s="4"/>
      <c r="CG1768" s="4"/>
      <c r="CH1768" s="4"/>
      <c r="CI1768" s="4"/>
      <c r="CJ1768" s="4"/>
      <c r="CK1768" s="4"/>
      <c r="CL1768" s="4"/>
      <c r="CM1768" s="4"/>
      <c r="CN1768" s="4"/>
      <c r="CO1768" s="4"/>
      <c r="CP1768" s="4"/>
      <c r="CQ1768" s="4"/>
      <c r="CR1768" s="4"/>
      <c r="CS1768" s="4"/>
      <c r="CT1768" s="4"/>
      <c r="CU1768" s="4"/>
      <c r="CV1768" s="4"/>
      <c r="CW1768" s="4"/>
      <c r="CX1768" s="4"/>
      <c r="CY1768" s="4"/>
      <c r="CZ1768" s="4"/>
      <c r="DA1768" s="4"/>
      <c r="DB1768" s="4"/>
      <c r="DC1768" s="4"/>
      <c r="DD1768" s="4"/>
      <c r="DE1768" s="4"/>
      <c r="DF1768" s="4"/>
      <c r="DG1768" s="4"/>
      <c r="DH1768" s="4"/>
      <c r="DI1768" s="4"/>
      <c r="DJ1768" s="4"/>
      <c r="DK1768" s="4"/>
      <c r="DL1768" s="4"/>
      <c r="DM1768" s="4"/>
      <c r="DN1768" s="4"/>
      <c r="DO1768" s="4"/>
      <c r="DP1768" s="4"/>
      <c r="DQ1768" s="4"/>
      <c r="DR1768" s="4"/>
      <c r="DS1768" s="4"/>
      <c r="DT1768" s="4"/>
      <c r="DU1768" s="4"/>
      <c r="DV1768" s="4"/>
      <c r="DW1768" s="4"/>
      <c r="DX1768" s="4"/>
      <c r="DY1768" s="4"/>
      <c r="DZ1768" s="4"/>
      <c r="EA1768" s="4"/>
      <c r="EB1768" s="4"/>
      <c r="EC1768" s="4"/>
      <c r="ED1768" s="4"/>
      <c r="EE1768" s="4"/>
      <c r="EF1768" s="4"/>
      <c r="EG1768" s="4"/>
      <c r="EH1768" s="4"/>
      <c r="EI1768" s="4"/>
      <c r="EJ1768" s="4"/>
      <c r="EK1768" s="4"/>
      <c r="EL1768" s="4"/>
      <c r="EM1768" s="4"/>
      <c r="EN1768" s="4"/>
      <c r="EO1768" s="4"/>
      <c r="EP1768" s="4"/>
      <c r="EQ1768" s="4"/>
      <c r="ER1768" s="4"/>
      <c r="ES1768" s="4"/>
      <c r="ET1768" s="4"/>
      <c r="EU1768" s="4"/>
      <c r="EV1768" s="4"/>
      <c r="EW1768" s="4"/>
      <c r="EX1768" s="4"/>
      <c r="EY1768" s="4"/>
      <c r="EZ1768" s="4"/>
      <c r="FA1768" s="4"/>
      <c r="FB1768" s="4"/>
      <c r="FC1768" s="4"/>
      <c r="FD1768" s="4"/>
      <c r="FE1768" s="4"/>
      <c r="FF1768" s="4"/>
      <c r="FG1768" s="4"/>
      <c r="FH1768" s="4"/>
      <c r="FI1768" s="4"/>
      <c r="FJ1768" s="4"/>
      <c r="FK1768" s="4"/>
      <c r="FL1768" s="4"/>
      <c r="FM1768" s="4"/>
      <c r="FN1768" s="4"/>
      <c r="FO1768" s="4"/>
      <c r="FP1768" s="4"/>
      <c r="FQ1768" s="4"/>
      <c r="FR1768" s="4"/>
      <c r="FS1768" s="4"/>
      <c r="FT1768" s="4"/>
      <c r="FU1768" s="4"/>
      <c r="FV1768" s="4"/>
      <c r="FW1768" s="4"/>
      <c r="FX1768" s="4"/>
      <c r="FY1768" s="4"/>
      <c r="FZ1768" s="4">
        <v>535</v>
      </c>
      <c r="GA1768" s="4"/>
      <c r="GB1768" s="4"/>
      <c r="GC1768" s="4"/>
      <c r="GD1768" s="4"/>
      <c r="GE1768" s="4"/>
      <c r="GF1768" s="4"/>
      <c r="GG1768" s="4"/>
      <c r="GH1768" s="4"/>
    </row>
    <row r="1769">
      <c r="A1769" s="2" t="s">
        <v>9001</v>
      </c>
      <c r="B1769" s="2" t="s">
        <v>744</v>
      </c>
      <c r="C1769" s="2" t="s">
        <v>745</v>
      </c>
      <c r="D1769" s="2" t="s">
        <v>1806</v>
      </c>
      <c r="E1769" s="2" t="s">
        <v>2569</v>
      </c>
      <c r="F1769" s="2" t="s">
        <v>9002</v>
      </c>
      <c r="G1769" s="2" t="s">
        <v>9002</v>
      </c>
      <c r="H1769" s="2" t="s">
        <v>9002</v>
      </c>
      <c r="I1769" s="2" t="s">
        <v>2569</v>
      </c>
      <c r="J1769" s="2" t="s">
        <v>711</v>
      </c>
      <c r="K1769" s="2" t="s">
        <v>811</v>
      </c>
      <c r="L1769" s="3">
        <v>157.3</v>
      </c>
      <c r="M1769" s="3">
        <v>165.16</v>
      </c>
      <c r="N1769" s="3">
        <v>329</v>
      </c>
      <c r="O1769" s="2" t="s">
        <v>460</v>
      </c>
      <c r="P1769" s="2" t="s">
        <v>285</v>
      </c>
      <c r="Q1769" s="2" t="s">
        <v>206</v>
      </c>
      <c r="R1769" s="2" t="s">
        <v>200</v>
      </c>
      <c r="S1769" s="2" t="s">
        <v>200</v>
      </c>
      <c r="T1769" s="2" t="s">
        <v>200</v>
      </c>
      <c r="U1769" s="2" t="s">
        <v>270</v>
      </c>
      <c r="V1769" s="2" t="s">
        <v>208</v>
      </c>
      <c r="W1769" s="2" t="s">
        <v>379</v>
      </c>
      <c r="X1769" s="2" t="s">
        <v>419</v>
      </c>
      <c r="Y1769" s="2" t="s">
        <v>4706</v>
      </c>
      <c r="Z1769" s="4">
        <v>49</v>
      </c>
      <c r="AA1769" s="4">
        <f>=ROUNDDOWN(81.6666666666667,0)</f>
      </c>
      <c r="AB1769" s="5">
        <v>0.6</v>
      </c>
      <c r="AC1769" s="2" t="s">
        <v>200</v>
      </c>
      <c r="AD1769" s="4"/>
      <c r="AE1769" s="4"/>
      <c r="AF1769" s="6">
        <v>65</v>
      </c>
      <c r="AG1769" s="6"/>
      <c r="AH1769" s="7">
        <v>1</v>
      </c>
      <c r="AI1769" s="4"/>
      <c r="AJ1769" s="4">
        <f>=ROUNDDOWN({0},0)</f>
      </c>
      <c r="AK1769" s="5"/>
      <c r="AL1769" s="2" t="s">
        <v>200</v>
      </c>
      <c r="AM1769" s="4"/>
      <c r="AN1769" s="4"/>
      <c r="AO1769" s="7"/>
      <c r="AP1769" s="4"/>
      <c r="AQ1769" s="8"/>
      <c r="AR1769" s="4"/>
      <c r="AS1769" s="8"/>
      <c r="AT1769" s="7"/>
      <c r="AU1769" s="7"/>
      <c r="AV1769" s="4"/>
      <c r="AW1769" s="8"/>
      <c r="AX1769" s="4"/>
      <c r="AY1769" s="8"/>
      <c r="AZ1769" s="7"/>
      <c r="BA1769" s="7"/>
      <c r="BB1769" s="7"/>
      <c r="BC1769" s="4"/>
      <c r="BD1769" s="8"/>
      <c r="BE1769" s="4"/>
      <c r="BF1769" s="8"/>
      <c r="BG1769" s="7"/>
      <c r="BH1769" s="7"/>
      <c r="BI1769" s="7"/>
      <c r="BJ1769" s="4">
        <v>5</v>
      </c>
      <c r="BK1769" s="8">
        <v>220.89</v>
      </c>
      <c r="BL1769" s="2" t="s">
        <v>9003</v>
      </c>
      <c r="BM1769" s="7"/>
      <c r="BN1769" s="7"/>
      <c r="BO1769" s="4"/>
      <c r="BP1769" s="8"/>
      <c r="BQ1769" s="4"/>
      <c r="BR1769" s="8"/>
      <c r="BS1769" s="7"/>
      <c r="BT1769" s="7"/>
      <c r="BU1769" s="2" t="s">
        <v>9004</v>
      </c>
      <c r="BV1769" s="2" t="s">
        <v>200</v>
      </c>
      <c r="BW1769" s="2" t="s">
        <v>200</v>
      </c>
      <c r="BX1769" s="2" t="s">
        <v>289</v>
      </c>
      <c r="BY1769" s="2" t="s">
        <v>247</v>
      </c>
      <c r="BZ1769" s="2" t="s">
        <v>212</v>
      </c>
      <c r="CA1769" s="2" t="s">
        <v>9005</v>
      </c>
      <c r="CB1769" s="2" t="s">
        <v>5167</v>
      </c>
      <c r="CC1769" s="2" t="s">
        <v>213</v>
      </c>
      <c r="CD1769" s="2" t="s">
        <v>200</v>
      </c>
      <c r="CE1769" s="4"/>
      <c r="CF1769" s="4">
        <v>49</v>
      </c>
      <c r="CG1769" s="4"/>
      <c r="CH1769" s="4"/>
      <c r="CI1769" s="4"/>
      <c r="CJ1769" s="4"/>
      <c r="CK1769" s="4"/>
      <c r="CL1769" s="4"/>
      <c r="CM1769" s="4"/>
      <c r="CN1769" s="4"/>
      <c r="CO1769" s="4"/>
      <c r="CP1769" s="4"/>
      <c r="CQ1769" s="4"/>
      <c r="CR1769" s="4"/>
      <c r="CS1769" s="4"/>
      <c r="CT1769" s="4"/>
      <c r="CU1769" s="4"/>
      <c r="CV1769" s="4"/>
      <c r="CW1769" s="4"/>
      <c r="CX1769" s="4"/>
      <c r="CY1769" s="4"/>
      <c r="CZ1769" s="4"/>
      <c r="DA1769" s="4"/>
      <c r="DB1769" s="4"/>
      <c r="DC1769" s="4"/>
      <c r="DD1769" s="4"/>
      <c r="DE1769" s="4"/>
      <c r="DF1769" s="4"/>
      <c r="DG1769" s="4"/>
      <c r="DH1769" s="4"/>
      <c r="DI1769" s="4"/>
      <c r="DJ1769" s="4"/>
      <c r="DK1769" s="4"/>
      <c r="DL1769" s="4"/>
      <c r="DM1769" s="4"/>
      <c r="DN1769" s="4"/>
      <c r="DO1769" s="4"/>
      <c r="DP1769" s="4"/>
      <c r="DQ1769" s="4"/>
      <c r="DR1769" s="4"/>
      <c r="DS1769" s="4"/>
      <c r="DT1769" s="4"/>
      <c r="DU1769" s="4"/>
      <c r="DV1769" s="4"/>
      <c r="DW1769" s="4"/>
      <c r="DX1769" s="4"/>
      <c r="DY1769" s="4"/>
      <c r="DZ1769" s="4"/>
      <c r="EA1769" s="4"/>
      <c r="EB1769" s="4"/>
      <c r="EC1769" s="4"/>
      <c r="ED1769" s="4"/>
      <c r="EE1769" s="4"/>
      <c r="EF1769" s="4"/>
      <c r="EG1769" s="4"/>
      <c r="EH1769" s="4"/>
      <c r="EI1769" s="4"/>
      <c r="EJ1769" s="4"/>
      <c r="EK1769" s="4"/>
      <c r="EL1769" s="4"/>
      <c r="EM1769" s="4"/>
      <c r="EN1769" s="4"/>
      <c r="EO1769" s="4"/>
      <c r="EP1769" s="4"/>
      <c r="EQ1769" s="4"/>
      <c r="ER1769" s="4"/>
      <c r="ES1769" s="4"/>
      <c r="ET1769" s="4"/>
      <c r="EU1769" s="4"/>
      <c r="EV1769" s="4"/>
      <c r="EW1769" s="4"/>
      <c r="EX1769" s="4"/>
      <c r="EY1769" s="4"/>
      <c r="EZ1769" s="4"/>
      <c r="FA1769" s="4"/>
      <c r="FB1769" s="4"/>
      <c r="FC1769" s="4"/>
      <c r="FD1769" s="4"/>
      <c r="FE1769" s="4"/>
      <c r="FF1769" s="4"/>
      <c r="FG1769" s="4"/>
      <c r="FH1769" s="4"/>
      <c r="FI1769" s="4"/>
      <c r="FJ1769" s="4"/>
      <c r="FK1769" s="4"/>
      <c r="FL1769" s="4"/>
      <c r="FM1769" s="4"/>
      <c r="FN1769" s="4"/>
      <c r="FO1769" s="4"/>
      <c r="FP1769" s="4"/>
      <c r="FQ1769" s="4"/>
      <c r="FR1769" s="4"/>
      <c r="FS1769" s="4"/>
      <c r="FT1769" s="4"/>
      <c r="FU1769" s="4"/>
      <c r="FV1769" s="4"/>
      <c r="FW1769" s="4"/>
      <c r="FX1769" s="4"/>
      <c r="FY1769" s="4"/>
      <c r="FZ1769" s="4"/>
      <c r="GA1769" s="4"/>
      <c r="GB1769" s="4"/>
      <c r="GC1769" s="4"/>
      <c r="GD1769" s="4"/>
      <c r="GE1769" s="4"/>
      <c r="GF1769" s="4"/>
      <c r="GG1769" s="4"/>
      <c r="GH1769" s="4"/>
    </row>
    <row r="1770">
      <c r="A1770" s="2" t="s">
        <v>9006</v>
      </c>
      <c r="B1770" s="2" t="s">
        <v>903</v>
      </c>
      <c r="C1770" s="2" t="s">
        <v>1523</v>
      </c>
      <c r="D1770" s="2" t="s">
        <v>1524</v>
      </c>
      <c r="E1770" s="2" t="s">
        <v>1525</v>
      </c>
      <c r="F1770" s="2" t="s">
        <v>9007</v>
      </c>
      <c r="G1770" s="2" t="s">
        <v>9007</v>
      </c>
      <c r="H1770" s="2" t="s">
        <v>9007</v>
      </c>
      <c r="I1770" s="2" t="s">
        <v>4543</v>
      </c>
      <c r="J1770" s="2" t="s">
        <v>1660</v>
      </c>
      <c r="K1770" s="2" t="s">
        <v>1442</v>
      </c>
      <c r="L1770" s="3">
        <v>34.04</v>
      </c>
      <c r="M1770" s="3">
        <v>35.74</v>
      </c>
      <c r="N1770" s="3">
        <v>109.99</v>
      </c>
      <c r="O1770" s="2" t="s">
        <v>212</v>
      </c>
      <c r="P1770" s="2" t="s">
        <v>760</v>
      </c>
      <c r="Q1770" s="2" t="s">
        <v>206</v>
      </c>
      <c r="R1770" s="2" t="s">
        <v>200</v>
      </c>
      <c r="S1770" s="2" t="s">
        <v>200</v>
      </c>
      <c r="T1770" s="2" t="s">
        <v>200</v>
      </c>
      <c r="U1770" s="2" t="s">
        <v>270</v>
      </c>
      <c r="V1770" s="2" t="s">
        <v>208</v>
      </c>
      <c r="W1770" s="2" t="s">
        <v>736</v>
      </c>
      <c r="X1770" s="2" t="s">
        <v>200</v>
      </c>
      <c r="Y1770" s="2" t="s">
        <v>4288</v>
      </c>
      <c r="Z1770" s="4">
        <v>36</v>
      </c>
      <c r="AA1770" s="4">
        <f>=ROUNDDOWN(18,0)</f>
      </c>
      <c r="AB1770" s="5">
        <v>2</v>
      </c>
      <c r="AC1770" s="2" t="s">
        <v>200</v>
      </c>
      <c r="AD1770" s="4"/>
      <c r="AE1770" s="4"/>
      <c r="AF1770" s="6">
        <v>65</v>
      </c>
      <c r="AG1770" s="6"/>
      <c r="AH1770" s="7">
        <v>1</v>
      </c>
      <c r="AI1770" s="4"/>
      <c r="AJ1770" s="4">
        <f>=ROUNDDOWN({0},0)</f>
      </c>
      <c r="AK1770" s="5"/>
      <c r="AL1770" s="2" t="s">
        <v>200</v>
      </c>
      <c r="AM1770" s="4"/>
      <c r="AN1770" s="4"/>
      <c r="AO1770" s="7"/>
      <c r="AP1770" s="4"/>
      <c r="AQ1770" s="8"/>
      <c r="AR1770" s="4"/>
      <c r="AS1770" s="8"/>
      <c r="AT1770" s="7"/>
      <c r="AU1770" s="7"/>
      <c r="AV1770" s="4"/>
      <c r="AW1770" s="8"/>
      <c r="AX1770" s="4"/>
      <c r="AY1770" s="8"/>
      <c r="AZ1770" s="7"/>
      <c r="BA1770" s="7"/>
      <c r="BB1770" s="7"/>
      <c r="BC1770" s="4" t="s">
        <v>200</v>
      </c>
      <c r="BD1770" s="8" t="s">
        <v>200</v>
      </c>
      <c r="BE1770" s="4" t="s">
        <v>200</v>
      </c>
      <c r="BF1770" s="8" t="s">
        <v>200</v>
      </c>
      <c r="BG1770" s="7" t="s">
        <v>200</v>
      </c>
      <c r="BH1770" s="7" t="s">
        <v>200</v>
      </c>
      <c r="BI1770" s="7"/>
      <c r="BJ1770" s="4">
        <v>11</v>
      </c>
      <c r="BK1770" s="8">
        <v>383.13</v>
      </c>
      <c r="BL1770" s="2" t="s">
        <v>3641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9008</v>
      </c>
      <c r="BV1770" s="2" t="s">
        <v>200</v>
      </c>
      <c r="BW1770" s="2" t="s">
        <v>200</v>
      </c>
      <c r="BX1770" s="2" t="s">
        <v>289</v>
      </c>
      <c r="BY1770" s="2" t="s">
        <v>247</v>
      </c>
      <c r="BZ1770" s="2" t="s">
        <v>212</v>
      </c>
      <c r="CA1770" s="2" t="s">
        <v>1218</v>
      </c>
      <c r="CB1770" s="2" t="s">
        <v>622</v>
      </c>
      <c r="CC1770" s="2" t="s">
        <v>213</v>
      </c>
      <c r="CD1770" s="2" t="s">
        <v>200</v>
      </c>
      <c r="CE1770" s="4">
        <v>36</v>
      </c>
      <c r="CF1770" s="4"/>
      <c r="CG1770" s="4"/>
      <c r="CH1770" s="4"/>
      <c r="CI1770" s="4"/>
      <c r="CJ1770" s="4"/>
      <c r="CK1770" s="4"/>
      <c r="CL1770" s="4"/>
      <c r="CM1770" s="4"/>
      <c r="CN1770" s="4"/>
      <c r="CO1770" s="4"/>
      <c r="CP1770" s="4"/>
      <c r="CQ1770" s="4"/>
      <c r="CR1770" s="4"/>
      <c r="CS1770" s="4"/>
      <c r="CT1770" s="4"/>
      <c r="CU1770" s="4"/>
      <c r="CV1770" s="4"/>
      <c r="CW1770" s="4"/>
      <c r="CX1770" s="4"/>
      <c r="CY1770" s="4"/>
      <c r="CZ1770" s="4"/>
      <c r="DA1770" s="4"/>
      <c r="DB1770" s="4"/>
      <c r="DC1770" s="4"/>
      <c r="DD1770" s="4"/>
      <c r="DE1770" s="4"/>
      <c r="DF1770" s="4"/>
      <c r="DG1770" s="4"/>
      <c r="DH1770" s="4"/>
      <c r="DI1770" s="4"/>
      <c r="DJ1770" s="4"/>
      <c r="DK1770" s="4"/>
      <c r="DL1770" s="4"/>
      <c r="DM1770" s="4"/>
      <c r="DN1770" s="4"/>
      <c r="DO1770" s="4"/>
      <c r="DP1770" s="4"/>
      <c r="DQ1770" s="4"/>
      <c r="DR1770" s="4"/>
      <c r="DS1770" s="4"/>
      <c r="DT1770" s="4"/>
      <c r="DU1770" s="4"/>
      <c r="DV1770" s="4"/>
      <c r="DW1770" s="4"/>
      <c r="DX1770" s="4"/>
      <c r="DY1770" s="4"/>
      <c r="DZ1770" s="4"/>
      <c r="EA1770" s="4"/>
      <c r="EB1770" s="4"/>
      <c r="EC1770" s="4"/>
      <c r="ED1770" s="4"/>
      <c r="EE1770" s="4"/>
      <c r="EF1770" s="4"/>
      <c r="EG1770" s="4"/>
      <c r="EH1770" s="4"/>
      <c r="EI1770" s="4"/>
      <c r="EJ1770" s="4"/>
      <c r="EK1770" s="4"/>
      <c r="EL1770" s="4"/>
      <c r="EM1770" s="4"/>
      <c r="EN1770" s="4"/>
      <c r="EO1770" s="4"/>
      <c r="EP1770" s="4"/>
      <c r="EQ1770" s="4"/>
      <c r="ER1770" s="4"/>
      <c r="ES1770" s="4"/>
      <c r="ET1770" s="4"/>
      <c r="EU1770" s="4"/>
      <c r="EV1770" s="4"/>
      <c r="EW1770" s="4"/>
      <c r="EX1770" s="4"/>
      <c r="EY1770" s="4"/>
      <c r="EZ1770" s="4"/>
      <c r="FA1770" s="4"/>
      <c r="FB1770" s="4"/>
      <c r="FC1770" s="4"/>
      <c r="FD1770" s="4"/>
      <c r="FE1770" s="4"/>
      <c r="FF1770" s="4"/>
      <c r="FG1770" s="4"/>
      <c r="FH1770" s="4"/>
      <c r="FI1770" s="4"/>
      <c r="FJ1770" s="4"/>
      <c r="FK1770" s="4"/>
      <c r="FL1770" s="4"/>
      <c r="FM1770" s="4"/>
      <c r="FN1770" s="4"/>
      <c r="FO1770" s="4"/>
      <c r="FP1770" s="4"/>
      <c r="FQ1770" s="4"/>
      <c r="FR1770" s="4"/>
      <c r="FS1770" s="4"/>
      <c r="FT1770" s="4"/>
      <c r="FU1770" s="4"/>
      <c r="FV1770" s="4"/>
      <c r="FW1770" s="4"/>
      <c r="FX1770" s="4"/>
      <c r="FY1770" s="4"/>
      <c r="FZ1770" s="4"/>
      <c r="GA1770" s="4"/>
      <c r="GB1770" s="4"/>
      <c r="GC1770" s="4"/>
      <c r="GD1770" s="4"/>
      <c r="GE1770" s="4"/>
      <c r="GF1770" s="4"/>
      <c r="GG1770" s="4"/>
      <c r="GH1770" s="4"/>
    </row>
    <row r="1771">
      <c r="A1771" s="2" t="s">
        <v>9009</v>
      </c>
      <c r="B1771" s="2" t="s">
        <v>903</v>
      </c>
      <c r="C1771" s="2" t="s">
        <v>1523</v>
      </c>
      <c r="D1771" s="2" t="s">
        <v>1524</v>
      </c>
      <c r="E1771" s="2" t="s">
        <v>1525</v>
      </c>
      <c r="F1771" s="2" t="s">
        <v>9007</v>
      </c>
      <c r="G1771" s="2" t="s">
        <v>9007</v>
      </c>
      <c r="H1771" s="2" t="s">
        <v>9007</v>
      </c>
      <c r="I1771" s="2" t="s">
        <v>4543</v>
      </c>
      <c r="J1771" s="2" t="s">
        <v>1660</v>
      </c>
      <c r="K1771" s="2" t="s">
        <v>223</v>
      </c>
      <c r="L1771" s="3">
        <v>34.04</v>
      </c>
      <c r="M1771" s="3">
        <v>35.74</v>
      </c>
      <c r="N1771" s="3">
        <v>109.99</v>
      </c>
      <c r="O1771" s="2" t="s">
        <v>212</v>
      </c>
      <c r="P1771" s="2" t="s">
        <v>258</v>
      </c>
      <c r="Q1771" s="2" t="s">
        <v>206</v>
      </c>
      <c r="R1771" s="2" t="s">
        <v>200</v>
      </c>
      <c r="S1771" s="2" t="s">
        <v>200</v>
      </c>
      <c r="T1771" s="2" t="s">
        <v>200</v>
      </c>
      <c r="U1771" s="2" t="s">
        <v>270</v>
      </c>
      <c r="V1771" s="2" t="s">
        <v>208</v>
      </c>
      <c r="W1771" s="2" t="s">
        <v>736</v>
      </c>
      <c r="X1771" s="2" t="s">
        <v>200</v>
      </c>
      <c r="Y1771" s="2" t="s">
        <v>4288</v>
      </c>
      <c r="Z1771" s="4">
        <v>136</v>
      </c>
      <c r="AA1771" s="4">
        <f>=ROUNDDOWN(90.6666666666667,0)</f>
      </c>
      <c r="AB1771" s="5">
        <v>1.5</v>
      </c>
      <c r="AC1771" s="2" t="s">
        <v>200</v>
      </c>
      <c r="AD1771" s="4"/>
      <c r="AE1771" s="4"/>
      <c r="AF1771" s="6">
        <v>65</v>
      </c>
      <c r="AG1771" s="6"/>
      <c r="AH1771" s="7">
        <v>1</v>
      </c>
      <c r="AI1771" s="4"/>
      <c r="AJ1771" s="4">
        <f>=ROUNDDOWN({0},0)</f>
      </c>
      <c r="AK1771" s="5"/>
      <c r="AL1771" s="2" t="s">
        <v>200</v>
      </c>
      <c r="AM1771" s="4"/>
      <c r="AN1771" s="4"/>
      <c r="AO1771" s="7"/>
      <c r="AP1771" s="4"/>
      <c r="AQ1771" s="8"/>
      <c r="AR1771" s="4"/>
      <c r="AS1771" s="8"/>
      <c r="AT1771" s="7"/>
      <c r="AU1771" s="7"/>
      <c r="AV1771" s="4"/>
      <c r="AW1771" s="8"/>
      <c r="AX1771" s="4"/>
      <c r="AY1771" s="8"/>
      <c r="AZ1771" s="7"/>
      <c r="BA1771" s="7"/>
      <c r="BB1771" s="7"/>
      <c r="BC1771" s="4" t="s">
        <v>200</v>
      </c>
      <c r="BD1771" s="8" t="s">
        <v>200</v>
      </c>
      <c r="BE1771" s="4" t="s">
        <v>200</v>
      </c>
      <c r="BF1771" s="8" t="s">
        <v>200</v>
      </c>
      <c r="BG1771" s="7" t="s">
        <v>200</v>
      </c>
      <c r="BH1771" s="7" t="s">
        <v>200</v>
      </c>
      <c r="BI1771" s="7"/>
      <c r="BJ1771" s="4">
        <v>11</v>
      </c>
      <c r="BK1771" s="8">
        <v>432.83</v>
      </c>
      <c r="BL1771" s="2" t="s">
        <v>5618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9010</v>
      </c>
      <c r="BV1771" s="2" t="s">
        <v>200</v>
      </c>
      <c r="BW1771" s="2" t="s">
        <v>200</v>
      </c>
      <c r="BX1771" s="2" t="s">
        <v>264</v>
      </c>
      <c r="BY1771" s="2" t="s">
        <v>247</v>
      </c>
      <c r="BZ1771" s="2" t="s">
        <v>212</v>
      </c>
      <c r="CA1771" s="2" t="s">
        <v>1218</v>
      </c>
      <c r="CB1771" s="2" t="s">
        <v>9011</v>
      </c>
      <c r="CC1771" s="2" t="s">
        <v>213</v>
      </c>
      <c r="CD1771" s="2" t="s">
        <v>200</v>
      </c>
      <c r="CE1771" s="4">
        <v>136</v>
      </c>
      <c r="CF1771" s="4"/>
      <c r="CG1771" s="4"/>
      <c r="CH1771" s="4"/>
      <c r="CI1771" s="4"/>
      <c r="CJ1771" s="4"/>
      <c r="CK1771" s="4"/>
      <c r="CL1771" s="4"/>
      <c r="CM1771" s="4"/>
      <c r="CN1771" s="4"/>
      <c r="CO1771" s="4"/>
      <c r="CP1771" s="4"/>
      <c r="CQ1771" s="4"/>
      <c r="CR1771" s="4"/>
      <c r="CS1771" s="4"/>
      <c r="CT1771" s="4"/>
      <c r="CU1771" s="4"/>
      <c r="CV1771" s="4"/>
      <c r="CW1771" s="4"/>
      <c r="CX1771" s="4"/>
      <c r="CY1771" s="4"/>
      <c r="CZ1771" s="4"/>
      <c r="DA1771" s="4"/>
      <c r="DB1771" s="4"/>
      <c r="DC1771" s="4"/>
      <c r="DD1771" s="4"/>
      <c r="DE1771" s="4"/>
      <c r="DF1771" s="4"/>
      <c r="DG1771" s="4"/>
      <c r="DH1771" s="4"/>
      <c r="DI1771" s="4"/>
      <c r="DJ1771" s="4"/>
      <c r="DK1771" s="4"/>
      <c r="DL1771" s="4"/>
      <c r="DM1771" s="4"/>
      <c r="DN1771" s="4"/>
      <c r="DO1771" s="4"/>
      <c r="DP1771" s="4"/>
      <c r="DQ1771" s="4"/>
      <c r="DR1771" s="4"/>
      <c r="DS1771" s="4"/>
      <c r="DT1771" s="4"/>
      <c r="DU1771" s="4"/>
      <c r="DV1771" s="4"/>
      <c r="DW1771" s="4"/>
      <c r="DX1771" s="4"/>
      <c r="DY1771" s="4"/>
      <c r="DZ1771" s="4"/>
      <c r="EA1771" s="4"/>
      <c r="EB1771" s="4"/>
      <c r="EC1771" s="4"/>
      <c r="ED1771" s="4"/>
      <c r="EE1771" s="4"/>
      <c r="EF1771" s="4"/>
      <c r="EG1771" s="4"/>
      <c r="EH1771" s="4"/>
      <c r="EI1771" s="4"/>
      <c r="EJ1771" s="4"/>
      <c r="EK1771" s="4"/>
      <c r="EL1771" s="4"/>
      <c r="EM1771" s="4"/>
      <c r="EN1771" s="4"/>
      <c r="EO1771" s="4"/>
      <c r="EP1771" s="4"/>
      <c r="EQ1771" s="4"/>
      <c r="ER1771" s="4"/>
      <c r="ES1771" s="4"/>
      <c r="ET1771" s="4"/>
      <c r="EU1771" s="4"/>
      <c r="EV1771" s="4"/>
      <c r="EW1771" s="4"/>
      <c r="EX1771" s="4"/>
      <c r="EY1771" s="4"/>
      <c r="EZ1771" s="4"/>
      <c r="FA1771" s="4"/>
      <c r="FB1771" s="4"/>
      <c r="FC1771" s="4"/>
      <c r="FD1771" s="4"/>
      <c r="FE1771" s="4"/>
      <c r="FF1771" s="4"/>
      <c r="FG1771" s="4"/>
      <c r="FH1771" s="4"/>
      <c r="FI1771" s="4"/>
      <c r="FJ1771" s="4"/>
      <c r="FK1771" s="4"/>
      <c r="FL1771" s="4"/>
      <c r="FM1771" s="4"/>
      <c r="FN1771" s="4"/>
      <c r="FO1771" s="4"/>
      <c r="FP1771" s="4"/>
      <c r="FQ1771" s="4"/>
      <c r="FR1771" s="4"/>
      <c r="FS1771" s="4"/>
      <c r="FT1771" s="4"/>
      <c r="FU1771" s="4"/>
      <c r="FV1771" s="4"/>
      <c r="FW1771" s="4"/>
      <c r="FX1771" s="4"/>
      <c r="FY1771" s="4"/>
      <c r="FZ1771" s="4"/>
      <c r="GA1771" s="4"/>
      <c r="GB1771" s="4"/>
      <c r="GC1771" s="4"/>
      <c r="GD1771" s="4"/>
      <c r="GE1771" s="4"/>
      <c r="GF1771" s="4"/>
      <c r="GG1771" s="4"/>
      <c r="GH1771" s="4"/>
    </row>
    <row r="1772">
      <c r="A1772" s="2" t="s">
        <v>9012</v>
      </c>
      <c r="B1772" s="2" t="s">
        <v>250</v>
      </c>
      <c r="C1772" s="2" t="s">
        <v>231</v>
      </c>
      <c r="D1772" s="2" t="s">
        <v>197</v>
      </c>
      <c r="E1772" s="2" t="s">
        <v>2477</v>
      </c>
      <c r="F1772" s="2" t="s">
        <v>9013</v>
      </c>
      <c r="G1772" s="2" t="s">
        <v>9014</v>
      </c>
      <c r="H1772" s="2" t="s">
        <v>9014</v>
      </c>
      <c r="I1772" s="2" t="s">
        <v>9015</v>
      </c>
      <c r="J1772" s="2" t="s">
        <v>256</v>
      </c>
      <c r="K1772" s="2" t="s">
        <v>237</v>
      </c>
      <c r="L1772" s="3">
        <v>16.45</v>
      </c>
      <c r="M1772" s="3">
        <v>17.27</v>
      </c>
      <c r="N1772" s="3">
        <v>34.99</v>
      </c>
      <c r="O1772" s="2" t="s">
        <v>212</v>
      </c>
      <c r="P1772" s="2" t="s">
        <v>205</v>
      </c>
      <c r="Q1772" s="2" t="s">
        <v>206</v>
      </c>
      <c r="R1772" s="2" t="s">
        <v>200</v>
      </c>
      <c r="S1772" s="2" t="s">
        <v>9016</v>
      </c>
      <c r="T1772" s="2" t="s">
        <v>378</v>
      </c>
      <c r="U1772" s="2" t="s">
        <v>270</v>
      </c>
      <c r="V1772" s="2" t="s">
        <v>208</v>
      </c>
      <c r="W1772" s="2" t="s">
        <v>241</v>
      </c>
      <c r="X1772" s="2" t="s">
        <v>200</v>
      </c>
      <c r="Y1772" s="2" t="s">
        <v>3265</v>
      </c>
      <c r="Z1772" s="4">
        <v>467</v>
      </c>
      <c r="AA1772" s="4">
        <f>=ROUNDDOWN(35.9230769230769,0)</f>
      </c>
      <c r="AB1772" s="5">
        <v>13</v>
      </c>
      <c r="AC1772" s="2" t="s">
        <v>3916</v>
      </c>
      <c r="AD1772" s="4">
        <v>52</v>
      </c>
      <c r="AE1772" s="4">
        <v>322</v>
      </c>
      <c r="AF1772" s="6">
        <v>65</v>
      </c>
      <c r="AG1772" s="6"/>
      <c r="AH1772" s="7">
        <v>1</v>
      </c>
      <c r="AI1772" s="4"/>
      <c r="AJ1772" s="4">
        <f>=ROUNDDOWN({0},0)</f>
      </c>
      <c r="AK1772" s="5"/>
      <c r="AL1772" s="2" t="s">
        <v>200</v>
      </c>
      <c r="AM1772" s="4"/>
      <c r="AN1772" s="4"/>
      <c r="AO1772" s="7"/>
      <c r="AP1772" s="4"/>
      <c r="AQ1772" s="8"/>
      <c r="AR1772" s="4"/>
      <c r="AS1772" s="8"/>
      <c r="AT1772" s="7"/>
      <c r="AU1772" s="7"/>
      <c r="AV1772" s="4"/>
      <c r="AW1772" s="8"/>
      <c r="AX1772" s="4"/>
      <c r="AY1772" s="8"/>
      <c r="AZ1772" s="7"/>
      <c r="BA1772" s="7"/>
      <c r="BB1772" s="7"/>
      <c r="BC1772" s="4" t="s">
        <v>200</v>
      </c>
      <c r="BD1772" s="8" t="s">
        <v>200</v>
      </c>
      <c r="BE1772" s="4" t="s">
        <v>200</v>
      </c>
      <c r="BF1772" s="8" t="s">
        <v>200</v>
      </c>
      <c r="BG1772" s="7" t="s">
        <v>200</v>
      </c>
      <c r="BH1772" s="7" t="s">
        <v>200</v>
      </c>
      <c r="BI1772" s="7"/>
      <c r="BJ1772" s="4">
        <v>84</v>
      </c>
      <c r="BK1772" s="8">
        <v>1529.27</v>
      </c>
      <c r="BL1772" s="2" t="s">
        <v>9017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9018</v>
      </c>
      <c r="BV1772" s="2" t="s">
        <v>200</v>
      </c>
      <c r="BW1772" s="2" t="s">
        <v>200</v>
      </c>
      <c r="BX1772" s="2" t="s">
        <v>629</v>
      </c>
      <c r="BY1772" s="2" t="s">
        <v>247</v>
      </c>
      <c r="BZ1772" s="2" t="s">
        <v>212</v>
      </c>
      <c r="CA1772" s="2" t="s">
        <v>1794</v>
      </c>
      <c r="CB1772" s="2" t="s">
        <v>200</v>
      </c>
      <c r="CC1772" s="2" t="s">
        <v>213</v>
      </c>
      <c r="CD1772" s="2" t="s">
        <v>200</v>
      </c>
      <c r="CE1772" s="4">
        <v>78</v>
      </c>
      <c r="CF1772" s="4">
        <v>389</v>
      </c>
      <c r="CG1772" s="4"/>
      <c r="CH1772" s="4"/>
      <c r="CI1772" s="4"/>
      <c r="CJ1772" s="4"/>
      <c r="CK1772" s="4"/>
      <c r="CL1772" s="4"/>
      <c r="CM1772" s="4"/>
      <c r="CN1772" s="4"/>
      <c r="CO1772" s="4"/>
      <c r="CP1772" s="4"/>
      <c r="CQ1772" s="4"/>
      <c r="CR1772" s="4"/>
      <c r="CS1772" s="4"/>
      <c r="CT1772" s="4"/>
      <c r="CU1772" s="4"/>
      <c r="CV1772" s="4"/>
      <c r="CW1772" s="4"/>
      <c r="CX1772" s="4"/>
      <c r="CY1772" s="4"/>
      <c r="CZ1772" s="4"/>
      <c r="DA1772" s="4"/>
      <c r="DB1772" s="4"/>
      <c r="DC1772" s="4"/>
      <c r="DD1772" s="4"/>
      <c r="DE1772" s="4"/>
      <c r="DF1772" s="4"/>
      <c r="DG1772" s="4"/>
      <c r="DH1772" s="4"/>
      <c r="DI1772" s="4"/>
      <c r="DJ1772" s="4"/>
      <c r="DK1772" s="4"/>
      <c r="DL1772" s="4"/>
      <c r="DM1772" s="4"/>
      <c r="DN1772" s="4"/>
      <c r="DO1772" s="4"/>
      <c r="DP1772" s="4"/>
      <c r="DQ1772" s="4"/>
      <c r="DR1772" s="4">
        <v>52</v>
      </c>
      <c r="DS1772" s="4"/>
      <c r="DT1772" s="4"/>
      <c r="DU1772" s="4"/>
      <c r="DV1772" s="4"/>
      <c r="DW1772" s="4"/>
      <c r="DX1772" s="4"/>
      <c r="DY1772" s="4"/>
      <c r="DZ1772" s="4"/>
      <c r="EA1772" s="4"/>
      <c r="EB1772" s="4"/>
      <c r="EC1772" s="4"/>
      <c r="ED1772" s="4"/>
      <c r="EE1772" s="4"/>
      <c r="EF1772" s="4"/>
      <c r="EG1772" s="4"/>
      <c r="EH1772" s="4"/>
      <c r="EI1772" s="4"/>
      <c r="EJ1772" s="4"/>
      <c r="EK1772" s="4"/>
      <c r="EL1772" s="4"/>
      <c r="EM1772" s="4"/>
      <c r="EN1772" s="4"/>
      <c r="EO1772" s="4"/>
      <c r="EP1772" s="4"/>
      <c r="EQ1772" s="4"/>
      <c r="ER1772" s="4"/>
      <c r="ES1772" s="4">
        <v>270</v>
      </c>
      <c r="ET1772" s="4"/>
      <c r="EU1772" s="4"/>
      <c r="EV1772" s="4"/>
      <c r="EW1772" s="4"/>
      <c r="EX1772" s="4"/>
      <c r="EY1772" s="4"/>
      <c r="EZ1772" s="4"/>
      <c r="FA1772" s="4"/>
      <c r="FB1772" s="4"/>
      <c r="FC1772" s="4"/>
      <c r="FD1772" s="4"/>
      <c r="FE1772" s="4"/>
      <c r="FF1772" s="4"/>
      <c r="FG1772" s="4"/>
      <c r="FH1772" s="4"/>
      <c r="FI1772" s="4"/>
      <c r="FJ1772" s="4"/>
      <c r="FK1772" s="4"/>
      <c r="FL1772" s="4"/>
      <c r="FM1772" s="4"/>
      <c r="FN1772" s="4"/>
      <c r="FO1772" s="4"/>
      <c r="FP1772" s="4"/>
      <c r="FQ1772" s="4"/>
      <c r="FR1772" s="4"/>
      <c r="FS1772" s="4"/>
      <c r="FT1772" s="4"/>
      <c r="FU1772" s="4"/>
      <c r="FV1772" s="4"/>
      <c r="FW1772" s="4"/>
      <c r="FX1772" s="4"/>
      <c r="FY1772" s="4"/>
      <c r="FZ1772" s="4"/>
      <c r="GA1772" s="4"/>
      <c r="GB1772" s="4"/>
      <c r="GC1772" s="4"/>
      <c r="GD1772" s="4"/>
      <c r="GE1772" s="4"/>
      <c r="GF1772" s="4"/>
      <c r="GG1772" s="4"/>
      <c r="GH1772" s="4"/>
    </row>
    <row r="1773">
      <c r="A1773" s="2" t="s">
        <v>9019</v>
      </c>
      <c r="B1773" s="2" t="s">
        <v>250</v>
      </c>
      <c r="C1773" s="2" t="s">
        <v>231</v>
      </c>
      <c r="D1773" s="2" t="s">
        <v>197</v>
      </c>
      <c r="E1773" s="2" t="s">
        <v>2477</v>
      </c>
      <c r="F1773" s="2" t="s">
        <v>9013</v>
      </c>
      <c r="G1773" s="2" t="s">
        <v>9014</v>
      </c>
      <c r="H1773" s="2" t="s">
        <v>9014</v>
      </c>
      <c r="I1773" s="2" t="s">
        <v>9015</v>
      </c>
      <c r="J1773" s="2" t="s">
        <v>256</v>
      </c>
      <c r="K1773" s="2" t="s">
        <v>416</v>
      </c>
      <c r="L1773" s="3">
        <v>16.45</v>
      </c>
      <c r="M1773" s="3">
        <v>17.27</v>
      </c>
      <c r="N1773" s="3">
        <v>34.99</v>
      </c>
      <c r="O1773" s="2" t="s">
        <v>212</v>
      </c>
      <c r="P1773" s="2" t="s">
        <v>205</v>
      </c>
      <c r="Q1773" s="2" t="s">
        <v>206</v>
      </c>
      <c r="R1773" s="2" t="s">
        <v>200</v>
      </c>
      <c r="S1773" s="2" t="s">
        <v>9020</v>
      </c>
      <c r="T1773" s="2" t="s">
        <v>378</v>
      </c>
      <c r="U1773" s="2" t="s">
        <v>270</v>
      </c>
      <c r="V1773" s="2" t="s">
        <v>208</v>
      </c>
      <c r="W1773" s="2" t="s">
        <v>241</v>
      </c>
      <c r="X1773" s="2" t="s">
        <v>200</v>
      </c>
      <c r="Y1773" s="2" t="s">
        <v>200</v>
      </c>
      <c r="Z1773" s="4"/>
      <c r="AA1773" s="4">
        <f>=ROUNDDOWN({0},0)</f>
      </c>
      <c r="AB1773" s="5">
        <v>20</v>
      </c>
      <c r="AC1773" s="2" t="s">
        <v>6140</v>
      </c>
      <c r="AD1773" s="4">
        <v>350</v>
      </c>
      <c r="AE1773" s="4">
        <v>500</v>
      </c>
      <c r="AF1773" s="6">
        <v>65</v>
      </c>
      <c r="AG1773" s="6"/>
      <c r="AH1773" s="7"/>
      <c r="AI1773" s="4"/>
      <c r="AJ1773" s="4">
        <f>=ROUNDDOWN({0},0)</f>
      </c>
      <c r="AK1773" s="5"/>
      <c r="AL1773" s="2" t="s">
        <v>200</v>
      </c>
      <c r="AM1773" s="4"/>
      <c r="AN1773" s="4"/>
      <c r="AO1773" s="7"/>
      <c r="AP1773" s="4"/>
      <c r="AQ1773" s="8"/>
      <c r="AR1773" s="4"/>
      <c r="AS1773" s="8"/>
      <c r="AT1773" s="7"/>
      <c r="AU1773" s="7"/>
      <c r="AV1773" s="4" t="s">
        <v>200</v>
      </c>
      <c r="AW1773" s="8" t="s">
        <v>200</v>
      </c>
      <c r="AX1773" s="4" t="s">
        <v>200</v>
      </c>
      <c r="AY1773" s="8" t="s">
        <v>200</v>
      </c>
      <c r="AZ1773" s="7" t="s">
        <v>200</v>
      </c>
      <c r="BA1773" s="7" t="s">
        <v>200</v>
      </c>
      <c r="BB1773" s="7"/>
      <c r="BC1773" s="4" t="s">
        <v>200</v>
      </c>
      <c r="BD1773" s="8" t="s">
        <v>200</v>
      </c>
      <c r="BE1773" s="4" t="s">
        <v>200</v>
      </c>
      <c r="BF1773" s="8" t="s">
        <v>200</v>
      </c>
      <c r="BG1773" s="7" t="s">
        <v>200</v>
      </c>
      <c r="BH1773" s="7" t="s">
        <v>200</v>
      </c>
      <c r="BI1773" s="7"/>
      <c r="BJ1773" s="4"/>
      <c r="BK1773" s="8"/>
      <c r="BL1773" s="2" t="s">
        <v>200</v>
      </c>
      <c r="BM1773" s="7"/>
      <c r="BN1773" s="7"/>
      <c r="BO1773" s="4"/>
      <c r="BP1773" s="8"/>
      <c r="BQ1773" s="4"/>
      <c r="BR1773" s="8"/>
      <c r="BS1773" s="7"/>
      <c r="BT1773" s="7"/>
      <c r="BU1773" s="2" t="s">
        <v>210</v>
      </c>
      <c r="BV1773" s="2" t="s">
        <v>200</v>
      </c>
      <c r="BW1773" s="2" t="s">
        <v>200</v>
      </c>
      <c r="BX1773" s="2" t="s">
        <v>210</v>
      </c>
      <c r="BY1773" s="2" t="s">
        <v>211</v>
      </c>
      <c r="BZ1773" s="2" t="s">
        <v>212</v>
      </c>
      <c r="CA1773" s="2" t="s">
        <v>200</v>
      </c>
      <c r="CB1773" s="2" t="s">
        <v>200</v>
      </c>
      <c r="CC1773" s="2" t="s">
        <v>213</v>
      </c>
      <c r="CD1773" s="2" t="s">
        <v>200</v>
      </c>
      <c r="CE1773" s="4"/>
      <c r="CF1773" s="4"/>
      <c r="CG1773" s="4"/>
      <c r="CH1773" s="4"/>
      <c r="CI1773" s="4"/>
      <c r="CJ1773" s="4"/>
      <c r="CK1773" s="4"/>
      <c r="CL1773" s="4"/>
      <c r="CM1773" s="4"/>
      <c r="CN1773" s="4"/>
      <c r="CO1773" s="4"/>
      <c r="CP1773" s="4"/>
      <c r="CQ1773" s="4"/>
      <c r="CR1773" s="4"/>
      <c r="CS1773" s="4"/>
      <c r="CT1773" s="4"/>
      <c r="CU1773" s="4"/>
      <c r="CV1773" s="4"/>
      <c r="CW1773" s="4"/>
      <c r="CX1773" s="4"/>
      <c r="CY1773" s="4"/>
      <c r="CZ1773" s="4"/>
      <c r="DA1773" s="4"/>
      <c r="DB1773" s="4"/>
      <c r="DC1773" s="4"/>
      <c r="DD1773" s="4"/>
      <c r="DE1773" s="4"/>
      <c r="DF1773" s="4"/>
      <c r="DG1773" s="4"/>
      <c r="DH1773" s="4"/>
      <c r="DI1773" s="4"/>
      <c r="DJ1773" s="4"/>
      <c r="DK1773" s="4"/>
      <c r="DL1773" s="4"/>
      <c r="DM1773" s="4"/>
      <c r="DN1773" s="4"/>
      <c r="DO1773" s="4"/>
      <c r="DP1773" s="4"/>
      <c r="DQ1773" s="4"/>
      <c r="DR1773" s="4"/>
      <c r="DS1773" s="4"/>
      <c r="DT1773" s="4"/>
      <c r="DU1773" s="4"/>
      <c r="DV1773" s="4"/>
      <c r="DW1773" s="4"/>
      <c r="DX1773" s="4"/>
      <c r="DY1773" s="4"/>
      <c r="DZ1773" s="4"/>
      <c r="EA1773" s="4"/>
      <c r="EB1773" s="4"/>
      <c r="EC1773" s="4"/>
      <c r="ED1773" s="4"/>
      <c r="EE1773" s="4"/>
      <c r="EF1773" s="4"/>
      <c r="EG1773" s="4"/>
      <c r="EH1773" s="4"/>
      <c r="EI1773" s="4"/>
      <c r="EJ1773" s="4"/>
      <c r="EK1773" s="4"/>
      <c r="EL1773" s="4"/>
      <c r="EM1773" s="4"/>
      <c r="EN1773" s="4"/>
      <c r="EO1773" s="4"/>
      <c r="EP1773" s="4"/>
      <c r="EQ1773" s="4"/>
      <c r="ER1773" s="4"/>
      <c r="ES1773" s="4"/>
      <c r="ET1773" s="4"/>
      <c r="EU1773" s="4"/>
      <c r="EV1773" s="4"/>
      <c r="EW1773" s="4"/>
      <c r="EX1773" s="4"/>
      <c r="EY1773" s="4"/>
      <c r="EZ1773" s="4"/>
      <c r="FA1773" s="4">
        <v>350</v>
      </c>
      <c r="FB1773" s="4"/>
      <c r="FC1773" s="4"/>
      <c r="FD1773" s="4"/>
      <c r="FE1773" s="4"/>
      <c r="FF1773" s="4"/>
      <c r="FG1773" s="4"/>
      <c r="FH1773" s="4"/>
      <c r="FI1773" s="4"/>
      <c r="FJ1773" s="4"/>
      <c r="FK1773" s="4"/>
      <c r="FL1773" s="4"/>
      <c r="FM1773" s="4"/>
      <c r="FN1773" s="4"/>
      <c r="FO1773" s="4"/>
      <c r="FP1773" s="4"/>
      <c r="FQ1773" s="4"/>
      <c r="FR1773" s="4"/>
      <c r="FS1773" s="4"/>
      <c r="FT1773" s="4"/>
      <c r="FU1773" s="4"/>
      <c r="FV1773" s="4">
        <v>150</v>
      </c>
      <c r="FW1773" s="4"/>
      <c r="FX1773" s="4"/>
      <c r="FY1773" s="4"/>
      <c r="FZ1773" s="4"/>
      <c r="GA1773" s="4"/>
      <c r="GB1773" s="4"/>
      <c r="GC1773" s="4"/>
      <c r="GD1773" s="4"/>
      <c r="GE1773" s="4"/>
      <c r="GF1773" s="4"/>
      <c r="GG1773" s="4"/>
      <c r="GH1773" s="4"/>
    </row>
    <row r="1774">
      <c r="A1774" s="2" t="s">
        <v>9021</v>
      </c>
      <c r="B1774" s="2" t="s">
        <v>250</v>
      </c>
      <c r="C1774" s="2" t="s">
        <v>231</v>
      </c>
      <c r="D1774" s="2" t="s">
        <v>197</v>
      </c>
      <c r="E1774" s="2" t="s">
        <v>2477</v>
      </c>
      <c r="F1774" s="2" t="s">
        <v>9013</v>
      </c>
      <c r="G1774" s="2" t="s">
        <v>9014</v>
      </c>
      <c r="H1774" s="2" t="s">
        <v>9014</v>
      </c>
      <c r="I1774" s="2" t="s">
        <v>9015</v>
      </c>
      <c r="J1774" s="2" t="s">
        <v>612</v>
      </c>
      <c r="K1774" s="2" t="s">
        <v>416</v>
      </c>
      <c r="L1774" s="3">
        <v>22.05</v>
      </c>
      <c r="M1774" s="3">
        <v>23.15</v>
      </c>
      <c r="N1774" s="3">
        <v>44.99</v>
      </c>
      <c r="O1774" s="2" t="s">
        <v>212</v>
      </c>
      <c r="P1774" s="2" t="s">
        <v>205</v>
      </c>
      <c r="Q1774" s="2" t="s">
        <v>206</v>
      </c>
      <c r="R1774" s="2" t="s">
        <v>200</v>
      </c>
      <c r="S1774" s="2" t="s">
        <v>9020</v>
      </c>
      <c r="T1774" s="2" t="s">
        <v>378</v>
      </c>
      <c r="U1774" s="2" t="s">
        <v>270</v>
      </c>
      <c r="V1774" s="2" t="s">
        <v>208</v>
      </c>
      <c r="W1774" s="2" t="s">
        <v>241</v>
      </c>
      <c r="X1774" s="2" t="s">
        <v>200</v>
      </c>
      <c r="Y1774" s="2" t="s">
        <v>200</v>
      </c>
      <c r="Z1774" s="4"/>
      <c r="AA1774" s="4">
        <f>=ROUNDDOWN({0},0)</f>
      </c>
      <c r="AB1774" s="5">
        <v>31</v>
      </c>
      <c r="AC1774" s="2" t="s">
        <v>6140</v>
      </c>
      <c r="AD1774" s="4">
        <v>410</v>
      </c>
      <c r="AE1774" s="4">
        <v>590</v>
      </c>
      <c r="AF1774" s="6">
        <v>65</v>
      </c>
      <c r="AG1774" s="6"/>
      <c r="AH1774" s="7"/>
      <c r="AI1774" s="4"/>
      <c r="AJ1774" s="4">
        <f>=ROUNDDOWN({0},0)</f>
      </c>
      <c r="AK1774" s="5"/>
      <c r="AL1774" s="2" t="s">
        <v>200</v>
      </c>
      <c r="AM1774" s="4"/>
      <c r="AN1774" s="4"/>
      <c r="AO1774" s="7"/>
      <c r="AP1774" s="4"/>
      <c r="AQ1774" s="8"/>
      <c r="AR1774" s="4"/>
      <c r="AS1774" s="8"/>
      <c r="AT1774" s="7"/>
      <c r="AU1774" s="7"/>
      <c r="AV1774" s="4" t="s">
        <v>200</v>
      </c>
      <c r="AW1774" s="8" t="s">
        <v>200</v>
      </c>
      <c r="AX1774" s="4" t="s">
        <v>200</v>
      </c>
      <c r="AY1774" s="8" t="s">
        <v>200</v>
      </c>
      <c r="AZ1774" s="7" t="s">
        <v>200</v>
      </c>
      <c r="BA1774" s="7" t="s">
        <v>200</v>
      </c>
      <c r="BB1774" s="7"/>
      <c r="BC1774" s="4" t="s">
        <v>200</v>
      </c>
      <c r="BD1774" s="8" t="s">
        <v>200</v>
      </c>
      <c r="BE1774" s="4" t="s">
        <v>200</v>
      </c>
      <c r="BF1774" s="8" t="s">
        <v>200</v>
      </c>
      <c r="BG1774" s="7" t="s">
        <v>200</v>
      </c>
      <c r="BH1774" s="7" t="s">
        <v>200</v>
      </c>
      <c r="BI1774" s="7"/>
      <c r="BJ1774" s="4"/>
      <c r="BK1774" s="8"/>
      <c r="BL1774" s="2" t="s">
        <v>200</v>
      </c>
      <c r="BM1774" s="7"/>
      <c r="BN1774" s="7"/>
      <c r="BO1774" s="4"/>
      <c r="BP1774" s="8"/>
      <c r="BQ1774" s="4"/>
      <c r="BR1774" s="8"/>
      <c r="BS1774" s="7"/>
      <c r="BT1774" s="7"/>
      <c r="BU1774" s="2" t="s">
        <v>210</v>
      </c>
      <c r="BV1774" s="2" t="s">
        <v>200</v>
      </c>
      <c r="BW1774" s="2" t="s">
        <v>200</v>
      </c>
      <c r="BX1774" s="2" t="s">
        <v>210</v>
      </c>
      <c r="BY1774" s="2" t="s">
        <v>211</v>
      </c>
      <c r="BZ1774" s="2" t="s">
        <v>212</v>
      </c>
      <c r="CA1774" s="2" t="s">
        <v>200</v>
      </c>
      <c r="CB1774" s="2" t="s">
        <v>200</v>
      </c>
      <c r="CC1774" s="2" t="s">
        <v>213</v>
      </c>
      <c r="CD1774" s="2" t="s">
        <v>200</v>
      </c>
      <c r="CE1774" s="4"/>
      <c r="CF1774" s="4"/>
      <c r="CG1774" s="4"/>
      <c r="CH1774" s="4"/>
      <c r="CI1774" s="4"/>
      <c r="CJ1774" s="4"/>
      <c r="CK1774" s="4"/>
      <c r="CL1774" s="4"/>
      <c r="CM1774" s="4"/>
      <c r="CN1774" s="4"/>
      <c r="CO1774" s="4"/>
      <c r="CP1774" s="4"/>
      <c r="CQ1774" s="4"/>
      <c r="CR1774" s="4"/>
      <c r="CS1774" s="4"/>
      <c r="CT1774" s="4"/>
      <c r="CU1774" s="4"/>
      <c r="CV1774" s="4"/>
      <c r="CW1774" s="4"/>
      <c r="CX1774" s="4"/>
      <c r="CY1774" s="4"/>
      <c r="CZ1774" s="4"/>
      <c r="DA1774" s="4"/>
      <c r="DB1774" s="4"/>
      <c r="DC1774" s="4"/>
      <c r="DD1774" s="4"/>
      <c r="DE1774" s="4"/>
      <c r="DF1774" s="4"/>
      <c r="DG1774" s="4"/>
      <c r="DH1774" s="4"/>
      <c r="DI1774" s="4"/>
      <c r="DJ1774" s="4"/>
      <c r="DK1774" s="4"/>
      <c r="DL1774" s="4"/>
      <c r="DM1774" s="4"/>
      <c r="DN1774" s="4"/>
      <c r="DO1774" s="4"/>
      <c r="DP1774" s="4"/>
      <c r="DQ1774" s="4"/>
      <c r="DR1774" s="4"/>
      <c r="DS1774" s="4"/>
      <c r="DT1774" s="4"/>
      <c r="DU1774" s="4"/>
      <c r="DV1774" s="4"/>
      <c r="DW1774" s="4"/>
      <c r="DX1774" s="4"/>
      <c r="DY1774" s="4"/>
      <c r="DZ1774" s="4"/>
      <c r="EA1774" s="4"/>
      <c r="EB1774" s="4"/>
      <c r="EC1774" s="4"/>
      <c r="ED1774" s="4"/>
      <c r="EE1774" s="4"/>
      <c r="EF1774" s="4"/>
      <c r="EG1774" s="4"/>
      <c r="EH1774" s="4"/>
      <c r="EI1774" s="4"/>
      <c r="EJ1774" s="4"/>
      <c r="EK1774" s="4"/>
      <c r="EL1774" s="4"/>
      <c r="EM1774" s="4"/>
      <c r="EN1774" s="4"/>
      <c r="EO1774" s="4"/>
      <c r="EP1774" s="4"/>
      <c r="EQ1774" s="4"/>
      <c r="ER1774" s="4"/>
      <c r="ES1774" s="4"/>
      <c r="ET1774" s="4"/>
      <c r="EU1774" s="4"/>
      <c r="EV1774" s="4"/>
      <c r="EW1774" s="4"/>
      <c r="EX1774" s="4"/>
      <c r="EY1774" s="4"/>
      <c r="EZ1774" s="4"/>
      <c r="FA1774" s="4">
        <v>410</v>
      </c>
      <c r="FB1774" s="4"/>
      <c r="FC1774" s="4"/>
      <c r="FD1774" s="4"/>
      <c r="FE1774" s="4"/>
      <c r="FF1774" s="4"/>
      <c r="FG1774" s="4"/>
      <c r="FH1774" s="4"/>
      <c r="FI1774" s="4"/>
      <c r="FJ1774" s="4"/>
      <c r="FK1774" s="4"/>
      <c r="FL1774" s="4"/>
      <c r="FM1774" s="4"/>
      <c r="FN1774" s="4"/>
      <c r="FO1774" s="4"/>
      <c r="FP1774" s="4"/>
      <c r="FQ1774" s="4"/>
      <c r="FR1774" s="4"/>
      <c r="FS1774" s="4"/>
      <c r="FT1774" s="4"/>
      <c r="FU1774" s="4"/>
      <c r="FV1774" s="4">
        <v>180</v>
      </c>
      <c r="FW1774" s="4"/>
      <c r="FX1774" s="4"/>
      <c r="FY1774" s="4"/>
      <c r="FZ1774" s="4"/>
      <c r="GA1774" s="4"/>
      <c r="GB1774" s="4"/>
      <c r="GC1774" s="4"/>
      <c r="GD1774" s="4"/>
      <c r="GE1774" s="4"/>
      <c r="GF1774" s="4"/>
      <c r="GG1774" s="4"/>
      <c r="GH1774" s="4"/>
    </row>
    <row r="1775">
      <c r="A1775" s="2" t="s">
        <v>9022</v>
      </c>
      <c r="B1775" s="2" t="s">
        <v>250</v>
      </c>
      <c r="C1775" s="2" t="s">
        <v>231</v>
      </c>
      <c r="D1775" s="2" t="s">
        <v>197</v>
      </c>
      <c r="E1775" s="2" t="s">
        <v>2477</v>
      </c>
      <c r="F1775" s="2" t="s">
        <v>9013</v>
      </c>
      <c r="G1775" s="2" t="s">
        <v>9014</v>
      </c>
      <c r="H1775" s="2" t="s">
        <v>9014</v>
      </c>
      <c r="I1775" s="2" t="s">
        <v>9015</v>
      </c>
      <c r="J1775" s="2" t="s">
        <v>302</v>
      </c>
      <c r="K1775" s="2" t="s">
        <v>416</v>
      </c>
      <c r="L1775" s="3">
        <v>27.5</v>
      </c>
      <c r="M1775" s="3">
        <v>28.88</v>
      </c>
      <c r="N1775" s="3">
        <v>54.99</v>
      </c>
      <c r="O1775" s="2" t="s">
        <v>212</v>
      </c>
      <c r="P1775" s="2" t="s">
        <v>205</v>
      </c>
      <c r="Q1775" s="2" t="s">
        <v>206</v>
      </c>
      <c r="R1775" s="2" t="s">
        <v>200</v>
      </c>
      <c r="S1775" s="2" t="s">
        <v>9020</v>
      </c>
      <c r="T1775" s="2" t="s">
        <v>378</v>
      </c>
      <c r="U1775" s="2" t="s">
        <v>270</v>
      </c>
      <c r="V1775" s="2" t="s">
        <v>208</v>
      </c>
      <c r="W1775" s="2" t="s">
        <v>241</v>
      </c>
      <c r="X1775" s="2" t="s">
        <v>200</v>
      </c>
      <c r="Y1775" s="2" t="s">
        <v>200</v>
      </c>
      <c r="Z1775" s="4"/>
      <c r="AA1775" s="4">
        <f>=ROUNDDOWN({0},0)</f>
      </c>
      <c r="AB1775" s="5">
        <v>25</v>
      </c>
      <c r="AC1775" s="2" t="s">
        <v>6140</v>
      </c>
      <c r="AD1775" s="4">
        <v>290</v>
      </c>
      <c r="AE1775" s="4">
        <v>410</v>
      </c>
      <c r="AF1775" s="6">
        <v>65</v>
      </c>
      <c r="AG1775" s="6"/>
      <c r="AH1775" s="7"/>
      <c r="AI1775" s="4"/>
      <c r="AJ1775" s="4">
        <f>=ROUNDDOWN({0},0)</f>
      </c>
      <c r="AK1775" s="5"/>
      <c r="AL1775" s="2" t="s">
        <v>200</v>
      </c>
      <c r="AM1775" s="4"/>
      <c r="AN1775" s="4"/>
      <c r="AO1775" s="7"/>
      <c r="AP1775" s="4"/>
      <c r="AQ1775" s="8"/>
      <c r="AR1775" s="4"/>
      <c r="AS1775" s="8"/>
      <c r="AT1775" s="7"/>
      <c r="AU1775" s="7"/>
      <c r="AV1775" s="4" t="s">
        <v>200</v>
      </c>
      <c r="AW1775" s="8" t="s">
        <v>200</v>
      </c>
      <c r="AX1775" s="4" t="s">
        <v>200</v>
      </c>
      <c r="AY1775" s="8" t="s">
        <v>200</v>
      </c>
      <c r="AZ1775" s="7" t="s">
        <v>200</v>
      </c>
      <c r="BA1775" s="7" t="s">
        <v>200</v>
      </c>
      <c r="BB1775" s="7"/>
      <c r="BC1775" s="4" t="s">
        <v>200</v>
      </c>
      <c r="BD1775" s="8" t="s">
        <v>200</v>
      </c>
      <c r="BE1775" s="4" t="s">
        <v>200</v>
      </c>
      <c r="BF1775" s="8" t="s">
        <v>200</v>
      </c>
      <c r="BG1775" s="7" t="s">
        <v>200</v>
      </c>
      <c r="BH1775" s="7" t="s">
        <v>200</v>
      </c>
      <c r="BI1775" s="7"/>
      <c r="BJ1775" s="4"/>
      <c r="BK1775" s="8"/>
      <c r="BL1775" s="2" t="s">
        <v>200</v>
      </c>
      <c r="BM1775" s="7"/>
      <c r="BN1775" s="7"/>
      <c r="BO1775" s="4"/>
      <c r="BP1775" s="8"/>
      <c r="BQ1775" s="4"/>
      <c r="BR1775" s="8"/>
      <c r="BS1775" s="7"/>
      <c r="BT1775" s="7"/>
      <c r="BU1775" s="2" t="s">
        <v>210</v>
      </c>
      <c r="BV1775" s="2" t="s">
        <v>200</v>
      </c>
      <c r="BW1775" s="2" t="s">
        <v>200</v>
      </c>
      <c r="BX1775" s="2" t="s">
        <v>210</v>
      </c>
      <c r="BY1775" s="2" t="s">
        <v>211</v>
      </c>
      <c r="BZ1775" s="2" t="s">
        <v>212</v>
      </c>
      <c r="CA1775" s="2" t="s">
        <v>200</v>
      </c>
      <c r="CB1775" s="2" t="s">
        <v>200</v>
      </c>
      <c r="CC1775" s="2" t="s">
        <v>213</v>
      </c>
      <c r="CD1775" s="2" t="s">
        <v>200</v>
      </c>
      <c r="CE1775" s="4"/>
      <c r="CF1775" s="4"/>
      <c r="CG1775" s="4"/>
      <c r="CH1775" s="4"/>
      <c r="CI1775" s="4"/>
      <c r="CJ1775" s="4"/>
      <c r="CK1775" s="4"/>
      <c r="CL1775" s="4"/>
      <c r="CM1775" s="4"/>
      <c r="CN1775" s="4"/>
      <c r="CO1775" s="4"/>
      <c r="CP1775" s="4"/>
      <c r="CQ1775" s="4"/>
      <c r="CR1775" s="4"/>
      <c r="CS1775" s="4"/>
      <c r="CT1775" s="4"/>
      <c r="CU1775" s="4"/>
      <c r="CV1775" s="4"/>
      <c r="CW1775" s="4"/>
      <c r="CX1775" s="4"/>
      <c r="CY1775" s="4"/>
      <c r="CZ1775" s="4"/>
      <c r="DA1775" s="4"/>
      <c r="DB1775" s="4"/>
      <c r="DC1775" s="4"/>
      <c r="DD1775" s="4"/>
      <c r="DE1775" s="4"/>
      <c r="DF1775" s="4"/>
      <c r="DG1775" s="4"/>
      <c r="DH1775" s="4"/>
      <c r="DI1775" s="4"/>
      <c r="DJ1775" s="4"/>
      <c r="DK1775" s="4"/>
      <c r="DL1775" s="4"/>
      <c r="DM1775" s="4"/>
      <c r="DN1775" s="4"/>
      <c r="DO1775" s="4"/>
      <c r="DP1775" s="4"/>
      <c r="DQ1775" s="4"/>
      <c r="DR1775" s="4"/>
      <c r="DS1775" s="4"/>
      <c r="DT1775" s="4"/>
      <c r="DU1775" s="4"/>
      <c r="DV1775" s="4"/>
      <c r="DW1775" s="4"/>
      <c r="DX1775" s="4"/>
      <c r="DY1775" s="4"/>
      <c r="DZ1775" s="4"/>
      <c r="EA1775" s="4"/>
      <c r="EB1775" s="4"/>
      <c r="EC1775" s="4"/>
      <c r="ED1775" s="4"/>
      <c r="EE1775" s="4"/>
      <c r="EF1775" s="4"/>
      <c r="EG1775" s="4"/>
      <c r="EH1775" s="4"/>
      <c r="EI1775" s="4"/>
      <c r="EJ1775" s="4"/>
      <c r="EK1775" s="4"/>
      <c r="EL1775" s="4"/>
      <c r="EM1775" s="4"/>
      <c r="EN1775" s="4"/>
      <c r="EO1775" s="4"/>
      <c r="EP1775" s="4"/>
      <c r="EQ1775" s="4"/>
      <c r="ER1775" s="4"/>
      <c r="ES1775" s="4"/>
      <c r="ET1775" s="4"/>
      <c r="EU1775" s="4"/>
      <c r="EV1775" s="4"/>
      <c r="EW1775" s="4"/>
      <c r="EX1775" s="4"/>
      <c r="EY1775" s="4"/>
      <c r="EZ1775" s="4"/>
      <c r="FA1775" s="4">
        <v>290</v>
      </c>
      <c r="FB1775" s="4"/>
      <c r="FC1775" s="4"/>
      <c r="FD1775" s="4"/>
      <c r="FE1775" s="4"/>
      <c r="FF1775" s="4"/>
      <c r="FG1775" s="4"/>
      <c r="FH1775" s="4"/>
      <c r="FI1775" s="4"/>
      <c r="FJ1775" s="4"/>
      <c r="FK1775" s="4"/>
      <c r="FL1775" s="4"/>
      <c r="FM1775" s="4"/>
      <c r="FN1775" s="4"/>
      <c r="FO1775" s="4"/>
      <c r="FP1775" s="4"/>
      <c r="FQ1775" s="4"/>
      <c r="FR1775" s="4"/>
      <c r="FS1775" s="4"/>
      <c r="FT1775" s="4"/>
      <c r="FU1775" s="4"/>
      <c r="FV1775" s="4">
        <v>120</v>
      </c>
      <c r="FW1775" s="4"/>
      <c r="FX1775" s="4"/>
      <c r="FY1775" s="4"/>
      <c r="FZ1775" s="4"/>
      <c r="GA1775" s="4"/>
      <c r="GB1775" s="4"/>
      <c r="GC1775" s="4"/>
      <c r="GD1775" s="4"/>
      <c r="GE1775" s="4"/>
      <c r="GF1775" s="4"/>
      <c r="GG1775" s="4"/>
      <c r="GH1775" s="4"/>
    </row>
    <row r="1776">
      <c r="A1776" s="2" t="s">
        <v>9023</v>
      </c>
      <c r="B1776" s="2" t="s">
        <v>250</v>
      </c>
      <c r="C1776" s="2" t="s">
        <v>231</v>
      </c>
      <c r="D1776" s="2" t="s">
        <v>197</v>
      </c>
      <c r="E1776" s="2" t="s">
        <v>2477</v>
      </c>
      <c r="F1776" s="2" t="s">
        <v>9013</v>
      </c>
      <c r="G1776" s="2" t="s">
        <v>9014</v>
      </c>
      <c r="H1776" s="2" t="s">
        <v>9014</v>
      </c>
      <c r="I1776" s="2" t="s">
        <v>9015</v>
      </c>
      <c r="J1776" s="2" t="s">
        <v>256</v>
      </c>
      <c r="K1776" s="2" t="s">
        <v>2404</v>
      </c>
      <c r="L1776" s="3">
        <v>16.45</v>
      </c>
      <c r="M1776" s="3">
        <v>17.27</v>
      </c>
      <c r="N1776" s="3">
        <v>34.99</v>
      </c>
      <c r="O1776" s="2" t="s">
        <v>212</v>
      </c>
      <c r="P1776" s="2" t="s">
        <v>205</v>
      </c>
      <c r="Q1776" s="2" t="s">
        <v>206</v>
      </c>
      <c r="R1776" s="2" t="s">
        <v>200</v>
      </c>
      <c r="S1776" s="2" t="s">
        <v>9020</v>
      </c>
      <c r="T1776" s="2" t="s">
        <v>378</v>
      </c>
      <c r="U1776" s="2" t="s">
        <v>270</v>
      </c>
      <c r="V1776" s="2" t="s">
        <v>208</v>
      </c>
      <c r="W1776" s="2" t="s">
        <v>241</v>
      </c>
      <c r="X1776" s="2" t="s">
        <v>200</v>
      </c>
      <c r="Y1776" s="2" t="s">
        <v>200</v>
      </c>
      <c r="Z1776" s="4"/>
      <c r="AA1776" s="4">
        <f>=ROUNDDOWN({0},0)</f>
      </c>
      <c r="AB1776" s="5">
        <v>20</v>
      </c>
      <c r="AC1776" s="2" t="s">
        <v>6140</v>
      </c>
      <c r="AD1776" s="4">
        <v>350</v>
      </c>
      <c r="AE1776" s="4">
        <v>500</v>
      </c>
      <c r="AF1776" s="6">
        <v>65</v>
      </c>
      <c r="AG1776" s="6"/>
      <c r="AH1776" s="7"/>
      <c r="AI1776" s="4"/>
      <c r="AJ1776" s="4">
        <f>=ROUNDDOWN({0},0)</f>
      </c>
      <c r="AK1776" s="5"/>
      <c r="AL1776" s="2" t="s">
        <v>200</v>
      </c>
      <c r="AM1776" s="4"/>
      <c r="AN1776" s="4"/>
      <c r="AO1776" s="7"/>
      <c r="AP1776" s="4"/>
      <c r="AQ1776" s="8"/>
      <c r="AR1776" s="4"/>
      <c r="AS1776" s="8"/>
      <c r="AT1776" s="7"/>
      <c r="AU1776" s="7"/>
      <c r="AV1776" s="4" t="s">
        <v>200</v>
      </c>
      <c r="AW1776" s="8" t="s">
        <v>200</v>
      </c>
      <c r="AX1776" s="4" t="s">
        <v>200</v>
      </c>
      <c r="AY1776" s="8" t="s">
        <v>200</v>
      </c>
      <c r="AZ1776" s="7" t="s">
        <v>200</v>
      </c>
      <c r="BA1776" s="7" t="s">
        <v>200</v>
      </c>
      <c r="BB1776" s="7"/>
      <c r="BC1776" s="4" t="s">
        <v>200</v>
      </c>
      <c r="BD1776" s="8" t="s">
        <v>200</v>
      </c>
      <c r="BE1776" s="4" t="s">
        <v>200</v>
      </c>
      <c r="BF1776" s="8" t="s">
        <v>200</v>
      </c>
      <c r="BG1776" s="7" t="s">
        <v>200</v>
      </c>
      <c r="BH1776" s="7" t="s">
        <v>200</v>
      </c>
      <c r="BI1776" s="7"/>
      <c r="BJ1776" s="4"/>
      <c r="BK1776" s="8"/>
      <c r="BL1776" s="2" t="s">
        <v>200</v>
      </c>
      <c r="BM1776" s="7"/>
      <c r="BN1776" s="7"/>
      <c r="BO1776" s="4"/>
      <c r="BP1776" s="8"/>
      <c r="BQ1776" s="4"/>
      <c r="BR1776" s="8"/>
      <c r="BS1776" s="7"/>
      <c r="BT1776" s="7"/>
      <c r="BU1776" s="2" t="s">
        <v>210</v>
      </c>
      <c r="BV1776" s="2" t="s">
        <v>200</v>
      </c>
      <c r="BW1776" s="2" t="s">
        <v>200</v>
      </c>
      <c r="BX1776" s="2" t="s">
        <v>210</v>
      </c>
      <c r="BY1776" s="2" t="s">
        <v>211</v>
      </c>
      <c r="BZ1776" s="2" t="s">
        <v>212</v>
      </c>
      <c r="CA1776" s="2" t="s">
        <v>200</v>
      </c>
      <c r="CB1776" s="2" t="s">
        <v>200</v>
      </c>
      <c r="CC1776" s="2" t="s">
        <v>213</v>
      </c>
      <c r="CD1776" s="2" t="s">
        <v>200</v>
      </c>
      <c r="CE1776" s="4"/>
      <c r="CF1776" s="4"/>
      <c r="CG1776" s="4"/>
      <c r="CH1776" s="4"/>
      <c r="CI1776" s="4"/>
      <c r="CJ1776" s="4"/>
      <c r="CK1776" s="4"/>
      <c r="CL1776" s="4"/>
      <c r="CM1776" s="4"/>
      <c r="CN1776" s="4"/>
      <c r="CO1776" s="4"/>
      <c r="CP1776" s="4"/>
      <c r="CQ1776" s="4"/>
      <c r="CR1776" s="4"/>
      <c r="CS1776" s="4"/>
      <c r="CT1776" s="4"/>
      <c r="CU1776" s="4"/>
      <c r="CV1776" s="4"/>
      <c r="CW1776" s="4"/>
      <c r="CX1776" s="4"/>
      <c r="CY1776" s="4"/>
      <c r="CZ1776" s="4"/>
      <c r="DA1776" s="4"/>
      <c r="DB1776" s="4"/>
      <c r="DC1776" s="4"/>
      <c r="DD1776" s="4"/>
      <c r="DE1776" s="4"/>
      <c r="DF1776" s="4"/>
      <c r="DG1776" s="4"/>
      <c r="DH1776" s="4"/>
      <c r="DI1776" s="4"/>
      <c r="DJ1776" s="4"/>
      <c r="DK1776" s="4"/>
      <c r="DL1776" s="4"/>
      <c r="DM1776" s="4"/>
      <c r="DN1776" s="4"/>
      <c r="DO1776" s="4"/>
      <c r="DP1776" s="4"/>
      <c r="DQ1776" s="4"/>
      <c r="DR1776" s="4"/>
      <c r="DS1776" s="4"/>
      <c r="DT1776" s="4"/>
      <c r="DU1776" s="4"/>
      <c r="DV1776" s="4"/>
      <c r="DW1776" s="4"/>
      <c r="DX1776" s="4"/>
      <c r="DY1776" s="4"/>
      <c r="DZ1776" s="4"/>
      <c r="EA1776" s="4"/>
      <c r="EB1776" s="4"/>
      <c r="EC1776" s="4"/>
      <c r="ED1776" s="4"/>
      <c r="EE1776" s="4"/>
      <c r="EF1776" s="4"/>
      <c r="EG1776" s="4"/>
      <c r="EH1776" s="4"/>
      <c r="EI1776" s="4"/>
      <c r="EJ1776" s="4"/>
      <c r="EK1776" s="4"/>
      <c r="EL1776" s="4"/>
      <c r="EM1776" s="4"/>
      <c r="EN1776" s="4"/>
      <c r="EO1776" s="4"/>
      <c r="EP1776" s="4"/>
      <c r="EQ1776" s="4"/>
      <c r="ER1776" s="4"/>
      <c r="ES1776" s="4"/>
      <c r="ET1776" s="4"/>
      <c r="EU1776" s="4"/>
      <c r="EV1776" s="4"/>
      <c r="EW1776" s="4"/>
      <c r="EX1776" s="4"/>
      <c r="EY1776" s="4"/>
      <c r="EZ1776" s="4"/>
      <c r="FA1776" s="4">
        <v>350</v>
      </c>
      <c r="FB1776" s="4"/>
      <c r="FC1776" s="4"/>
      <c r="FD1776" s="4"/>
      <c r="FE1776" s="4"/>
      <c r="FF1776" s="4"/>
      <c r="FG1776" s="4"/>
      <c r="FH1776" s="4"/>
      <c r="FI1776" s="4"/>
      <c r="FJ1776" s="4"/>
      <c r="FK1776" s="4"/>
      <c r="FL1776" s="4"/>
      <c r="FM1776" s="4"/>
      <c r="FN1776" s="4"/>
      <c r="FO1776" s="4"/>
      <c r="FP1776" s="4"/>
      <c r="FQ1776" s="4"/>
      <c r="FR1776" s="4"/>
      <c r="FS1776" s="4"/>
      <c r="FT1776" s="4"/>
      <c r="FU1776" s="4"/>
      <c r="FV1776" s="4">
        <v>150</v>
      </c>
      <c r="FW1776" s="4"/>
      <c r="FX1776" s="4"/>
      <c r="FY1776" s="4"/>
      <c r="FZ1776" s="4"/>
      <c r="GA1776" s="4"/>
      <c r="GB1776" s="4"/>
      <c r="GC1776" s="4"/>
      <c r="GD1776" s="4"/>
      <c r="GE1776" s="4"/>
      <c r="GF1776" s="4"/>
      <c r="GG1776" s="4"/>
      <c r="GH1776" s="4"/>
    </row>
    <row r="1777">
      <c r="A1777" s="2" t="s">
        <v>9024</v>
      </c>
      <c r="B1777" s="2" t="s">
        <v>250</v>
      </c>
      <c r="C1777" s="2" t="s">
        <v>231</v>
      </c>
      <c r="D1777" s="2" t="s">
        <v>197</v>
      </c>
      <c r="E1777" s="2" t="s">
        <v>2477</v>
      </c>
      <c r="F1777" s="2" t="s">
        <v>9013</v>
      </c>
      <c r="G1777" s="2" t="s">
        <v>9014</v>
      </c>
      <c r="H1777" s="2" t="s">
        <v>9014</v>
      </c>
      <c r="I1777" s="2" t="s">
        <v>9015</v>
      </c>
      <c r="J1777" s="2" t="s">
        <v>612</v>
      </c>
      <c r="K1777" s="2" t="s">
        <v>2404</v>
      </c>
      <c r="L1777" s="3">
        <v>22.05</v>
      </c>
      <c r="M1777" s="3">
        <v>23.15</v>
      </c>
      <c r="N1777" s="3">
        <v>44.99</v>
      </c>
      <c r="O1777" s="2" t="s">
        <v>212</v>
      </c>
      <c r="P1777" s="2" t="s">
        <v>205</v>
      </c>
      <c r="Q1777" s="2" t="s">
        <v>206</v>
      </c>
      <c r="R1777" s="2" t="s">
        <v>200</v>
      </c>
      <c r="S1777" s="2" t="s">
        <v>9020</v>
      </c>
      <c r="T1777" s="2" t="s">
        <v>378</v>
      </c>
      <c r="U1777" s="2" t="s">
        <v>270</v>
      </c>
      <c r="V1777" s="2" t="s">
        <v>208</v>
      </c>
      <c r="W1777" s="2" t="s">
        <v>241</v>
      </c>
      <c r="X1777" s="2" t="s">
        <v>200</v>
      </c>
      <c r="Y1777" s="2" t="s">
        <v>200</v>
      </c>
      <c r="Z1777" s="4"/>
      <c r="AA1777" s="4">
        <f>=ROUNDDOWN({0},0)</f>
      </c>
      <c r="AB1777" s="5">
        <v>31</v>
      </c>
      <c r="AC1777" s="2" t="s">
        <v>6140</v>
      </c>
      <c r="AD1777" s="4">
        <v>420</v>
      </c>
      <c r="AE1777" s="4">
        <v>590</v>
      </c>
      <c r="AF1777" s="6">
        <v>65</v>
      </c>
      <c r="AG1777" s="6"/>
      <c r="AH1777" s="7"/>
      <c r="AI1777" s="4"/>
      <c r="AJ1777" s="4">
        <f>=ROUNDDOWN({0},0)</f>
      </c>
      <c r="AK1777" s="5"/>
      <c r="AL1777" s="2" t="s">
        <v>200</v>
      </c>
      <c r="AM1777" s="4"/>
      <c r="AN1777" s="4"/>
      <c r="AO1777" s="7"/>
      <c r="AP1777" s="4"/>
      <c r="AQ1777" s="8"/>
      <c r="AR1777" s="4"/>
      <c r="AS1777" s="8"/>
      <c r="AT1777" s="7"/>
      <c r="AU1777" s="7"/>
      <c r="AV1777" s="4" t="s">
        <v>200</v>
      </c>
      <c r="AW1777" s="8" t="s">
        <v>200</v>
      </c>
      <c r="AX1777" s="4" t="s">
        <v>200</v>
      </c>
      <c r="AY1777" s="8" t="s">
        <v>200</v>
      </c>
      <c r="AZ1777" s="7" t="s">
        <v>200</v>
      </c>
      <c r="BA1777" s="7" t="s">
        <v>200</v>
      </c>
      <c r="BB1777" s="7"/>
      <c r="BC1777" s="4" t="s">
        <v>200</v>
      </c>
      <c r="BD1777" s="8" t="s">
        <v>200</v>
      </c>
      <c r="BE1777" s="4" t="s">
        <v>200</v>
      </c>
      <c r="BF1777" s="8" t="s">
        <v>200</v>
      </c>
      <c r="BG1777" s="7" t="s">
        <v>200</v>
      </c>
      <c r="BH1777" s="7" t="s">
        <v>200</v>
      </c>
      <c r="BI1777" s="7"/>
      <c r="BJ1777" s="4"/>
      <c r="BK1777" s="8"/>
      <c r="BL1777" s="2" t="s">
        <v>200</v>
      </c>
      <c r="BM1777" s="7"/>
      <c r="BN1777" s="7"/>
      <c r="BO1777" s="4"/>
      <c r="BP1777" s="8"/>
      <c r="BQ1777" s="4"/>
      <c r="BR1777" s="8"/>
      <c r="BS1777" s="7"/>
      <c r="BT1777" s="7"/>
      <c r="BU1777" s="2" t="s">
        <v>210</v>
      </c>
      <c r="BV1777" s="2" t="s">
        <v>200</v>
      </c>
      <c r="BW1777" s="2" t="s">
        <v>200</v>
      </c>
      <c r="BX1777" s="2" t="s">
        <v>210</v>
      </c>
      <c r="BY1777" s="2" t="s">
        <v>211</v>
      </c>
      <c r="BZ1777" s="2" t="s">
        <v>212</v>
      </c>
      <c r="CA1777" s="2" t="s">
        <v>200</v>
      </c>
      <c r="CB1777" s="2" t="s">
        <v>200</v>
      </c>
      <c r="CC1777" s="2" t="s">
        <v>213</v>
      </c>
      <c r="CD1777" s="2" t="s">
        <v>200</v>
      </c>
      <c r="CE1777" s="4"/>
      <c r="CF1777" s="4"/>
      <c r="CG1777" s="4"/>
      <c r="CH1777" s="4"/>
      <c r="CI1777" s="4"/>
      <c r="CJ1777" s="4"/>
      <c r="CK1777" s="4"/>
      <c r="CL1777" s="4"/>
      <c r="CM1777" s="4"/>
      <c r="CN1777" s="4"/>
      <c r="CO1777" s="4"/>
      <c r="CP1777" s="4"/>
      <c r="CQ1777" s="4"/>
      <c r="CR1777" s="4"/>
      <c r="CS1777" s="4"/>
      <c r="CT1777" s="4"/>
      <c r="CU1777" s="4"/>
      <c r="CV1777" s="4"/>
      <c r="CW1777" s="4"/>
      <c r="CX1777" s="4"/>
      <c r="CY1777" s="4"/>
      <c r="CZ1777" s="4"/>
      <c r="DA1777" s="4"/>
      <c r="DB1777" s="4"/>
      <c r="DC1777" s="4"/>
      <c r="DD1777" s="4"/>
      <c r="DE1777" s="4"/>
      <c r="DF1777" s="4"/>
      <c r="DG1777" s="4"/>
      <c r="DH1777" s="4"/>
      <c r="DI1777" s="4"/>
      <c r="DJ1777" s="4"/>
      <c r="DK1777" s="4"/>
      <c r="DL1777" s="4"/>
      <c r="DM1777" s="4"/>
      <c r="DN1777" s="4"/>
      <c r="DO1777" s="4"/>
      <c r="DP1777" s="4"/>
      <c r="DQ1777" s="4"/>
      <c r="DR1777" s="4"/>
      <c r="DS1777" s="4"/>
      <c r="DT1777" s="4"/>
      <c r="DU1777" s="4"/>
      <c r="DV1777" s="4"/>
      <c r="DW1777" s="4"/>
      <c r="DX1777" s="4"/>
      <c r="DY1777" s="4"/>
      <c r="DZ1777" s="4"/>
      <c r="EA1777" s="4"/>
      <c r="EB1777" s="4"/>
      <c r="EC1777" s="4"/>
      <c r="ED1777" s="4"/>
      <c r="EE1777" s="4"/>
      <c r="EF1777" s="4"/>
      <c r="EG1777" s="4"/>
      <c r="EH1777" s="4"/>
      <c r="EI1777" s="4"/>
      <c r="EJ1777" s="4"/>
      <c r="EK1777" s="4"/>
      <c r="EL1777" s="4"/>
      <c r="EM1777" s="4"/>
      <c r="EN1777" s="4"/>
      <c r="EO1777" s="4"/>
      <c r="EP1777" s="4"/>
      <c r="EQ1777" s="4"/>
      <c r="ER1777" s="4"/>
      <c r="ES1777" s="4"/>
      <c r="ET1777" s="4"/>
      <c r="EU1777" s="4"/>
      <c r="EV1777" s="4"/>
      <c r="EW1777" s="4"/>
      <c r="EX1777" s="4"/>
      <c r="EY1777" s="4"/>
      <c r="EZ1777" s="4"/>
      <c r="FA1777" s="4">
        <v>420</v>
      </c>
      <c r="FB1777" s="4"/>
      <c r="FC1777" s="4"/>
      <c r="FD1777" s="4"/>
      <c r="FE1777" s="4"/>
      <c r="FF1777" s="4"/>
      <c r="FG1777" s="4"/>
      <c r="FH1777" s="4"/>
      <c r="FI1777" s="4"/>
      <c r="FJ1777" s="4"/>
      <c r="FK1777" s="4"/>
      <c r="FL1777" s="4"/>
      <c r="FM1777" s="4"/>
      <c r="FN1777" s="4"/>
      <c r="FO1777" s="4"/>
      <c r="FP1777" s="4"/>
      <c r="FQ1777" s="4"/>
      <c r="FR1777" s="4"/>
      <c r="FS1777" s="4"/>
      <c r="FT1777" s="4"/>
      <c r="FU1777" s="4"/>
      <c r="FV1777" s="4">
        <v>170</v>
      </c>
      <c r="FW1777" s="4"/>
      <c r="FX1777" s="4"/>
      <c r="FY1777" s="4"/>
      <c r="FZ1777" s="4"/>
      <c r="GA1777" s="4"/>
      <c r="GB1777" s="4"/>
      <c r="GC1777" s="4"/>
      <c r="GD1777" s="4"/>
      <c r="GE1777" s="4"/>
      <c r="GF1777" s="4"/>
      <c r="GG1777" s="4"/>
      <c r="GH1777" s="4"/>
    </row>
    <row r="1778">
      <c r="A1778" s="2" t="s">
        <v>9025</v>
      </c>
      <c r="B1778" s="2" t="s">
        <v>250</v>
      </c>
      <c r="C1778" s="2" t="s">
        <v>231</v>
      </c>
      <c r="D1778" s="2" t="s">
        <v>197</v>
      </c>
      <c r="E1778" s="2" t="s">
        <v>2477</v>
      </c>
      <c r="F1778" s="2" t="s">
        <v>9013</v>
      </c>
      <c r="G1778" s="2" t="s">
        <v>9014</v>
      </c>
      <c r="H1778" s="2" t="s">
        <v>9014</v>
      </c>
      <c r="I1778" s="2" t="s">
        <v>9015</v>
      </c>
      <c r="J1778" s="2" t="s">
        <v>302</v>
      </c>
      <c r="K1778" s="2" t="s">
        <v>2404</v>
      </c>
      <c r="L1778" s="3">
        <v>27.5</v>
      </c>
      <c r="M1778" s="3">
        <v>28.88</v>
      </c>
      <c r="N1778" s="3">
        <v>54.99</v>
      </c>
      <c r="O1778" s="2" t="s">
        <v>212</v>
      </c>
      <c r="P1778" s="2" t="s">
        <v>205</v>
      </c>
      <c r="Q1778" s="2" t="s">
        <v>206</v>
      </c>
      <c r="R1778" s="2" t="s">
        <v>200</v>
      </c>
      <c r="S1778" s="2" t="s">
        <v>9020</v>
      </c>
      <c r="T1778" s="2" t="s">
        <v>378</v>
      </c>
      <c r="U1778" s="2" t="s">
        <v>270</v>
      </c>
      <c r="V1778" s="2" t="s">
        <v>208</v>
      </c>
      <c r="W1778" s="2" t="s">
        <v>241</v>
      </c>
      <c r="X1778" s="2" t="s">
        <v>200</v>
      </c>
      <c r="Y1778" s="2" t="s">
        <v>200</v>
      </c>
      <c r="Z1778" s="4"/>
      <c r="AA1778" s="4">
        <f>=ROUNDDOWN({0},0)</f>
      </c>
      <c r="AB1778" s="5">
        <v>25</v>
      </c>
      <c r="AC1778" s="2" t="s">
        <v>6140</v>
      </c>
      <c r="AD1778" s="4">
        <v>290</v>
      </c>
      <c r="AE1778" s="4">
        <v>410</v>
      </c>
      <c r="AF1778" s="6">
        <v>65</v>
      </c>
      <c r="AG1778" s="6"/>
      <c r="AH1778" s="7"/>
      <c r="AI1778" s="4"/>
      <c r="AJ1778" s="4">
        <f>=ROUNDDOWN({0},0)</f>
      </c>
      <c r="AK1778" s="5"/>
      <c r="AL1778" s="2" t="s">
        <v>200</v>
      </c>
      <c r="AM1778" s="4"/>
      <c r="AN1778" s="4"/>
      <c r="AO1778" s="7"/>
      <c r="AP1778" s="4"/>
      <c r="AQ1778" s="8"/>
      <c r="AR1778" s="4"/>
      <c r="AS1778" s="8"/>
      <c r="AT1778" s="7"/>
      <c r="AU1778" s="7"/>
      <c r="AV1778" s="4" t="s">
        <v>200</v>
      </c>
      <c r="AW1778" s="8" t="s">
        <v>200</v>
      </c>
      <c r="AX1778" s="4" t="s">
        <v>200</v>
      </c>
      <c r="AY1778" s="8" t="s">
        <v>200</v>
      </c>
      <c r="AZ1778" s="7" t="s">
        <v>200</v>
      </c>
      <c r="BA1778" s="7" t="s">
        <v>200</v>
      </c>
      <c r="BB1778" s="7"/>
      <c r="BC1778" s="4" t="s">
        <v>200</v>
      </c>
      <c r="BD1778" s="8" t="s">
        <v>200</v>
      </c>
      <c r="BE1778" s="4" t="s">
        <v>200</v>
      </c>
      <c r="BF1778" s="8" t="s">
        <v>200</v>
      </c>
      <c r="BG1778" s="7" t="s">
        <v>200</v>
      </c>
      <c r="BH1778" s="7" t="s">
        <v>200</v>
      </c>
      <c r="BI1778" s="7"/>
      <c r="BJ1778" s="4"/>
      <c r="BK1778" s="8"/>
      <c r="BL1778" s="2" t="s">
        <v>200</v>
      </c>
      <c r="BM1778" s="7"/>
      <c r="BN1778" s="7"/>
      <c r="BO1778" s="4"/>
      <c r="BP1778" s="8"/>
      <c r="BQ1778" s="4"/>
      <c r="BR1778" s="8"/>
      <c r="BS1778" s="7"/>
      <c r="BT1778" s="7"/>
      <c r="BU1778" s="2" t="s">
        <v>210</v>
      </c>
      <c r="BV1778" s="2" t="s">
        <v>200</v>
      </c>
      <c r="BW1778" s="2" t="s">
        <v>200</v>
      </c>
      <c r="BX1778" s="2" t="s">
        <v>210</v>
      </c>
      <c r="BY1778" s="2" t="s">
        <v>211</v>
      </c>
      <c r="BZ1778" s="2" t="s">
        <v>212</v>
      </c>
      <c r="CA1778" s="2" t="s">
        <v>200</v>
      </c>
      <c r="CB1778" s="2" t="s">
        <v>200</v>
      </c>
      <c r="CC1778" s="2" t="s">
        <v>213</v>
      </c>
      <c r="CD1778" s="2" t="s">
        <v>200</v>
      </c>
      <c r="CE1778" s="4"/>
      <c r="CF1778" s="4"/>
      <c r="CG1778" s="4"/>
      <c r="CH1778" s="4"/>
      <c r="CI1778" s="4"/>
      <c r="CJ1778" s="4"/>
      <c r="CK1778" s="4"/>
      <c r="CL1778" s="4"/>
      <c r="CM1778" s="4"/>
      <c r="CN1778" s="4"/>
      <c r="CO1778" s="4"/>
      <c r="CP1778" s="4"/>
      <c r="CQ1778" s="4"/>
      <c r="CR1778" s="4"/>
      <c r="CS1778" s="4"/>
      <c r="CT1778" s="4"/>
      <c r="CU1778" s="4"/>
      <c r="CV1778" s="4"/>
      <c r="CW1778" s="4"/>
      <c r="CX1778" s="4"/>
      <c r="CY1778" s="4"/>
      <c r="CZ1778" s="4"/>
      <c r="DA1778" s="4"/>
      <c r="DB1778" s="4"/>
      <c r="DC1778" s="4"/>
      <c r="DD1778" s="4"/>
      <c r="DE1778" s="4"/>
      <c r="DF1778" s="4"/>
      <c r="DG1778" s="4"/>
      <c r="DH1778" s="4"/>
      <c r="DI1778" s="4"/>
      <c r="DJ1778" s="4"/>
      <c r="DK1778" s="4"/>
      <c r="DL1778" s="4"/>
      <c r="DM1778" s="4"/>
      <c r="DN1778" s="4"/>
      <c r="DO1778" s="4"/>
      <c r="DP1778" s="4"/>
      <c r="DQ1778" s="4"/>
      <c r="DR1778" s="4"/>
      <c r="DS1778" s="4"/>
      <c r="DT1778" s="4"/>
      <c r="DU1778" s="4"/>
      <c r="DV1778" s="4"/>
      <c r="DW1778" s="4"/>
      <c r="DX1778" s="4"/>
      <c r="DY1778" s="4"/>
      <c r="DZ1778" s="4"/>
      <c r="EA1778" s="4"/>
      <c r="EB1778" s="4"/>
      <c r="EC1778" s="4"/>
      <c r="ED1778" s="4"/>
      <c r="EE1778" s="4"/>
      <c r="EF1778" s="4"/>
      <c r="EG1778" s="4"/>
      <c r="EH1778" s="4"/>
      <c r="EI1778" s="4"/>
      <c r="EJ1778" s="4"/>
      <c r="EK1778" s="4"/>
      <c r="EL1778" s="4"/>
      <c r="EM1778" s="4"/>
      <c r="EN1778" s="4"/>
      <c r="EO1778" s="4"/>
      <c r="EP1778" s="4"/>
      <c r="EQ1778" s="4"/>
      <c r="ER1778" s="4"/>
      <c r="ES1778" s="4"/>
      <c r="ET1778" s="4"/>
      <c r="EU1778" s="4"/>
      <c r="EV1778" s="4"/>
      <c r="EW1778" s="4"/>
      <c r="EX1778" s="4"/>
      <c r="EY1778" s="4"/>
      <c r="EZ1778" s="4"/>
      <c r="FA1778" s="4">
        <v>290</v>
      </c>
      <c r="FB1778" s="4"/>
      <c r="FC1778" s="4"/>
      <c r="FD1778" s="4"/>
      <c r="FE1778" s="4"/>
      <c r="FF1778" s="4"/>
      <c r="FG1778" s="4"/>
      <c r="FH1778" s="4"/>
      <c r="FI1778" s="4"/>
      <c r="FJ1778" s="4"/>
      <c r="FK1778" s="4"/>
      <c r="FL1778" s="4"/>
      <c r="FM1778" s="4"/>
      <c r="FN1778" s="4"/>
      <c r="FO1778" s="4"/>
      <c r="FP1778" s="4"/>
      <c r="FQ1778" s="4"/>
      <c r="FR1778" s="4"/>
      <c r="FS1778" s="4"/>
      <c r="FT1778" s="4"/>
      <c r="FU1778" s="4"/>
      <c r="FV1778" s="4">
        <v>120</v>
      </c>
      <c r="FW1778" s="4"/>
      <c r="FX1778" s="4"/>
      <c r="FY1778" s="4"/>
      <c r="FZ1778" s="4"/>
      <c r="GA1778" s="4"/>
      <c r="GB1778" s="4"/>
      <c r="GC1778" s="4"/>
      <c r="GD1778" s="4"/>
      <c r="GE1778" s="4"/>
      <c r="GF1778" s="4"/>
      <c r="GG1778" s="4"/>
      <c r="GH1778" s="4"/>
    </row>
    <row r="1779">
      <c r="A1779" s="2" t="s">
        <v>9026</v>
      </c>
      <c r="B1779" s="2" t="s">
        <v>250</v>
      </c>
      <c r="C1779" s="2" t="s">
        <v>231</v>
      </c>
      <c r="D1779" s="2" t="s">
        <v>608</v>
      </c>
      <c r="E1779" s="2" t="s">
        <v>609</v>
      </c>
      <c r="F1779" s="2" t="s">
        <v>9027</v>
      </c>
      <c r="G1779" s="2" t="s">
        <v>9027</v>
      </c>
      <c r="H1779" s="2" t="s">
        <v>9027</v>
      </c>
      <c r="I1779" s="2" t="s">
        <v>9028</v>
      </c>
      <c r="J1779" s="2" t="s">
        <v>1390</v>
      </c>
      <c r="K1779" s="2" t="s">
        <v>257</v>
      </c>
      <c r="L1779" s="3">
        <v>21.45</v>
      </c>
      <c r="M1779" s="3">
        <v>22.52</v>
      </c>
      <c r="N1779" s="3">
        <v>36.99</v>
      </c>
      <c r="O1779" s="2" t="s">
        <v>417</v>
      </c>
      <c r="P1779" s="2" t="s">
        <v>1258</v>
      </c>
      <c r="Q1779" s="2" t="s">
        <v>206</v>
      </c>
      <c r="R1779" s="2" t="s">
        <v>1259</v>
      </c>
      <c r="S1779" s="2" t="s">
        <v>200</v>
      </c>
      <c r="T1779" s="2" t="s">
        <v>200</v>
      </c>
      <c r="U1779" s="2" t="s">
        <v>270</v>
      </c>
      <c r="V1779" s="2" t="s">
        <v>208</v>
      </c>
      <c r="W1779" s="2" t="s">
        <v>200</v>
      </c>
      <c r="X1779" s="2" t="s">
        <v>200</v>
      </c>
      <c r="Y1779" s="2" t="s">
        <v>420</v>
      </c>
      <c r="Z1779" s="4">
        <v>193</v>
      </c>
      <c r="AA1779" s="4">
        <f>=ROUNDDOWN(193,0)</f>
      </c>
      <c r="AB1779" s="5">
        <v>1</v>
      </c>
      <c r="AC1779" s="2" t="s">
        <v>200</v>
      </c>
      <c r="AD1779" s="4"/>
      <c r="AE1779" s="4"/>
      <c r="AF1779" s="6">
        <v>65</v>
      </c>
      <c r="AG1779" s="6"/>
      <c r="AH1779" s="7">
        <v>1</v>
      </c>
      <c r="AI1779" s="4"/>
      <c r="AJ1779" s="4">
        <f>=ROUNDDOWN({0},0)</f>
      </c>
      <c r="AK1779" s="5"/>
      <c r="AL1779" s="2" t="s">
        <v>200</v>
      </c>
      <c r="AM1779" s="4"/>
      <c r="AN1779" s="4"/>
      <c r="AO1779" s="7"/>
      <c r="AP1779" s="4"/>
      <c r="AQ1779" s="8"/>
      <c r="AR1779" s="4"/>
      <c r="AS1779" s="8"/>
      <c r="AT1779" s="7"/>
      <c r="AU1779" s="7"/>
      <c r="AV1779" s="4"/>
      <c r="AW1779" s="8"/>
      <c r="AX1779" s="4"/>
      <c r="AY1779" s="8"/>
      <c r="AZ1779" s="7"/>
      <c r="BA1779" s="7"/>
      <c r="BB1779" s="7"/>
      <c r="BC1779" s="4"/>
      <c r="BD1779" s="8"/>
      <c r="BE1779" s="4"/>
      <c r="BF1779" s="8"/>
      <c r="BG1779" s="7"/>
      <c r="BH1779" s="7"/>
      <c r="BI1779" s="7"/>
      <c r="BJ1779" s="4">
        <v>20</v>
      </c>
      <c r="BK1779" s="8">
        <v>193</v>
      </c>
      <c r="BL1779" s="2" t="s">
        <v>1029</v>
      </c>
      <c r="BM1779" s="7"/>
      <c r="BN1779" s="7"/>
      <c r="BO1779" s="4"/>
      <c r="BP1779" s="8"/>
      <c r="BQ1779" s="4"/>
      <c r="BR1779" s="8"/>
      <c r="BS1779" s="7"/>
      <c r="BT1779" s="7"/>
      <c r="BU1779" s="2" t="s">
        <v>9029</v>
      </c>
      <c r="BV1779" s="2" t="s">
        <v>200</v>
      </c>
      <c r="BW1779" s="2" t="s">
        <v>200</v>
      </c>
      <c r="BX1779" s="2" t="s">
        <v>264</v>
      </c>
      <c r="BY1779" s="2" t="s">
        <v>247</v>
      </c>
      <c r="BZ1779" s="2" t="s">
        <v>212</v>
      </c>
      <c r="CA1779" s="2" t="s">
        <v>678</v>
      </c>
      <c r="CB1779" s="2" t="s">
        <v>200</v>
      </c>
      <c r="CC1779" s="2" t="s">
        <v>213</v>
      </c>
      <c r="CD1779" s="2" t="s">
        <v>200</v>
      </c>
      <c r="CE1779" s="4">
        <v>193</v>
      </c>
      <c r="CF1779" s="4"/>
      <c r="CG1779" s="4"/>
      <c r="CH1779" s="4"/>
      <c r="CI1779" s="4"/>
      <c r="CJ1779" s="4"/>
      <c r="CK1779" s="4"/>
      <c r="CL1779" s="4"/>
      <c r="CM1779" s="4"/>
      <c r="CN1779" s="4"/>
      <c r="CO1779" s="4"/>
      <c r="CP1779" s="4"/>
      <c r="CQ1779" s="4"/>
      <c r="CR1779" s="4"/>
      <c r="CS1779" s="4"/>
      <c r="CT1779" s="4"/>
      <c r="CU1779" s="4"/>
      <c r="CV1779" s="4"/>
      <c r="CW1779" s="4"/>
      <c r="CX1779" s="4"/>
      <c r="CY1779" s="4"/>
      <c r="CZ1779" s="4"/>
      <c r="DA1779" s="4"/>
      <c r="DB1779" s="4"/>
      <c r="DC1779" s="4"/>
      <c r="DD1779" s="4"/>
      <c r="DE1779" s="4"/>
      <c r="DF1779" s="4"/>
      <c r="DG1779" s="4"/>
      <c r="DH1779" s="4"/>
      <c r="DI1779" s="4"/>
      <c r="DJ1779" s="4"/>
      <c r="DK1779" s="4"/>
      <c r="DL1779" s="4"/>
      <c r="DM1779" s="4"/>
      <c r="DN1779" s="4"/>
      <c r="DO1779" s="4"/>
      <c r="DP1779" s="4"/>
      <c r="DQ1779" s="4"/>
      <c r="DR1779" s="4"/>
      <c r="DS1779" s="4"/>
      <c r="DT1779" s="4"/>
      <c r="DU1779" s="4"/>
      <c r="DV1779" s="4"/>
      <c r="DW1779" s="4"/>
      <c r="DX1779" s="4"/>
      <c r="DY1779" s="4"/>
      <c r="DZ1779" s="4"/>
      <c r="EA1779" s="4"/>
      <c r="EB1779" s="4"/>
      <c r="EC1779" s="4"/>
      <c r="ED1779" s="4"/>
      <c r="EE1779" s="4"/>
      <c r="EF1779" s="4"/>
      <c r="EG1779" s="4"/>
      <c r="EH1779" s="4"/>
      <c r="EI1779" s="4"/>
      <c r="EJ1779" s="4"/>
      <c r="EK1779" s="4"/>
      <c r="EL1779" s="4"/>
      <c r="EM1779" s="4"/>
      <c r="EN1779" s="4"/>
      <c r="EO1779" s="4"/>
      <c r="EP1779" s="4"/>
      <c r="EQ1779" s="4"/>
      <c r="ER1779" s="4"/>
      <c r="ES1779" s="4"/>
      <c r="ET1779" s="4"/>
      <c r="EU1779" s="4"/>
      <c r="EV1779" s="4"/>
      <c r="EW1779" s="4"/>
      <c r="EX1779" s="4"/>
      <c r="EY1779" s="4"/>
      <c r="EZ1779" s="4"/>
      <c r="FA1779" s="4"/>
      <c r="FB1779" s="4"/>
      <c r="FC1779" s="4"/>
      <c r="FD1779" s="4"/>
      <c r="FE1779" s="4"/>
      <c r="FF1779" s="4"/>
      <c r="FG1779" s="4"/>
      <c r="FH1779" s="4"/>
      <c r="FI1779" s="4"/>
      <c r="FJ1779" s="4"/>
      <c r="FK1779" s="4"/>
      <c r="FL1779" s="4"/>
      <c r="FM1779" s="4"/>
      <c r="FN1779" s="4"/>
      <c r="FO1779" s="4"/>
      <c r="FP1779" s="4"/>
      <c r="FQ1779" s="4"/>
      <c r="FR1779" s="4"/>
      <c r="FS1779" s="4"/>
      <c r="FT1779" s="4"/>
      <c r="FU1779" s="4"/>
      <c r="FV1779" s="4"/>
      <c r="FW1779" s="4"/>
      <c r="FX1779" s="4"/>
      <c r="FY1779" s="4"/>
      <c r="FZ1779" s="4"/>
      <c r="GA1779" s="4"/>
      <c r="GB1779" s="4"/>
      <c r="GC1779" s="4"/>
      <c r="GD1779" s="4"/>
      <c r="GE1779" s="4"/>
      <c r="GF1779" s="4"/>
      <c r="GG1779" s="4"/>
      <c r="GH1779" s="4"/>
    </row>
    <row r="1780">
      <c r="A1780" s="2" t="s">
        <v>9030</v>
      </c>
      <c r="B1780" s="2" t="s">
        <v>1099</v>
      </c>
      <c r="C1780" s="2" t="s">
        <v>1252</v>
      </c>
      <c r="D1780" s="2" t="s">
        <v>1159</v>
      </c>
      <c r="E1780" s="2" t="s">
        <v>1160</v>
      </c>
      <c r="F1780" s="2" t="s">
        <v>5808</v>
      </c>
      <c r="G1780" s="2" t="s">
        <v>5808</v>
      </c>
      <c r="H1780" s="2" t="s">
        <v>5808</v>
      </c>
      <c r="I1780" s="2" t="s">
        <v>9031</v>
      </c>
      <c r="J1780" s="2" t="s">
        <v>1162</v>
      </c>
      <c r="K1780" s="2" t="s">
        <v>890</v>
      </c>
      <c r="L1780" s="3">
        <v>12.5</v>
      </c>
      <c r="M1780" s="3">
        <v>13.13</v>
      </c>
      <c r="N1780" s="3">
        <v>22.99</v>
      </c>
      <c r="O1780" s="2" t="s">
        <v>417</v>
      </c>
      <c r="P1780" s="2" t="s">
        <v>1258</v>
      </c>
      <c r="Q1780" s="2" t="s">
        <v>206</v>
      </c>
      <c r="R1780" s="2" t="s">
        <v>1259</v>
      </c>
      <c r="S1780" s="2" t="s">
        <v>200</v>
      </c>
      <c r="T1780" s="2" t="s">
        <v>200</v>
      </c>
      <c r="U1780" s="2" t="s">
        <v>270</v>
      </c>
      <c r="V1780" s="2" t="s">
        <v>1077</v>
      </c>
      <c r="W1780" s="2" t="s">
        <v>200</v>
      </c>
      <c r="X1780" s="2" t="s">
        <v>200</v>
      </c>
      <c r="Y1780" s="2" t="s">
        <v>6970</v>
      </c>
      <c r="Z1780" s="4">
        <v>86</v>
      </c>
      <c r="AA1780" s="4">
        <f>=ROUNDDOWN(22.0512820512821,0)</f>
      </c>
      <c r="AB1780" s="5">
        <v>3.9</v>
      </c>
      <c r="AC1780" s="2" t="s">
        <v>200</v>
      </c>
      <c r="AD1780" s="4"/>
      <c r="AE1780" s="4"/>
      <c r="AF1780" s="6">
        <v>66</v>
      </c>
      <c r="AG1780" s="6"/>
      <c r="AH1780" s="7">
        <v>0.8667</v>
      </c>
      <c r="AI1780" s="4"/>
      <c r="AJ1780" s="4">
        <f>=ROUNDDOWN({0},0)</f>
      </c>
      <c r="AK1780" s="5"/>
      <c r="AL1780" s="2" t="s">
        <v>200</v>
      </c>
      <c r="AM1780" s="4"/>
      <c r="AN1780" s="4"/>
      <c r="AO1780" s="7"/>
      <c r="AP1780" s="4"/>
      <c r="AQ1780" s="8"/>
      <c r="AR1780" s="4"/>
      <c r="AS1780" s="8"/>
      <c r="AT1780" s="7"/>
      <c r="AU1780" s="7"/>
      <c r="AV1780" s="4"/>
      <c r="AW1780" s="8"/>
      <c r="AX1780" s="4"/>
      <c r="AY1780" s="8"/>
      <c r="AZ1780" s="7"/>
      <c r="BA1780" s="7"/>
      <c r="BB1780" s="7"/>
      <c r="BC1780" s="4"/>
      <c r="BD1780" s="8"/>
      <c r="BE1780" s="4"/>
      <c r="BF1780" s="8"/>
      <c r="BG1780" s="7"/>
      <c r="BH1780" s="7"/>
      <c r="BI1780" s="7"/>
      <c r="BJ1780" s="4">
        <v>7</v>
      </c>
      <c r="BK1780" s="8">
        <v>66.5</v>
      </c>
      <c r="BL1780" s="2" t="s">
        <v>1029</v>
      </c>
      <c r="BM1780" s="7"/>
      <c r="BN1780" s="7"/>
      <c r="BO1780" s="4"/>
      <c r="BP1780" s="8"/>
      <c r="BQ1780" s="4"/>
      <c r="BR1780" s="8"/>
      <c r="BS1780" s="7"/>
      <c r="BT1780" s="7"/>
      <c r="BU1780" s="2" t="s">
        <v>9032</v>
      </c>
      <c r="BV1780" s="2" t="s">
        <v>200</v>
      </c>
      <c r="BW1780" s="2" t="s">
        <v>200</v>
      </c>
      <c r="BX1780" s="2" t="s">
        <v>289</v>
      </c>
      <c r="BY1780" s="2" t="s">
        <v>247</v>
      </c>
      <c r="BZ1780" s="2" t="s">
        <v>212</v>
      </c>
      <c r="CA1780" s="2" t="s">
        <v>774</v>
      </c>
      <c r="CB1780" s="2" t="s">
        <v>806</v>
      </c>
      <c r="CC1780" s="2" t="s">
        <v>213</v>
      </c>
      <c r="CD1780" s="2" t="s">
        <v>200</v>
      </c>
      <c r="CE1780" s="4">
        <v>86</v>
      </c>
      <c r="CF1780" s="4"/>
      <c r="CG1780" s="4"/>
      <c r="CH1780" s="4"/>
      <c r="CI1780" s="4"/>
      <c r="CJ1780" s="4"/>
      <c r="CK1780" s="4"/>
      <c r="CL1780" s="4"/>
      <c r="CM1780" s="4"/>
      <c r="CN1780" s="4"/>
      <c r="CO1780" s="4"/>
      <c r="CP1780" s="4"/>
      <c r="CQ1780" s="4"/>
      <c r="CR1780" s="4"/>
      <c r="CS1780" s="4"/>
      <c r="CT1780" s="4"/>
      <c r="CU1780" s="4"/>
      <c r="CV1780" s="4"/>
      <c r="CW1780" s="4"/>
      <c r="CX1780" s="4"/>
      <c r="CY1780" s="4"/>
      <c r="CZ1780" s="4"/>
      <c r="DA1780" s="4"/>
      <c r="DB1780" s="4"/>
      <c r="DC1780" s="4"/>
      <c r="DD1780" s="4"/>
      <c r="DE1780" s="4"/>
      <c r="DF1780" s="4"/>
      <c r="DG1780" s="4"/>
      <c r="DH1780" s="4"/>
      <c r="DI1780" s="4"/>
      <c r="DJ1780" s="4"/>
      <c r="DK1780" s="4"/>
      <c r="DL1780" s="4"/>
      <c r="DM1780" s="4"/>
      <c r="DN1780" s="4"/>
      <c r="DO1780" s="4"/>
      <c r="DP1780" s="4"/>
      <c r="DQ1780" s="4"/>
      <c r="DR1780" s="4"/>
      <c r="DS1780" s="4"/>
      <c r="DT1780" s="4"/>
      <c r="DU1780" s="4"/>
      <c r="DV1780" s="4"/>
      <c r="DW1780" s="4"/>
      <c r="DX1780" s="4"/>
      <c r="DY1780" s="4"/>
      <c r="DZ1780" s="4"/>
      <c r="EA1780" s="4"/>
      <c r="EB1780" s="4"/>
      <c r="EC1780" s="4"/>
      <c r="ED1780" s="4"/>
      <c r="EE1780" s="4"/>
      <c r="EF1780" s="4"/>
      <c r="EG1780" s="4"/>
      <c r="EH1780" s="4"/>
      <c r="EI1780" s="4"/>
      <c r="EJ1780" s="4"/>
      <c r="EK1780" s="4"/>
      <c r="EL1780" s="4"/>
      <c r="EM1780" s="4"/>
      <c r="EN1780" s="4"/>
      <c r="EO1780" s="4"/>
      <c r="EP1780" s="4"/>
      <c r="EQ1780" s="4"/>
      <c r="ER1780" s="4"/>
      <c r="ES1780" s="4"/>
      <c r="ET1780" s="4"/>
      <c r="EU1780" s="4"/>
      <c r="EV1780" s="4"/>
      <c r="EW1780" s="4"/>
      <c r="EX1780" s="4"/>
      <c r="EY1780" s="4"/>
      <c r="EZ1780" s="4"/>
      <c r="FA1780" s="4"/>
      <c r="FB1780" s="4"/>
      <c r="FC1780" s="4"/>
      <c r="FD1780" s="4"/>
      <c r="FE1780" s="4"/>
      <c r="FF1780" s="4"/>
      <c r="FG1780" s="4"/>
      <c r="FH1780" s="4"/>
      <c r="FI1780" s="4"/>
      <c r="FJ1780" s="4"/>
      <c r="FK1780" s="4"/>
      <c r="FL1780" s="4"/>
      <c r="FM1780" s="4"/>
      <c r="FN1780" s="4"/>
      <c r="FO1780" s="4"/>
      <c r="FP1780" s="4"/>
      <c r="FQ1780" s="4"/>
      <c r="FR1780" s="4"/>
      <c r="FS1780" s="4"/>
      <c r="FT1780" s="4"/>
      <c r="FU1780" s="4"/>
      <c r="FV1780" s="4"/>
      <c r="FW1780" s="4"/>
      <c r="FX1780" s="4"/>
      <c r="FY1780" s="4"/>
      <c r="FZ1780" s="4"/>
      <c r="GA1780" s="4"/>
      <c r="GB1780" s="4"/>
      <c r="GC1780" s="4"/>
      <c r="GD1780" s="4"/>
      <c r="GE1780" s="4"/>
      <c r="GF1780" s="4"/>
      <c r="GG1780" s="4"/>
      <c r="GH1780" s="4"/>
    </row>
    <row r="1781">
      <c r="A1781" s="2" t="s">
        <v>9033</v>
      </c>
      <c r="B1781" s="2" t="s">
        <v>719</v>
      </c>
      <c r="C1781" s="2" t="s">
        <v>745</v>
      </c>
      <c r="D1781" s="2" t="s">
        <v>1554</v>
      </c>
      <c r="E1781" s="2" t="s">
        <v>1555</v>
      </c>
      <c r="F1781" s="2" t="s">
        <v>9034</v>
      </c>
      <c r="G1781" s="2" t="s">
        <v>9034</v>
      </c>
      <c r="H1781" s="2" t="s">
        <v>9034</v>
      </c>
      <c r="I1781" s="2" t="s">
        <v>9035</v>
      </c>
      <c r="J1781" s="2" t="s">
        <v>711</v>
      </c>
      <c r="K1781" s="2" t="s">
        <v>1174</v>
      </c>
      <c r="L1781" s="3">
        <v>27.85</v>
      </c>
      <c r="M1781" s="3">
        <v>29.24</v>
      </c>
      <c r="N1781" s="3">
        <v>64.99</v>
      </c>
      <c r="O1781" s="2" t="s">
        <v>212</v>
      </c>
      <c r="P1781" s="2" t="s">
        <v>750</v>
      </c>
      <c r="Q1781" s="2" t="s">
        <v>206</v>
      </c>
      <c r="R1781" s="2" t="s">
        <v>200</v>
      </c>
      <c r="S1781" s="2" t="s">
        <v>200</v>
      </c>
      <c r="T1781" s="2" t="s">
        <v>200</v>
      </c>
      <c r="U1781" s="2" t="s">
        <v>270</v>
      </c>
      <c r="V1781" s="2" t="s">
        <v>616</v>
      </c>
      <c r="W1781" s="2" t="s">
        <v>1271</v>
      </c>
      <c r="X1781" s="2" t="s">
        <v>1900</v>
      </c>
      <c r="Y1781" s="2" t="s">
        <v>4548</v>
      </c>
      <c r="Z1781" s="4">
        <v>45</v>
      </c>
      <c r="AA1781" s="4">
        <f>=ROUNDDOWN(45,0)</f>
      </c>
      <c r="AB1781" s="5">
        <v>1</v>
      </c>
      <c r="AC1781" s="2" t="s">
        <v>200</v>
      </c>
      <c r="AD1781" s="4"/>
      <c r="AE1781" s="4"/>
      <c r="AF1781" s="6">
        <v>61</v>
      </c>
      <c r="AG1781" s="6"/>
      <c r="AH1781" s="7">
        <v>1</v>
      </c>
      <c r="AI1781" s="4"/>
      <c r="AJ1781" s="4">
        <f>=ROUNDDOWN({0},0)</f>
      </c>
      <c r="AK1781" s="5"/>
      <c r="AL1781" s="2" t="s">
        <v>200</v>
      </c>
      <c r="AM1781" s="4"/>
      <c r="AN1781" s="4"/>
      <c r="AO1781" s="7"/>
      <c r="AP1781" s="4"/>
      <c r="AQ1781" s="8"/>
      <c r="AR1781" s="4"/>
      <c r="AS1781" s="8"/>
      <c r="AT1781" s="7"/>
      <c r="AU1781" s="7"/>
      <c r="AV1781" s="4"/>
      <c r="AW1781" s="8"/>
      <c r="AX1781" s="4"/>
      <c r="AY1781" s="8"/>
      <c r="AZ1781" s="7"/>
      <c r="BA1781" s="7"/>
      <c r="BB1781" s="7"/>
      <c r="BC1781" s="4"/>
      <c r="BD1781" s="8"/>
      <c r="BE1781" s="4"/>
      <c r="BF1781" s="8"/>
      <c r="BG1781" s="7"/>
      <c r="BH1781" s="7"/>
      <c r="BI1781" s="7"/>
      <c r="BJ1781" s="4">
        <v>4</v>
      </c>
      <c r="BK1781" s="8">
        <v>123.39</v>
      </c>
      <c r="BL1781" s="2" t="s">
        <v>9036</v>
      </c>
      <c r="BM1781" s="7"/>
      <c r="BN1781" s="7"/>
      <c r="BO1781" s="4"/>
      <c r="BP1781" s="8"/>
      <c r="BQ1781" s="4"/>
      <c r="BR1781" s="8"/>
      <c r="BS1781" s="7"/>
      <c r="BT1781" s="7"/>
      <c r="BU1781" s="2" t="s">
        <v>9037</v>
      </c>
      <c r="BV1781" s="2" t="s">
        <v>200</v>
      </c>
      <c r="BW1781" s="2" t="s">
        <v>200</v>
      </c>
      <c r="BX1781" s="2" t="s">
        <v>264</v>
      </c>
      <c r="BY1781" s="2" t="s">
        <v>247</v>
      </c>
      <c r="BZ1781" s="2" t="s">
        <v>212</v>
      </c>
      <c r="CA1781" s="2" t="s">
        <v>1209</v>
      </c>
      <c r="CB1781" s="2" t="s">
        <v>200</v>
      </c>
      <c r="CC1781" s="2" t="s">
        <v>213</v>
      </c>
      <c r="CD1781" s="2" t="s">
        <v>200</v>
      </c>
      <c r="CE1781" s="4"/>
      <c r="CF1781" s="4">
        <v>45</v>
      </c>
      <c r="CG1781" s="4"/>
      <c r="CH1781" s="4"/>
      <c r="CI1781" s="4"/>
      <c r="CJ1781" s="4"/>
      <c r="CK1781" s="4"/>
      <c r="CL1781" s="4"/>
      <c r="CM1781" s="4"/>
      <c r="CN1781" s="4"/>
      <c r="CO1781" s="4"/>
      <c r="CP1781" s="4"/>
      <c r="CQ1781" s="4"/>
      <c r="CR1781" s="4"/>
      <c r="CS1781" s="4"/>
      <c r="CT1781" s="4"/>
      <c r="CU1781" s="4"/>
      <c r="CV1781" s="4"/>
      <c r="CW1781" s="4"/>
      <c r="CX1781" s="4"/>
      <c r="CY1781" s="4"/>
      <c r="CZ1781" s="4"/>
      <c r="DA1781" s="4"/>
      <c r="DB1781" s="4"/>
      <c r="DC1781" s="4"/>
      <c r="DD1781" s="4"/>
      <c r="DE1781" s="4"/>
      <c r="DF1781" s="4"/>
      <c r="DG1781" s="4"/>
      <c r="DH1781" s="4"/>
      <c r="DI1781" s="4"/>
      <c r="DJ1781" s="4"/>
      <c r="DK1781" s="4"/>
      <c r="DL1781" s="4"/>
      <c r="DM1781" s="4"/>
      <c r="DN1781" s="4"/>
      <c r="DO1781" s="4"/>
      <c r="DP1781" s="4"/>
      <c r="DQ1781" s="4"/>
      <c r="DR1781" s="4"/>
      <c r="DS1781" s="4"/>
      <c r="DT1781" s="4"/>
      <c r="DU1781" s="4"/>
      <c r="DV1781" s="4"/>
      <c r="DW1781" s="4"/>
      <c r="DX1781" s="4"/>
      <c r="DY1781" s="4"/>
      <c r="DZ1781" s="4"/>
      <c r="EA1781" s="4"/>
      <c r="EB1781" s="4"/>
      <c r="EC1781" s="4"/>
      <c r="ED1781" s="4"/>
      <c r="EE1781" s="4"/>
      <c r="EF1781" s="4"/>
      <c r="EG1781" s="4"/>
      <c r="EH1781" s="4"/>
      <c r="EI1781" s="4"/>
      <c r="EJ1781" s="4"/>
      <c r="EK1781" s="4"/>
      <c r="EL1781" s="4"/>
      <c r="EM1781" s="4"/>
      <c r="EN1781" s="4"/>
      <c r="EO1781" s="4"/>
      <c r="EP1781" s="4"/>
      <c r="EQ1781" s="4"/>
      <c r="ER1781" s="4"/>
      <c r="ES1781" s="4"/>
      <c r="ET1781" s="4"/>
      <c r="EU1781" s="4"/>
      <c r="EV1781" s="4"/>
      <c r="EW1781" s="4"/>
      <c r="EX1781" s="4"/>
      <c r="EY1781" s="4"/>
      <c r="EZ1781" s="4"/>
      <c r="FA1781" s="4"/>
      <c r="FB1781" s="4"/>
      <c r="FC1781" s="4"/>
      <c r="FD1781" s="4"/>
      <c r="FE1781" s="4"/>
      <c r="FF1781" s="4"/>
      <c r="FG1781" s="4"/>
      <c r="FH1781" s="4"/>
      <c r="FI1781" s="4"/>
      <c r="FJ1781" s="4"/>
      <c r="FK1781" s="4"/>
      <c r="FL1781" s="4"/>
      <c r="FM1781" s="4"/>
      <c r="FN1781" s="4"/>
      <c r="FO1781" s="4"/>
      <c r="FP1781" s="4"/>
      <c r="FQ1781" s="4"/>
      <c r="FR1781" s="4"/>
      <c r="FS1781" s="4"/>
      <c r="FT1781" s="4"/>
      <c r="FU1781" s="4"/>
      <c r="FV1781" s="4"/>
      <c r="FW1781" s="4"/>
      <c r="FX1781" s="4"/>
      <c r="FY1781" s="4"/>
      <c r="FZ1781" s="4"/>
      <c r="GA1781" s="4"/>
      <c r="GB1781" s="4"/>
      <c r="GC1781" s="4"/>
      <c r="GD1781" s="4"/>
      <c r="GE1781" s="4"/>
      <c r="GF1781" s="4"/>
      <c r="GG1781" s="4"/>
      <c r="GH1781" s="4"/>
    </row>
    <row r="1782">
      <c r="A1782" s="2" t="s">
        <v>9038</v>
      </c>
      <c r="B1782" s="2" t="s">
        <v>903</v>
      </c>
      <c r="C1782" s="2" t="s">
        <v>7515</v>
      </c>
      <c r="D1782" s="2" t="s">
        <v>608</v>
      </c>
      <c r="E1782" s="2" t="s">
        <v>609</v>
      </c>
      <c r="F1782" s="2" t="s">
        <v>9039</v>
      </c>
      <c r="G1782" s="2" t="s">
        <v>200</v>
      </c>
      <c r="H1782" s="2" t="s">
        <v>200</v>
      </c>
      <c r="I1782" s="2" t="s">
        <v>9040</v>
      </c>
      <c r="J1782" s="2" t="s">
        <v>1390</v>
      </c>
      <c r="K1782" s="2" t="s">
        <v>237</v>
      </c>
      <c r="L1782" s="3">
        <v>29.99</v>
      </c>
      <c r="M1782" s="3">
        <v>31.49</v>
      </c>
      <c r="N1782" s="3"/>
      <c r="O1782" s="2" t="s">
        <v>212</v>
      </c>
      <c r="P1782" s="2" t="s">
        <v>205</v>
      </c>
      <c r="Q1782" s="2" t="s">
        <v>206</v>
      </c>
      <c r="R1782" s="2" t="s">
        <v>7518</v>
      </c>
      <c r="S1782" s="2" t="s">
        <v>200</v>
      </c>
      <c r="T1782" s="2" t="s">
        <v>200</v>
      </c>
      <c r="U1782" s="2" t="s">
        <v>200</v>
      </c>
      <c r="V1782" s="2" t="s">
        <v>208</v>
      </c>
      <c r="W1782" s="2" t="s">
        <v>200</v>
      </c>
      <c r="X1782" s="2" t="s">
        <v>200</v>
      </c>
      <c r="Y1782" s="2" t="s">
        <v>9041</v>
      </c>
      <c r="Z1782" s="4"/>
      <c r="AA1782" s="4">
        <f>=ROUNDDOWN({0},0)</f>
      </c>
      <c r="AB1782" s="5"/>
      <c r="AC1782" s="2" t="s">
        <v>200</v>
      </c>
      <c r="AD1782" s="4"/>
      <c r="AE1782" s="4"/>
      <c r="AF1782" s="6"/>
      <c r="AG1782" s="6"/>
      <c r="AH1782" s="7"/>
      <c r="AI1782" s="4"/>
      <c r="AJ1782" s="4">
        <f>=ROUNDDOWN({0},0)</f>
      </c>
      <c r="AK1782" s="5"/>
      <c r="AL1782" s="2" t="s">
        <v>200</v>
      </c>
      <c r="AM1782" s="4"/>
      <c r="AN1782" s="4"/>
      <c r="AO1782" s="7"/>
      <c r="AP1782" s="4"/>
      <c r="AQ1782" s="8"/>
      <c r="AR1782" s="4"/>
      <c r="AS1782" s="8"/>
      <c r="AT1782" s="7"/>
      <c r="AU1782" s="7"/>
      <c r="AV1782" s="4" t="s">
        <v>200</v>
      </c>
      <c r="AW1782" s="8" t="s">
        <v>200</v>
      </c>
      <c r="AX1782" s="4" t="s">
        <v>200</v>
      </c>
      <c r="AY1782" s="8" t="s">
        <v>200</v>
      </c>
      <c r="AZ1782" s="7" t="s">
        <v>200</v>
      </c>
      <c r="BA1782" s="7" t="s">
        <v>200</v>
      </c>
      <c r="BB1782" s="7"/>
      <c r="BC1782" s="4" t="s">
        <v>200</v>
      </c>
      <c r="BD1782" s="8" t="s">
        <v>200</v>
      </c>
      <c r="BE1782" s="4" t="s">
        <v>200</v>
      </c>
      <c r="BF1782" s="8" t="s">
        <v>200</v>
      </c>
      <c r="BG1782" s="7" t="s">
        <v>200</v>
      </c>
      <c r="BH1782" s="7" t="s">
        <v>200</v>
      </c>
      <c r="BI1782" s="7"/>
      <c r="BJ1782" s="4"/>
      <c r="BK1782" s="8"/>
      <c r="BL1782" s="2" t="s">
        <v>200</v>
      </c>
      <c r="BM1782" s="7"/>
      <c r="BN1782" s="7"/>
      <c r="BO1782" s="4"/>
      <c r="BP1782" s="8"/>
      <c r="BQ1782" s="4"/>
      <c r="BR1782" s="8"/>
      <c r="BS1782" s="7"/>
      <c r="BT1782" s="7"/>
      <c r="BU1782" s="2" t="s">
        <v>210</v>
      </c>
      <c r="BV1782" s="2" t="s">
        <v>200</v>
      </c>
      <c r="BW1782" s="2" t="s">
        <v>200</v>
      </c>
      <c r="BX1782" s="2" t="s">
        <v>200</v>
      </c>
      <c r="BY1782" s="2" t="s">
        <v>211</v>
      </c>
      <c r="BZ1782" s="2" t="s">
        <v>212</v>
      </c>
      <c r="CA1782" s="2" t="s">
        <v>200</v>
      </c>
      <c r="CB1782" s="2" t="s">
        <v>200</v>
      </c>
      <c r="CC1782" s="2" t="s">
        <v>213</v>
      </c>
      <c r="CD1782" s="2" t="s">
        <v>200</v>
      </c>
      <c r="CE1782" s="4"/>
      <c r="CF1782" s="4"/>
      <c r="CG1782" s="4"/>
      <c r="CH1782" s="4"/>
      <c r="CI1782" s="4"/>
      <c r="CJ1782" s="4"/>
      <c r="CK1782" s="4"/>
      <c r="CL1782" s="4"/>
      <c r="CM1782" s="4"/>
      <c r="CN1782" s="4"/>
      <c r="CO1782" s="4"/>
      <c r="CP1782" s="4"/>
      <c r="CQ1782" s="4"/>
      <c r="CR1782" s="4"/>
      <c r="CS1782" s="4"/>
      <c r="CT1782" s="4"/>
      <c r="CU1782" s="4"/>
      <c r="CV1782" s="4"/>
      <c r="CW1782" s="4"/>
      <c r="CX1782" s="4"/>
      <c r="CY1782" s="4"/>
      <c r="CZ1782" s="4"/>
      <c r="DA1782" s="4"/>
      <c r="DB1782" s="4"/>
      <c r="DC1782" s="4"/>
      <c r="DD1782" s="4"/>
      <c r="DE1782" s="4"/>
      <c r="DF1782" s="4"/>
      <c r="DG1782" s="4"/>
      <c r="DH1782" s="4"/>
      <c r="DI1782" s="4"/>
      <c r="DJ1782" s="4"/>
      <c r="DK1782" s="4"/>
      <c r="DL1782" s="4"/>
      <c r="DM1782" s="4"/>
      <c r="DN1782" s="4"/>
      <c r="DO1782" s="4"/>
      <c r="DP1782" s="4"/>
      <c r="DQ1782" s="4"/>
      <c r="DR1782" s="4"/>
      <c r="DS1782" s="4"/>
      <c r="DT1782" s="4"/>
      <c r="DU1782" s="4"/>
      <c r="DV1782" s="4"/>
      <c r="DW1782" s="4"/>
      <c r="DX1782" s="4"/>
      <c r="DY1782" s="4"/>
      <c r="DZ1782" s="4"/>
      <c r="EA1782" s="4"/>
      <c r="EB1782" s="4"/>
      <c r="EC1782" s="4"/>
      <c r="ED1782" s="4"/>
      <c r="EE1782" s="4"/>
      <c r="EF1782" s="4"/>
      <c r="EG1782" s="4"/>
      <c r="EH1782" s="4"/>
      <c r="EI1782" s="4"/>
      <c r="EJ1782" s="4"/>
      <c r="EK1782" s="4"/>
      <c r="EL1782" s="4"/>
      <c r="EM1782" s="4"/>
      <c r="EN1782" s="4"/>
      <c r="EO1782" s="4"/>
      <c r="EP1782" s="4"/>
      <c r="EQ1782" s="4"/>
      <c r="ER1782" s="4"/>
      <c r="ES1782" s="4"/>
      <c r="ET1782" s="4"/>
      <c r="EU1782" s="4"/>
      <c r="EV1782" s="4"/>
      <c r="EW1782" s="4"/>
      <c r="EX1782" s="4"/>
      <c r="EY1782" s="4"/>
      <c r="EZ1782" s="4"/>
      <c r="FA1782" s="4"/>
      <c r="FB1782" s="4"/>
      <c r="FC1782" s="4"/>
      <c r="FD1782" s="4"/>
      <c r="FE1782" s="4"/>
      <c r="FF1782" s="4"/>
      <c r="FG1782" s="4"/>
      <c r="FH1782" s="4"/>
      <c r="FI1782" s="4"/>
      <c r="FJ1782" s="4"/>
      <c r="FK1782" s="4"/>
      <c r="FL1782" s="4"/>
      <c r="FM1782" s="4"/>
      <c r="FN1782" s="4"/>
      <c r="FO1782" s="4"/>
      <c r="FP1782" s="4"/>
      <c r="FQ1782" s="4"/>
      <c r="FR1782" s="4"/>
      <c r="FS1782" s="4"/>
      <c r="FT1782" s="4"/>
      <c r="FU1782" s="4"/>
      <c r="FV1782" s="4"/>
      <c r="FW1782" s="4"/>
      <c r="FX1782" s="4"/>
      <c r="FY1782" s="4"/>
      <c r="FZ1782" s="4"/>
      <c r="GA1782" s="4"/>
      <c r="GB1782" s="4"/>
      <c r="GC1782" s="4"/>
      <c r="GD1782" s="4"/>
      <c r="GE1782" s="4"/>
      <c r="GF1782" s="4"/>
      <c r="GG1782" s="4"/>
      <c r="GH1782" s="4"/>
    </row>
    <row r="1783">
      <c r="A1783" s="2" t="s">
        <v>9042</v>
      </c>
      <c r="B1783" s="2" t="s">
        <v>903</v>
      </c>
      <c r="C1783" s="2" t="s">
        <v>7515</v>
      </c>
      <c r="D1783" s="2" t="s">
        <v>608</v>
      </c>
      <c r="E1783" s="2" t="s">
        <v>609</v>
      </c>
      <c r="F1783" s="2" t="s">
        <v>9039</v>
      </c>
      <c r="G1783" s="2" t="s">
        <v>200</v>
      </c>
      <c r="H1783" s="2" t="s">
        <v>200</v>
      </c>
      <c r="I1783" s="2" t="s">
        <v>9040</v>
      </c>
      <c r="J1783" s="2" t="s">
        <v>612</v>
      </c>
      <c r="K1783" s="2" t="s">
        <v>237</v>
      </c>
      <c r="L1783" s="3">
        <v>39.99</v>
      </c>
      <c r="M1783" s="3">
        <v>41.99</v>
      </c>
      <c r="N1783" s="3"/>
      <c r="O1783" s="2" t="s">
        <v>204</v>
      </c>
      <c r="P1783" s="2" t="s">
        <v>205</v>
      </c>
      <c r="Q1783" s="2" t="s">
        <v>206</v>
      </c>
      <c r="R1783" s="2" t="s">
        <v>7518</v>
      </c>
      <c r="S1783" s="2" t="s">
        <v>200</v>
      </c>
      <c r="T1783" s="2" t="s">
        <v>200</v>
      </c>
      <c r="U1783" s="2" t="s">
        <v>200</v>
      </c>
      <c r="V1783" s="2" t="s">
        <v>208</v>
      </c>
      <c r="W1783" s="2" t="s">
        <v>200</v>
      </c>
      <c r="X1783" s="2" t="s">
        <v>200</v>
      </c>
      <c r="Y1783" s="2" t="s">
        <v>9041</v>
      </c>
      <c r="Z1783" s="4"/>
      <c r="AA1783" s="4">
        <f>=ROUNDDOWN({0},0)</f>
      </c>
      <c r="AB1783" s="5"/>
      <c r="AC1783" s="2" t="s">
        <v>200</v>
      </c>
      <c r="AD1783" s="4"/>
      <c r="AE1783" s="4"/>
      <c r="AF1783" s="6"/>
      <c r="AG1783" s="6"/>
      <c r="AH1783" s="7"/>
      <c r="AI1783" s="4"/>
      <c r="AJ1783" s="4">
        <f>=ROUNDDOWN({0},0)</f>
      </c>
      <c r="AK1783" s="5"/>
      <c r="AL1783" s="2" t="s">
        <v>200</v>
      </c>
      <c r="AM1783" s="4"/>
      <c r="AN1783" s="4"/>
      <c r="AO1783" s="7"/>
      <c r="AP1783" s="4"/>
      <c r="AQ1783" s="8"/>
      <c r="AR1783" s="4"/>
      <c r="AS1783" s="8"/>
      <c r="AT1783" s="7"/>
      <c r="AU1783" s="7"/>
      <c r="AV1783" s="4" t="s">
        <v>200</v>
      </c>
      <c r="AW1783" s="8" t="s">
        <v>200</v>
      </c>
      <c r="AX1783" s="4" t="s">
        <v>200</v>
      </c>
      <c r="AY1783" s="8" t="s">
        <v>200</v>
      </c>
      <c r="AZ1783" s="7" t="s">
        <v>200</v>
      </c>
      <c r="BA1783" s="7" t="s">
        <v>200</v>
      </c>
      <c r="BB1783" s="7"/>
      <c r="BC1783" s="4" t="s">
        <v>200</v>
      </c>
      <c r="BD1783" s="8" t="s">
        <v>200</v>
      </c>
      <c r="BE1783" s="4" t="s">
        <v>200</v>
      </c>
      <c r="BF1783" s="8" t="s">
        <v>200</v>
      </c>
      <c r="BG1783" s="7" t="s">
        <v>200</v>
      </c>
      <c r="BH1783" s="7" t="s">
        <v>200</v>
      </c>
      <c r="BI1783" s="7"/>
      <c r="BJ1783" s="4"/>
      <c r="BK1783" s="8"/>
      <c r="BL1783" s="2" t="s">
        <v>200</v>
      </c>
      <c r="BM1783" s="7"/>
      <c r="BN1783" s="7"/>
      <c r="BO1783" s="4"/>
      <c r="BP1783" s="8"/>
      <c r="BQ1783" s="4"/>
      <c r="BR1783" s="8"/>
      <c r="BS1783" s="7"/>
      <c r="BT1783" s="7"/>
      <c r="BU1783" s="2" t="s">
        <v>210</v>
      </c>
      <c r="BV1783" s="2" t="s">
        <v>200</v>
      </c>
      <c r="BW1783" s="2" t="s">
        <v>200</v>
      </c>
      <c r="BX1783" s="2" t="s">
        <v>200</v>
      </c>
      <c r="BY1783" s="2" t="s">
        <v>211</v>
      </c>
      <c r="BZ1783" s="2" t="s">
        <v>212</v>
      </c>
      <c r="CA1783" s="2" t="s">
        <v>200</v>
      </c>
      <c r="CB1783" s="2" t="s">
        <v>200</v>
      </c>
      <c r="CC1783" s="2" t="s">
        <v>213</v>
      </c>
      <c r="CD1783" s="2" t="s">
        <v>200</v>
      </c>
      <c r="CE1783" s="4"/>
      <c r="CF1783" s="4"/>
      <c r="CG1783" s="4"/>
      <c r="CH1783" s="4"/>
      <c r="CI1783" s="4"/>
      <c r="CJ1783" s="4"/>
      <c r="CK1783" s="4"/>
      <c r="CL1783" s="4"/>
      <c r="CM1783" s="4"/>
      <c r="CN1783" s="4"/>
      <c r="CO1783" s="4"/>
      <c r="CP1783" s="4"/>
      <c r="CQ1783" s="4"/>
      <c r="CR1783" s="4"/>
      <c r="CS1783" s="4"/>
      <c r="CT1783" s="4"/>
      <c r="CU1783" s="4"/>
      <c r="CV1783" s="4"/>
      <c r="CW1783" s="4"/>
      <c r="CX1783" s="4"/>
      <c r="CY1783" s="4"/>
      <c r="CZ1783" s="4"/>
      <c r="DA1783" s="4"/>
      <c r="DB1783" s="4"/>
      <c r="DC1783" s="4"/>
      <c r="DD1783" s="4"/>
      <c r="DE1783" s="4"/>
      <c r="DF1783" s="4"/>
      <c r="DG1783" s="4"/>
      <c r="DH1783" s="4"/>
      <c r="DI1783" s="4"/>
      <c r="DJ1783" s="4"/>
      <c r="DK1783" s="4"/>
      <c r="DL1783" s="4"/>
      <c r="DM1783" s="4"/>
      <c r="DN1783" s="4"/>
      <c r="DO1783" s="4"/>
      <c r="DP1783" s="4"/>
      <c r="DQ1783" s="4"/>
      <c r="DR1783" s="4"/>
      <c r="DS1783" s="4"/>
      <c r="DT1783" s="4"/>
      <c r="DU1783" s="4"/>
      <c r="DV1783" s="4"/>
      <c r="DW1783" s="4"/>
      <c r="DX1783" s="4"/>
      <c r="DY1783" s="4"/>
      <c r="DZ1783" s="4"/>
      <c r="EA1783" s="4"/>
      <c r="EB1783" s="4"/>
      <c r="EC1783" s="4"/>
      <c r="ED1783" s="4"/>
      <c r="EE1783" s="4"/>
      <c r="EF1783" s="4"/>
      <c r="EG1783" s="4"/>
      <c r="EH1783" s="4"/>
      <c r="EI1783" s="4"/>
      <c r="EJ1783" s="4"/>
      <c r="EK1783" s="4"/>
      <c r="EL1783" s="4"/>
      <c r="EM1783" s="4"/>
      <c r="EN1783" s="4"/>
      <c r="EO1783" s="4"/>
      <c r="EP1783" s="4"/>
      <c r="EQ1783" s="4"/>
      <c r="ER1783" s="4"/>
      <c r="ES1783" s="4"/>
      <c r="ET1783" s="4"/>
      <c r="EU1783" s="4"/>
      <c r="EV1783" s="4"/>
      <c r="EW1783" s="4"/>
      <c r="EX1783" s="4"/>
      <c r="EY1783" s="4"/>
      <c r="EZ1783" s="4"/>
      <c r="FA1783" s="4"/>
      <c r="FB1783" s="4"/>
      <c r="FC1783" s="4"/>
      <c r="FD1783" s="4"/>
      <c r="FE1783" s="4"/>
      <c r="FF1783" s="4"/>
      <c r="FG1783" s="4"/>
      <c r="FH1783" s="4"/>
      <c r="FI1783" s="4"/>
      <c r="FJ1783" s="4"/>
      <c r="FK1783" s="4"/>
      <c r="FL1783" s="4"/>
      <c r="FM1783" s="4"/>
      <c r="FN1783" s="4"/>
      <c r="FO1783" s="4"/>
      <c r="FP1783" s="4"/>
      <c r="FQ1783" s="4"/>
      <c r="FR1783" s="4"/>
      <c r="FS1783" s="4"/>
      <c r="FT1783" s="4"/>
      <c r="FU1783" s="4"/>
      <c r="FV1783" s="4"/>
      <c r="FW1783" s="4"/>
      <c r="FX1783" s="4"/>
      <c r="FY1783" s="4"/>
      <c r="FZ1783" s="4"/>
      <c r="GA1783" s="4"/>
      <c r="GB1783" s="4"/>
      <c r="GC1783" s="4"/>
      <c r="GD1783" s="4"/>
      <c r="GE1783" s="4"/>
      <c r="GF1783" s="4"/>
      <c r="GG1783" s="4"/>
      <c r="GH1783" s="4"/>
    </row>
    <row r="1784">
      <c r="A1784" s="2" t="s">
        <v>9043</v>
      </c>
      <c r="B1784" s="2" t="s">
        <v>903</v>
      </c>
      <c r="C1784" s="2" t="s">
        <v>7515</v>
      </c>
      <c r="D1784" s="2" t="s">
        <v>608</v>
      </c>
      <c r="E1784" s="2" t="s">
        <v>609</v>
      </c>
      <c r="F1784" s="2" t="s">
        <v>9039</v>
      </c>
      <c r="G1784" s="2" t="s">
        <v>200</v>
      </c>
      <c r="H1784" s="2" t="s">
        <v>200</v>
      </c>
      <c r="I1784" s="2" t="s">
        <v>9040</v>
      </c>
      <c r="J1784" s="2" t="s">
        <v>302</v>
      </c>
      <c r="K1784" s="2" t="s">
        <v>237</v>
      </c>
      <c r="L1784" s="3">
        <v>44.99</v>
      </c>
      <c r="M1784" s="3">
        <v>47.24</v>
      </c>
      <c r="N1784" s="3"/>
      <c r="O1784" s="2" t="s">
        <v>204</v>
      </c>
      <c r="P1784" s="2" t="s">
        <v>205</v>
      </c>
      <c r="Q1784" s="2" t="s">
        <v>206</v>
      </c>
      <c r="R1784" s="2" t="s">
        <v>7518</v>
      </c>
      <c r="S1784" s="2" t="s">
        <v>200</v>
      </c>
      <c r="T1784" s="2" t="s">
        <v>200</v>
      </c>
      <c r="U1784" s="2" t="s">
        <v>200</v>
      </c>
      <c r="V1784" s="2" t="s">
        <v>208</v>
      </c>
      <c r="W1784" s="2" t="s">
        <v>200</v>
      </c>
      <c r="X1784" s="2" t="s">
        <v>200</v>
      </c>
      <c r="Y1784" s="2" t="s">
        <v>9041</v>
      </c>
      <c r="Z1784" s="4"/>
      <c r="AA1784" s="4">
        <f>=ROUNDDOWN({0},0)</f>
      </c>
      <c r="AB1784" s="5"/>
      <c r="AC1784" s="2" t="s">
        <v>200</v>
      </c>
      <c r="AD1784" s="4"/>
      <c r="AE1784" s="4"/>
      <c r="AF1784" s="6"/>
      <c r="AG1784" s="6"/>
      <c r="AH1784" s="7"/>
      <c r="AI1784" s="4"/>
      <c r="AJ1784" s="4">
        <f>=ROUNDDOWN({0},0)</f>
      </c>
      <c r="AK1784" s="5"/>
      <c r="AL1784" s="2" t="s">
        <v>200</v>
      </c>
      <c r="AM1784" s="4"/>
      <c r="AN1784" s="4"/>
      <c r="AO1784" s="7"/>
      <c r="AP1784" s="4"/>
      <c r="AQ1784" s="8"/>
      <c r="AR1784" s="4"/>
      <c r="AS1784" s="8"/>
      <c r="AT1784" s="7"/>
      <c r="AU1784" s="7"/>
      <c r="AV1784" s="4" t="s">
        <v>200</v>
      </c>
      <c r="AW1784" s="8" t="s">
        <v>200</v>
      </c>
      <c r="AX1784" s="4" t="s">
        <v>200</v>
      </c>
      <c r="AY1784" s="8" t="s">
        <v>200</v>
      </c>
      <c r="AZ1784" s="7" t="s">
        <v>200</v>
      </c>
      <c r="BA1784" s="7" t="s">
        <v>200</v>
      </c>
      <c r="BB1784" s="7"/>
      <c r="BC1784" s="4" t="s">
        <v>200</v>
      </c>
      <c r="BD1784" s="8" t="s">
        <v>200</v>
      </c>
      <c r="BE1784" s="4" t="s">
        <v>200</v>
      </c>
      <c r="BF1784" s="8" t="s">
        <v>200</v>
      </c>
      <c r="BG1784" s="7" t="s">
        <v>200</v>
      </c>
      <c r="BH1784" s="7" t="s">
        <v>200</v>
      </c>
      <c r="BI1784" s="7"/>
      <c r="BJ1784" s="4"/>
      <c r="BK1784" s="8"/>
      <c r="BL1784" s="2" t="s">
        <v>200</v>
      </c>
      <c r="BM1784" s="7"/>
      <c r="BN1784" s="7"/>
      <c r="BO1784" s="4"/>
      <c r="BP1784" s="8"/>
      <c r="BQ1784" s="4"/>
      <c r="BR1784" s="8"/>
      <c r="BS1784" s="7"/>
      <c r="BT1784" s="7"/>
      <c r="BU1784" s="2" t="s">
        <v>210</v>
      </c>
      <c r="BV1784" s="2" t="s">
        <v>200</v>
      </c>
      <c r="BW1784" s="2" t="s">
        <v>200</v>
      </c>
      <c r="BX1784" s="2" t="s">
        <v>200</v>
      </c>
      <c r="BY1784" s="2" t="s">
        <v>211</v>
      </c>
      <c r="BZ1784" s="2" t="s">
        <v>212</v>
      </c>
      <c r="CA1784" s="2" t="s">
        <v>200</v>
      </c>
      <c r="CB1784" s="2" t="s">
        <v>200</v>
      </c>
      <c r="CC1784" s="2" t="s">
        <v>213</v>
      </c>
      <c r="CD1784" s="2" t="s">
        <v>200</v>
      </c>
      <c r="CE1784" s="4"/>
      <c r="CF1784" s="4"/>
      <c r="CG1784" s="4"/>
      <c r="CH1784" s="4"/>
      <c r="CI1784" s="4"/>
      <c r="CJ1784" s="4"/>
      <c r="CK1784" s="4"/>
      <c r="CL1784" s="4"/>
      <c r="CM1784" s="4"/>
      <c r="CN1784" s="4"/>
      <c r="CO1784" s="4"/>
      <c r="CP1784" s="4"/>
      <c r="CQ1784" s="4"/>
      <c r="CR1784" s="4"/>
      <c r="CS1784" s="4"/>
      <c r="CT1784" s="4"/>
      <c r="CU1784" s="4"/>
      <c r="CV1784" s="4"/>
      <c r="CW1784" s="4"/>
      <c r="CX1784" s="4"/>
      <c r="CY1784" s="4"/>
      <c r="CZ1784" s="4"/>
      <c r="DA1784" s="4"/>
      <c r="DB1784" s="4"/>
      <c r="DC1784" s="4"/>
      <c r="DD1784" s="4"/>
      <c r="DE1784" s="4"/>
      <c r="DF1784" s="4"/>
      <c r="DG1784" s="4"/>
      <c r="DH1784" s="4"/>
      <c r="DI1784" s="4"/>
      <c r="DJ1784" s="4"/>
      <c r="DK1784" s="4"/>
      <c r="DL1784" s="4"/>
      <c r="DM1784" s="4"/>
      <c r="DN1784" s="4"/>
      <c r="DO1784" s="4"/>
      <c r="DP1784" s="4"/>
      <c r="DQ1784" s="4"/>
      <c r="DR1784" s="4"/>
      <c r="DS1784" s="4"/>
      <c r="DT1784" s="4"/>
      <c r="DU1784" s="4"/>
      <c r="DV1784" s="4"/>
      <c r="DW1784" s="4"/>
      <c r="DX1784" s="4"/>
      <c r="DY1784" s="4"/>
      <c r="DZ1784" s="4"/>
      <c r="EA1784" s="4"/>
      <c r="EB1784" s="4"/>
      <c r="EC1784" s="4"/>
      <c r="ED1784" s="4"/>
      <c r="EE1784" s="4"/>
      <c r="EF1784" s="4"/>
      <c r="EG1784" s="4"/>
      <c r="EH1784" s="4"/>
      <c r="EI1784" s="4"/>
      <c r="EJ1784" s="4"/>
      <c r="EK1784" s="4"/>
      <c r="EL1784" s="4"/>
      <c r="EM1784" s="4"/>
      <c r="EN1784" s="4"/>
      <c r="EO1784" s="4"/>
      <c r="EP1784" s="4"/>
      <c r="EQ1784" s="4"/>
      <c r="ER1784" s="4"/>
      <c r="ES1784" s="4"/>
      <c r="ET1784" s="4"/>
      <c r="EU1784" s="4"/>
      <c r="EV1784" s="4"/>
      <c r="EW1784" s="4"/>
      <c r="EX1784" s="4"/>
      <c r="EY1784" s="4"/>
      <c r="EZ1784" s="4"/>
      <c r="FA1784" s="4"/>
      <c r="FB1784" s="4"/>
      <c r="FC1784" s="4"/>
      <c r="FD1784" s="4"/>
      <c r="FE1784" s="4"/>
      <c r="FF1784" s="4"/>
      <c r="FG1784" s="4"/>
      <c r="FH1784" s="4"/>
      <c r="FI1784" s="4"/>
      <c r="FJ1784" s="4"/>
      <c r="FK1784" s="4"/>
      <c r="FL1784" s="4"/>
      <c r="FM1784" s="4"/>
      <c r="FN1784" s="4"/>
      <c r="FO1784" s="4"/>
      <c r="FP1784" s="4"/>
      <c r="FQ1784" s="4"/>
      <c r="FR1784" s="4"/>
      <c r="FS1784" s="4"/>
      <c r="FT1784" s="4"/>
      <c r="FU1784" s="4"/>
      <c r="FV1784" s="4"/>
      <c r="FW1784" s="4"/>
      <c r="FX1784" s="4"/>
      <c r="FY1784" s="4"/>
      <c r="FZ1784" s="4"/>
      <c r="GA1784" s="4"/>
      <c r="GB1784" s="4"/>
      <c r="GC1784" s="4"/>
      <c r="GD1784" s="4"/>
      <c r="GE1784" s="4"/>
      <c r="GF1784" s="4"/>
      <c r="GG1784" s="4"/>
      <c r="GH1784" s="4"/>
    </row>
    <row r="1785">
      <c r="A1785" s="2" t="s">
        <v>9044</v>
      </c>
      <c r="B1785" s="2" t="s">
        <v>903</v>
      </c>
      <c r="C1785" s="2" t="s">
        <v>7515</v>
      </c>
      <c r="D1785" s="2" t="s">
        <v>608</v>
      </c>
      <c r="E1785" s="2" t="s">
        <v>609</v>
      </c>
      <c r="F1785" s="2" t="s">
        <v>9039</v>
      </c>
      <c r="G1785" s="2" t="s">
        <v>200</v>
      </c>
      <c r="H1785" s="2" t="s">
        <v>200</v>
      </c>
      <c r="I1785" s="2" t="s">
        <v>9040</v>
      </c>
      <c r="J1785" s="2" t="s">
        <v>1390</v>
      </c>
      <c r="K1785" s="2" t="s">
        <v>203</v>
      </c>
      <c r="L1785" s="3">
        <v>29.99</v>
      </c>
      <c r="M1785" s="3">
        <v>31.49</v>
      </c>
      <c r="N1785" s="3"/>
      <c r="O1785" s="2" t="s">
        <v>212</v>
      </c>
      <c r="P1785" s="2" t="s">
        <v>205</v>
      </c>
      <c r="Q1785" s="2" t="s">
        <v>206</v>
      </c>
      <c r="R1785" s="2" t="s">
        <v>7518</v>
      </c>
      <c r="S1785" s="2" t="s">
        <v>200</v>
      </c>
      <c r="T1785" s="2" t="s">
        <v>200</v>
      </c>
      <c r="U1785" s="2" t="s">
        <v>200</v>
      </c>
      <c r="V1785" s="2" t="s">
        <v>208</v>
      </c>
      <c r="W1785" s="2" t="s">
        <v>200</v>
      </c>
      <c r="X1785" s="2" t="s">
        <v>200</v>
      </c>
      <c r="Y1785" s="2" t="s">
        <v>9041</v>
      </c>
      <c r="Z1785" s="4"/>
      <c r="AA1785" s="4">
        <f>=ROUNDDOWN({0},0)</f>
      </c>
      <c r="AB1785" s="5"/>
      <c r="AC1785" s="2" t="s">
        <v>200</v>
      </c>
      <c r="AD1785" s="4"/>
      <c r="AE1785" s="4"/>
      <c r="AF1785" s="6"/>
      <c r="AG1785" s="6"/>
      <c r="AH1785" s="7"/>
      <c r="AI1785" s="4"/>
      <c r="AJ1785" s="4">
        <f>=ROUNDDOWN({0},0)</f>
      </c>
      <c r="AK1785" s="5"/>
      <c r="AL1785" s="2" t="s">
        <v>200</v>
      </c>
      <c r="AM1785" s="4"/>
      <c r="AN1785" s="4"/>
      <c r="AO1785" s="7"/>
      <c r="AP1785" s="4"/>
      <c r="AQ1785" s="8"/>
      <c r="AR1785" s="4"/>
      <c r="AS1785" s="8"/>
      <c r="AT1785" s="7"/>
      <c r="AU1785" s="7"/>
      <c r="AV1785" s="4" t="s">
        <v>200</v>
      </c>
      <c r="AW1785" s="8" t="s">
        <v>200</v>
      </c>
      <c r="AX1785" s="4" t="s">
        <v>200</v>
      </c>
      <c r="AY1785" s="8" t="s">
        <v>200</v>
      </c>
      <c r="AZ1785" s="7" t="s">
        <v>200</v>
      </c>
      <c r="BA1785" s="7" t="s">
        <v>200</v>
      </c>
      <c r="BB1785" s="7"/>
      <c r="BC1785" s="4" t="s">
        <v>200</v>
      </c>
      <c r="BD1785" s="8" t="s">
        <v>200</v>
      </c>
      <c r="BE1785" s="4" t="s">
        <v>200</v>
      </c>
      <c r="BF1785" s="8" t="s">
        <v>200</v>
      </c>
      <c r="BG1785" s="7" t="s">
        <v>200</v>
      </c>
      <c r="BH1785" s="7" t="s">
        <v>200</v>
      </c>
      <c r="BI1785" s="7"/>
      <c r="BJ1785" s="4"/>
      <c r="BK1785" s="8"/>
      <c r="BL1785" s="2" t="s">
        <v>200</v>
      </c>
      <c r="BM1785" s="7"/>
      <c r="BN1785" s="7"/>
      <c r="BO1785" s="4"/>
      <c r="BP1785" s="8"/>
      <c r="BQ1785" s="4"/>
      <c r="BR1785" s="8"/>
      <c r="BS1785" s="7"/>
      <c r="BT1785" s="7"/>
      <c r="BU1785" s="2" t="s">
        <v>210</v>
      </c>
      <c r="BV1785" s="2" t="s">
        <v>200</v>
      </c>
      <c r="BW1785" s="2" t="s">
        <v>200</v>
      </c>
      <c r="BX1785" s="2" t="s">
        <v>200</v>
      </c>
      <c r="BY1785" s="2" t="s">
        <v>211</v>
      </c>
      <c r="BZ1785" s="2" t="s">
        <v>212</v>
      </c>
      <c r="CA1785" s="2" t="s">
        <v>200</v>
      </c>
      <c r="CB1785" s="2" t="s">
        <v>200</v>
      </c>
      <c r="CC1785" s="2" t="s">
        <v>213</v>
      </c>
      <c r="CD1785" s="2" t="s">
        <v>200</v>
      </c>
      <c r="CE1785" s="4"/>
      <c r="CF1785" s="4"/>
      <c r="CG1785" s="4"/>
      <c r="CH1785" s="4"/>
      <c r="CI1785" s="4"/>
      <c r="CJ1785" s="4"/>
      <c r="CK1785" s="4"/>
      <c r="CL1785" s="4"/>
      <c r="CM1785" s="4"/>
      <c r="CN1785" s="4"/>
      <c r="CO1785" s="4"/>
      <c r="CP1785" s="4"/>
      <c r="CQ1785" s="4"/>
      <c r="CR1785" s="4"/>
      <c r="CS1785" s="4"/>
      <c r="CT1785" s="4"/>
      <c r="CU1785" s="4"/>
      <c r="CV1785" s="4"/>
      <c r="CW1785" s="4"/>
      <c r="CX1785" s="4"/>
      <c r="CY1785" s="4"/>
      <c r="CZ1785" s="4"/>
      <c r="DA1785" s="4"/>
      <c r="DB1785" s="4"/>
      <c r="DC1785" s="4"/>
      <c r="DD1785" s="4"/>
      <c r="DE1785" s="4"/>
      <c r="DF1785" s="4"/>
      <c r="DG1785" s="4"/>
      <c r="DH1785" s="4"/>
      <c r="DI1785" s="4"/>
      <c r="DJ1785" s="4"/>
      <c r="DK1785" s="4"/>
      <c r="DL1785" s="4"/>
      <c r="DM1785" s="4"/>
      <c r="DN1785" s="4"/>
      <c r="DO1785" s="4"/>
      <c r="DP1785" s="4"/>
      <c r="DQ1785" s="4"/>
      <c r="DR1785" s="4"/>
      <c r="DS1785" s="4"/>
      <c r="DT1785" s="4"/>
      <c r="DU1785" s="4"/>
      <c r="DV1785" s="4"/>
      <c r="DW1785" s="4"/>
      <c r="DX1785" s="4"/>
      <c r="DY1785" s="4"/>
      <c r="DZ1785" s="4"/>
      <c r="EA1785" s="4"/>
      <c r="EB1785" s="4"/>
      <c r="EC1785" s="4"/>
      <c r="ED1785" s="4"/>
      <c r="EE1785" s="4"/>
      <c r="EF1785" s="4"/>
      <c r="EG1785" s="4"/>
      <c r="EH1785" s="4"/>
      <c r="EI1785" s="4"/>
      <c r="EJ1785" s="4"/>
      <c r="EK1785" s="4"/>
      <c r="EL1785" s="4"/>
      <c r="EM1785" s="4"/>
      <c r="EN1785" s="4"/>
      <c r="EO1785" s="4"/>
      <c r="EP1785" s="4"/>
      <c r="EQ1785" s="4"/>
      <c r="ER1785" s="4"/>
      <c r="ES1785" s="4"/>
      <c r="ET1785" s="4"/>
      <c r="EU1785" s="4"/>
      <c r="EV1785" s="4"/>
      <c r="EW1785" s="4"/>
      <c r="EX1785" s="4"/>
      <c r="EY1785" s="4"/>
      <c r="EZ1785" s="4"/>
      <c r="FA1785" s="4"/>
      <c r="FB1785" s="4"/>
      <c r="FC1785" s="4"/>
      <c r="FD1785" s="4"/>
      <c r="FE1785" s="4"/>
      <c r="FF1785" s="4"/>
      <c r="FG1785" s="4"/>
      <c r="FH1785" s="4"/>
      <c r="FI1785" s="4"/>
      <c r="FJ1785" s="4"/>
      <c r="FK1785" s="4"/>
      <c r="FL1785" s="4"/>
      <c r="FM1785" s="4"/>
      <c r="FN1785" s="4"/>
      <c r="FO1785" s="4"/>
      <c r="FP1785" s="4"/>
      <c r="FQ1785" s="4"/>
      <c r="FR1785" s="4"/>
      <c r="FS1785" s="4"/>
      <c r="FT1785" s="4"/>
      <c r="FU1785" s="4"/>
      <c r="FV1785" s="4"/>
      <c r="FW1785" s="4"/>
      <c r="FX1785" s="4"/>
      <c r="FY1785" s="4"/>
      <c r="FZ1785" s="4"/>
      <c r="GA1785" s="4"/>
      <c r="GB1785" s="4"/>
      <c r="GC1785" s="4"/>
      <c r="GD1785" s="4"/>
      <c r="GE1785" s="4"/>
      <c r="GF1785" s="4"/>
      <c r="GG1785" s="4"/>
      <c r="GH1785" s="4"/>
    </row>
    <row r="1786">
      <c r="A1786" s="2" t="s">
        <v>9045</v>
      </c>
      <c r="B1786" s="2" t="s">
        <v>903</v>
      </c>
      <c r="C1786" s="2" t="s">
        <v>7515</v>
      </c>
      <c r="D1786" s="2" t="s">
        <v>608</v>
      </c>
      <c r="E1786" s="2" t="s">
        <v>609</v>
      </c>
      <c r="F1786" s="2" t="s">
        <v>9039</v>
      </c>
      <c r="G1786" s="2" t="s">
        <v>200</v>
      </c>
      <c r="H1786" s="2" t="s">
        <v>200</v>
      </c>
      <c r="I1786" s="2" t="s">
        <v>9040</v>
      </c>
      <c r="J1786" s="2" t="s">
        <v>612</v>
      </c>
      <c r="K1786" s="2" t="s">
        <v>203</v>
      </c>
      <c r="L1786" s="3">
        <v>39.99</v>
      </c>
      <c r="M1786" s="3">
        <v>41.99</v>
      </c>
      <c r="N1786" s="3"/>
      <c r="O1786" s="2" t="s">
        <v>212</v>
      </c>
      <c r="P1786" s="2" t="s">
        <v>205</v>
      </c>
      <c r="Q1786" s="2" t="s">
        <v>206</v>
      </c>
      <c r="R1786" s="2" t="s">
        <v>7518</v>
      </c>
      <c r="S1786" s="2" t="s">
        <v>200</v>
      </c>
      <c r="T1786" s="2" t="s">
        <v>200</v>
      </c>
      <c r="U1786" s="2" t="s">
        <v>200</v>
      </c>
      <c r="V1786" s="2" t="s">
        <v>208</v>
      </c>
      <c r="W1786" s="2" t="s">
        <v>200</v>
      </c>
      <c r="X1786" s="2" t="s">
        <v>200</v>
      </c>
      <c r="Y1786" s="2" t="s">
        <v>9041</v>
      </c>
      <c r="Z1786" s="4"/>
      <c r="AA1786" s="4">
        <f>=ROUNDDOWN({0},0)</f>
      </c>
      <c r="AB1786" s="5"/>
      <c r="AC1786" s="2" t="s">
        <v>200</v>
      </c>
      <c r="AD1786" s="4"/>
      <c r="AE1786" s="4"/>
      <c r="AF1786" s="6"/>
      <c r="AG1786" s="6"/>
      <c r="AH1786" s="7"/>
      <c r="AI1786" s="4"/>
      <c r="AJ1786" s="4">
        <f>=ROUNDDOWN({0},0)</f>
      </c>
      <c r="AK1786" s="5"/>
      <c r="AL1786" s="2" t="s">
        <v>200</v>
      </c>
      <c r="AM1786" s="4"/>
      <c r="AN1786" s="4"/>
      <c r="AO1786" s="7"/>
      <c r="AP1786" s="4"/>
      <c r="AQ1786" s="8"/>
      <c r="AR1786" s="4"/>
      <c r="AS1786" s="8"/>
      <c r="AT1786" s="7"/>
      <c r="AU1786" s="7"/>
      <c r="AV1786" s="4" t="s">
        <v>200</v>
      </c>
      <c r="AW1786" s="8" t="s">
        <v>200</v>
      </c>
      <c r="AX1786" s="4" t="s">
        <v>200</v>
      </c>
      <c r="AY1786" s="8" t="s">
        <v>200</v>
      </c>
      <c r="AZ1786" s="7" t="s">
        <v>200</v>
      </c>
      <c r="BA1786" s="7" t="s">
        <v>200</v>
      </c>
      <c r="BB1786" s="7"/>
      <c r="BC1786" s="4" t="s">
        <v>200</v>
      </c>
      <c r="BD1786" s="8" t="s">
        <v>200</v>
      </c>
      <c r="BE1786" s="4" t="s">
        <v>200</v>
      </c>
      <c r="BF1786" s="8" t="s">
        <v>200</v>
      </c>
      <c r="BG1786" s="7" t="s">
        <v>200</v>
      </c>
      <c r="BH1786" s="7" t="s">
        <v>200</v>
      </c>
      <c r="BI1786" s="7"/>
      <c r="BJ1786" s="4"/>
      <c r="BK1786" s="8"/>
      <c r="BL1786" s="2" t="s">
        <v>200</v>
      </c>
      <c r="BM1786" s="7"/>
      <c r="BN1786" s="7"/>
      <c r="BO1786" s="4"/>
      <c r="BP1786" s="8"/>
      <c r="BQ1786" s="4"/>
      <c r="BR1786" s="8"/>
      <c r="BS1786" s="7"/>
      <c r="BT1786" s="7"/>
      <c r="BU1786" s="2" t="s">
        <v>210</v>
      </c>
      <c r="BV1786" s="2" t="s">
        <v>200</v>
      </c>
      <c r="BW1786" s="2" t="s">
        <v>200</v>
      </c>
      <c r="BX1786" s="2" t="s">
        <v>200</v>
      </c>
      <c r="BY1786" s="2" t="s">
        <v>211</v>
      </c>
      <c r="BZ1786" s="2" t="s">
        <v>212</v>
      </c>
      <c r="CA1786" s="2" t="s">
        <v>200</v>
      </c>
      <c r="CB1786" s="2" t="s">
        <v>200</v>
      </c>
      <c r="CC1786" s="2" t="s">
        <v>213</v>
      </c>
      <c r="CD1786" s="2" t="s">
        <v>200</v>
      </c>
      <c r="CE1786" s="4"/>
      <c r="CF1786" s="4"/>
      <c r="CG1786" s="4"/>
      <c r="CH1786" s="4"/>
      <c r="CI1786" s="4"/>
      <c r="CJ1786" s="4"/>
      <c r="CK1786" s="4"/>
      <c r="CL1786" s="4"/>
      <c r="CM1786" s="4"/>
      <c r="CN1786" s="4"/>
      <c r="CO1786" s="4"/>
      <c r="CP1786" s="4"/>
      <c r="CQ1786" s="4"/>
      <c r="CR1786" s="4"/>
      <c r="CS1786" s="4"/>
      <c r="CT1786" s="4"/>
      <c r="CU1786" s="4"/>
      <c r="CV1786" s="4"/>
      <c r="CW1786" s="4"/>
      <c r="CX1786" s="4"/>
      <c r="CY1786" s="4"/>
      <c r="CZ1786" s="4"/>
      <c r="DA1786" s="4"/>
      <c r="DB1786" s="4"/>
      <c r="DC1786" s="4"/>
      <c r="DD1786" s="4"/>
      <c r="DE1786" s="4"/>
      <c r="DF1786" s="4"/>
      <c r="DG1786" s="4"/>
      <c r="DH1786" s="4"/>
      <c r="DI1786" s="4"/>
      <c r="DJ1786" s="4"/>
      <c r="DK1786" s="4"/>
      <c r="DL1786" s="4"/>
      <c r="DM1786" s="4"/>
      <c r="DN1786" s="4"/>
      <c r="DO1786" s="4"/>
      <c r="DP1786" s="4"/>
      <c r="DQ1786" s="4"/>
      <c r="DR1786" s="4"/>
      <c r="DS1786" s="4"/>
      <c r="DT1786" s="4"/>
      <c r="DU1786" s="4"/>
      <c r="DV1786" s="4"/>
      <c r="DW1786" s="4"/>
      <c r="DX1786" s="4"/>
      <c r="DY1786" s="4"/>
      <c r="DZ1786" s="4"/>
      <c r="EA1786" s="4"/>
      <c r="EB1786" s="4"/>
      <c r="EC1786" s="4"/>
      <c r="ED1786" s="4"/>
      <c r="EE1786" s="4"/>
      <c r="EF1786" s="4"/>
      <c r="EG1786" s="4"/>
      <c r="EH1786" s="4"/>
      <c r="EI1786" s="4"/>
      <c r="EJ1786" s="4"/>
      <c r="EK1786" s="4"/>
      <c r="EL1786" s="4"/>
      <c r="EM1786" s="4"/>
      <c r="EN1786" s="4"/>
      <c r="EO1786" s="4"/>
      <c r="EP1786" s="4"/>
      <c r="EQ1786" s="4"/>
      <c r="ER1786" s="4"/>
      <c r="ES1786" s="4"/>
      <c r="ET1786" s="4"/>
      <c r="EU1786" s="4"/>
      <c r="EV1786" s="4"/>
      <c r="EW1786" s="4"/>
      <c r="EX1786" s="4"/>
      <c r="EY1786" s="4"/>
      <c r="EZ1786" s="4"/>
      <c r="FA1786" s="4"/>
      <c r="FB1786" s="4"/>
      <c r="FC1786" s="4"/>
      <c r="FD1786" s="4"/>
      <c r="FE1786" s="4"/>
      <c r="FF1786" s="4"/>
      <c r="FG1786" s="4"/>
      <c r="FH1786" s="4"/>
      <c r="FI1786" s="4"/>
      <c r="FJ1786" s="4"/>
      <c r="FK1786" s="4"/>
      <c r="FL1786" s="4"/>
      <c r="FM1786" s="4"/>
      <c r="FN1786" s="4"/>
      <c r="FO1786" s="4"/>
      <c r="FP1786" s="4"/>
      <c r="FQ1786" s="4"/>
      <c r="FR1786" s="4"/>
      <c r="FS1786" s="4"/>
      <c r="FT1786" s="4"/>
      <c r="FU1786" s="4"/>
      <c r="FV1786" s="4"/>
      <c r="FW1786" s="4"/>
      <c r="FX1786" s="4"/>
      <c r="FY1786" s="4"/>
      <c r="FZ1786" s="4"/>
      <c r="GA1786" s="4"/>
      <c r="GB1786" s="4"/>
      <c r="GC1786" s="4"/>
      <c r="GD1786" s="4"/>
      <c r="GE1786" s="4"/>
      <c r="GF1786" s="4"/>
      <c r="GG1786" s="4"/>
      <c r="GH1786" s="4"/>
    </row>
    <row r="1787">
      <c r="A1787" s="2" t="s">
        <v>9046</v>
      </c>
      <c r="B1787" s="2" t="s">
        <v>903</v>
      </c>
      <c r="C1787" s="2" t="s">
        <v>7515</v>
      </c>
      <c r="D1787" s="2" t="s">
        <v>608</v>
      </c>
      <c r="E1787" s="2" t="s">
        <v>609</v>
      </c>
      <c r="F1787" s="2" t="s">
        <v>9039</v>
      </c>
      <c r="G1787" s="2" t="s">
        <v>200</v>
      </c>
      <c r="H1787" s="2" t="s">
        <v>200</v>
      </c>
      <c r="I1787" s="2" t="s">
        <v>9040</v>
      </c>
      <c r="J1787" s="2" t="s">
        <v>302</v>
      </c>
      <c r="K1787" s="2" t="s">
        <v>203</v>
      </c>
      <c r="L1787" s="3">
        <v>44.99</v>
      </c>
      <c r="M1787" s="3">
        <v>47.24</v>
      </c>
      <c r="N1787" s="3"/>
      <c r="O1787" s="2" t="s">
        <v>204</v>
      </c>
      <c r="P1787" s="2" t="s">
        <v>205</v>
      </c>
      <c r="Q1787" s="2" t="s">
        <v>206</v>
      </c>
      <c r="R1787" s="2" t="s">
        <v>7518</v>
      </c>
      <c r="S1787" s="2" t="s">
        <v>200</v>
      </c>
      <c r="T1787" s="2" t="s">
        <v>200</v>
      </c>
      <c r="U1787" s="2" t="s">
        <v>200</v>
      </c>
      <c r="V1787" s="2" t="s">
        <v>208</v>
      </c>
      <c r="W1787" s="2" t="s">
        <v>200</v>
      </c>
      <c r="X1787" s="2" t="s">
        <v>200</v>
      </c>
      <c r="Y1787" s="2" t="s">
        <v>9041</v>
      </c>
      <c r="Z1787" s="4"/>
      <c r="AA1787" s="4">
        <f>=ROUNDDOWN({0},0)</f>
      </c>
      <c r="AB1787" s="5"/>
      <c r="AC1787" s="2" t="s">
        <v>200</v>
      </c>
      <c r="AD1787" s="4"/>
      <c r="AE1787" s="4"/>
      <c r="AF1787" s="6"/>
      <c r="AG1787" s="6"/>
      <c r="AH1787" s="7"/>
      <c r="AI1787" s="4"/>
      <c r="AJ1787" s="4">
        <f>=ROUNDDOWN({0},0)</f>
      </c>
      <c r="AK1787" s="5"/>
      <c r="AL1787" s="2" t="s">
        <v>200</v>
      </c>
      <c r="AM1787" s="4"/>
      <c r="AN1787" s="4"/>
      <c r="AO1787" s="7"/>
      <c r="AP1787" s="4"/>
      <c r="AQ1787" s="8"/>
      <c r="AR1787" s="4"/>
      <c r="AS1787" s="8"/>
      <c r="AT1787" s="7"/>
      <c r="AU1787" s="7"/>
      <c r="AV1787" s="4" t="s">
        <v>200</v>
      </c>
      <c r="AW1787" s="8" t="s">
        <v>200</v>
      </c>
      <c r="AX1787" s="4" t="s">
        <v>200</v>
      </c>
      <c r="AY1787" s="8" t="s">
        <v>200</v>
      </c>
      <c r="AZ1787" s="7" t="s">
        <v>200</v>
      </c>
      <c r="BA1787" s="7" t="s">
        <v>200</v>
      </c>
      <c r="BB1787" s="7"/>
      <c r="BC1787" s="4" t="s">
        <v>200</v>
      </c>
      <c r="BD1787" s="8" t="s">
        <v>200</v>
      </c>
      <c r="BE1787" s="4" t="s">
        <v>200</v>
      </c>
      <c r="BF1787" s="8" t="s">
        <v>200</v>
      </c>
      <c r="BG1787" s="7" t="s">
        <v>200</v>
      </c>
      <c r="BH1787" s="7" t="s">
        <v>200</v>
      </c>
      <c r="BI1787" s="7"/>
      <c r="BJ1787" s="4"/>
      <c r="BK1787" s="8"/>
      <c r="BL1787" s="2" t="s">
        <v>200</v>
      </c>
      <c r="BM1787" s="7"/>
      <c r="BN1787" s="7"/>
      <c r="BO1787" s="4"/>
      <c r="BP1787" s="8"/>
      <c r="BQ1787" s="4"/>
      <c r="BR1787" s="8"/>
      <c r="BS1787" s="7"/>
      <c r="BT1787" s="7"/>
      <c r="BU1787" s="2" t="s">
        <v>210</v>
      </c>
      <c r="BV1787" s="2" t="s">
        <v>200</v>
      </c>
      <c r="BW1787" s="2" t="s">
        <v>200</v>
      </c>
      <c r="BX1787" s="2" t="s">
        <v>200</v>
      </c>
      <c r="BY1787" s="2" t="s">
        <v>211</v>
      </c>
      <c r="BZ1787" s="2" t="s">
        <v>212</v>
      </c>
      <c r="CA1787" s="2" t="s">
        <v>200</v>
      </c>
      <c r="CB1787" s="2" t="s">
        <v>200</v>
      </c>
      <c r="CC1787" s="2" t="s">
        <v>213</v>
      </c>
      <c r="CD1787" s="2" t="s">
        <v>200</v>
      </c>
      <c r="CE1787" s="4"/>
      <c r="CF1787" s="4"/>
      <c r="CG1787" s="4"/>
      <c r="CH1787" s="4"/>
      <c r="CI1787" s="4"/>
      <c r="CJ1787" s="4"/>
      <c r="CK1787" s="4"/>
      <c r="CL1787" s="4"/>
      <c r="CM1787" s="4"/>
      <c r="CN1787" s="4"/>
      <c r="CO1787" s="4"/>
      <c r="CP1787" s="4"/>
      <c r="CQ1787" s="4"/>
      <c r="CR1787" s="4"/>
      <c r="CS1787" s="4"/>
      <c r="CT1787" s="4"/>
      <c r="CU1787" s="4"/>
      <c r="CV1787" s="4"/>
      <c r="CW1787" s="4"/>
      <c r="CX1787" s="4"/>
      <c r="CY1787" s="4"/>
      <c r="CZ1787" s="4"/>
      <c r="DA1787" s="4"/>
      <c r="DB1787" s="4"/>
      <c r="DC1787" s="4"/>
      <c r="DD1787" s="4"/>
      <c r="DE1787" s="4"/>
      <c r="DF1787" s="4"/>
      <c r="DG1787" s="4"/>
      <c r="DH1787" s="4"/>
      <c r="DI1787" s="4"/>
      <c r="DJ1787" s="4"/>
      <c r="DK1787" s="4"/>
      <c r="DL1787" s="4"/>
      <c r="DM1787" s="4"/>
      <c r="DN1787" s="4"/>
      <c r="DO1787" s="4"/>
      <c r="DP1787" s="4"/>
      <c r="DQ1787" s="4"/>
      <c r="DR1787" s="4"/>
      <c r="DS1787" s="4"/>
      <c r="DT1787" s="4"/>
      <c r="DU1787" s="4"/>
      <c r="DV1787" s="4"/>
      <c r="DW1787" s="4"/>
      <c r="DX1787" s="4"/>
      <c r="DY1787" s="4"/>
      <c r="DZ1787" s="4"/>
      <c r="EA1787" s="4"/>
      <c r="EB1787" s="4"/>
      <c r="EC1787" s="4"/>
      <c r="ED1787" s="4"/>
      <c r="EE1787" s="4"/>
      <c r="EF1787" s="4"/>
      <c r="EG1787" s="4"/>
      <c r="EH1787" s="4"/>
      <c r="EI1787" s="4"/>
      <c r="EJ1787" s="4"/>
      <c r="EK1787" s="4"/>
      <c r="EL1787" s="4"/>
      <c r="EM1787" s="4"/>
      <c r="EN1787" s="4"/>
      <c r="EO1787" s="4"/>
      <c r="EP1787" s="4"/>
      <c r="EQ1787" s="4"/>
      <c r="ER1787" s="4"/>
      <c r="ES1787" s="4"/>
      <c r="ET1787" s="4"/>
      <c r="EU1787" s="4"/>
      <c r="EV1787" s="4"/>
      <c r="EW1787" s="4"/>
      <c r="EX1787" s="4"/>
      <c r="EY1787" s="4"/>
      <c r="EZ1787" s="4"/>
      <c r="FA1787" s="4"/>
      <c r="FB1787" s="4"/>
      <c r="FC1787" s="4"/>
      <c r="FD1787" s="4"/>
      <c r="FE1787" s="4"/>
      <c r="FF1787" s="4"/>
      <c r="FG1787" s="4"/>
      <c r="FH1787" s="4"/>
      <c r="FI1787" s="4"/>
      <c r="FJ1787" s="4"/>
      <c r="FK1787" s="4"/>
      <c r="FL1787" s="4"/>
      <c r="FM1787" s="4"/>
      <c r="FN1787" s="4"/>
      <c r="FO1787" s="4"/>
      <c r="FP1787" s="4"/>
      <c r="FQ1787" s="4"/>
      <c r="FR1787" s="4"/>
      <c r="FS1787" s="4"/>
      <c r="FT1787" s="4"/>
      <c r="FU1787" s="4"/>
      <c r="FV1787" s="4"/>
      <c r="FW1787" s="4"/>
      <c r="FX1787" s="4"/>
      <c r="FY1787" s="4"/>
      <c r="FZ1787" s="4"/>
      <c r="GA1787" s="4"/>
      <c r="GB1787" s="4"/>
      <c r="GC1787" s="4"/>
      <c r="GD1787" s="4"/>
      <c r="GE1787" s="4"/>
      <c r="GF1787" s="4"/>
      <c r="GG1787" s="4"/>
      <c r="GH1787" s="4"/>
    </row>
    <row r="1788">
      <c r="A1788" s="2" t="s">
        <v>9047</v>
      </c>
      <c r="B1788" s="2" t="s">
        <v>903</v>
      </c>
      <c r="C1788" s="2" t="s">
        <v>7515</v>
      </c>
      <c r="D1788" s="2" t="s">
        <v>608</v>
      </c>
      <c r="E1788" s="2" t="s">
        <v>609</v>
      </c>
      <c r="F1788" s="2" t="s">
        <v>9039</v>
      </c>
      <c r="G1788" s="2" t="s">
        <v>200</v>
      </c>
      <c r="H1788" s="2" t="s">
        <v>200</v>
      </c>
      <c r="I1788" s="2" t="s">
        <v>9040</v>
      </c>
      <c r="J1788" s="2" t="s">
        <v>1390</v>
      </c>
      <c r="K1788" s="2" t="s">
        <v>223</v>
      </c>
      <c r="L1788" s="3">
        <v>29.99</v>
      </c>
      <c r="M1788" s="3">
        <v>31.49</v>
      </c>
      <c r="N1788" s="3"/>
      <c r="O1788" s="2" t="s">
        <v>212</v>
      </c>
      <c r="P1788" s="2" t="s">
        <v>205</v>
      </c>
      <c r="Q1788" s="2" t="s">
        <v>206</v>
      </c>
      <c r="R1788" s="2" t="s">
        <v>7518</v>
      </c>
      <c r="S1788" s="2" t="s">
        <v>200</v>
      </c>
      <c r="T1788" s="2" t="s">
        <v>200</v>
      </c>
      <c r="U1788" s="2" t="s">
        <v>200</v>
      </c>
      <c r="V1788" s="2" t="s">
        <v>208</v>
      </c>
      <c r="W1788" s="2" t="s">
        <v>200</v>
      </c>
      <c r="X1788" s="2" t="s">
        <v>200</v>
      </c>
      <c r="Y1788" s="2" t="s">
        <v>9041</v>
      </c>
      <c r="Z1788" s="4"/>
      <c r="AA1788" s="4">
        <f>=ROUNDDOWN({0},0)</f>
      </c>
      <c r="AB1788" s="5"/>
      <c r="AC1788" s="2" t="s">
        <v>200</v>
      </c>
      <c r="AD1788" s="4"/>
      <c r="AE1788" s="4"/>
      <c r="AF1788" s="6"/>
      <c r="AG1788" s="6"/>
      <c r="AH1788" s="7"/>
      <c r="AI1788" s="4"/>
      <c r="AJ1788" s="4">
        <f>=ROUNDDOWN({0},0)</f>
      </c>
      <c r="AK1788" s="5"/>
      <c r="AL1788" s="2" t="s">
        <v>200</v>
      </c>
      <c r="AM1788" s="4"/>
      <c r="AN1788" s="4"/>
      <c r="AO1788" s="7"/>
      <c r="AP1788" s="4"/>
      <c r="AQ1788" s="8"/>
      <c r="AR1788" s="4"/>
      <c r="AS1788" s="8"/>
      <c r="AT1788" s="7"/>
      <c r="AU1788" s="7"/>
      <c r="AV1788" s="4" t="s">
        <v>200</v>
      </c>
      <c r="AW1788" s="8" t="s">
        <v>200</v>
      </c>
      <c r="AX1788" s="4" t="s">
        <v>200</v>
      </c>
      <c r="AY1788" s="8" t="s">
        <v>200</v>
      </c>
      <c r="AZ1788" s="7" t="s">
        <v>200</v>
      </c>
      <c r="BA1788" s="7" t="s">
        <v>200</v>
      </c>
      <c r="BB1788" s="7"/>
      <c r="BC1788" s="4" t="s">
        <v>200</v>
      </c>
      <c r="BD1788" s="8" t="s">
        <v>200</v>
      </c>
      <c r="BE1788" s="4" t="s">
        <v>200</v>
      </c>
      <c r="BF1788" s="8" t="s">
        <v>200</v>
      </c>
      <c r="BG1788" s="7" t="s">
        <v>200</v>
      </c>
      <c r="BH1788" s="7" t="s">
        <v>200</v>
      </c>
      <c r="BI1788" s="7"/>
      <c r="BJ1788" s="4"/>
      <c r="BK1788" s="8"/>
      <c r="BL1788" s="2" t="s">
        <v>200</v>
      </c>
      <c r="BM1788" s="7"/>
      <c r="BN1788" s="7"/>
      <c r="BO1788" s="4"/>
      <c r="BP1788" s="8"/>
      <c r="BQ1788" s="4"/>
      <c r="BR1788" s="8"/>
      <c r="BS1788" s="7"/>
      <c r="BT1788" s="7"/>
      <c r="BU1788" s="2" t="s">
        <v>210</v>
      </c>
      <c r="BV1788" s="2" t="s">
        <v>200</v>
      </c>
      <c r="BW1788" s="2" t="s">
        <v>200</v>
      </c>
      <c r="BX1788" s="2" t="s">
        <v>200</v>
      </c>
      <c r="BY1788" s="2" t="s">
        <v>211</v>
      </c>
      <c r="BZ1788" s="2" t="s">
        <v>212</v>
      </c>
      <c r="CA1788" s="2" t="s">
        <v>200</v>
      </c>
      <c r="CB1788" s="2" t="s">
        <v>200</v>
      </c>
      <c r="CC1788" s="2" t="s">
        <v>213</v>
      </c>
      <c r="CD1788" s="2" t="s">
        <v>200</v>
      </c>
      <c r="CE1788" s="4"/>
      <c r="CF1788" s="4"/>
      <c r="CG1788" s="4"/>
      <c r="CH1788" s="4"/>
      <c r="CI1788" s="4"/>
      <c r="CJ1788" s="4"/>
      <c r="CK1788" s="4"/>
      <c r="CL1788" s="4"/>
      <c r="CM1788" s="4"/>
      <c r="CN1788" s="4"/>
      <c r="CO1788" s="4"/>
      <c r="CP1788" s="4"/>
      <c r="CQ1788" s="4"/>
      <c r="CR1788" s="4"/>
      <c r="CS1788" s="4"/>
      <c r="CT1788" s="4"/>
      <c r="CU1788" s="4"/>
      <c r="CV1788" s="4"/>
      <c r="CW1788" s="4"/>
      <c r="CX1788" s="4"/>
      <c r="CY1788" s="4"/>
      <c r="CZ1788" s="4"/>
      <c r="DA1788" s="4"/>
      <c r="DB1788" s="4"/>
      <c r="DC1788" s="4"/>
      <c r="DD1788" s="4"/>
      <c r="DE1788" s="4"/>
      <c r="DF1788" s="4"/>
      <c r="DG1788" s="4"/>
      <c r="DH1788" s="4"/>
      <c r="DI1788" s="4"/>
      <c r="DJ1788" s="4"/>
      <c r="DK1788" s="4"/>
      <c r="DL1788" s="4"/>
      <c r="DM1788" s="4"/>
      <c r="DN1788" s="4"/>
      <c r="DO1788" s="4"/>
      <c r="DP1788" s="4"/>
      <c r="DQ1788" s="4"/>
      <c r="DR1788" s="4"/>
      <c r="DS1788" s="4"/>
      <c r="DT1788" s="4"/>
      <c r="DU1788" s="4"/>
      <c r="DV1788" s="4"/>
      <c r="DW1788" s="4"/>
      <c r="DX1788" s="4"/>
      <c r="DY1788" s="4"/>
      <c r="DZ1788" s="4"/>
      <c r="EA1788" s="4"/>
      <c r="EB1788" s="4"/>
      <c r="EC1788" s="4"/>
      <c r="ED1788" s="4"/>
      <c r="EE1788" s="4"/>
      <c r="EF1788" s="4"/>
      <c r="EG1788" s="4"/>
      <c r="EH1788" s="4"/>
      <c r="EI1788" s="4"/>
      <c r="EJ1788" s="4"/>
      <c r="EK1788" s="4"/>
      <c r="EL1788" s="4"/>
      <c r="EM1788" s="4"/>
      <c r="EN1788" s="4"/>
      <c r="EO1788" s="4"/>
      <c r="EP1788" s="4"/>
      <c r="EQ1788" s="4"/>
      <c r="ER1788" s="4"/>
      <c r="ES1788" s="4"/>
      <c r="ET1788" s="4"/>
      <c r="EU1788" s="4"/>
      <c r="EV1788" s="4"/>
      <c r="EW1788" s="4"/>
      <c r="EX1788" s="4"/>
      <c r="EY1788" s="4"/>
      <c r="EZ1788" s="4"/>
      <c r="FA1788" s="4"/>
      <c r="FB1788" s="4"/>
      <c r="FC1788" s="4"/>
      <c r="FD1788" s="4"/>
      <c r="FE1788" s="4"/>
      <c r="FF1788" s="4"/>
      <c r="FG1788" s="4"/>
      <c r="FH1788" s="4"/>
      <c r="FI1788" s="4"/>
      <c r="FJ1788" s="4"/>
      <c r="FK1788" s="4"/>
      <c r="FL1788" s="4"/>
      <c r="FM1788" s="4"/>
      <c r="FN1788" s="4"/>
      <c r="FO1788" s="4"/>
      <c r="FP1788" s="4"/>
      <c r="FQ1788" s="4"/>
      <c r="FR1788" s="4"/>
      <c r="FS1788" s="4"/>
      <c r="FT1788" s="4"/>
      <c r="FU1788" s="4"/>
      <c r="FV1788" s="4"/>
      <c r="FW1788" s="4"/>
      <c r="FX1788" s="4"/>
      <c r="FY1788" s="4"/>
      <c r="FZ1788" s="4"/>
      <c r="GA1788" s="4"/>
      <c r="GB1788" s="4"/>
      <c r="GC1788" s="4"/>
      <c r="GD1788" s="4"/>
      <c r="GE1788" s="4"/>
      <c r="GF1788" s="4"/>
      <c r="GG1788" s="4"/>
      <c r="GH1788" s="4"/>
    </row>
    <row r="1789">
      <c r="A1789" s="2" t="s">
        <v>9048</v>
      </c>
      <c r="B1789" s="2" t="s">
        <v>903</v>
      </c>
      <c r="C1789" s="2" t="s">
        <v>7515</v>
      </c>
      <c r="D1789" s="2" t="s">
        <v>608</v>
      </c>
      <c r="E1789" s="2" t="s">
        <v>609</v>
      </c>
      <c r="F1789" s="2" t="s">
        <v>9039</v>
      </c>
      <c r="G1789" s="2" t="s">
        <v>200</v>
      </c>
      <c r="H1789" s="2" t="s">
        <v>200</v>
      </c>
      <c r="I1789" s="2" t="s">
        <v>9040</v>
      </c>
      <c r="J1789" s="2" t="s">
        <v>612</v>
      </c>
      <c r="K1789" s="2" t="s">
        <v>223</v>
      </c>
      <c r="L1789" s="3">
        <v>39.99</v>
      </c>
      <c r="M1789" s="3">
        <v>41.99</v>
      </c>
      <c r="N1789" s="3"/>
      <c r="O1789" s="2" t="s">
        <v>204</v>
      </c>
      <c r="P1789" s="2" t="s">
        <v>205</v>
      </c>
      <c r="Q1789" s="2" t="s">
        <v>206</v>
      </c>
      <c r="R1789" s="2" t="s">
        <v>7518</v>
      </c>
      <c r="S1789" s="2" t="s">
        <v>200</v>
      </c>
      <c r="T1789" s="2" t="s">
        <v>200</v>
      </c>
      <c r="U1789" s="2" t="s">
        <v>200</v>
      </c>
      <c r="V1789" s="2" t="s">
        <v>208</v>
      </c>
      <c r="W1789" s="2" t="s">
        <v>200</v>
      </c>
      <c r="X1789" s="2" t="s">
        <v>200</v>
      </c>
      <c r="Y1789" s="2" t="s">
        <v>9041</v>
      </c>
      <c r="Z1789" s="4"/>
      <c r="AA1789" s="4">
        <f>=ROUNDDOWN({0},0)</f>
      </c>
      <c r="AB1789" s="5"/>
      <c r="AC1789" s="2" t="s">
        <v>200</v>
      </c>
      <c r="AD1789" s="4"/>
      <c r="AE1789" s="4"/>
      <c r="AF1789" s="6"/>
      <c r="AG1789" s="6"/>
      <c r="AH1789" s="7"/>
      <c r="AI1789" s="4"/>
      <c r="AJ1789" s="4">
        <f>=ROUNDDOWN({0},0)</f>
      </c>
      <c r="AK1789" s="5"/>
      <c r="AL1789" s="2" t="s">
        <v>200</v>
      </c>
      <c r="AM1789" s="4"/>
      <c r="AN1789" s="4"/>
      <c r="AO1789" s="7"/>
      <c r="AP1789" s="4"/>
      <c r="AQ1789" s="8"/>
      <c r="AR1789" s="4"/>
      <c r="AS1789" s="8"/>
      <c r="AT1789" s="7"/>
      <c r="AU1789" s="7"/>
      <c r="AV1789" s="4" t="s">
        <v>200</v>
      </c>
      <c r="AW1789" s="8" t="s">
        <v>200</v>
      </c>
      <c r="AX1789" s="4" t="s">
        <v>200</v>
      </c>
      <c r="AY1789" s="8" t="s">
        <v>200</v>
      </c>
      <c r="AZ1789" s="7" t="s">
        <v>200</v>
      </c>
      <c r="BA1789" s="7" t="s">
        <v>200</v>
      </c>
      <c r="BB1789" s="7"/>
      <c r="BC1789" s="4" t="s">
        <v>200</v>
      </c>
      <c r="BD1789" s="8" t="s">
        <v>200</v>
      </c>
      <c r="BE1789" s="4" t="s">
        <v>200</v>
      </c>
      <c r="BF1789" s="8" t="s">
        <v>200</v>
      </c>
      <c r="BG1789" s="7" t="s">
        <v>200</v>
      </c>
      <c r="BH1789" s="7" t="s">
        <v>200</v>
      </c>
      <c r="BI1789" s="7"/>
      <c r="BJ1789" s="4"/>
      <c r="BK1789" s="8"/>
      <c r="BL1789" s="2" t="s">
        <v>200</v>
      </c>
      <c r="BM1789" s="7"/>
      <c r="BN1789" s="7"/>
      <c r="BO1789" s="4"/>
      <c r="BP1789" s="8"/>
      <c r="BQ1789" s="4"/>
      <c r="BR1789" s="8"/>
      <c r="BS1789" s="7"/>
      <c r="BT1789" s="7"/>
      <c r="BU1789" s="2" t="s">
        <v>210</v>
      </c>
      <c r="BV1789" s="2" t="s">
        <v>200</v>
      </c>
      <c r="BW1789" s="2" t="s">
        <v>200</v>
      </c>
      <c r="BX1789" s="2" t="s">
        <v>200</v>
      </c>
      <c r="BY1789" s="2" t="s">
        <v>211</v>
      </c>
      <c r="BZ1789" s="2" t="s">
        <v>212</v>
      </c>
      <c r="CA1789" s="2" t="s">
        <v>200</v>
      </c>
      <c r="CB1789" s="2" t="s">
        <v>200</v>
      </c>
      <c r="CC1789" s="2" t="s">
        <v>213</v>
      </c>
      <c r="CD1789" s="2" t="s">
        <v>200</v>
      </c>
      <c r="CE1789" s="4"/>
      <c r="CF1789" s="4"/>
      <c r="CG1789" s="4"/>
      <c r="CH1789" s="4"/>
      <c r="CI1789" s="4"/>
      <c r="CJ1789" s="4"/>
      <c r="CK1789" s="4"/>
      <c r="CL1789" s="4"/>
      <c r="CM1789" s="4"/>
      <c r="CN1789" s="4"/>
      <c r="CO1789" s="4"/>
      <c r="CP1789" s="4"/>
      <c r="CQ1789" s="4"/>
      <c r="CR1789" s="4"/>
      <c r="CS1789" s="4"/>
      <c r="CT1789" s="4"/>
      <c r="CU1789" s="4"/>
      <c r="CV1789" s="4"/>
      <c r="CW1789" s="4"/>
      <c r="CX1789" s="4"/>
      <c r="CY1789" s="4"/>
      <c r="CZ1789" s="4"/>
      <c r="DA1789" s="4"/>
      <c r="DB1789" s="4"/>
      <c r="DC1789" s="4"/>
      <c r="DD1789" s="4"/>
      <c r="DE1789" s="4"/>
      <c r="DF1789" s="4"/>
      <c r="DG1789" s="4"/>
      <c r="DH1789" s="4"/>
      <c r="DI1789" s="4"/>
      <c r="DJ1789" s="4"/>
      <c r="DK1789" s="4"/>
      <c r="DL1789" s="4"/>
      <c r="DM1789" s="4"/>
      <c r="DN1789" s="4"/>
      <c r="DO1789" s="4"/>
      <c r="DP1789" s="4"/>
      <c r="DQ1789" s="4"/>
      <c r="DR1789" s="4"/>
      <c r="DS1789" s="4"/>
      <c r="DT1789" s="4"/>
      <c r="DU1789" s="4"/>
      <c r="DV1789" s="4"/>
      <c r="DW1789" s="4"/>
      <c r="DX1789" s="4"/>
      <c r="DY1789" s="4"/>
      <c r="DZ1789" s="4"/>
      <c r="EA1789" s="4"/>
      <c r="EB1789" s="4"/>
      <c r="EC1789" s="4"/>
      <c r="ED1789" s="4"/>
      <c r="EE1789" s="4"/>
      <c r="EF1789" s="4"/>
      <c r="EG1789" s="4"/>
      <c r="EH1789" s="4"/>
      <c r="EI1789" s="4"/>
      <c r="EJ1789" s="4"/>
      <c r="EK1789" s="4"/>
      <c r="EL1789" s="4"/>
      <c r="EM1789" s="4"/>
      <c r="EN1789" s="4"/>
      <c r="EO1789" s="4"/>
      <c r="EP1789" s="4"/>
      <c r="EQ1789" s="4"/>
      <c r="ER1789" s="4"/>
      <c r="ES1789" s="4"/>
      <c r="ET1789" s="4"/>
      <c r="EU1789" s="4"/>
      <c r="EV1789" s="4"/>
      <c r="EW1789" s="4"/>
      <c r="EX1789" s="4"/>
      <c r="EY1789" s="4"/>
      <c r="EZ1789" s="4"/>
      <c r="FA1789" s="4"/>
      <c r="FB1789" s="4"/>
      <c r="FC1789" s="4"/>
      <c r="FD1789" s="4"/>
      <c r="FE1789" s="4"/>
      <c r="FF1789" s="4"/>
      <c r="FG1789" s="4"/>
      <c r="FH1789" s="4"/>
      <c r="FI1789" s="4"/>
      <c r="FJ1789" s="4"/>
      <c r="FK1789" s="4"/>
      <c r="FL1789" s="4"/>
      <c r="FM1789" s="4"/>
      <c r="FN1789" s="4"/>
      <c r="FO1789" s="4"/>
      <c r="FP1789" s="4"/>
      <c r="FQ1789" s="4"/>
      <c r="FR1789" s="4"/>
      <c r="FS1789" s="4"/>
      <c r="FT1789" s="4"/>
      <c r="FU1789" s="4"/>
      <c r="FV1789" s="4"/>
      <c r="FW1789" s="4"/>
      <c r="FX1789" s="4"/>
      <c r="FY1789" s="4"/>
      <c r="FZ1789" s="4"/>
      <c r="GA1789" s="4"/>
      <c r="GB1789" s="4"/>
      <c r="GC1789" s="4"/>
      <c r="GD1789" s="4"/>
      <c r="GE1789" s="4"/>
      <c r="GF1789" s="4"/>
      <c r="GG1789" s="4"/>
      <c r="GH1789" s="4"/>
    </row>
    <row r="1790">
      <c r="A1790" s="2" t="s">
        <v>9049</v>
      </c>
      <c r="B1790" s="2" t="s">
        <v>903</v>
      </c>
      <c r="C1790" s="2" t="s">
        <v>7515</v>
      </c>
      <c r="D1790" s="2" t="s">
        <v>608</v>
      </c>
      <c r="E1790" s="2" t="s">
        <v>609</v>
      </c>
      <c r="F1790" s="2" t="s">
        <v>9039</v>
      </c>
      <c r="G1790" s="2" t="s">
        <v>200</v>
      </c>
      <c r="H1790" s="2" t="s">
        <v>200</v>
      </c>
      <c r="I1790" s="2" t="s">
        <v>9040</v>
      </c>
      <c r="J1790" s="2" t="s">
        <v>302</v>
      </c>
      <c r="K1790" s="2" t="s">
        <v>223</v>
      </c>
      <c r="L1790" s="3">
        <v>44.99</v>
      </c>
      <c r="M1790" s="3">
        <v>47.24</v>
      </c>
      <c r="N1790" s="3"/>
      <c r="O1790" s="2" t="s">
        <v>204</v>
      </c>
      <c r="P1790" s="2" t="s">
        <v>205</v>
      </c>
      <c r="Q1790" s="2" t="s">
        <v>206</v>
      </c>
      <c r="R1790" s="2" t="s">
        <v>7518</v>
      </c>
      <c r="S1790" s="2" t="s">
        <v>200</v>
      </c>
      <c r="T1790" s="2" t="s">
        <v>200</v>
      </c>
      <c r="U1790" s="2" t="s">
        <v>200</v>
      </c>
      <c r="V1790" s="2" t="s">
        <v>208</v>
      </c>
      <c r="W1790" s="2" t="s">
        <v>200</v>
      </c>
      <c r="X1790" s="2" t="s">
        <v>200</v>
      </c>
      <c r="Y1790" s="2" t="s">
        <v>9041</v>
      </c>
      <c r="Z1790" s="4"/>
      <c r="AA1790" s="4">
        <f>=ROUNDDOWN({0},0)</f>
      </c>
      <c r="AB1790" s="5"/>
      <c r="AC1790" s="2" t="s">
        <v>200</v>
      </c>
      <c r="AD1790" s="4"/>
      <c r="AE1790" s="4"/>
      <c r="AF1790" s="6"/>
      <c r="AG1790" s="6"/>
      <c r="AH1790" s="7"/>
      <c r="AI1790" s="4"/>
      <c r="AJ1790" s="4">
        <f>=ROUNDDOWN({0},0)</f>
      </c>
      <c r="AK1790" s="5"/>
      <c r="AL1790" s="2" t="s">
        <v>200</v>
      </c>
      <c r="AM1790" s="4"/>
      <c r="AN1790" s="4"/>
      <c r="AO1790" s="7"/>
      <c r="AP1790" s="4"/>
      <c r="AQ1790" s="8"/>
      <c r="AR1790" s="4"/>
      <c r="AS1790" s="8"/>
      <c r="AT1790" s="7"/>
      <c r="AU1790" s="7"/>
      <c r="AV1790" s="4" t="s">
        <v>200</v>
      </c>
      <c r="AW1790" s="8" t="s">
        <v>200</v>
      </c>
      <c r="AX1790" s="4" t="s">
        <v>200</v>
      </c>
      <c r="AY1790" s="8" t="s">
        <v>200</v>
      </c>
      <c r="AZ1790" s="7" t="s">
        <v>200</v>
      </c>
      <c r="BA1790" s="7" t="s">
        <v>200</v>
      </c>
      <c r="BB1790" s="7"/>
      <c r="BC1790" s="4" t="s">
        <v>200</v>
      </c>
      <c r="BD1790" s="8" t="s">
        <v>200</v>
      </c>
      <c r="BE1790" s="4" t="s">
        <v>200</v>
      </c>
      <c r="BF1790" s="8" t="s">
        <v>200</v>
      </c>
      <c r="BG1790" s="7" t="s">
        <v>200</v>
      </c>
      <c r="BH1790" s="7" t="s">
        <v>200</v>
      </c>
      <c r="BI1790" s="7"/>
      <c r="BJ1790" s="4"/>
      <c r="BK1790" s="8"/>
      <c r="BL1790" s="2" t="s">
        <v>200</v>
      </c>
      <c r="BM1790" s="7"/>
      <c r="BN1790" s="7"/>
      <c r="BO1790" s="4"/>
      <c r="BP1790" s="8"/>
      <c r="BQ1790" s="4"/>
      <c r="BR1790" s="8"/>
      <c r="BS1790" s="7"/>
      <c r="BT1790" s="7"/>
      <c r="BU1790" s="2" t="s">
        <v>210</v>
      </c>
      <c r="BV1790" s="2" t="s">
        <v>200</v>
      </c>
      <c r="BW1790" s="2" t="s">
        <v>200</v>
      </c>
      <c r="BX1790" s="2" t="s">
        <v>200</v>
      </c>
      <c r="BY1790" s="2" t="s">
        <v>211</v>
      </c>
      <c r="BZ1790" s="2" t="s">
        <v>212</v>
      </c>
      <c r="CA1790" s="2" t="s">
        <v>200</v>
      </c>
      <c r="CB1790" s="2" t="s">
        <v>200</v>
      </c>
      <c r="CC1790" s="2" t="s">
        <v>213</v>
      </c>
      <c r="CD1790" s="2" t="s">
        <v>200</v>
      </c>
      <c r="CE1790" s="4"/>
      <c r="CF1790" s="4"/>
      <c r="CG1790" s="4"/>
      <c r="CH1790" s="4"/>
      <c r="CI1790" s="4"/>
      <c r="CJ1790" s="4"/>
      <c r="CK1790" s="4"/>
      <c r="CL1790" s="4"/>
      <c r="CM1790" s="4"/>
      <c r="CN1790" s="4"/>
      <c r="CO1790" s="4"/>
      <c r="CP1790" s="4"/>
      <c r="CQ1790" s="4"/>
      <c r="CR1790" s="4"/>
      <c r="CS1790" s="4"/>
      <c r="CT1790" s="4"/>
      <c r="CU1790" s="4"/>
      <c r="CV1790" s="4"/>
      <c r="CW1790" s="4"/>
      <c r="CX1790" s="4"/>
      <c r="CY1790" s="4"/>
      <c r="CZ1790" s="4"/>
      <c r="DA1790" s="4"/>
      <c r="DB1790" s="4"/>
      <c r="DC1790" s="4"/>
      <c r="DD1790" s="4"/>
      <c r="DE1790" s="4"/>
      <c r="DF1790" s="4"/>
      <c r="DG1790" s="4"/>
      <c r="DH1790" s="4"/>
      <c r="DI1790" s="4"/>
      <c r="DJ1790" s="4"/>
      <c r="DK1790" s="4"/>
      <c r="DL1790" s="4"/>
      <c r="DM1790" s="4"/>
      <c r="DN1790" s="4"/>
      <c r="DO1790" s="4"/>
      <c r="DP1790" s="4"/>
      <c r="DQ1790" s="4"/>
      <c r="DR1790" s="4"/>
      <c r="DS1790" s="4"/>
      <c r="DT1790" s="4"/>
      <c r="DU1790" s="4"/>
      <c r="DV1790" s="4"/>
      <c r="DW1790" s="4"/>
      <c r="DX1790" s="4"/>
      <c r="DY1790" s="4"/>
      <c r="DZ1790" s="4"/>
      <c r="EA1790" s="4"/>
      <c r="EB1790" s="4"/>
      <c r="EC1790" s="4"/>
      <c r="ED1790" s="4"/>
      <c r="EE1790" s="4"/>
      <c r="EF1790" s="4"/>
      <c r="EG1790" s="4"/>
      <c r="EH1790" s="4"/>
      <c r="EI1790" s="4"/>
      <c r="EJ1790" s="4"/>
      <c r="EK1790" s="4"/>
      <c r="EL1790" s="4"/>
      <c r="EM1790" s="4"/>
      <c r="EN1790" s="4"/>
      <c r="EO1790" s="4"/>
      <c r="EP1790" s="4"/>
      <c r="EQ1790" s="4"/>
      <c r="ER1790" s="4"/>
      <c r="ES1790" s="4"/>
      <c r="ET1790" s="4"/>
      <c r="EU1790" s="4"/>
      <c r="EV1790" s="4"/>
      <c r="EW1790" s="4"/>
      <c r="EX1790" s="4"/>
      <c r="EY1790" s="4"/>
      <c r="EZ1790" s="4"/>
      <c r="FA1790" s="4"/>
      <c r="FB1790" s="4"/>
      <c r="FC1790" s="4"/>
      <c r="FD1790" s="4"/>
      <c r="FE1790" s="4"/>
      <c r="FF1790" s="4"/>
      <c r="FG1790" s="4"/>
      <c r="FH1790" s="4"/>
      <c r="FI1790" s="4"/>
      <c r="FJ1790" s="4"/>
      <c r="FK1790" s="4"/>
      <c r="FL1790" s="4"/>
      <c r="FM1790" s="4"/>
      <c r="FN1790" s="4"/>
      <c r="FO1790" s="4"/>
      <c r="FP1790" s="4"/>
      <c r="FQ1790" s="4"/>
      <c r="FR1790" s="4"/>
      <c r="FS1790" s="4"/>
      <c r="FT1790" s="4"/>
      <c r="FU1790" s="4"/>
      <c r="FV1790" s="4"/>
      <c r="FW1790" s="4"/>
      <c r="FX1790" s="4"/>
      <c r="FY1790" s="4"/>
      <c r="FZ1790" s="4"/>
      <c r="GA1790" s="4"/>
      <c r="GB1790" s="4"/>
      <c r="GC1790" s="4"/>
      <c r="GD1790" s="4"/>
      <c r="GE1790" s="4"/>
      <c r="GF1790" s="4"/>
      <c r="GG1790" s="4"/>
      <c r="GH1790" s="4"/>
    </row>
    <row r="1791">
      <c r="A1791" s="2" t="s">
        <v>9050</v>
      </c>
      <c r="B1791" s="2" t="s">
        <v>903</v>
      </c>
      <c r="C1791" s="2" t="s">
        <v>7515</v>
      </c>
      <c r="D1791" s="2" t="s">
        <v>608</v>
      </c>
      <c r="E1791" s="2" t="s">
        <v>609</v>
      </c>
      <c r="F1791" s="2" t="s">
        <v>9039</v>
      </c>
      <c r="G1791" s="2" t="s">
        <v>200</v>
      </c>
      <c r="H1791" s="2" t="s">
        <v>200</v>
      </c>
      <c r="I1791" s="2" t="s">
        <v>9040</v>
      </c>
      <c r="J1791" s="2" t="s">
        <v>1390</v>
      </c>
      <c r="K1791" s="2" t="s">
        <v>5554</v>
      </c>
      <c r="L1791" s="3">
        <v>29.99</v>
      </c>
      <c r="M1791" s="3">
        <v>31.49</v>
      </c>
      <c r="N1791" s="3"/>
      <c r="O1791" s="2" t="s">
        <v>212</v>
      </c>
      <c r="P1791" s="2" t="s">
        <v>205</v>
      </c>
      <c r="Q1791" s="2" t="s">
        <v>206</v>
      </c>
      <c r="R1791" s="2" t="s">
        <v>7518</v>
      </c>
      <c r="S1791" s="2" t="s">
        <v>200</v>
      </c>
      <c r="T1791" s="2" t="s">
        <v>200</v>
      </c>
      <c r="U1791" s="2" t="s">
        <v>200</v>
      </c>
      <c r="V1791" s="2" t="s">
        <v>208</v>
      </c>
      <c r="W1791" s="2" t="s">
        <v>200</v>
      </c>
      <c r="X1791" s="2" t="s">
        <v>200</v>
      </c>
      <c r="Y1791" s="2" t="s">
        <v>9041</v>
      </c>
      <c r="Z1791" s="4"/>
      <c r="AA1791" s="4">
        <f>=ROUNDDOWN({0},0)</f>
      </c>
      <c r="AB1791" s="5"/>
      <c r="AC1791" s="2" t="s">
        <v>200</v>
      </c>
      <c r="AD1791" s="4"/>
      <c r="AE1791" s="4"/>
      <c r="AF1791" s="6"/>
      <c r="AG1791" s="6"/>
      <c r="AH1791" s="7"/>
      <c r="AI1791" s="4"/>
      <c r="AJ1791" s="4">
        <f>=ROUNDDOWN({0},0)</f>
      </c>
      <c r="AK1791" s="5"/>
      <c r="AL1791" s="2" t="s">
        <v>200</v>
      </c>
      <c r="AM1791" s="4"/>
      <c r="AN1791" s="4"/>
      <c r="AO1791" s="7"/>
      <c r="AP1791" s="4"/>
      <c r="AQ1791" s="8"/>
      <c r="AR1791" s="4"/>
      <c r="AS1791" s="8"/>
      <c r="AT1791" s="7"/>
      <c r="AU1791" s="7"/>
      <c r="AV1791" s="4" t="s">
        <v>200</v>
      </c>
      <c r="AW1791" s="8" t="s">
        <v>200</v>
      </c>
      <c r="AX1791" s="4" t="s">
        <v>200</v>
      </c>
      <c r="AY1791" s="8" t="s">
        <v>200</v>
      </c>
      <c r="AZ1791" s="7" t="s">
        <v>200</v>
      </c>
      <c r="BA1791" s="7" t="s">
        <v>200</v>
      </c>
      <c r="BB1791" s="7"/>
      <c r="BC1791" s="4" t="s">
        <v>200</v>
      </c>
      <c r="BD1791" s="8" t="s">
        <v>200</v>
      </c>
      <c r="BE1791" s="4" t="s">
        <v>200</v>
      </c>
      <c r="BF1791" s="8" t="s">
        <v>200</v>
      </c>
      <c r="BG1791" s="7" t="s">
        <v>200</v>
      </c>
      <c r="BH1791" s="7" t="s">
        <v>200</v>
      </c>
      <c r="BI1791" s="7"/>
      <c r="BJ1791" s="4"/>
      <c r="BK1791" s="8"/>
      <c r="BL1791" s="2" t="s">
        <v>200</v>
      </c>
      <c r="BM1791" s="7"/>
      <c r="BN1791" s="7"/>
      <c r="BO1791" s="4"/>
      <c r="BP1791" s="8"/>
      <c r="BQ1791" s="4"/>
      <c r="BR1791" s="8"/>
      <c r="BS1791" s="7"/>
      <c r="BT1791" s="7"/>
      <c r="BU1791" s="2" t="s">
        <v>210</v>
      </c>
      <c r="BV1791" s="2" t="s">
        <v>200</v>
      </c>
      <c r="BW1791" s="2" t="s">
        <v>200</v>
      </c>
      <c r="BX1791" s="2" t="s">
        <v>200</v>
      </c>
      <c r="BY1791" s="2" t="s">
        <v>211</v>
      </c>
      <c r="BZ1791" s="2" t="s">
        <v>212</v>
      </c>
      <c r="CA1791" s="2" t="s">
        <v>200</v>
      </c>
      <c r="CB1791" s="2" t="s">
        <v>200</v>
      </c>
      <c r="CC1791" s="2" t="s">
        <v>213</v>
      </c>
      <c r="CD1791" s="2" t="s">
        <v>200</v>
      </c>
      <c r="CE1791" s="4"/>
      <c r="CF1791" s="4"/>
      <c r="CG1791" s="4"/>
      <c r="CH1791" s="4"/>
      <c r="CI1791" s="4"/>
      <c r="CJ1791" s="4"/>
      <c r="CK1791" s="4"/>
      <c r="CL1791" s="4"/>
      <c r="CM1791" s="4"/>
      <c r="CN1791" s="4"/>
      <c r="CO1791" s="4"/>
      <c r="CP1791" s="4"/>
      <c r="CQ1791" s="4"/>
      <c r="CR1791" s="4"/>
      <c r="CS1791" s="4"/>
      <c r="CT1791" s="4"/>
      <c r="CU1791" s="4"/>
      <c r="CV1791" s="4"/>
      <c r="CW1791" s="4"/>
      <c r="CX1791" s="4"/>
      <c r="CY1791" s="4"/>
      <c r="CZ1791" s="4"/>
      <c r="DA1791" s="4"/>
      <c r="DB1791" s="4"/>
      <c r="DC1791" s="4"/>
      <c r="DD1791" s="4"/>
      <c r="DE1791" s="4"/>
      <c r="DF1791" s="4"/>
      <c r="DG1791" s="4"/>
      <c r="DH1791" s="4"/>
      <c r="DI1791" s="4"/>
      <c r="DJ1791" s="4"/>
      <c r="DK1791" s="4"/>
      <c r="DL1791" s="4"/>
      <c r="DM1791" s="4"/>
      <c r="DN1791" s="4"/>
      <c r="DO1791" s="4"/>
      <c r="DP1791" s="4"/>
      <c r="DQ1791" s="4"/>
      <c r="DR1791" s="4"/>
      <c r="DS1791" s="4"/>
      <c r="DT1791" s="4"/>
      <c r="DU1791" s="4"/>
      <c r="DV1791" s="4"/>
      <c r="DW1791" s="4"/>
      <c r="DX1791" s="4"/>
      <c r="DY1791" s="4"/>
      <c r="DZ1791" s="4"/>
      <c r="EA1791" s="4"/>
      <c r="EB1791" s="4"/>
      <c r="EC1791" s="4"/>
      <c r="ED1791" s="4"/>
      <c r="EE1791" s="4"/>
      <c r="EF1791" s="4"/>
      <c r="EG1791" s="4"/>
      <c r="EH1791" s="4"/>
      <c r="EI1791" s="4"/>
      <c r="EJ1791" s="4"/>
      <c r="EK1791" s="4"/>
      <c r="EL1791" s="4"/>
      <c r="EM1791" s="4"/>
      <c r="EN1791" s="4"/>
      <c r="EO1791" s="4"/>
      <c r="EP1791" s="4"/>
      <c r="EQ1791" s="4"/>
      <c r="ER1791" s="4"/>
      <c r="ES1791" s="4"/>
      <c r="ET1791" s="4"/>
      <c r="EU1791" s="4"/>
      <c r="EV1791" s="4"/>
      <c r="EW1791" s="4"/>
      <c r="EX1791" s="4"/>
      <c r="EY1791" s="4"/>
      <c r="EZ1791" s="4"/>
      <c r="FA1791" s="4"/>
      <c r="FB1791" s="4"/>
      <c r="FC1791" s="4"/>
      <c r="FD1791" s="4"/>
      <c r="FE1791" s="4"/>
      <c r="FF1791" s="4"/>
      <c r="FG1791" s="4"/>
      <c r="FH1791" s="4"/>
      <c r="FI1791" s="4"/>
      <c r="FJ1791" s="4"/>
      <c r="FK1791" s="4"/>
      <c r="FL1791" s="4"/>
      <c r="FM1791" s="4"/>
      <c r="FN1791" s="4"/>
      <c r="FO1791" s="4"/>
      <c r="FP1791" s="4"/>
      <c r="FQ1791" s="4"/>
      <c r="FR1791" s="4"/>
      <c r="FS1791" s="4"/>
      <c r="FT1791" s="4"/>
      <c r="FU1791" s="4"/>
      <c r="FV1791" s="4"/>
      <c r="FW1791" s="4"/>
      <c r="FX1791" s="4"/>
      <c r="FY1791" s="4"/>
      <c r="FZ1791" s="4"/>
      <c r="GA1791" s="4"/>
      <c r="GB1791" s="4"/>
      <c r="GC1791" s="4"/>
      <c r="GD1791" s="4"/>
      <c r="GE1791" s="4"/>
      <c r="GF1791" s="4"/>
      <c r="GG1791" s="4"/>
      <c r="GH1791" s="4"/>
    </row>
    <row r="1792">
      <c r="A1792" s="2" t="s">
        <v>9051</v>
      </c>
      <c r="B1792" s="2" t="s">
        <v>903</v>
      </c>
      <c r="C1792" s="2" t="s">
        <v>7515</v>
      </c>
      <c r="D1792" s="2" t="s">
        <v>608</v>
      </c>
      <c r="E1792" s="2" t="s">
        <v>609</v>
      </c>
      <c r="F1792" s="2" t="s">
        <v>9039</v>
      </c>
      <c r="G1792" s="2" t="s">
        <v>200</v>
      </c>
      <c r="H1792" s="2" t="s">
        <v>200</v>
      </c>
      <c r="I1792" s="2" t="s">
        <v>9040</v>
      </c>
      <c r="J1792" s="2" t="s">
        <v>612</v>
      </c>
      <c r="K1792" s="2" t="s">
        <v>5554</v>
      </c>
      <c r="L1792" s="3">
        <v>39.99</v>
      </c>
      <c r="M1792" s="3">
        <v>41.99</v>
      </c>
      <c r="N1792" s="3"/>
      <c r="O1792" s="2" t="s">
        <v>212</v>
      </c>
      <c r="P1792" s="2" t="s">
        <v>205</v>
      </c>
      <c r="Q1792" s="2" t="s">
        <v>206</v>
      </c>
      <c r="R1792" s="2" t="s">
        <v>7518</v>
      </c>
      <c r="S1792" s="2" t="s">
        <v>200</v>
      </c>
      <c r="T1792" s="2" t="s">
        <v>200</v>
      </c>
      <c r="U1792" s="2" t="s">
        <v>200</v>
      </c>
      <c r="V1792" s="2" t="s">
        <v>208</v>
      </c>
      <c r="W1792" s="2" t="s">
        <v>200</v>
      </c>
      <c r="X1792" s="2" t="s">
        <v>200</v>
      </c>
      <c r="Y1792" s="2" t="s">
        <v>9041</v>
      </c>
      <c r="Z1792" s="4"/>
      <c r="AA1792" s="4">
        <f>=ROUNDDOWN({0},0)</f>
      </c>
      <c r="AB1792" s="5"/>
      <c r="AC1792" s="2" t="s">
        <v>200</v>
      </c>
      <c r="AD1792" s="4"/>
      <c r="AE1792" s="4"/>
      <c r="AF1792" s="6"/>
      <c r="AG1792" s="6"/>
      <c r="AH1792" s="7"/>
      <c r="AI1792" s="4"/>
      <c r="AJ1792" s="4">
        <f>=ROUNDDOWN({0},0)</f>
      </c>
      <c r="AK1792" s="5"/>
      <c r="AL1792" s="2" t="s">
        <v>200</v>
      </c>
      <c r="AM1792" s="4"/>
      <c r="AN1792" s="4"/>
      <c r="AO1792" s="7"/>
      <c r="AP1792" s="4"/>
      <c r="AQ1792" s="8"/>
      <c r="AR1792" s="4"/>
      <c r="AS1792" s="8"/>
      <c r="AT1792" s="7"/>
      <c r="AU1792" s="7"/>
      <c r="AV1792" s="4" t="s">
        <v>200</v>
      </c>
      <c r="AW1792" s="8" t="s">
        <v>200</v>
      </c>
      <c r="AX1792" s="4" t="s">
        <v>200</v>
      </c>
      <c r="AY1792" s="8" t="s">
        <v>200</v>
      </c>
      <c r="AZ1792" s="7" t="s">
        <v>200</v>
      </c>
      <c r="BA1792" s="7" t="s">
        <v>200</v>
      </c>
      <c r="BB1792" s="7"/>
      <c r="BC1792" s="4" t="s">
        <v>200</v>
      </c>
      <c r="BD1792" s="8" t="s">
        <v>200</v>
      </c>
      <c r="BE1792" s="4" t="s">
        <v>200</v>
      </c>
      <c r="BF1792" s="8" t="s">
        <v>200</v>
      </c>
      <c r="BG1792" s="7" t="s">
        <v>200</v>
      </c>
      <c r="BH1792" s="7" t="s">
        <v>200</v>
      </c>
      <c r="BI1792" s="7"/>
      <c r="BJ1792" s="4"/>
      <c r="BK1792" s="8"/>
      <c r="BL1792" s="2" t="s">
        <v>200</v>
      </c>
      <c r="BM1792" s="7"/>
      <c r="BN1792" s="7"/>
      <c r="BO1792" s="4"/>
      <c r="BP1792" s="8"/>
      <c r="BQ1792" s="4"/>
      <c r="BR1792" s="8"/>
      <c r="BS1792" s="7"/>
      <c r="BT1792" s="7"/>
      <c r="BU1792" s="2" t="s">
        <v>210</v>
      </c>
      <c r="BV1792" s="2" t="s">
        <v>200</v>
      </c>
      <c r="BW1792" s="2" t="s">
        <v>200</v>
      </c>
      <c r="BX1792" s="2" t="s">
        <v>200</v>
      </c>
      <c r="BY1792" s="2" t="s">
        <v>211</v>
      </c>
      <c r="BZ1792" s="2" t="s">
        <v>212</v>
      </c>
      <c r="CA1792" s="2" t="s">
        <v>200</v>
      </c>
      <c r="CB1792" s="2" t="s">
        <v>200</v>
      </c>
      <c r="CC1792" s="2" t="s">
        <v>213</v>
      </c>
      <c r="CD1792" s="2" t="s">
        <v>200</v>
      </c>
      <c r="CE1792" s="4"/>
      <c r="CF1792" s="4"/>
      <c r="CG1792" s="4"/>
      <c r="CH1792" s="4"/>
      <c r="CI1792" s="4"/>
      <c r="CJ1792" s="4"/>
      <c r="CK1792" s="4"/>
      <c r="CL1792" s="4"/>
      <c r="CM1792" s="4"/>
      <c r="CN1792" s="4"/>
      <c r="CO1792" s="4"/>
      <c r="CP1792" s="4"/>
      <c r="CQ1792" s="4"/>
      <c r="CR1792" s="4"/>
      <c r="CS1792" s="4"/>
      <c r="CT1792" s="4"/>
      <c r="CU1792" s="4"/>
      <c r="CV1792" s="4"/>
      <c r="CW1792" s="4"/>
      <c r="CX1792" s="4"/>
      <c r="CY1792" s="4"/>
      <c r="CZ1792" s="4"/>
      <c r="DA1792" s="4"/>
      <c r="DB1792" s="4"/>
      <c r="DC1792" s="4"/>
      <c r="DD1792" s="4"/>
      <c r="DE1792" s="4"/>
      <c r="DF1792" s="4"/>
      <c r="DG1792" s="4"/>
      <c r="DH1792" s="4"/>
      <c r="DI1792" s="4"/>
      <c r="DJ1792" s="4"/>
      <c r="DK1792" s="4"/>
      <c r="DL1792" s="4"/>
      <c r="DM1792" s="4"/>
      <c r="DN1792" s="4"/>
      <c r="DO1792" s="4"/>
      <c r="DP1792" s="4"/>
      <c r="DQ1792" s="4"/>
      <c r="DR1792" s="4"/>
      <c r="DS1792" s="4"/>
      <c r="DT1792" s="4"/>
      <c r="DU1792" s="4"/>
      <c r="DV1792" s="4"/>
      <c r="DW1792" s="4"/>
      <c r="DX1792" s="4"/>
      <c r="DY1792" s="4"/>
      <c r="DZ1792" s="4"/>
      <c r="EA1792" s="4"/>
      <c r="EB1792" s="4"/>
      <c r="EC1792" s="4"/>
      <c r="ED1792" s="4"/>
      <c r="EE1792" s="4"/>
      <c r="EF1792" s="4"/>
      <c r="EG1792" s="4"/>
      <c r="EH1792" s="4"/>
      <c r="EI1792" s="4"/>
      <c r="EJ1792" s="4"/>
      <c r="EK1792" s="4"/>
      <c r="EL1792" s="4"/>
      <c r="EM1792" s="4"/>
      <c r="EN1792" s="4"/>
      <c r="EO1792" s="4"/>
      <c r="EP1792" s="4"/>
      <c r="EQ1792" s="4"/>
      <c r="ER1792" s="4"/>
      <c r="ES1792" s="4"/>
      <c r="ET1792" s="4"/>
      <c r="EU1792" s="4"/>
      <c r="EV1792" s="4"/>
      <c r="EW1792" s="4"/>
      <c r="EX1792" s="4"/>
      <c r="EY1792" s="4"/>
      <c r="EZ1792" s="4"/>
      <c r="FA1792" s="4"/>
      <c r="FB1792" s="4"/>
      <c r="FC1792" s="4"/>
      <c r="FD1792" s="4"/>
      <c r="FE1792" s="4"/>
      <c r="FF1792" s="4"/>
      <c r="FG1792" s="4"/>
      <c r="FH1792" s="4"/>
      <c r="FI1792" s="4"/>
      <c r="FJ1792" s="4"/>
      <c r="FK1792" s="4"/>
      <c r="FL1792" s="4"/>
      <c r="FM1792" s="4"/>
      <c r="FN1792" s="4"/>
      <c r="FO1792" s="4"/>
      <c r="FP1792" s="4"/>
      <c r="FQ1792" s="4"/>
      <c r="FR1792" s="4"/>
      <c r="FS1792" s="4"/>
      <c r="FT1792" s="4"/>
      <c r="FU1792" s="4"/>
      <c r="FV1792" s="4"/>
      <c r="FW1792" s="4"/>
      <c r="FX1792" s="4"/>
      <c r="FY1792" s="4"/>
      <c r="FZ1792" s="4"/>
      <c r="GA1792" s="4"/>
      <c r="GB1792" s="4"/>
      <c r="GC1792" s="4"/>
      <c r="GD1792" s="4"/>
      <c r="GE1792" s="4"/>
      <c r="GF1792" s="4"/>
      <c r="GG1792" s="4"/>
      <c r="GH1792" s="4"/>
    </row>
    <row r="1793">
      <c r="A1793" s="2" t="s">
        <v>9052</v>
      </c>
      <c r="B1793" s="2" t="s">
        <v>903</v>
      </c>
      <c r="C1793" s="2" t="s">
        <v>7515</v>
      </c>
      <c r="D1793" s="2" t="s">
        <v>608</v>
      </c>
      <c r="E1793" s="2" t="s">
        <v>609</v>
      </c>
      <c r="F1793" s="2" t="s">
        <v>9039</v>
      </c>
      <c r="G1793" s="2" t="s">
        <v>200</v>
      </c>
      <c r="H1793" s="2" t="s">
        <v>200</v>
      </c>
      <c r="I1793" s="2" t="s">
        <v>9040</v>
      </c>
      <c r="J1793" s="2" t="s">
        <v>302</v>
      </c>
      <c r="K1793" s="2" t="s">
        <v>5554</v>
      </c>
      <c r="L1793" s="3">
        <v>44.99</v>
      </c>
      <c r="M1793" s="3">
        <v>47.24</v>
      </c>
      <c r="N1793" s="3"/>
      <c r="O1793" s="2" t="s">
        <v>212</v>
      </c>
      <c r="P1793" s="2" t="s">
        <v>205</v>
      </c>
      <c r="Q1793" s="2" t="s">
        <v>206</v>
      </c>
      <c r="R1793" s="2" t="s">
        <v>7518</v>
      </c>
      <c r="S1793" s="2" t="s">
        <v>200</v>
      </c>
      <c r="T1793" s="2" t="s">
        <v>200</v>
      </c>
      <c r="U1793" s="2" t="s">
        <v>200</v>
      </c>
      <c r="V1793" s="2" t="s">
        <v>208</v>
      </c>
      <c r="W1793" s="2" t="s">
        <v>200</v>
      </c>
      <c r="X1793" s="2" t="s">
        <v>200</v>
      </c>
      <c r="Y1793" s="2" t="s">
        <v>9041</v>
      </c>
      <c r="Z1793" s="4"/>
      <c r="AA1793" s="4">
        <f>=ROUNDDOWN({0},0)</f>
      </c>
      <c r="AB1793" s="5"/>
      <c r="AC1793" s="2" t="s">
        <v>200</v>
      </c>
      <c r="AD1793" s="4"/>
      <c r="AE1793" s="4"/>
      <c r="AF1793" s="6"/>
      <c r="AG1793" s="6"/>
      <c r="AH1793" s="7"/>
      <c r="AI1793" s="4"/>
      <c r="AJ1793" s="4">
        <f>=ROUNDDOWN({0},0)</f>
      </c>
      <c r="AK1793" s="5"/>
      <c r="AL1793" s="2" t="s">
        <v>200</v>
      </c>
      <c r="AM1793" s="4"/>
      <c r="AN1793" s="4"/>
      <c r="AO1793" s="7"/>
      <c r="AP1793" s="4"/>
      <c r="AQ1793" s="8"/>
      <c r="AR1793" s="4"/>
      <c r="AS1793" s="8"/>
      <c r="AT1793" s="7"/>
      <c r="AU1793" s="7"/>
      <c r="AV1793" s="4" t="s">
        <v>200</v>
      </c>
      <c r="AW1793" s="8" t="s">
        <v>200</v>
      </c>
      <c r="AX1793" s="4" t="s">
        <v>200</v>
      </c>
      <c r="AY1793" s="8" t="s">
        <v>200</v>
      </c>
      <c r="AZ1793" s="7" t="s">
        <v>200</v>
      </c>
      <c r="BA1793" s="7" t="s">
        <v>200</v>
      </c>
      <c r="BB1793" s="7"/>
      <c r="BC1793" s="4" t="s">
        <v>200</v>
      </c>
      <c r="BD1793" s="8" t="s">
        <v>200</v>
      </c>
      <c r="BE1793" s="4" t="s">
        <v>200</v>
      </c>
      <c r="BF1793" s="8" t="s">
        <v>200</v>
      </c>
      <c r="BG1793" s="7" t="s">
        <v>200</v>
      </c>
      <c r="BH1793" s="7" t="s">
        <v>200</v>
      </c>
      <c r="BI1793" s="7"/>
      <c r="BJ1793" s="4"/>
      <c r="BK1793" s="8"/>
      <c r="BL1793" s="2" t="s">
        <v>200</v>
      </c>
      <c r="BM1793" s="7"/>
      <c r="BN1793" s="7"/>
      <c r="BO1793" s="4"/>
      <c r="BP1793" s="8"/>
      <c r="BQ1793" s="4"/>
      <c r="BR1793" s="8"/>
      <c r="BS1793" s="7"/>
      <c r="BT1793" s="7"/>
      <c r="BU1793" s="2" t="s">
        <v>210</v>
      </c>
      <c r="BV1793" s="2" t="s">
        <v>200</v>
      </c>
      <c r="BW1793" s="2" t="s">
        <v>200</v>
      </c>
      <c r="BX1793" s="2" t="s">
        <v>200</v>
      </c>
      <c r="BY1793" s="2" t="s">
        <v>211</v>
      </c>
      <c r="BZ1793" s="2" t="s">
        <v>212</v>
      </c>
      <c r="CA1793" s="2" t="s">
        <v>200</v>
      </c>
      <c r="CB1793" s="2" t="s">
        <v>200</v>
      </c>
      <c r="CC1793" s="2" t="s">
        <v>213</v>
      </c>
      <c r="CD1793" s="2" t="s">
        <v>200</v>
      </c>
      <c r="CE1793" s="4"/>
      <c r="CF1793" s="4"/>
      <c r="CG1793" s="4"/>
      <c r="CH1793" s="4"/>
      <c r="CI1793" s="4"/>
      <c r="CJ1793" s="4"/>
      <c r="CK1793" s="4"/>
      <c r="CL1793" s="4"/>
      <c r="CM1793" s="4"/>
      <c r="CN1793" s="4"/>
      <c r="CO1793" s="4"/>
      <c r="CP1793" s="4"/>
      <c r="CQ1793" s="4"/>
      <c r="CR1793" s="4"/>
      <c r="CS1793" s="4"/>
      <c r="CT1793" s="4"/>
      <c r="CU1793" s="4"/>
      <c r="CV1793" s="4"/>
      <c r="CW1793" s="4"/>
      <c r="CX1793" s="4"/>
      <c r="CY1793" s="4"/>
      <c r="CZ1793" s="4"/>
      <c r="DA1793" s="4"/>
      <c r="DB1793" s="4"/>
      <c r="DC1793" s="4"/>
      <c r="DD1793" s="4"/>
      <c r="DE1793" s="4"/>
      <c r="DF1793" s="4"/>
      <c r="DG1793" s="4"/>
      <c r="DH1793" s="4"/>
      <c r="DI1793" s="4"/>
      <c r="DJ1793" s="4"/>
      <c r="DK1793" s="4"/>
      <c r="DL1793" s="4"/>
      <c r="DM1793" s="4"/>
      <c r="DN1793" s="4"/>
      <c r="DO1793" s="4"/>
      <c r="DP1793" s="4"/>
      <c r="DQ1793" s="4"/>
      <c r="DR1793" s="4"/>
      <c r="DS1793" s="4"/>
      <c r="DT1793" s="4"/>
      <c r="DU1793" s="4"/>
      <c r="DV1793" s="4"/>
      <c r="DW1793" s="4"/>
      <c r="DX1793" s="4"/>
      <c r="DY1793" s="4"/>
      <c r="DZ1793" s="4"/>
      <c r="EA1793" s="4"/>
      <c r="EB1793" s="4"/>
      <c r="EC1793" s="4"/>
      <c r="ED1793" s="4"/>
      <c r="EE1793" s="4"/>
      <c r="EF1793" s="4"/>
      <c r="EG1793" s="4"/>
      <c r="EH1793" s="4"/>
      <c r="EI1793" s="4"/>
      <c r="EJ1793" s="4"/>
      <c r="EK1793" s="4"/>
      <c r="EL1793" s="4"/>
      <c r="EM1793" s="4"/>
      <c r="EN1793" s="4"/>
      <c r="EO1793" s="4"/>
      <c r="EP1793" s="4"/>
      <c r="EQ1793" s="4"/>
      <c r="ER1793" s="4"/>
      <c r="ES1793" s="4"/>
      <c r="ET1793" s="4"/>
      <c r="EU1793" s="4"/>
      <c r="EV1793" s="4"/>
      <c r="EW1793" s="4"/>
      <c r="EX1793" s="4"/>
      <c r="EY1793" s="4"/>
      <c r="EZ1793" s="4"/>
      <c r="FA1793" s="4"/>
      <c r="FB1793" s="4"/>
      <c r="FC1793" s="4"/>
      <c r="FD1793" s="4"/>
      <c r="FE1793" s="4"/>
      <c r="FF1793" s="4"/>
      <c r="FG1793" s="4"/>
      <c r="FH1793" s="4"/>
      <c r="FI1793" s="4"/>
      <c r="FJ1793" s="4"/>
      <c r="FK1793" s="4"/>
      <c r="FL1793" s="4"/>
      <c r="FM1793" s="4"/>
      <c r="FN1793" s="4"/>
      <c r="FO1793" s="4"/>
      <c r="FP1793" s="4"/>
      <c r="FQ1793" s="4"/>
      <c r="FR1793" s="4"/>
      <c r="FS1793" s="4"/>
      <c r="FT1793" s="4"/>
      <c r="FU1793" s="4"/>
      <c r="FV1793" s="4"/>
      <c r="FW1793" s="4"/>
      <c r="FX1793" s="4"/>
      <c r="FY1793" s="4"/>
      <c r="FZ1793" s="4"/>
      <c r="GA1793" s="4"/>
      <c r="GB1793" s="4"/>
      <c r="GC1793" s="4"/>
      <c r="GD1793" s="4"/>
      <c r="GE1793" s="4"/>
      <c r="GF1793" s="4"/>
      <c r="GG1793" s="4"/>
      <c r="GH1793" s="4"/>
    </row>
    <row r="1794">
      <c r="A1794" s="2" t="s">
        <v>9053</v>
      </c>
      <c r="B1794" s="2" t="s">
        <v>250</v>
      </c>
      <c r="C1794" s="2" t="s">
        <v>231</v>
      </c>
      <c r="D1794" s="2" t="s">
        <v>608</v>
      </c>
      <c r="E1794" s="2" t="s">
        <v>3015</v>
      </c>
      <c r="F1794" s="2" t="s">
        <v>9039</v>
      </c>
      <c r="G1794" s="2" t="s">
        <v>9054</v>
      </c>
      <c r="H1794" s="2" t="s">
        <v>9054</v>
      </c>
      <c r="I1794" s="2" t="s">
        <v>9055</v>
      </c>
      <c r="J1794" s="2" t="s">
        <v>1390</v>
      </c>
      <c r="K1794" s="2" t="s">
        <v>2163</v>
      </c>
      <c r="L1794" s="3">
        <v>26.5</v>
      </c>
      <c r="M1794" s="3">
        <v>27.82</v>
      </c>
      <c r="N1794" s="3">
        <v>52.99</v>
      </c>
      <c r="O1794" s="2" t="s">
        <v>212</v>
      </c>
      <c r="P1794" s="2" t="s">
        <v>205</v>
      </c>
      <c r="Q1794" s="2" t="s">
        <v>206</v>
      </c>
      <c r="R1794" s="2" t="s">
        <v>200</v>
      </c>
      <c r="S1794" s="2" t="s">
        <v>9056</v>
      </c>
      <c r="T1794" s="2" t="s">
        <v>312</v>
      </c>
      <c r="U1794" s="2" t="s">
        <v>270</v>
      </c>
      <c r="V1794" s="2" t="s">
        <v>208</v>
      </c>
      <c r="W1794" s="2" t="s">
        <v>241</v>
      </c>
      <c r="X1794" s="2" t="s">
        <v>242</v>
      </c>
      <c r="Y1794" s="2" t="s">
        <v>5516</v>
      </c>
      <c r="Z1794" s="4">
        <v>75</v>
      </c>
      <c r="AA1794" s="4">
        <f>=ROUNDDOWN(6.81818181818182,0)</f>
      </c>
      <c r="AB1794" s="5">
        <v>11</v>
      </c>
      <c r="AC1794" s="2" t="s">
        <v>482</v>
      </c>
      <c r="AD1794" s="4">
        <v>60</v>
      </c>
      <c r="AE1794" s="4">
        <v>390</v>
      </c>
      <c r="AF1794" s="6">
        <v>68</v>
      </c>
      <c r="AG1794" s="6"/>
      <c r="AH1794" s="7">
        <v>1</v>
      </c>
      <c r="AI1794" s="4"/>
      <c r="AJ1794" s="4">
        <f>=ROUNDDOWN({0},0)</f>
      </c>
      <c r="AK1794" s="5"/>
      <c r="AL1794" s="2" t="s">
        <v>200</v>
      </c>
      <c r="AM1794" s="4"/>
      <c r="AN1794" s="4"/>
      <c r="AO1794" s="7"/>
      <c r="AP1794" s="4"/>
      <c r="AQ1794" s="8"/>
      <c r="AR1794" s="4"/>
      <c r="AS1794" s="8"/>
      <c r="AT1794" s="7"/>
      <c r="AU1794" s="7"/>
      <c r="AV1794" s="4" t="s">
        <v>200</v>
      </c>
      <c r="AW1794" s="8" t="s">
        <v>200</v>
      </c>
      <c r="AX1794" s="4" t="s">
        <v>200</v>
      </c>
      <c r="AY1794" s="8" t="s">
        <v>200</v>
      </c>
      <c r="AZ1794" s="7" t="s">
        <v>200</v>
      </c>
      <c r="BA1794" s="7" t="s">
        <v>200</v>
      </c>
      <c r="BB1794" s="7"/>
      <c r="BC1794" s="4" t="s">
        <v>200</v>
      </c>
      <c r="BD1794" s="8" t="s">
        <v>200</v>
      </c>
      <c r="BE1794" s="4" t="s">
        <v>200</v>
      </c>
      <c r="BF1794" s="8" t="s">
        <v>200</v>
      </c>
      <c r="BG1794" s="7" t="s">
        <v>200</v>
      </c>
      <c r="BH1794" s="7" t="s">
        <v>200</v>
      </c>
      <c r="BI1794" s="7"/>
      <c r="BJ1794" s="4">
        <v>143</v>
      </c>
      <c r="BK1794" s="8">
        <v>4092.88</v>
      </c>
      <c r="BL1794" s="2" t="s">
        <v>633</v>
      </c>
      <c r="BM1794" s="7"/>
      <c r="BN1794" s="7"/>
      <c r="BO1794" s="4"/>
      <c r="BP1794" s="8"/>
      <c r="BQ1794" s="4"/>
      <c r="BR1794" s="8"/>
      <c r="BS1794" s="7"/>
      <c r="BT1794" s="7"/>
      <c r="BU1794" s="2" t="s">
        <v>9057</v>
      </c>
      <c r="BV1794" s="2" t="s">
        <v>200</v>
      </c>
      <c r="BW1794" s="2" t="s">
        <v>200</v>
      </c>
      <c r="BX1794" s="2" t="s">
        <v>620</v>
      </c>
      <c r="BY1794" s="2" t="s">
        <v>247</v>
      </c>
      <c r="BZ1794" s="2" t="s">
        <v>212</v>
      </c>
      <c r="CA1794" s="2" t="s">
        <v>2185</v>
      </c>
      <c r="CB1794" s="2" t="s">
        <v>4196</v>
      </c>
      <c r="CC1794" s="2" t="s">
        <v>213</v>
      </c>
      <c r="CD1794" s="2" t="s">
        <v>200</v>
      </c>
      <c r="CE1794" s="4">
        <v>75</v>
      </c>
      <c r="CF1794" s="4"/>
      <c r="CG1794" s="4"/>
      <c r="CH1794" s="4"/>
      <c r="CI1794" s="4"/>
      <c r="CJ1794" s="4"/>
      <c r="CK1794" s="4"/>
      <c r="CL1794" s="4"/>
      <c r="CM1794" s="4"/>
      <c r="CN1794" s="4"/>
      <c r="CO1794" s="4"/>
      <c r="CP1794" s="4"/>
      <c r="CQ1794" s="4"/>
      <c r="CR1794" s="4"/>
      <c r="CS1794" s="4"/>
      <c r="CT1794" s="4"/>
      <c r="CU1794" s="4"/>
      <c r="CV1794" s="4"/>
      <c r="CW1794" s="4"/>
      <c r="CX1794" s="4"/>
      <c r="CY1794" s="4"/>
      <c r="CZ1794" s="4"/>
      <c r="DA1794" s="4"/>
      <c r="DB1794" s="4"/>
      <c r="DC1794" s="4"/>
      <c r="DD1794" s="4"/>
      <c r="DE1794" s="4"/>
      <c r="DF1794" s="4"/>
      <c r="DG1794" s="4"/>
      <c r="DH1794" s="4"/>
      <c r="DI1794" s="4"/>
      <c r="DJ1794" s="4"/>
      <c r="DK1794" s="4"/>
      <c r="DL1794" s="4"/>
      <c r="DM1794" s="4"/>
      <c r="DN1794" s="4"/>
      <c r="DO1794" s="4"/>
      <c r="DP1794" s="4"/>
      <c r="DQ1794" s="4"/>
      <c r="DR1794" s="4"/>
      <c r="DS1794" s="4"/>
      <c r="DT1794" s="4"/>
      <c r="DU1794" s="4"/>
      <c r="DV1794" s="4"/>
      <c r="DW1794" s="4"/>
      <c r="DX1794" s="4"/>
      <c r="DY1794" s="4"/>
      <c r="DZ1794" s="4"/>
      <c r="EA1794" s="4"/>
      <c r="EB1794" s="4"/>
      <c r="EC1794" s="4"/>
      <c r="ED1794" s="4"/>
      <c r="EE1794" s="4"/>
      <c r="EF1794" s="4"/>
      <c r="EG1794" s="4"/>
      <c r="EH1794" s="4"/>
      <c r="EI1794" s="4"/>
      <c r="EJ1794" s="4"/>
      <c r="EK1794" s="4"/>
      <c r="EL1794" s="4">
        <v>60</v>
      </c>
      <c r="EM1794" s="4"/>
      <c r="EN1794" s="4"/>
      <c r="EO1794" s="4"/>
      <c r="EP1794" s="4"/>
      <c r="EQ1794" s="4"/>
      <c r="ER1794" s="4"/>
      <c r="ES1794" s="4"/>
      <c r="ET1794" s="4">
        <v>330</v>
      </c>
      <c r="EU1794" s="4"/>
      <c r="EV1794" s="4"/>
      <c r="EW1794" s="4"/>
      <c r="EX1794" s="4"/>
      <c r="EY1794" s="4"/>
      <c r="EZ1794" s="4"/>
      <c r="FA1794" s="4"/>
      <c r="FB1794" s="4"/>
      <c r="FC1794" s="4"/>
      <c r="FD1794" s="4"/>
      <c r="FE1794" s="4"/>
      <c r="FF1794" s="4"/>
      <c r="FG1794" s="4"/>
      <c r="FH1794" s="4"/>
      <c r="FI1794" s="4"/>
      <c r="FJ1794" s="4"/>
      <c r="FK1794" s="4"/>
      <c r="FL1794" s="4"/>
      <c r="FM1794" s="4"/>
      <c r="FN1794" s="4"/>
      <c r="FO1794" s="4"/>
      <c r="FP1794" s="4"/>
      <c r="FQ1794" s="4"/>
      <c r="FR1794" s="4"/>
      <c r="FS1794" s="4"/>
      <c r="FT1794" s="4"/>
      <c r="FU1794" s="4"/>
      <c r="FV1794" s="4"/>
      <c r="FW1794" s="4"/>
      <c r="FX1794" s="4"/>
      <c r="FY1794" s="4"/>
      <c r="FZ1794" s="4"/>
      <c r="GA1794" s="4"/>
      <c r="GB1794" s="4"/>
      <c r="GC1794" s="4"/>
      <c r="GD1794" s="4"/>
      <c r="GE1794" s="4"/>
      <c r="GF1794" s="4"/>
      <c r="GG1794" s="4"/>
      <c r="GH1794" s="4"/>
    </row>
    <row r="1795">
      <c r="A1795" s="2" t="s">
        <v>9058</v>
      </c>
      <c r="B1795" s="2" t="s">
        <v>250</v>
      </c>
      <c r="C1795" s="2" t="s">
        <v>231</v>
      </c>
      <c r="D1795" s="2" t="s">
        <v>608</v>
      </c>
      <c r="E1795" s="2" t="s">
        <v>3015</v>
      </c>
      <c r="F1795" s="2" t="s">
        <v>9039</v>
      </c>
      <c r="G1795" s="2" t="s">
        <v>9054</v>
      </c>
      <c r="H1795" s="2" t="s">
        <v>9054</v>
      </c>
      <c r="I1795" s="2" t="s">
        <v>9055</v>
      </c>
      <c r="J1795" s="2" t="s">
        <v>612</v>
      </c>
      <c r="K1795" s="2" t="s">
        <v>2163</v>
      </c>
      <c r="L1795" s="3">
        <v>37.5</v>
      </c>
      <c r="M1795" s="3">
        <v>39.38</v>
      </c>
      <c r="N1795" s="3">
        <v>74.99</v>
      </c>
      <c r="O1795" s="2" t="s">
        <v>212</v>
      </c>
      <c r="P1795" s="2" t="s">
        <v>205</v>
      </c>
      <c r="Q1795" s="2" t="s">
        <v>206</v>
      </c>
      <c r="R1795" s="2" t="s">
        <v>200</v>
      </c>
      <c r="S1795" s="2" t="s">
        <v>9056</v>
      </c>
      <c r="T1795" s="2" t="s">
        <v>312</v>
      </c>
      <c r="U1795" s="2" t="s">
        <v>270</v>
      </c>
      <c r="V1795" s="2" t="s">
        <v>208</v>
      </c>
      <c r="W1795" s="2" t="s">
        <v>241</v>
      </c>
      <c r="X1795" s="2" t="s">
        <v>242</v>
      </c>
      <c r="Y1795" s="2" t="s">
        <v>7869</v>
      </c>
      <c r="Z1795" s="4">
        <v>106</v>
      </c>
      <c r="AA1795" s="4">
        <f>=ROUNDDOWN(10.6,0)</f>
      </c>
      <c r="AB1795" s="5">
        <v>10</v>
      </c>
      <c r="AC1795" s="2" t="s">
        <v>482</v>
      </c>
      <c r="AD1795" s="4">
        <v>150</v>
      </c>
      <c r="AE1795" s="4">
        <v>230</v>
      </c>
      <c r="AF1795" s="6">
        <v>68</v>
      </c>
      <c r="AG1795" s="6"/>
      <c r="AH1795" s="7">
        <v>1</v>
      </c>
      <c r="AI1795" s="4"/>
      <c r="AJ1795" s="4">
        <f>=ROUNDDOWN({0},0)</f>
      </c>
      <c r="AK1795" s="5"/>
      <c r="AL1795" s="2" t="s">
        <v>200</v>
      </c>
      <c r="AM1795" s="4"/>
      <c r="AN1795" s="4"/>
      <c r="AO1795" s="7"/>
      <c r="AP1795" s="4"/>
      <c r="AQ1795" s="8"/>
      <c r="AR1795" s="4"/>
      <c r="AS1795" s="8"/>
      <c r="AT1795" s="7"/>
      <c r="AU1795" s="7"/>
      <c r="AV1795" s="4" t="s">
        <v>200</v>
      </c>
      <c r="AW1795" s="8" t="s">
        <v>200</v>
      </c>
      <c r="AX1795" s="4" t="s">
        <v>200</v>
      </c>
      <c r="AY1795" s="8" t="s">
        <v>200</v>
      </c>
      <c r="AZ1795" s="7" t="s">
        <v>200</v>
      </c>
      <c r="BA1795" s="7" t="s">
        <v>200</v>
      </c>
      <c r="BB1795" s="7"/>
      <c r="BC1795" s="4" t="s">
        <v>200</v>
      </c>
      <c r="BD1795" s="8" t="s">
        <v>200</v>
      </c>
      <c r="BE1795" s="4" t="s">
        <v>200</v>
      </c>
      <c r="BF1795" s="8" t="s">
        <v>200</v>
      </c>
      <c r="BG1795" s="7" t="s">
        <v>200</v>
      </c>
      <c r="BH1795" s="7" t="s">
        <v>200</v>
      </c>
      <c r="BI1795" s="7"/>
      <c r="BJ1795" s="4">
        <v>217</v>
      </c>
      <c r="BK1795" s="8">
        <v>8712.23</v>
      </c>
      <c r="BL1795" s="2" t="s">
        <v>1741</v>
      </c>
      <c r="BM1795" s="7"/>
      <c r="BN1795" s="7"/>
      <c r="BO1795" s="4"/>
      <c r="BP1795" s="8"/>
      <c r="BQ1795" s="4"/>
      <c r="BR1795" s="8"/>
      <c r="BS1795" s="7"/>
      <c r="BT1795" s="7"/>
      <c r="BU1795" s="2" t="s">
        <v>9059</v>
      </c>
      <c r="BV1795" s="2" t="s">
        <v>200</v>
      </c>
      <c r="BW1795" s="2" t="s">
        <v>200</v>
      </c>
      <c r="BX1795" s="2" t="s">
        <v>620</v>
      </c>
      <c r="BY1795" s="2" t="s">
        <v>247</v>
      </c>
      <c r="BZ1795" s="2" t="s">
        <v>212</v>
      </c>
      <c r="CA1795" s="2" t="s">
        <v>2185</v>
      </c>
      <c r="CB1795" s="2" t="s">
        <v>1286</v>
      </c>
      <c r="CC1795" s="2" t="s">
        <v>213</v>
      </c>
      <c r="CD1795" s="2" t="s">
        <v>200</v>
      </c>
      <c r="CE1795" s="4">
        <v>106</v>
      </c>
      <c r="CF1795" s="4"/>
      <c r="CG1795" s="4"/>
      <c r="CH1795" s="4"/>
      <c r="CI1795" s="4"/>
      <c r="CJ1795" s="4"/>
      <c r="CK1795" s="4"/>
      <c r="CL1795" s="4"/>
      <c r="CM1795" s="4"/>
      <c r="CN1795" s="4"/>
      <c r="CO1795" s="4"/>
      <c r="CP1795" s="4"/>
      <c r="CQ1795" s="4"/>
      <c r="CR1795" s="4"/>
      <c r="CS1795" s="4"/>
      <c r="CT1795" s="4"/>
      <c r="CU1795" s="4"/>
      <c r="CV1795" s="4"/>
      <c r="CW1795" s="4"/>
      <c r="CX1795" s="4"/>
      <c r="CY1795" s="4"/>
      <c r="CZ1795" s="4"/>
      <c r="DA1795" s="4"/>
      <c r="DB1795" s="4"/>
      <c r="DC1795" s="4"/>
      <c r="DD1795" s="4"/>
      <c r="DE1795" s="4"/>
      <c r="DF1795" s="4"/>
      <c r="DG1795" s="4"/>
      <c r="DH1795" s="4"/>
      <c r="DI1795" s="4"/>
      <c r="DJ1795" s="4"/>
      <c r="DK1795" s="4"/>
      <c r="DL1795" s="4"/>
      <c r="DM1795" s="4"/>
      <c r="DN1795" s="4"/>
      <c r="DO1795" s="4"/>
      <c r="DP1795" s="4"/>
      <c r="DQ1795" s="4"/>
      <c r="DR1795" s="4"/>
      <c r="DS1795" s="4"/>
      <c r="DT1795" s="4"/>
      <c r="DU1795" s="4"/>
      <c r="DV1795" s="4"/>
      <c r="DW1795" s="4"/>
      <c r="DX1795" s="4"/>
      <c r="DY1795" s="4"/>
      <c r="DZ1795" s="4"/>
      <c r="EA1795" s="4"/>
      <c r="EB1795" s="4"/>
      <c r="EC1795" s="4"/>
      <c r="ED1795" s="4"/>
      <c r="EE1795" s="4"/>
      <c r="EF1795" s="4"/>
      <c r="EG1795" s="4"/>
      <c r="EH1795" s="4"/>
      <c r="EI1795" s="4"/>
      <c r="EJ1795" s="4"/>
      <c r="EK1795" s="4"/>
      <c r="EL1795" s="4">
        <v>150</v>
      </c>
      <c r="EM1795" s="4"/>
      <c r="EN1795" s="4"/>
      <c r="EO1795" s="4"/>
      <c r="EP1795" s="4"/>
      <c r="EQ1795" s="4"/>
      <c r="ER1795" s="4"/>
      <c r="ES1795" s="4"/>
      <c r="ET1795" s="4">
        <v>80</v>
      </c>
      <c r="EU1795" s="4"/>
      <c r="EV1795" s="4"/>
      <c r="EW1795" s="4"/>
      <c r="EX1795" s="4"/>
      <c r="EY1795" s="4"/>
      <c r="EZ1795" s="4"/>
      <c r="FA1795" s="4"/>
      <c r="FB1795" s="4"/>
      <c r="FC1795" s="4"/>
      <c r="FD1795" s="4"/>
      <c r="FE1795" s="4"/>
      <c r="FF1795" s="4"/>
      <c r="FG1795" s="4"/>
      <c r="FH1795" s="4"/>
      <c r="FI1795" s="4"/>
      <c r="FJ1795" s="4"/>
      <c r="FK1795" s="4"/>
      <c r="FL1795" s="4"/>
      <c r="FM1795" s="4"/>
      <c r="FN1795" s="4"/>
      <c r="FO1795" s="4"/>
      <c r="FP1795" s="4"/>
      <c r="FQ1795" s="4"/>
      <c r="FR1795" s="4"/>
      <c r="FS1795" s="4"/>
      <c r="FT1795" s="4"/>
      <c r="FU1795" s="4"/>
      <c r="FV1795" s="4"/>
      <c r="FW1795" s="4"/>
      <c r="FX1795" s="4"/>
      <c r="FY1795" s="4"/>
      <c r="FZ1795" s="4"/>
      <c r="GA1795" s="4"/>
      <c r="GB1795" s="4"/>
      <c r="GC1795" s="4"/>
      <c r="GD1795" s="4"/>
      <c r="GE1795" s="4"/>
      <c r="GF1795" s="4"/>
      <c r="GG1795" s="4"/>
      <c r="GH1795" s="4"/>
    </row>
    <row r="1796">
      <c r="A1796" s="2" t="s">
        <v>9060</v>
      </c>
      <c r="B1796" s="2" t="s">
        <v>250</v>
      </c>
      <c r="C1796" s="2" t="s">
        <v>231</v>
      </c>
      <c r="D1796" s="2" t="s">
        <v>608</v>
      </c>
      <c r="E1796" s="2" t="s">
        <v>3015</v>
      </c>
      <c r="F1796" s="2" t="s">
        <v>9039</v>
      </c>
      <c r="G1796" s="2" t="s">
        <v>9054</v>
      </c>
      <c r="H1796" s="2" t="s">
        <v>9054</v>
      </c>
      <c r="I1796" s="2" t="s">
        <v>9055</v>
      </c>
      <c r="J1796" s="2" t="s">
        <v>1390</v>
      </c>
      <c r="K1796" s="2" t="s">
        <v>565</v>
      </c>
      <c r="L1796" s="3">
        <v>26.5</v>
      </c>
      <c r="M1796" s="3">
        <v>27.82</v>
      </c>
      <c r="N1796" s="3">
        <v>52.99</v>
      </c>
      <c r="O1796" s="2" t="s">
        <v>212</v>
      </c>
      <c r="P1796" s="2" t="s">
        <v>205</v>
      </c>
      <c r="Q1796" s="2" t="s">
        <v>206</v>
      </c>
      <c r="R1796" s="2" t="s">
        <v>200</v>
      </c>
      <c r="S1796" s="2" t="s">
        <v>9061</v>
      </c>
      <c r="T1796" s="2" t="s">
        <v>312</v>
      </c>
      <c r="U1796" s="2" t="s">
        <v>270</v>
      </c>
      <c r="V1796" s="2" t="s">
        <v>208</v>
      </c>
      <c r="W1796" s="2" t="s">
        <v>241</v>
      </c>
      <c r="X1796" s="2" t="s">
        <v>242</v>
      </c>
      <c r="Y1796" s="2" t="s">
        <v>5516</v>
      </c>
      <c r="Z1796" s="4">
        <v>288</v>
      </c>
      <c r="AA1796" s="4">
        <f>=ROUNDDOWN(32,0)</f>
      </c>
      <c r="AB1796" s="5">
        <v>9</v>
      </c>
      <c r="AC1796" s="2" t="s">
        <v>200</v>
      </c>
      <c r="AD1796" s="4"/>
      <c r="AE1796" s="4"/>
      <c r="AF1796" s="6">
        <v>68</v>
      </c>
      <c r="AG1796" s="6"/>
      <c r="AH1796" s="7">
        <v>1</v>
      </c>
      <c r="AI1796" s="4"/>
      <c r="AJ1796" s="4">
        <f>=ROUNDDOWN({0},0)</f>
      </c>
      <c r="AK1796" s="5"/>
      <c r="AL1796" s="2" t="s">
        <v>200</v>
      </c>
      <c r="AM1796" s="4"/>
      <c r="AN1796" s="4"/>
      <c r="AO1796" s="7"/>
      <c r="AP1796" s="4"/>
      <c r="AQ1796" s="8"/>
      <c r="AR1796" s="4"/>
      <c r="AS1796" s="8"/>
      <c r="AT1796" s="7"/>
      <c r="AU1796" s="7"/>
      <c r="AV1796" s="4" t="s">
        <v>200</v>
      </c>
      <c r="AW1796" s="8" t="s">
        <v>200</v>
      </c>
      <c r="AX1796" s="4" t="s">
        <v>200</v>
      </c>
      <c r="AY1796" s="8" t="s">
        <v>200</v>
      </c>
      <c r="AZ1796" s="7" t="s">
        <v>200</v>
      </c>
      <c r="BA1796" s="7" t="s">
        <v>200</v>
      </c>
      <c r="BB1796" s="7"/>
      <c r="BC1796" s="4" t="s">
        <v>200</v>
      </c>
      <c r="BD1796" s="8" t="s">
        <v>200</v>
      </c>
      <c r="BE1796" s="4" t="s">
        <v>200</v>
      </c>
      <c r="BF1796" s="8" t="s">
        <v>200</v>
      </c>
      <c r="BG1796" s="7" t="s">
        <v>200</v>
      </c>
      <c r="BH1796" s="7" t="s">
        <v>200</v>
      </c>
      <c r="BI1796" s="7"/>
      <c r="BJ1796" s="4">
        <v>40</v>
      </c>
      <c r="BK1796" s="8">
        <v>1290.46</v>
      </c>
      <c r="BL1796" s="2" t="s">
        <v>1993</v>
      </c>
      <c r="BM1796" s="7"/>
      <c r="BN1796" s="7"/>
      <c r="BO1796" s="4"/>
      <c r="BP1796" s="8"/>
      <c r="BQ1796" s="4"/>
      <c r="BR1796" s="8"/>
      <c r="BS1796" s="7"/>
      <c r="BT1796" s="7"/>
      <c r="BU1796" s="2" t="s">
        <v>9062</v>
      </c>
      <c r="BV1796" s="2" t="s">
        <v>200</v>
      </c>
      <c r="BW1796" s="2" t="s">
        <v>200</v>
      </c>
      <c r="BX1796" s="2" t="s">
        <v>620</v>
      </c>
      <c r="BY1796" s="2" t="s">
        <v>247</v>
      </c>
      <c r="BZ1796" s="2" t="s">
        <v>212</v>
      </c>
      <c r="CA1796" s="2" t="s">
        <v>2185</v>
      </c>
      <c r="CB1796" s="2" t="s">
        <v>9063</v>
      </c>
      <c r="CC1796" s="2" t="s">
        <v>213</v>
      </c>
      <c r="CD1796" s="2" t="s">
        <v>200</v>
      </c>
      <c r="CE1796" s="4">
        <v>288</v>
      </c>
      <c r="CF1796" s="4"/>
      <c r="CG1796" s="4"/>
      <c r="CH1796" s="4"/>
      <c r="CI1796" s="4"/>
      <c r="CJ1796" s="4"/>
      <c r="CK1796" s="4"/>
      <c r="CL1796" s="4"/>
      <c r="CM1796" s="4"/>
      <c r="CN1796" s="4"/>
      <c r="CO1796" s="4"/>
      <c r="CP1796" s="4"/>
      <c r="CQ1796" s="4"/>
      <c r="CR1796" s="4"/>
      <c r="CS1796" s="4"/>
      <c r="CT1796" s="4"/>
      <c r="CU1796" s="4"/>
      <c r="CV1796" s="4"/>
      <c r="CW1796" s="4"/>
      <c r="CX1796" s="4"/>
      <c r="CY1796" s="4"/>
      <c r="CZ1796" s="4"/>
      <c r="DA1796" s="4"/>
      <c r="DB1796" s="4"/>
      <c r="DC1796" s="4"/>
      <c r="DD1796" s="4"/>
      <c r="DE1796" s="4"/>
      <c r="DF1796" s="4"/>
      <c r="DG1796" s="4"/>
      <c r="DH1796" s="4"/>
      <c r="DI1796" s="4"/>
      <c r="DJ1796" s="4"/>
      <c r="DK1796" s="4"/>
      <c r="DL1796" s="4"/>
      <c r="DM1796" s="4"/>
      <c r="DN1796" s="4"/>
      <c r="DO1796" s="4"/>
      <c r="DP1796" s="4"/>
      <c r="DQ1796" s="4"/>
      <c r="DR1796" s="4"/>
      <c r="DS1796" s="4"/>
      <c r="DT1796" s="4"/>
      <c r="DU1796" s="4"/>
      <c r="DV1796" s="4"/>
      <c r="DW1796" s="4"/>
      <c r="DX1796" s="4"/>
      <c r="DY1796" s="4"/>
      <c r="DZ1796" s="4"/>
      <c r="EA1796" s="4"/>
      <c r="EB1796" s="4"/>
      <c r="EC1796" s="4"/>
      <c r="ED1796" s="4"/>
      <c r="EE1796" s="4"/>
      <c r="EF1796" s="4"/>
      <c r="EG1796" s="4"/>
      <c r="EH1796" s="4"/>
      <c r="EI1796" s="4"/>
      <c r="EJ1796" s="4"/>
      <c r="EK1796" s="4"/>
      <c r="EL1796" s="4"/>
      <c r="EM1796" s="4"/>
      <c r="EN1796" s="4"/>
      <c r="EO1796" s="4"/>
      <c r="EP1796" s="4"/>
      <c r="EQ1796" s="4"/>
      <c r="ER1796" s="4"/>
      <c r="ES1796" s="4"/>
      <c r="ET1796" s="4"/>
      <c r="EU1796" s="4"/>
      <c r="EV1796" s="4"/>
      <c r="EW1796" s="4"/>
      <c r="EX1796" s="4"/>
      <c r="EY1796" s="4"/>
      <c r="EZ1796" s="4"/>
      <c r="FA1796" s="4"/>
      <c r="FB1796" s="4"/>
      <c r="FC1796" s="4"/>
      <c r="FD1796" s="4"/>
      <c r="FE1796" s="4"/>
      <c r="FF1796" s="4"/>
      <c r="FG1796" s="4"/>
      <c r="FH1796" s="4"/>
      <c r="FI1796" s="4"/>
      <c r="FJ1796" s="4"/>
      <c r="FK1796" s="4"/>
      <c r="FL1796" s="4"/>
      <c r="FM1796" s="4"/>
      <c r="FN1796" s="4"/>
      <c r="FO1796" s="4"/>
      <c r="FP1796" s="4"/>
      <c r="FQ1796" s="4"/>
      <c r="FR1796" s="4"/>
      <c r="FS1796" s="4"/>
      <c r="FT1796" s="4"/>
      <c r="FU1796" s="4"/>
      <c r="FV1796" s="4"/>
      <c r="FW1796" s="4"/>
      <c r="FX1796" s="4"/>
      <c r="FY1796" s="4"/>
      <c r="FZ1796" s="4"/>
      <c r="GA1796" s="4"/>
      <c r="GB1796" s="4"/>
      <c r="GC1796" s="4"/>
      <c r="GD1796" s="4"/>
      <c r="GE1796" s="4"/>
      <c r="GF1796" s="4"/>
      <c r="GG1796" s="4"/>
      <c r="GH1796" s="4"/>
    </row>
    <row r="1797">
      <c r="A1797" s="2" t="s">
        <v>9064</v>
      </c>
      <c r="B1797" s="2" t="s">
        <v>250</v>
      </c>
      <c r="C1797" s="2" t="s">
        <v>231</v>
      </c>
      <c r="D1797" s="2" t="s">
        <v>608</v>
      </c>
      <c r="E1797" s="2" t="s">
        <v>3015</v>
      </c>
      <c r="F1797" s="2" t="s">
        <v>9039</v>
      </c>
      <c r="G1797" s="2" t="s">
        <v>9054</v>
      </c>
      <c r="H1797" s="2" t="s">
        <v>9054</v>
      </c>
      <c r="I1797" s="2" t="s">
        <v>9055</v>
      </c>
      <c r="J1797" s="2" t="s">
        <v>612</v>
      </c>
      <c r="K1797" s="2" t="s">
        <v>565</v>
      </c>
      <c r="L1797" s="3">
        <v>37.5</v>
      </c>
      <c r="M1797" s="3">
        <v>39.38</v>
      </c>
      <c r="N1797" s="3">
        <v>74.99</v>
      </c>
      <c r="O1797" s="2" t="s">
        <v>212</v>
      </c>
      <c r="P1797" s="2" t="s">
        <v>205</v>
      </c>
      <c r="Q1797" s="2" t="s">
        <v>206</v>
      </c>
      <c r="R1797" s="2" t="s">
        <v>200</v>
      </c>
      <c r="S1797" s="2" t="s">
        <v>9061</v>
      </c>
      <c r="T1797" s="2" t="s">
        <v>312</v>
      </c>
      <c r="U1797" s="2" t="s">
        <v>270</v>
      </c>
      <c r="V1797" s="2" t="s">
        <v>208</v>
      </c>
      <c r="W1797" s="2" t="s">
        <v>241</v>
      </c>
      <c r="X1797" s="2" t="s">
        <v>242</v>
      </c>
      <c r="Y1797" s="2" t="s">
        <v>5516</v>
      </c>
      <c r="Z1797" s="4">
        <v>428</v>
      </c>
      <c r="AA1797" s="4">
        <f>=ROUNDDOWN(38.9090909090909,0)</f>
      </c>
      <c r="AB1797" s="5">
        <v>11</v>
      </c>
      <c r="AC1797" s="2" t="s">
        <v>200</v>
      </c>
      <c r="AD1797" s="4"/>
      <c r="AE1797" s="4"/>
      <c r="AF1797" s="6">
        <v>68</v>
      </c>
      <c r="AG1797" s="6"/>
      <c r="AH1797" s="7">
        <v>1</v>
      </c>
      <c r="AI1797" s="4"/>
      <c r="AJ1797" s="4">
        <f>=ROUNDDOWN({0},0)</f>
      </c>
      <c r="AK1797" s="5"/>
      <c r="AL1797" s="2" t="s">
        <v>200</v>
      </c>
      <c r="AM1797" s="4"/>
      <c r="AN1797" s="4"/>
      <c r="AO1797" s="7"/>
      <c r="AP1797" s="4"/>
      <c r="AQ1797" s="8"/>
      <c r="AR1797" s="4"/>
      <c r="AS1797" s="8"/>
      <c r="AT1797" s="7"/>
      <c r="AU1797" s="7"/>
      <c r="AV1797" s="4" t="s">
        <v>200</v>
      </c>
      <c r="AW1797" s="8" t="s">
        <v>200</v>
      </c>
      <c r="AX1797" s="4" t="s">
        <v>200</v>
      </c>
      <c r="AY1797" s="8" t="s">
        <v>200</v>
      </c>
      <c r="AZ1797" s="7" t="s">
        <v>200</v>
      </c>
      <c r="BA1797" s="7" t="s">
        <v>200</v>
      </c>
      <c r="BB1797" s="7"/>
      <c r="BC1797" s="4" t="s">
        <v>200</v>
      </c>
      <c r="BD1797" s="8" t="s">
        <v>200</v>
      </c>
      <c r="BE1797" s="4" t="s">
        <v>200</v>
      </c>
      <c r="BF1797" s="8" t="s">
        <v>200</v>
      </c>
      <c r="BG1797" s="7" t="s">
        <v>200</v>
      </c>
      <c r="BH1797" s="7" t="s">
        <v>200</v>
      </c>
      <c r="BI1797" s="7"/>
      <c r="BJ1797" s="4">
        <v>48</v>
      </c>
      <c r="BK1797" s="8">
        <v>2038.14</v>
      </c>
      <c r="BL1797" s="2" t="s">
        <v>2610</v>
      </c>
      <c r="BM1797" s="7"/>
      <c r="BN1797" s="7"/>
      <c r="BO1797" s="4"/>
      <c r="BP1797" s="8"/>
      <c r="BQ1797" s="4"/>
      <c r="BR1797" s="8"/>
      <c r="BS1797" s="7"/>
      <c r="BT1797" s="7"/>
      <c r="BU1797" s="2" t="s">
        <v>9065</v>
      </c>
      <c r="BV1797" s="2" t="s">
        <v>200</v>
      </c>
      <c r="BW1797" s="2" t="s">
        <v>200</v>
      </c>
      <c r="BX1797" s="2" t="s">
        <v>620</v>
      </c>
      <c r="BY1797" s="2" t="s">
        <v>247</v>
      </c>
      <c r="BZ1797" s="2" t="s">
        <v>212</v>
      </c>
      <c r="CA1797" s="2" t="s">
        <v>2185</v>
      </c>
      <c r="CB1797" s="2" t="s">
        <v>2220</v>
      </c>
      <c r="CC1797" s="2" t="s">
        <v>213</v>
      </c>
      <c r="CD1797" s="2" t="s">
        <v>200</v>
      </c>
      <c r="CE1797" s="4">
        <v>428</v>
      </c>
      <c r="CF1797" s="4"/>
      <c r="CG1797" s="4"/>
      <c r="CH1797" s="4"/>
      <c r="CI1797" s="4"/>
      <c r="CJ1797" s="4"/>
      <c r="CK1797" s="4"/>
      <c r="CL1797" s="4"/>
      <c r="CM1797" s="4"/>
      <c r="CN1797" s="4"/>
      <c r="CO1797" s="4"/>
      <c r="CP1797" s="4"/>
      <c r="CQ1797" s="4"/>
      <c r="CR1797" s="4"/>
      <c r="CS1797" s="4"/>
      <c r="CT1797" s="4"/>
      <c r="CU1797" s="4"/>
      <c r="CV1797" s="4"/>
      <c r="CW1797" s="4"/>
      <c r="CX1797" s="4"/>
      <c r="CY1797" s="4"/>
      <c r="CZ1797" s="4"/>
      <c r="DA1797" s="4"/>
      <c r="DB1797" s="4"/>
      <c r="DC1797" s="4"/>
      <c r="DD1797" s="4"/>
      <c r="DE1797" s="4"/>
      <c r="DF1797" s="4"/>
      <c r="DG1797" s="4"/>
      <c r="DH1797" s="4"/>
      <c r="DI1797" s="4"/>
      <c r="DJ1797" s="4"/>
      <c r="DK1797" s="4"/>
      <c r="DL1797" s="4"/>
      <c r="DM1797" s="4"/>
      <c r="DN1797" s="4"/>
      <c r="DO1797" s="4"/>
      <c r="DP1797" s="4"/>
      <c r="DQ1797" s="4"/>
      <c r="DR1797" s="4"/>
      <c r="DS1797" s="4"/>
      <c r="DT1797" s="4"/>
      <c r="DU1797" s="4"/>
      <c r="DV1797" s="4"/>
      <c r="DW1797" s="4"/>
      <c r="DX1797" s="4"/>
      <c r="DY1797" s="4"/>
      <c r="DZ1797" s="4"/>
      <c r="EA1797" s="4"/>
      <c r="EB1797" s="4"/>
      <c r="EC1797" s="4"/>
      <c r="ED1797" s="4"/>
      <c r="EE1797" s="4"/>
      <c r="EF1797" s="4"/>
      <c r="EG1797" s="4"/>
      <c r="EH1797" s="4"/>
      <c r="EI1797" s="4"/>
      <c r="EJ1797" s="4"/>
      <c r="EK1797" s="4"/>
      <c r="EL1797" s="4"/>
      <c r="EM1797" s="4"/>
      <c r="EN1797" s="4"/>
      <c r="EO1797" s="4"/>
      <c r="EP1797" s="4"/>
      <c r="EQ1797" s="4"/>
      <c r="ER1797" s="4"/>
      <c r="ES1797" s="4"/>
      <c r="ET1797" s="4"/>
      <c r="EU1797" s="4"/>
      <c r="EV1797" s="4"/>
      <c r="EW1797" s="4"/>
      <c r="EX1797" s="4"/>
      <c r="EY1797" s="4"/>
      <c r="EZ1797" s="4"/>
      <c r="FA1797" s="4"/>
      <c r="FB1797" s="4"/>
      <c r="FC1797" s="4"/>
      <c r="FD1797" s="4"/>
      <c r="FE1797" s="4"/>
      <c r="FF1797" s="4"/>
      <c r="FG1797" s="4"/>
      <c r="FH1797" s="4"/>
      <c r="FI1797" s="4"/>
      <c r="FJ1797" s="4"/>
      <c r="FK1797" s="4"/>
      <c r="FL1797" s="4"/>
      <c r="FM1797" s="4"/>
      <c r="FN1797" s="4"/>
      <c r="FO1797" s="4"/>
      <c r="FP1797" s="4"/>
      <c r="FQ1797" s="4"/>
      <c r="FR1797" s="4"/>
      <c r="FS1797" s="4"/>
      <c r="FT1797" s="4"/>
      <c r="FU1797" s="4"/>
      <c r="FV1797" s="4"/>
      <c r="FW1797" s="4"/>
      <c r="FX1797" s="4"/>
      <c r="FY1797" s="4"/>
      <c r="FZ1797" s="4"/>
      <c r="GA1797" s="4"/>
      <c r="GB1797" s="4"/>
      <c r="GC1797" s="4"/>
      <c r="GD1797" s="4"/>
      <c r="GE1797" s="4"/>
      <c r="GF1797" s="4"/>
      <c r="GG1797" s="4"/>
      <c r="GH1797" s="4"/>
    </row>
    <row r="1798">
      <c r="A1798" s="2" t="s">
        <v>9066</v>
      </c>
      <c r="B1798" s="2" t="s">
        <v>903</v>
      </c>
      <c r="C1798" s="2" t="s">
        <v>1894</v>
      </c>
      <c r="D1798" s="2" t="s">
        <v>2254</v>
      </c>
      <c r="E1798" s="2" t="s">
        <v>3132</v>
      </c>
      <c r="F1798" s="2" t="s">
        <v>9067</v>
      </c>
      <c r="G1798" s="2" t="s">
        <v>9067</v>
      </c>
      <c r="H1798" s="2" t="s">
        <v>9067</v>
      </c>
      <c r="I1798" s="2" t="s">
        <v>9068</v>
      </c>
      <c r="J1798" s="2" t="s">
        <v>7492</v>
      </c>
      <c r="K1798" s="2" t="s">
        <v>1153</v>
      </c>
      <c r="L1798" s="3">
        <v>22.05</v>
      </c>
      <c r="M1798" s="3">
        <v>23.15</v>
      </c>
      <c r="N1798" s="3">
        <v>44.99</v>
      </c>
      <c r="O1798" s="2" t="s">
        <v>212</v>
      </c>
      <c r="P1798" s="2" t="s">
        <v>285</v>
      </c>
      <c r="Q1798" s="2" t="s">
        <v>206</v>
      </c>
      <c r="R1798" s="2" t="s">
        <v>200</v>
      </c>
      <c r="S1798" s="2" t="s">
        <v>9069</v>
      </c>
      <c r="T1798" s="2" t="s">
        <v>200</v>
      </c>
      <c r="U1798" s="2" t="s">
        <v>200</v>
      </c>
      <c r="V1798" s="2" t="s">
        <v>3444</v>
      </c>
      <c r="W1798" s="2" t="s">
        <v>1900</v>
      </c>
      <c r="X1798" s="2" t="s">
        <v>2565</v>
      </c>
      <c r="Y1798" s="2" t="s">
        <v>6098</v>
      </c>
      <c r="Z1798" s="4">
        <v>4</v>
      </c>
      <c r="AA1798" s="4">
        <f>=ROUNDDOWN(0.444444444444444,0)</f>
      </c>
      <c r="AB1798" s="5">
        <v>9</v>
      </c>
      <c r="AC1798" s="2" t="s">
        <v>200</v>
      </c>
      <c r="AD1798" s="4"/>
      <c r="AE1798" s="4"/>
      <c r="AF1798" s="6">
        <v>65</v>
      </c>
      <c r="AG1798" s="6"/>
      <c r="AH1798" s="7">
        <v>1</v>
      </c>
      <c r="AI1798" s="4"/>
      <c r="AJ1798" s="4">
        <f>=ROUNDDOWN({0},0)</f>
      </c>
      <c r="AK1798" s="5"/>
      <c r="AL1798" s="2" t="s">
        <v>200</v>
      </c>
      <c r="AM1798" s="4"/>
      <c r="AN1798" s="4"/>
      <c r="AO1798" s="7"/>
      <c r="AP1798" s="4"/>
      <c r="AQ1798" s="8"/>
      <c r="AR1798" s="4"/>
      <c r="AS1798" s="8"/>
      <c r="AT1798" s="7"/>
      <c r="AU1798" s="7"/>
      <c r="AV1798" s="4"/>
      <c r="AW1798" s="8"/>
      <c r="AX1798" s="4"/>
      <c r="AY1798" s="8"/>
      <c r="AZ1798" s="7"/>
      <c r="BA1798" s="7"/>
      <c r="BB1798" s="7"/>
      <c r="BC1798" s="4"/>
      <c r="BD1798" s="8"/>
      <c r="BE1798" s="4"/>
      <c r="BF1798" s="8"/>
      <c r="BG1798" s="7"/>
      <c r="BH1798" s="7"/>
      <c r="BI1798" s="7"/>
      <c r="BJ1798" s="4">
        <v>172</v>
      </c>
      <c r="BK1798" s="8">
        <v>2441.1</v>
      </c>
      <c r="BL1798" s="2" t="s">
        <v>9070</v>
      </c>
      <c r="BM1798" s="7"/>
      <c r="BN1798" s="7"/>
      <c r="BO1798" s="4"/>
      <c r="BP1798" s="8"/>
      <c r="BQ1798" s="4"/>
      <c r="BR1798" s="8"/>
      <c r="BS1798" s="7"/>
      <c r="BT1798" s="7"/>
      <c r="BU1798" s="2" t="s">
        <v>9071</v>
      </c>
      <c r="BV1798" s="2" t="s">
        <v>200</v>
      </c>
      <c r="BW1798" s="2" t="s">
        <v>200</v>
      </c>
      <c r="BX1798" s="2" t="s">
        <v>289</v>
      </c>
      <c r="BY1798" s="2" t="s">
        <v>247</v>
      </c>
      <c r="BZ1798" s="2" t="s">
        <v>212</v>
      </c>
      <c r="CA1798" s="2" t="s">
        <v>972</v>
      </c>
      <c r="CB1798" s="2" t="s">
        <v>3925</v>
      </c>
      <c r="CC1798" s="2" t="s">
        <v>213</v>
      </c>
      <c r="CD1798" s="2" t="s">
        <v>200</v>
      </c>
      <c r="CE1798" s="4">
        <v>4</v>
      </c>
      <c r="CF1798" s="4"/>
      <c r="CG1798" s="4"/>
      <c r="CH1798" s="4"/>
      <c r="CI1798" s="4"/>
      <c r="CJ1798" s="4"/>
      <c r="CK1798" s="4"/>
      <c r="CL1798" s="4"/>
      <c r="CM1798" s="4"/>
      <c r="CN1798" s="4"/>
      <c r="CO1798" s="4"/>
      <c r="CP1798" s="4"/>
      <c r="CQ1798" s="4"/>
      <c r="CR1798" s="4"/>
      <c r="CS1798" s="4"/>
      <c r="CT1798" s="4"/>
      <c r="CU1798" s="4"/>
      <c r="CV1798" s="4"/>
      <c r="CW1798" s="4"/>
      <c r="CX1798" s="4"/>
      <c r="CY1798" s="4"/>
      <c r="CZ1798" s="4"/>
      <c r="DA1798" s="4"/>
      <c r="DB1798" s="4"/>
      <c r="DC1798" s="4"/>
      <c r="DD1798" s="4"/>
      <c r="DE1798" s="4"/>
      <c r="DF1798" s="4"/>
      <c r="DG1798" s="4"/>
      <c r="DH1798" s="4"/>
      <c r="DI1798" s="4"/>
      <c r="DJ1798" s="4"/>
      <c r="DK1798" s="4"/>
      <c r="DL1798" s="4"/>
      <c r="DM1798" s="4"/>
      <c r="DN1798" s="4"/>
      <c r="DO1798" s="4"/>
      <c r="DP1798" s="4"/>
      <c r="DQ1798" s="4"/>
      <c r="DR1798" s="4"/>
      <c r="DS1798" s="4"/>
      <c r="DT1798" s="4"/>
      <c r="DU1798" s="4"/>
      <c r="DV1798" s="4"/>
      <c r="DW1798" s="4"/>
      <c r="DX1798" s="4"/>
      <c r="DY1798" s="4"/>
      <c r="DZ1798" s="4"/>
      <c r="EA1798" s="4"/>
      <c r="EB1798" s="4"/>
      <c r="EC1798" s="4"/>
      <c r="ED1798" s="4"/>
      <c r="EE1798" s="4"/>
      <c r="EF1798" s="4"/>
      <c r="EG1798" s="4"/>
      <c r="EH1798" s="4"/>
      <c r="EI1798" s="4"/>
      <c r="EJ1798" s="4"/>
      <c r="EK1798" s="4"/>
      <c r="EL1798" s="4"/>
      <c r="EM1798" s="4"/>
      <c r="EN1798" s="4"/>
      <c r="EO1798" s="4"/>
      <c r="EP1798" s="4"/>
      <c r="EQ1798" s="4"/>
      <c r="ER1798" s="4"/>
      <c r="ES1798" s="4"/>
      <c r="ET1798" s="4"/>
      <c r="EU1798" s="4"/>
      <c r="EV1798" s="4"/>
      <c r="EW1798" s="4"/>
      <c r="EX1798" s="4"/>
      <c r="EY1798" s="4"/>
      <c r="EZ1798" s="4"/>
      <c r="FA1798" s="4"/>
      <c r="FB1798" s="4"/>
      <c r="FC1798" s="4"/>
      <c r="FD1798" s="4"/>
      <c r="FE1798" s="4"/>
      <c r="FF1798" s="4"/>
      <c r="FG1798" s="4"/>
      <c r="FH1798" s="4"/>
      <c r="FI1798" s="4"/>
      <c r="FJ1798" s="4"/>
      <c r="FK1798" s="4"/>
      <c r="FL1798" s="4"/>
      <c r="FM1798" s="4"/>
      <c r="FN1798" s="4"/>
      <c r="FO1798" s="4"/>
      <c r="FP1798" s="4"/>
      <c r="FQ1798" s="4"/>
      <c r="FR1798" s="4"/>
      <c r="FS1798" s="4"/>
      <c r="FT1798" s="4"/>
      <c r="FU1798" s="4"/>
      <c r="FV1798" s="4"/>
      <c r="FW1798" s="4"/>
      <c r="FX1798" s="4"/>
      <c r="FY1798" s="4"/>
      <c r="FZ1798" s="4"/>
      <c r="GA1798" s="4"/>
      <c r="GB1798" s="4"/>
      <c r="GC1798" s="4"/>
      <c r="GD1798" s="4"/>
      <c r="GE1798" s="4"/>
      <c r="GF1798" s="4"/>
      <c r="GG1798" s="4"/>
      <c r="GH1798" s="4"/>
    </row>
    <row r="1799">
      <c r="A1799" s="2" t="s">
        <v>9072</v>
      </c>
      <c r="B1799" s="2" t="s">
        <v>705</v>
      </c>
      <c r="C1799" s="2" t="s">
        <v>745</v>
      </c>
      <c r="D1799" s="2" t="s">
        <v>808</v>
      </c>
      <c r="E1799" s="2" t="s">
        <v>809</v>
      </c>
      <c r="F1799" s="2" t="s">
        <v>3951</v>
      </c>
      <c r="G1799" s="2" t="s">
        <v>3951</v>
      </c>
      <c r="H1799" s="2" t="s">
        <v>3951</v>
      </c>
      <c r="I1799" s="2" t="s">
        <v>9073</v>
      </c>
      <c r="J1799" s="2" t="s">
        <v>711</v>
      </c>
      <c r="K1799" s="2" t="s">
        <v>1135</v>
      </c>
      <c r="L1799" s="3">
        <v>40.5</v>
      </c>
      <c r="M1799" s="3">
        <v>42.52</v>
      </c>
      <c r="N1799" s="3">
        <v>94.99</v>
      </c>
      <c r="O1799" s="2" t="s">
        <v>460</v>
      </c>
      <c r="P1799" s="2" t="s">
        <v>285</v>
      </c>
      <c r="Q1799" s="2" t="s">
        <v>206</v>
      </c>
      <c r="R1799" s="2" t="s">
        <v>200</v>
      </c>
      <c r="S1799" s="2" t="s">
        <v>200</v>
      </c>
      <c r="T1799" s="2" t="s">
        <v>200</v>
      </c>
      <c r="U1799" s="2" t="s">
        <v>270</v>
      </c>
      <c r="V1799" s="2" t="s">
        <v>616</v>
      </c>
      <c r="W1799" s="2" t="s">
        <v>379</v>
      </c>
      <c r="X1799" s="2" t="s">
        <v>1308</v>
      </c>
      <c r="Y1799" s="2" t="s">
        <v>1215</v>
      </c>
      <c r="Z1799" s="4">
        <v>74</v>
      </c>
      <c r="AA1799" s="4">
        <f>=ROUNDDOWN(37,0)</f>
      </c>
      <c r="AB1799" s="5">
        <v>2</v>
      </c>
      <c r="AC1799" s="2" t="s">
        <v>200</v>
      </c>
      <c r="AD1799" s="4"/>
      <c r="AE1799" s="4"/>
      <c r="AF1799" s="6">
        <v>63</v>
      </c>
      <c r="AG1799" s="6"/>
      <c r="AH1799" s="7">
        <v>1</v>
      </c>
      <c r="AI1799" s="4"/>
      <c r="AJ1799" s="4">
        <f>=ROUNDDOWN({0},0)</f>
      </c>
      <c r="AK1799" s="5"/>
      <c r="AL1799" s="2" t="s">
        <v>200</v>
      </c>
      <c r="AM1799" s="4"/>
      <c r="AN1799" s="4"/>
      <c r="AO1799" s="7"/>
      <c r="AP1799" s="4"/>
      <c r="AQ1799" s="8"/>
      <c r="AR1799" s="4"/>
      <c r="AS1799" s="8"/>
      <c r="AT1799" s="7"/>
      <c r="AU1799" s="7"/>
      <c r="AV1799" s="4"/>
      <c r="AW1799" s="8"/>
      <c r="AX1799" s="4"/>
      <c r="AY1799" s="8"/>
      <c r="AZ1799" s="7"/>
      <c r="BA1799" s="7"/>
      <c r="BB1799" s="7"/>
      <c r="BC1799" s="4"/>
      <c r="BD1799" s="8"/>
      <c r="BE1799" s="4"/>
      <c r="BF1799" s="8"/>
      <c r="BG1799" s="7"/>
      <c r="BH1799" s="7"/>
      <c r="BI1799" s="7"/>
      <c r="BJ1799" s="4"/>
      <c r="BK1799" s="8"/>
      <c r="BL1799" s="2" t="s">
        <v>200</v>
      </c>
      <c r="BM1799" s="7"/>
      <c r="BN1799" s="7"/>
      <c r="BO1799" s="4"/>
      <c r="BP1799" s="8"/>
      <c r="BQ1799" s="4"/>
      <c r="BR1799" s="8"/>
      <c r="BS1799" s="7"/>
      <c r="BT1799" s="7"/>
      <c r="BU1799" s="2" t="s">
        <v>9074</v>
      </c>
      <c r="BV1799" s="2" t="s">
        <v>200</v>
      </c>
      <c r="BW1799" s="2" t="s">
        <v>200</v>
      </c>
      <c r="BX1799" s="2" t="s">
        <v>289</v>
      </c>
      <c r="BY1799" s="2" t="s">
        <v>247</v>
      </c>
      <c r="BZ1799" s="2" t="s">
        <v>212</v>
      </c>
      <c r="CA1799" s="2" t="s">
        <v>1310</v>
      </c>
      <c r="CB1799" s="2" t="s">
        <v>200</v>
      </c>
      <c r="CC1799" s="2" t="s">
        <v>213</v>
      </c>
      <c r="CD1799" s="2" t="s">
        <v>200</v>
      </c>
      <c r="CE1799" s="4"/>
      <c r="CF1799" s="4">
        <v>74</v>
      </c>
      <c r="CG1799" s="4"/>
      <c r="CH1799" s="4"/>
      <c r="CI1799" s="4"/>
      <c r="CJ1799" s="4"/>
      <c r="CK1799" s="4"/>
      <c r="CL1799" s="4"/>
      <c r="CM1799" s="4"/>
      <c r="CN1799" s="4"/>
      <c r="CO1799" s="4"/>
      <c r="CP1799" s="4"/>
      <c r="CQ1799" s="4"/>
      <c r="CR1799" s="4"/>
      <c r="CS1799" s="4"/>
      <c r="CT1799" s="4"/>
      <c r="CU1799" s="4"/>
      <c r="CV1799" s="4"/>
      <c r="CW1799" s="4"/>
      <c r="CX1799" s="4"/>
      <c r="CY1799" s="4"/>
      <c r="CZ1799" s="4"/>
      <c r="DA1799" s="4"/>
      <c r="DB1799" s="4"/>
      <c r="DC1799" s="4"/>
      <c r="DD1799" s="4"/>
      <c r="DE1799" s="4"/>
      <c r="DF1799" s="4"/>
      <c r="DG1799" s="4"/>
      <c r="DH1799" s="4"/>
      <c r="DI1799" s="4"/>
      <c r="DJ1799" s="4"/>
      <c r="DK1799" s="4"/>
      <c r="DL1799" s="4"/>
      <c r="DM1799" s="4"/>
      <c r="DN1799" s="4"/>
      <c r="DO1799" s="4"/>
      <c r="DP1799" s="4"/>
      <c r="DQ1799" s="4"/>
      <c r="DR1799" s="4"/>
      <c r="DS1799" s="4"/>
      <c r="DT1799" s="4"/>
      <c r="DU1799" s="4"/>
      <c r="DV1799" s="4"/>
      <c r="DW1799" s="4"/>
      <c r="DX1799" s="4"/>
      <c r="DY1799" s="4"/>
      <c r="DZ1799" s="4"/>
      <c r="EA1799" s="4"/>
      <c r="EB1799" s="4"/>
      <c r="EC1799" s="4"/>
      <c r="ED1799" s="4"/>
      <c r="EE1799" s="4"/>
      <c r="EF1799" s="4"/>
      <c r="EG1799" s="4"/>
      <c r="EH1799" s="4"/>
      <c r="EI1799" s="4"/>
      <c r="EJ1799" s="4"/>
      <c r="EK1799" s="4"/>
      <c r="EL1799" s="4"/>
      <c r="EM1799" s="4"/>
      <c r="EN1799" s="4"/>
      <c r="EO1799" s="4"/>
      <c r="EP1799" s="4"/>
      <c r="EQ1799" s="4"/>
      <c r="ER1799" s="4"/>
      <c r="ES1799" s="4"/>
      <c r="ET1799" s="4"/>
      <c r="EU1799" s="4"/>
      <c r="EV1799" s="4"/>
      <c r="EW1799" s="4"/>
      <c r="EX1799" s="4"/>
      <c r="EY1799" s="4"/>
      <c r="EZ1799" s="4"/>
      <c r="FA1799" s="4"/>
      <c r="FB1799" s="4"/>
      <c r="FC1799" s="4"/>
      <c r="FD1799" s="4"/>
      <c r="FE1799" s="4"/>
      <c r="FF1799" s="4"/>
      <c r="FG1799" s="4"/>
      <c r="FH1799" s="4"/>
      <c r="FI1799" s="4"/>
      <c r="FJ1799" s="4"/>
      <c r="FK1799" s="4"/>
      <c r="FL1799" s="4"/>
      <c r="FM1799" s="4"/>
      <c r="FN1799" s="4"/>
      <c r="FO1799" s="4"/>
      <c r="FP1799" s="4"/>
      <c r="FQ1799" s="4"/>
      <c r="FR1799" s="4"/>
      <c r="FS1799" s="4"/>
      <c r="FT1799" s="4"/>
      <c r="FU1799" s="4"/>
      <c r="FV1799" s="4"/>
      <c r="FW1799" s="4"/>
      <c r="FX1799" s="4"/>
      <c r="FY1799" s="4"/>
      <c r="FZ1799" s="4"/>
      <c r="GA1799" s="4"/>
      <c r="GB1799" s="4"/>
      <c r="GC1799" s="4"/>
      <c r="GD1799" s="4"/>
      <c r="GE1799" s="4"/>
      <c r="GF1799" s="4"/>
      <c r="GG1799" s="4"/>
      <c r="GH1799" s="4"/>
    </row>
    <row r="1800">
      <c r="A1800" s="2" t="s">
        <v>9075</v>
      </c>
      <c r="B1800" s="2" t="s">
        <v>195</v>
      </c>
      <c r="C1800" s="2" t="s">
        <v>231</v>
      </c>
      <c r="D1800" s="2" t="s">
        <v>608</v>
      </c>
      <c r="E1800" s="2" t="s">
        <v>1324</v>
      </c>
      <c r="F1800" s="2" t="s">
        <v>9076</v>
      </c>
      <c r="G1800" s="2" t="s">
        <v>9077</v>
      </c>
      <c r="H1800" s="2" t="s">
        <v>9077</v>
      </c>
      <c r="I1800" s="2" t="s">
        <v>1761</v>
      </c>
      <c r="J1800" s="2" t="s">
        <v>256</v>
      </c>
      <c r="K1800" s="2" t="s">
        <v>221</v>
      </c>
      <c r="L1800" s="3">
        <v>28.57</v>
      </c>
      <c r="M1800" s="3">
        <v>30</v>
      </c>
      <c r="N1800" s="3">
        <v>59.99</v>
      </c>
      <c r="O1800" s="2" t="s">
        <v>212</v>
      </c>
      <c r="P1800" s="2" t="s">
        <v>205</v>
      </c>
      <c r="Q1800" s="2" t="s">
        <v>206</v>
      </c>
      <c r="R1800" s="2" t="s">
        <v>200</v>
      </c>
      <c r="S1800" s="2" t="s">
        <v>9078</v>
      </c>
      <c r="T1800" s="2" t="s">
        <v>1176</v>
      </c>
      <c r="U1800" s="2" t="s">
        <v>677</v>
      </c>
      <c r="V1800" s="2" t="s">
        <v>208</v>
      </c>
      <c r="W1800" s="2" t="s">
        <v>241</v>
      </c>
      <c r="X1800" s="2" t="s">
        <v>1399</v>
      </c>
      <c r="Y1800" s="2" t="s">
        <v>7888</v>
      </c>
      <c r="Z1800" s="4">
        <v>100</v>
      </c>
      <c r="AA1800" s="4">
        <f>=ROUNDDOWN(50,0)</f>
      </c>
      <c r="AB1800" s="5">
        <v>2</v>
      </c>
      <c r="AC1800" s="2" t="s">
        <v>1040</v>
      </c>
      <c r="AD1800" s="4">
        <v>130</v>
      </c>
      <c r="AE1800" s="4">
        <v>180</v>
      </c>
      <c r="AF1800" s="6">
        <v>65</v>
      </c>
      <c r="AG1800" s="6"/>
      <c r="AH1800" s="7">
        <v>1</v>
      </c>
      <c r="AI1800" s="4"/>
      <c r="AJ1800" s="4">
        <f>=ROUNDDOWN({0},0)</f>
      </c>
      <c r="AK1800" s="5"/>
      <c r="AL1800" s="2" t="s">
        <v>200</v>
      </c>
      <c r="AM1800" s="4"/>
      <c r="AN1800" s="4"/>
      <c r="AO1800" s="7"/>
      <c r="AP1800" s="4"/>
      <c r="AQ1800" s="8"/>
      <c r="AR1800" s="4"/>
      <c r="AS1800" s="8"/>
      <c r="AT1800" s="7"/>
      <c r="AU1800" s="7"/>
      <c r="AV1800" s="4" t="s">
        <v>200</v>
      </c>
      <c r="AW1800" s="8" t="s">
        <v>200</v>
      </c>
      <c r="AX1800" s="4" t="s">
        <v>200</v>
      </c>
      <c r="AY1800" s="8" t="s">
        <v>200</v>
      </c>
      <c r="AZ1800" s="7" t="s">
        <v>200</v>
      </c>
      <c r="BA1800" s="7" t="s">
        <v>200</v>
      </c>
      <c r="BB1800" s="7"/>
      <c r="BC1800" s="4" t="s">
        <v>200</v>
      </c>
      <c r="BD1800" s="8" t="s">
        <v>200</v>
      </c>
      <c r="BE1800" s="4" t="s">
        <v>200</v>
      </c>
      <c r="BF1800" s="8" t="s">
        <v>200</v>
      </c>
      <c r="BG1800" s="7" t="s">
        <v>200</v>
      </c>
      <c r="BH1800" s="7" t="s">
        <v>200</v>
      </c>
      <c r="BI1800" s="7"/>
      <c r="BJ1800" s="4">
        <v>10</v>
      </c>
      <c r="BK1800" s="8">
        <v>324.48</v>
      </c>
      <c r="BL1800" s="2" t="s">
        <v>359</v>
      </c>
      <c r="BM1800" s="7"/>
      <c r="BN1800" s="7"/>
      <c r="BO1800" s="4"/>
      <c r="BP1800" s="8"/>
      <c r="BQ1800" s="4"/>
      <c r="BR1800" s="8"/>
      <c r="BS1800" s="7"/>
      <c r="BT1800" s="7"/>
      <c r="BU1800" s="2" t="s">
        <v>9079</v>
      </c>
      <c r="BV1800" s="2" t="s">
        <v>200</v>
      </c>
      <c r="BW1800" s="2" t="s">
        <v>200</v>
      </c>
      <c r="BX1800" s="2" t="s">
        <v>264</v>
      </c>
      <c r="BY1800" s="2" t="s">
        <v>247</v>
      </c>
      <c r="BZ1800" s="2" t="s">
        <v>212</v>
      </c>
      <c r="CA1800" s="2" t="s">
        <v>1328</v>
      </c>
      <c r="CB1800" s="2" t="s">
        <v>200</v>
      </c>
      <c r="CC1800" s="2" t="s">
        <v>213</v>
      </c>
      <c r="CD1800" s="2" t="s">
        <v>200</v>
      </c>
      <c r="CE1800" s="4">
        <v>45</v>
      </c>
      <c r="CF1800" s="4">
        <v>55</v>
      </c>
      <c r="CG1800" s="4"/>
      <c r="CH1800" s="4"/>
      <c r="CI1800" s="4"/>
      <c r="CJ1800" s="4"/>
      <c r="CK1800" s="4"/>
      <c r="CL1800" s="4"/>
      <c r="CM1800" s="4"/>
      <c r="CN1800" s="4"/>
      <c r="CO1800" s="4"/>
      <c r="CP1800" s="4"/>
      <c r="CQ1800" s="4"/>
      <c r="CR1800" s="4"/>
      <c r="CS1800" s="4"/>
      <c r="CT1800" s="4"/>
      <c r="CU1800" s="4"/>
      <c r="CV1800" s="4"/>
      <c r="CW1800" s="4"/>
      <c r="CX1800" s="4"/>
      <c r="CY1800" s="4"/>
      <c r="CZ1800" s="4"/>
      <c r="DA1800" s="4"/>
      <c r="DB1800" s="4"/>
      <c r="DC1800" s="4"/>
      <c r="DD1800" s="4"/>
      <c r="DE1800" s="4"/>
      <c r="DF1800" s="4"/>
      <c r="DG1800" s="4"/>
      <c r="DH1800" s="4"/>
      <c r="DI1800" s="4"/>
      <c r="DJ1800" s="4"/>
      <c r="DK1800" s="4"/>
      <c r="DL1800" s="4"/>
      <c r="DM1800" s="4"/>
      <c r="DN1800" s="4"/>
      <c r="DO1800" s="4"/>
      <c r="DP1800" s="4"/>
      <c r="DQ1800" s="4"/>
      <c r="DR1800" s="4"/>
      <c r="DS1800" s="4"/>
      <c r="DT1800" s="4"/>
      <c r="DU1800" s="4"/>
      <c r="DV1800" s="4">
        <v>130</v>
      </c>
      <c r="DW1800" s="4"/>
      <c r="DX1800" s="4"/>
      <c r="DY1800" s="4"/>
      <c r="DZ1800" s="4"/>
      <c r="EA1800" s="4"/>
      <c r="EB1800" s="4"/>
      <c r="EC1800" s="4"/>
      <c r="ED1800" s="4"/>
      <c r="EE1800" s="4"/>
      <c r="EF1800" s="4"/>
      <c r="EG1800" s="4"/>
      <c r="EH1800" s="4"/>
      <c r="EI1800" s="4"/>
      <c r="EJ1800" s="4"/>
      <c r="EK1800" s="4"/>
      <c r="EL1800" s="4"/>
      <c r="EM1800" s="4"/>
      <c r="EN1800" s="4"/>
      <c r="EO1800" s="4"/>
      <c r="EP1800" s="4"/>
      <c r="EQ1800" s="4"/>
      <c r="ER1800" s="4"/>
      <c r="ES1800" s="4"/>
      <c r="ET1800" s="4"/>
      <c r="EU1800" s="4"/>
      <c r="EV1800" s="4"/>
      <c r="EW1800" s="4"/>
      <c r="EX1800" s="4"/>
      <c r="EY1800" s="4"/>
      <c r="EZ1800" s="4"/>
      <c r="FA1800" s="4"/>
      <c r="FB1800" s="4"/>
      <c r="FC1800" s="4">
        <v>50</v>
      </c>
      <c r="FD1800" s="4"/>
      <c r="FE1800" s="4"/>
      <c r="FF1800" s="4"/>
      <c r="FG1800" s="4"/>
      <c r="FH1800" s="4"/>
      <c r="FI1800" s="4"/>
      <c r="FJ1800" s="4"/>
      <c r="FK1800" s="4"/>
      <c r="FL1800" s="4"/>
      <c r="FM1800" s="4"/>
      <c r="FN1800" s="4"/>
      <c r="FO1800" s="4"/>
      <c r="FP1800" s="4"/>
      <c r="FQ1800" s="4"/>
      <c r="FR1800" s="4"/>
      <c r="FS1800" s="4"/>
      <c r="FT1800" s="4"/>
      <c r="FU1800" s="4"/>
      <c r="FV1800" s="4"/>
      <c r="FW1800" s="4"/>
      <c r="FX1800" s="4"/>
      <c r="FY1800" s="4"/>
      <c r="FZ1800" s="4"/>
      <c r="GA1800" s="4"/>
      <c r="GB1800" s="4"/>
      <c r="GC1800" s="4"/>
      <c r="GD1800" s="4"/>
      <c r="GE1800" s="4"/>
      <c r="GF1800" s="4"/>
      <c r="GG1800" s="4"/>
      <c r="GH1800" s="4"/>
    </row>
    <row r="1801">
      <c r="A1801" s="2" t="s">
        <v>9080</v>
      </c>
      <c r="B1801" s="2" t="s">
        <v>195</v>
      </c>
      <c r="C1801" s="2" t="s">
        <v>231</v>
      </c>
      <c r="D1801" s="2" t="s">
        <v>608</v>
      </c>
      <c r="E1801" s="2" t="s">
        <v>1324</v>
      </c>
      <c r="F1801" s="2" t="s">
        <v>9076</v>
      </c>
      <c r="G1801" s="2" t="s">
        <v>9077</v>
      </c>
      <c r="H1801" s="2" t="s">
        <v>9077</v>
      </c>
      <c r="I1801" s="2" t="s">
        <v>1761</v>
      </c>
      <c r="J1801" s="2" t="s">
        <v>612</v>
      </c>
      <c r="K1801" s="2" t="s">
        <v>221</v>
      </c>
      <c r="L1801" s="3">
        <v>33.33</v>
      </c>
      <c r="M1801" s="3">
        <v>35</v>
      </c>
      <c r="N1801" s="3">
        <v>69.99</v>
      </c>
      <c r="O1801" s="2" t="s">
        <v>212</v>
      </c>
      <c r="P1801" s="2" t="s">
        <v>205</v>
      </c>
      <c r="Q1801" s="2" t="s">
        <v>206</v>
      </c>
      <c r="R1801" s="2" t="s">
        <v>200</v>
      </c>
      <c r="S1801" s="2" t="s">
        <v>9078</v>
      </c>
      <c r="T1801" s="2" t="s">
        <v>1176</v>
      </c>
      <c r="U1801" s="2" t="s">
        <v>454</v>
      </c>
      <c r="V1801" s="2" t="s">
        <v>208</v>
      </c>
      <c r="W1801" s="2" t="s">
        <v>241</v>
      </c>
      <c r="X1801" s="2" t="s">
        <v>1399</v>
      </c>
      <c r="Y1801" s="2" t="s">
        <v>7888</v>
      </c>
      <c r="Z1801" s="4">
        <v>279</v>
      </c>
      <c r="AA1801" s="4">
        <f>=ROUNDDOWN(46.5,0)</f>
      </c>
      <c r="AB1801" s="5">
        <v>6</v>
      </c>
      <c r="AC1801" s="2" t="s">
        <v>1040</v>
      </c>
      <c r="AD1801" s="4">
        <v>250</v>
      </c>
      <c r="AE1801" s="4">
        <v>350</v>
      </c>
      <c r="AF1801" s="6">
        <v>65</v>
      </c>
      <c r="AG1801" s="6"/>
      <c r="AH1801" s="7">
        <v>1</v>
      </c>
      <c r="AI1801" s="4"/>
      <c r="AJ1801" s="4">
        <f>=ROUNDDOWN({0},0)</f>
      </c>
      <c r="AK1801" s="5"/>
      <c r="AL1801" s="2" t="s">
        <v>200</v>
      </c>
      <c r="AM1801" s="4"/>
      <c r="AN1801" s="4"/>
      <c r="AO1801" s="7"/>
      <c r="AP1801" s="4"/>
      <c r="AQ1801" s="8"/>
      <c r="AR1801" s="4"/>
      <c r="AS1801" s="8"/>
      <c r="AT1801" s="7"/>
      <c r="AU1801" s="7"/>
      <c r="AV1801" s="4" t="s">
        <v>200</v>
      </c>
      <c r="AW1801" s="8" t="s">
        <v>200</v>
      </c>
      <c r="AX1801" s="4" t="s">
        <v>200</v>
      </c>
      <c r="AY1801" s="8" t="s">
        <v>200</v>
      </c>
      <c r="AZ1801" s="7" t="s">
        <v>200</v>
      </c>
      <c r="BA1801" s="7" t="s">
        <v>200</v>
      </c>
      <c r="BB1801" s="7"/>
      <c r="BC1801" s="4" t="s">
        <v>200</v>
      </c>
      <c r="BD1801" s="8" t="s">
        <v>200</v>
      </c>
      <c r="BE1801" s="4" t="s">
        <v>200</v>
      </c>
      <c r="BF1801" s="8" t="s">
        <v>200</v>
      </c>
      <c r="BG1801" s="7" t="s">
        <v>200</v>
      </c>
      <c r="BH1801" s="7" t="s">
        <v>200</v>
      </c>
      <c r="BI1801" s="7"/>
      <c r="BJ1801" s="4">
        <v>31</v>
      </c>
      <c r="BK1801" s="8">
        <v>1178.7</v>
      </c>
      <c r="BL1801" s="2" t="s">
        <v>359</v>
      </c>
      <c r="BM1801" s="7"/>
      <c r="BN1801" s="7"/>
      <c r="BO1801" s="4"/>
      <c r="BP1801" s="8"/>
      <c r="BQ1801" s="4"/>
      <c r="BR1801" s="8"/>
      <c r="BS1801" s="7"/>
      <c r="BT1801" s="7"/>
      <c r="BU1801" s="2" t="s">
        <v>9081</v>
      </c>
      <c r="BV1801" s="2" t="s">
        <v>200</v>
      </c>
      <c r="BW1801" s="2" t="s">
        <v>200</v>
      </c>
      <c r="BX1801" s="2" t="s">
        <v>264</v>
      </c>
      <c r="BY1801" s="2" t="s">
        <v>247</v>
      </c>
      <c r="BZ1801" s="2" t="s">
        <v>212</v>
      </c>
      <c r="CA1801" s="2" t="s">
        <v>1328</v>
      </c>
      <c r="CB1801" s="2" t="s">
        <v>200</v>
      </c>
      <c r="CC1801" s="2" t="s">
        <v>213</v>
      </c>
      <c r="CD1801" s="2" t="s">
        <v>200</v>
      </c>
      <c r="CE1801" s="4">
        <v>121</v>
      </c>
      <c r="CF1801" s="4">
        <v>158</v>
      </c>
      <c r="CG1801" s="4"/>
      <c r="CH1801" s="4"/>
      <c r="CI1801" s="4"/>
      <c r="CJ1801" s="4"/>
      <c r="CK1801" s="4"/>
      <c r="CL1801" s="4"/>
      <c r="CM1801" s="4"/>
      <c r="CN1801" s="4"/>
      <c r="CO1801" s="4"/>
      <c r="CP1801" s="4"/>
      <c r="CQ1801" s="4"/>
      <c r="CR1801" s="4"/>
      <c r="CS1801" s="4"/>
      <c r="CT1801" s="4"/>
      <c r="CU1801" s="4"/>
      <c r="CV1801" s="4"/>
      <c r="CW1801" s="4"/>
      <c r="CX1801" s="4"/>
      <c r="CY1801" s="4"/>
      <c r="CZ1801" s="4"/>
      <c r="DA1801" s="4"/>
      <c r="DB1801" s="4"/>
      <c r="DC1801" s="4"/>
      <c r="DD1801" s="4"/>
      <c r="DE1801" s="4"/>
      <c r="DF1801" s="4"/>
      <c r="DG1801" s="4"/>
      <c r="DH1801" s="4"/>
      <c r="DI1801" s="4"/>
      <c r="DJ1801" s="4"/>
      <c r="DK1801" s="4"/>
      <c r="DL1801" s="4"/>
      <c r="DM1801" s="4"/>
      <c r="DN1801" s="4"/>
      <c r="DO1801" s="4"/>
      <c r="DP1801" s="4"/>
      <c r="DQ1801" s="4"/>
      <c r="DR1801" s="4"/>
      <c r="DS1801" s="4"/>
      <c r="DT1801" s="4"/>
      <c r="DU1801" s="4"/>
      <c r="DV1801" s="4">
        <v>250</v>
      </c>
      <c r="DW1801" s="4"/>
      <c r="DX1801" s="4"/>
      <c r="DY1801" s="4"/>
      <c r="DZ1801" s="4"/>
      <c r="EA1801" s="4"/>
      <c r="EB1801" s="4"/>
      <c r="EC1801" s="4"/>
      <c r="ED1801" s="4"/>
      <c r="EE1801" s="4"/>
      <c r="EF1801" s="4"/>
      <c r="EG1801" s="4"/>
      <c r="EH1801" s="4"/>
      <c r="EI1801" s="4"/>
      <c r="EJ1801" s="4"/>
      <c r="EK1801" s="4"/>
      <c r="EL1801" s="4"/>
      <c r="EM1801" s="4"/>
      <c r="EN1801" s="4"/>
      <c r="EO1801" s="4"/>
      <c r="EP1801" s="4"/>
      <c r="EQ1801" s="4"/>
      <c r="ER1801" s="4"/>
      <c r="ES1801" s="4"/>
      <c r="ET1801" s="4"/>
      <c r="EU1801" s="4"/>
      <c r="EV1801" s="4"/>
      <c r="EW1801" s="4"/>
      <c r="EX1801" s="4"/>
      <c r="EY1801" s="4"/>
      <c r="EZ1801" s="4"/>
      <c r="FA1801" s="4"/>
      <c r="FB1801" s="4"/>
      <c r="FC1801" s="4">
        <v>100</v>
      </c>
      <c r="FD1801" s="4"/>
      <c r="FE1801" s="4"/>
      <c r="FF1801" s="4"/>
      <c r="FG1801" s="4"/>
      <c r="FH1801" s="4"/>
      <c r="FI1801" s="4"/>
      <c r="FJ1801" s="4"/>
      <c r="FK1801" s="4"/>
      <c r="FL1801" s="4"/>
      <c r="FM1801" s="4"/>
      <c r="FN1801" s="4"/>
      <c r="FO1801" s="4"/>
      <c r="FP1801" s="4"/>
      <c r="FQ1801" s="4"/>
      <c r="FR1801" s="4"/>
      <c r="FS1801" s="4"/>
      <c r="FT1801" s="4"/>
      <c r="FU1801" s="4"/>
      <c r="FV1801" s="4"/>
      <c r="FW1801" s="4"/>
      <c r="FX1801" s="4"/>
      <c r="FY1801" s="4"/>
      <c r="FZ1801" s="4"/>
      <c r="GA1801" s="4"/>
      <c r="GB1801" s="4"/>
      <c r="GC1801" s="4"/>
      <c r="GD1801" s="4"/>
      <c r="GE1801" s="4"/>
      <c r="GF1801" s="4"/>
      <c r="GG1801" s="4"/>
      <c r="GH1801" s="4"/>
    </row>
    <row r="1802">
      <c r="A1802" s="2" t="s">
        <v>9082</v>
      </c>
      <c r="B1802" s="2" t="s">
        <v>195</v>
      </c>
      <c r="C1802" s="2" t="s">
        <v>231</v>
      </c>
      <c r="D1802" s="2" t="s">
        <v>608</v>
      </c>
      <c r="E1802" s="2" t="s">
        <v>1324</v>
      </c>
      <c r="F1802" s="2" t="s">
        <v>9076</v>
      </c>
      <c r="G1802" s="2" t="s">
        <v>9077</v>
      </c>
      <c r="H1802" s="2" t="s">
        <v>9077</v>
      </c>
      <c r="I1802" s="2" t="s">
        <v>1761</v>
      </c>
      <c r="J1802" s="2" t="s">
        <v>302</v>
      </c>
      <c r="K1802" s="2" t="s">
        <v>221</v>
      </c>
      <c r="L1802" s="3">
        <v>38.09</v>
      </c>
      <c r="M1802" s="3">
        <v>39.99</v>
      </c>
      <c r="N1802" s="3">
        <v>79.99</v>
      </c>
      <c r="O1802" s="2" t="s">
        <v>212</v>
      </c>
      <c r="P1802" s="2" t="s">
        <v>205</v>
      </c>
      <c r="Q1802" s="2" t="s">
        <v>206</v>
      </c>
      <c r="R1802" s="2" t="s">
        <v>200</v>
      </c>
      <c r="S1802" s="2" t="s">
        <v>9078</v>
      </c>
      <c r="T1802" s="2" t="s">
        <v>1176</v>
      </c>
      <c r="U1802" s="2" t="s">
        <v>454</v>
      </c>
      <c r="V1802" s="2" t="s">
        <v>208</v>
      </c>
      <c r="W1802" s="2" t="s">
        <v>241</v>
      </c>
      <c r="X1802" s="2" t="s">
        <v>1399</v>
      </c>
      <c r="Y1802" s="2" t="s">
        <v>7888</v>
      </c>
      <c r="Z1802" s="4">
        <v>278</v>
      </c>
      <c r="AA1802" s="4">
        <f>=ROUNDDOWN(46.3333333333333,0)</f>
      </c>
      <c r="AB1802" s="5">
        <v>6</v>
      </c>
      <c r="AC1802" s="2" t="s">
        <v>1040</v>
      </c>
      <c r="AD1802" s="4">
        <v>170</v>
      </c>
      <c r="AE1802" s="4">
        <v>270</v>
      </c>
      <c r="AF1802" s="6">
        <v>65</v>
      </c>
      <c r="AG1802" s="6"/>
      <c r="AH1802" s="7">
        <v>1</v>
      </c>
      <c r="AI1802" s="4"/>
      <c r="AJ1802" s="4">
        <f>=ROUNDDOWN({0},0)</f>
      </c>
      <c r="AK1802" s="5"/>
      <c r="AL1802" s="2" t="s">
        <v>200</v>
      </c>
      <c r="AM1802" s="4"/>
      <c r="AN1802" s="4"/>
      <c r="AO1802" s="7"/>
      <c r="AP1802" s="4"/>
      <c r="AQ1802" s="8"/>
      <c r="AR1802" s="4"/>
      <c r="AS1802" s="8"/>
      <c r="AT1802" s="7"/>
      <c r="AU1802" s="7"/>
      <c r="AV1802" s="4" t="s">
        <v>200</v>
      </c>
      <c r="AW1802" s="8" t="s">
        <v>200</v>
      </c>
      <c r="AX1802" s="4" t="s">
        <v>200</v>
      </c>
      <c r="AY1802" s="8" t="s">
        <v>200</v>
      </c>
      <c r="AZ1802" s="7" t="s">
        <v>200</v>
      </c>
      <c r="BA1802" s="7" t="s">
        <v>200</v>
      </c>
      <c r="BB1802" s="7"/>
      <c r="BC1802" s="4" t="s">
        <v>200</v>
      </c>
      <c r="BD1802" s="8" t="s">
        <v>200</v>
      </c>
      <c r="BE1802" s="4" t="s">
        <v>200</v>
      </c>
      <c r="BF1802" s="8" t="s">
        <v>200</v>
      </c>
      <c r="BG1802" s="7" t="s">
        <v>200</v>
      </c>
      <c r="BH1802" s="7" t="s">
        <v>200</v>
      </c>
      <c r="BI1802" s="7"/>
      <c r="BJ1802" s="4">
        <v>32</v>
      </c>
      <c r="BK1802" s="8">
        <v>1394.28</v>
      </c>
      <c r="BL1802" s="2" t="s">
        <v>1184</v>
      </c>
      <c r="BM1802" s="7"/>
      <c r="BN1802" s="7"/>
      <c r="BO1802" s="4"/>
      <c r="BP1802" s="8"/>
      <c r="BQ1802" s="4"/>
      <c r="BR1802" s="8"/>
      <c r="BS1802" s="7"/>
      <c r="BT1802" s="7"/>
      <c r="BU1802" s="2" t="s">
        <v>9083</v>
      </c>
      <c r="BV1802" s="2" t="s">
        <v>200</v>
      </c>
      <c r="BW1802" s="2" t="s">
        <v>200</v>
      </c>
      <c r="BX1802" s="2" t="s">
        <v>264</v>
      </c>
      <c r="BY1802" s="2" t="s">
        <v>247</v>
      </c>
      <c r="BZ1802" s="2" t="s">
        <v>212</v>
      </c>
      <c r="CA1802" s="2" t="s">
        <v>1328</v>
      </c>
      <c r="CB1802" s="2" t="s">
        <v>200</v>
      </c>
      <c r="CC1802" s="2" t="s">
        <v>213</v>
      </c>
      <c r="CD1802" s="2" t="s">
        <v>200</v>
      </c>
      <c r="CE1802" s="4">
        <v>182</v>
      </c>
      <c r="CF1802" s="4">
        <v>96</v>
      </c>
      <c r="CG1802" s="4"/>
      <c r="CH1802" s="4"/>
      <c r="CI1802" s="4"/>
      <c r="CJ1802" s="4"/>
      <c r="CK1802" s="4"/>
      <c r="CL1802" s="4"/>
      <c r="CM1802" s="4"/>
      <c r="CN1802" s="4"/>
      <c r="CO1802" s="4"/>
      <c r="CP1802" s="4"/>
      <c r="CQ1802" s="4"/>
      <c r="CR1802" s="4"/>
      <c r="CS1802" s="4"/>
      <c r="CT1802" s="4"/>
      <c r="CU1802" s="4"/>
      <c r="CV1802" s="4"/>
      <c r="CW1802" s="4"/>
      <c r="CX1802" s="4"/>
      <c r="CY1802" s="4"/>
      <c r="CZ1802" s="4"/>
      <c r="DA1802" s="4"/>
      <c r="DB1802" s="4"/>
      <c r="DC1802" s="4"/>
      <c r="DD1802" s="4"/>
      <c r="DE1802" s="4"/>
      <c r="DF1802" s="4"/>
      <c r="DG1802" s="4"/>
      <c r="DH1802" s="4"/>
      <c r="DI1802" s="4"/>
      <c r="DJ1802" s="4"/>
      <c r="DK1802" s="4"/>
      <c r="DL1802" s="4"/>
      <c r="DM1802" s="4"/>
      <c r="DN1802" s="4"/>
      <c r="DO1802" s="4"/>
      <c r="DP1802" s="4"/>
      <c r="DQ1802" s="4"/>
      <c r="DR1802" s="4"/>
      <c r="DS1802" s="4"/>
      <c r="DT1802" s="4"/>
      <c r="DU1802" s="4"/>
      <c r="DV1802" s="4">
        <v>170</v>
      </c>
      <c r="DW1802" s="4"/>
      <c r="DX1802" s="4"/>
      <c r="DY1802" s="4"/>
      <c r="DZ1802" s="4"/>
      <c r="EA1802" s="4"/>
      <c r="EB1802" s="4"/>
      <c r="EC1802" s="4"/>
      <c r="ED1802" s="4"/>
      <c r="EE1802" s="4"/>
      <c r="EF1802" s="4"/>
      <c r="EG1802" s="4"/>
      <c r="EH1802" s="4"/>
      <c r="EI1802" s="4"/>
      <c r="EJ1802" s="4"/>
      <c r="EK1802" s="4"/>
      <c r="EL1802" s="4"/>
      <c r="EM1802" s="4"/>
      <c r="EN1802" s="4"/>
      <c r="EO1802" s="4"/>
      <c r="EP1802" s="4"/>
      <c r="EQ1802" s="4"/>
      <c r="ER1802" s="4"/>
      <c r="ES1802" s="4"/>
      <c r="ET1802" s="4"/>
      <c r="EU1802" s="4"/>
      <c r="EV1802" s="4"/>
      <c r="EW1802" s="4"/>
      <c r="EX1802" s="4"/>
      <c r="EY1802" s="4"/>
      <c r="EZ1802" s="4"/>
      <c r="FA1802" s="4"/>
      <c r="FB1802" s="4"/>
      <c r="FC1802" s="4">
        <v>100</v>
      </c>
      <c r="FD1802" s="4"/>
      <c r="FE1802" s="4"/>
      <c r="FF1802" s="4"/>
      <c r="FG1802" s="4"/>
      <c r="FH1802" s="4"/>
      <c r="FI1802" s="4"/>
      <c r="FJ1802" s="4"/>
      <c r="FK1802" s="4"/>
      <c r="FL1802" s="4"/>
      <c r="FM1802" s="4"/>
      <c r="FN1802" s="4"/>
      <c r="FO1802" s="4"/>
      <c r="FP1802" s="4"/>
      <c r="FQ1802" s="4"/>
      <c r="FR1802" s="4"/>
      <c r="FS1802" s="4"/>
      <c r="FT1802" s="4"/>
      <c r="FU1802" s="4"/>
      <c r="FV1802" s="4"/>
      <c r="FW1802" s="4"/>
      <c r="FX1802" s="4"/>
      <c r="FY1802" s="4"/>
      <c r="FZ1802" s="4"/>
      <c r="GA1802" s="4"/>
      <c r="GB1802" s="4"/>
      <c r="GC1802" s="4"/>
      <c r="GD1802" s="4"/>
      <c r="GE1802" s="4"/>
      <c r="GF1802" s="4"/>
      <c r="GG1802" s="4"/>
      <c r="GH1802" s="4"/>
    </row>
    <row r="1803">
      <c r="A1803" s="2" t="s">
        <v>9084</v>
      </c>
      <c r="B1803" s="2" t="s">
        <v>903</v>
      </c>
      <c r="C1803" s="2" t="s">
        <v>231</v>
      </c>
      <c r="D1803" s="2" t="s">
        <v>1818</v>
      </c>
      <c r="E1803" s="2" t="s">
        <v>1819</v>
      </c>
      <c r="F1803" s="2" t="s">
        <v>9085</v>
      </c>
      <c r="G1803" s="2" t="s">
        <v>9086</v>
      </c>
      <c r="H1803" s="2" t="s">
        <v>9087</v>
      </c>
      <c r="I1803" s="2" t="s">
        <v>8726</v>
      </c>
      <c r="J1803" s="2" t="s">
        <v>1390</v>
      </c>
      <c r="K1803" s="2" t="s">
        <v>733</v>
      </c>
      <c r="L1803" s="3">
        <v>49.99</v>
      </c>
      <c r="M1803" s="3">
        <v>52.49</v>
      </c>
      <c r="N1803" s="3">
        <v>99.99</v>
      </c>
      <c r="O1803" s="2" t="s">
        <v>212</v>
      </c>
      <c r="P1803" s="2" t="s">
        <v>258</v>
      </c>
      <c r="Q1803" s="2" t="s">
        <v>206</v>
      </c>
      <c r="R1803" s="2" t="s">
        <v>200</v>
      </c>
      <c r="S1803" s="2" t="s">
        <v>9088</v>
      </c>
      <c r="T1803" s="2" t="s">
        <v>378</v>
      </c>
      <c r="U1803" s="2" t="s">
        <v>615</v>
      </c>
      <c r="V1803" s="2" t="s">
        <v>339</v>
      </c>
      <c r="W1803" s="2" t="s">
        <v>2166</v>
      </c>
      <c r="X1803" s="2" t="s">
        <v>200</v>
      </c>
      <c r="Y1803" s="2" t="s">
        <v>261</v>
      </c>
      <c r="Z1803" s="4">
        <v>51</v>
      </c>
      <c r="AA1803" s="4">
        <f>=ROUNDDOWN(25.5,0)</f>
      </c>
      <c r="AB1803" s="5">
        <v>2</v>
      </c>
      <c r="AC1803" s="2" t="s">
        <v>200</v>
      </c>
      <c r="AD1803" s="4"/>
      <c r="AE1803" s="4"/>
      <c r="AF1803" s="6">
        <v>65</v>
      </c>
      <c r="AG1803" s="6"/>
      <c r="AH1803" s="7">
        <v>1</v>
      </c>
      <c r="AI1803" s="4"/>
      <c r="AJ1803" s="4">
        <f>=ROUNDDOWN({0},0)</f>
      </c>
      <c r="AK1803" s="5"/>
      <c r="AL1803" s="2" t="s">
        <v>200</v>
      </c>
      <c r="AM1803" s="4"/>
      <c r="AN1803" s="4"/>
      <c r="AO1803" s="7"/>
      <c r="AP1803" s="4"/>
      <c r="AQ1803" s="8"/>
      <c r="AR1803" s="4"/>
      <c r="AS1803" s="8"/>
      <c r="AT1803" s="7"/>
      <c r="AU1803" s="7"/>
      <c r="AV1803" s="4"/>
      <c r="AW1803" s="8"/>
      <c r="AX1803" s="4"/>
      <c r="AY1803" s="8"/>
      <c r="AZ1803" s="7"/>
      <c r="BA1803" s="7"/>
      <c r="BB1803" s="7"/>
      <c r="BC1803" s="4"/>
      <c r="BD1803" s="8"/>
      <c r="BE1803" s="4"/>
      <c r="BF1803" s="8"/>
      <c r="BG1803" s="7"/>
      <c r="BH1803" s="7"/>
      <c r="BI1803" s="7"/>
      <c r="BJ1803" s="4">
        <v>8</v>
      </c>
      <c r="BK1803" s="8">
        <v>396.1</v>
      </c>
      <c r="BL1803" s="2" t="s">
        <v>9089</v>
      </c>
      <c r="BM1803" s="7"/>
      <c r="BN1803" s="7"/>
      <c r="BO1803" s="4"/>
      <c r="BP1803" s="8"/>
      <c r="BQ1803" s="4"/>
      <c r="BR1803" s="8"/>
      <c r="BS1803" s="7"/>
      <c r="BT1803" s="7"/>
      <c r="BU1803" s="2" t="s">
        <v>9090</v>
      </c>
      <c r="BV1803" s="2" t="s">
        <v>200</v>
      </c>
      <c r="BW1803" s="2" t="s">
        <v>200</v>
      </c>
      <c r="BX1803" s="2" t="s">
        <v>264</v>
      </c>
      <c r="BY1803" s="2" t="s">
        <v>247</v>
      </c>
      <c r="BZ1803" s="2" t="s">
        <v>212</v>
      </c>
      <c r="CA1803" s="2" t="s">
        <v>265</v>
      </c>
      <c r="CB1803" s="2" t="s">
        <v>6665</v>
      </c>
      <c r="CC1803" s="2" t="s">
        <v>213</v>
      </c>
      <c r="CD1803" s="2" t="s">
        <v>200</v>
      </c>
      <c r="CE1803" s="4">
        <v>51</v>
      </c>
      <c r="CF1803" s="4"/>
      <c r="CG1803" s="4"/>
      <c r="CH1803" s="4"/>
      <c r="CI1803" s="4"/>
      <c r="CJ1803" s="4"/>
      <c r="CK1803" s="4"/>
      <c r="CL1803" s="4"/>
      <c r="CM1803" s="4"/>
      <c r="CN1803" s="4"/>
      <c r="CO1803" s="4"/>
      <c r="CP1803" s="4"/>
      <c r="CQ1803" s="4"/>
      <c r="CR1803" s="4"/>
      <c r="CS1803" s="4"/>
      <c r="CT1803" s="4"/>
      <c r="CU1803" s="4"/>
      <c r="CV1803" s="4"/>
      <c r="CW1803" s="4"/>
      <c r="CX1803" s="4"/>
      <c r="CY1803" s="4"/>
      <c r="CZ1803" s="4"/>
      <c r="DA1803" s="4"/>
      <c r="DB1803" s="4"/>
      <c r="DC1803" s="4"/>
      <c r="DD1803" s="4"/>
      <c r="DE1803" s="4"/>
      <c r="DF1803" s="4"/>
      <c r="DG1803" s="4"/>
      <c r="DH1803" s="4"/>
      <c r="DI1803" s="4"/>
      <c r="DJ1803" s="4"/>
      <c r="DK1803" s="4"/>
      <c r="DL1803" s="4"/>
      <c r="DM1803" s="4"/>
      <c r="DN1803" s="4"/>
      <c r="DO1803" s="4"/>
      <c r="DP1803" s="4"/>
      <c r="DQ1803" s="4"/>
      <c r="DR1803" s="4"/>
      <c r="DS1803" s="4"/>
      <c r="DT1803" s="4"/>
      <c r="DU1803" s="4"/>
      <c r="DV1803" s="4"/>
      <c r="DW1803" s="4"/>
      <c r="DX1803" s="4"/>
      <c r="DY1803" s="4"/>
      <c r="DZ1803" s="4"/>
      <c r="EA1803" s="4"/>
      <c r="EB1803" s="4"/>
      <c r="EC1803" s="4"/>
      <c r="ED1803" s="4"/>
      <c r="EE1803" s="4"/>
      <c r="EF1803" s="4"/>
      <c r="EG1803" s="4"/>
      <c r="EH1803" s="4"/>
      <c r="EI1803" s="4"/>
      <c r="EJ1803" s="4"/>
      <c r="EK1803" s="4"/>
      <c r="EL1803" s="4"/>
      <c r="EM1803" s="4"/>
      <c r="EN1803" s="4"/>
      <c r="EO1803" s="4"/>
      <c r="EP1803" s="4"/>
      <c r="EQ1803" s="4"/>
      <c r="ER1803" s="4"/>
      <c r="ES1803" s="4"/>
      <c r="ET1803" s="4"/>
      <c r="EU1803" s="4"/>
      <c r="EV1803" s="4"/>
      <c r="EW1803" s="4"/>
      <c r="EX1803" s="4"/>
      <c r="EY1803" s="4"/>
      <c r="EZ1803" s="4"/>
      <c r="FA1803" s="4"/>
      <c r="FB1803" s="4"/>
      <c r="FC1803" s="4"/>
      <c r="FD1803" s="4"/>
      <c r="FE1803" s="4"/>
      <c r="FF1803" s="4"/>
      <c r="FG1803" s="4"/>
      <c r="FH1803" s="4"/>
      <c r="FI1803" s="4"/>
      <c r="FJ1803" s="4"/>
      <c r="FK1803" s="4"/>
      <c r="FL1803" s="4"/>
      <c r="FM1803" s="4"/>
      <c r="FN1803" s="4"/>
      <c r="FO1803" s="4"/>
      <c r="FP1803" s="4"/>
      <c r="FQ1803" s="4"/>
      <c r="FR1803" s="4"/>
      <c r="FS1803" s="4"/>
      <c r="FT1803" s="4"/>
      <c r="FU1803" s="4"/>
      <c r="FV1803" s="4"/>
      <c r="FW1803" s="4"/>
      <c r="FX1803" s="4"/>
      <c r="FY1803" s="4"/>
      <c r="FZ1803" s="4"/>
      <c r="GA1803" s="4"/>
      <c r="GB1803" s="4"/>
      <c r="GC1803" s="4"/>
      <c r="GD1803" s="4"/>
      <c r="GE1803" s="4"/>
      <c r="GF1803" s="4"/>
      <c r="GG1803" s="4"/>
      <c r="GH1803" s="4"/>
    </row>
    <row r="1804">
      <c r="A1804" s="2" t="s">
        <v>9091</v>
      </c>
      <c r="B1804" s="2" t="s">
        <v>705</v>
      </c>
      <c r="C1804" s="2" t="s">
        <v>1375</v>
      </c>
      <c r="D1804" s="2" t="s">
        <v>817</v>
      </c>
      <c r="E1804" s="2" t="s">
        <v>818</v>
      </c>
      <c r="F1804" s="2" t="s">
        <v>9092</v>
      </c>
      <c r="G1804" s="2" t="s">
        <v>9092</v>
      </c>
      <c r="H1804" s="2" t="s">
        <v>9092</v>
      </c>
      <c r="I1804" s="2" t="s">
        <v>9093</v>
      </c>
      <c r="J1804" s="2" t="s">
        <v>711</v>
      </c>
      <c r="K1804" s="2" t="s">
        <v>387</v>
      </c>
      <c r="L1804" s="3">
        <v>53</v>
      </c>
      <c r="M1804" s="3">
        <v>55.65</v>
      </c>
      <c r="N1804" s="3">
        <v>109.99</v>
      </c>
      <c r="O1804" s="2" t="s">
        <v>212</v>
      </c>
      <c r="P1804" s="2" t="s">
        <v>258</v>
      </c>
      <c r="Q1804" s="2" t="s">
        <v>206</v>
      </c>
      <c r="R1804" s="2" t="s">
        <v>200</v>
      </c>
      <c r="S1804" s="2" t="s">
        <v>200</v>
      </c>
      <c r="T1804" s="2" t="s">
        <v>200</v>
      </c>
      <c r="U1804" s="2" t="s">
        <v>270</v>
      </c>
      <c r="V1804" s="2" t="s">
        <v>616</v>
      </c>
      <c r="W1804" s="2" t="s">
        <v>419</v>
      </c>
      <c r="X1804" s="2" t="s">
        <v>242</v>
      </c>
      <c r="Y1804" s="2" t="s">
        <v>473</v>
      </c>
      <c r="Z1804" s="4">
        <v>20</v>
      </c>
      <c r="AA1804" s="4">
        <f>=ROUNDDOWN(10,0)</f>
      </c>
      <c r="AB1804" s="5">
        <v>2</v>
      </c>
      <c r="AC1804" s="2" t="s">
        <v>6165</v>
      </c>
      <c r="AD1804" s="4">
        <v>78</v>
      </c>
      <c r="AE1804" s="4">
        <v>78</v>
      </c>
      <c r="AF1804" s="6">
        <v>65</v>
      </c>
      <c r="AG1804" s="6"/>
      <c r="AH1804" s="7">
        <v>1</v>
      </c>
      <c r="AI1804" s="4"/>
      <c r="AJ1804" s="4">
        <f>=ROUNDDOWN({0},0)</f>
      </c>
      <c r="AK1804" s="5"/>
      <c r="AL1804" s="2" t="s">
        <v>200</v>
      </c>
      <c r="AM1804" s="4"/>
      <c r="AN1804" s="4"/>
      <c r="AO1804" s="7"/>
      <c r="AP1804" s="4"/>
      <c r="AQ1804" s="8"/>
      <c r="AR1804" s="4"/>
      <c r="AS1804" s="8"/>
      <c r="AT1804" s="7"/>
      <c r="AU1804" s="7"/>
      <c r="AV1804" s="4"/>
      <c r="AW1804" s="8"/>
      <c r="AX1804" s="4"/>
      <c r="AY1804" s="8"/>
      <c r="AZ1804" s="7"/>
      <c r="BA1804" s="7"/>
      <c r="BB1804" s="7"/>
      <c r="BC1804" s="4" t="s">
        <v>200</v>
      </c>
      <c r="BD1804" s="8" t="s">
        <v>200</v>
      </c>
      <c r="BE1804" s="4" t="s">
        <v>200</v>
      </c>
      <c r="BF1804" s="8" t="s">
        <v>200</v>
      </c>
      <c r="BG1804" s="7" t="s">
        <v>200</v>
      </c>
      <c r="BH1804" s="7" t="s">
        <v>200</v>
      </c>
      <c r="BI1804" s="7"/>
      <c r="BJ1804" s="4">
        <v>14</v>
      </c>
      <c r="BK1804" s="8">
        <v>806.36</v>
      </c>
      <c r="BL1804" s="2" t="s">
        <v>1483</v>
      </c>
      <c r="BM1804" s="7"/>
      <c r="BN1804" s="7"/>
      <c r="BO1804" s="4"/>
      <c r="BP1804" s="8"/>
      <c r="BQ1804" s="4"/>
      <c r="BR1804" s="8"/>
      <c r="BS1804" s="7"/>
      <c r="BT1804" s="7"/>
      <c r="BU1804" s="2" t="s">
        <v>9094</v>
      </c>
      <c r="BV1804" s="2" t="s">
        <v>200</v>
      </c>
      <c r="BW1804" s="2" t="s">
        <v>200</v>
      </c>
      <c r="BX1804" s="2" t="s">
        <v>264</v>
      </c>
      <c r="BY1804" s="2" t="s">
        <v>247</v>
      </c>
      <c r="BZ1804" s="2" t="s">
        <v>212</v>
      </c>
      <c r="CA1804" s="2" t="s">
        <v>6144</v>
      </c>
      <c r="CB1804" s="2" t="s">
        <v>200</v>
      </c>
      <c r="CC1804" s="2" t="s">
        <v>213</v>
      </c>
      <c r="CD1804" s="2" t="s">
        <v>200</v>
      </c>
      <c r="CE1804" s="4"/>
      <c r="CF1804" s="4">
        <v>20</v>
      </c>
      <c r="CG1804" s="4"/>
      <c r="CH1804" s="4"/>
      <c r="CI1804" s="4"/>
      <c r="CJ1804" s="4"/>
      <c r="CK1804" s="4"/>
      <c r="CL1804" s="4"/>
      <c r="CM1804" s="4"/>
      <c r="CN1804" s="4"/>
      <c r="CO1804" s="4"/>
      <c r="CP1804" s="4"/>
      <c r="CQ1804" s="4"/>
      <c r="CR1804" s="4"/>
      <c r="CS1804" s="4"/>
      <c r="CT1804" s="4"/>
      <c r="CU1804" s="4"/>
      <c r="CV1804" s="4"/>
      <c r="CW1804" s="4"/>
      <c r="CX1804" s="4"/>
      <c r="CY1804" s="4"/>
      <c r="CZ1804" s="4"/>
      <c r="DA1804" s="4"/>
      <c r="DB1804" s="4"/>
      <c r="DC1804" s="4"/>
      <c r="DD1804" s="4"/>
      <c r="DE1804" s="4"/>
      <c r="DF1804" s="4"/>
      <c r="DG1804" s="4"/>
      <c r="DH1804" s="4"/>
      <c r="DI1804" s="4"/>
      <c r="DJ1804" s="4"/>
      <c r="DK1804" s="4"/>
      <c r="DL1804" s="4"/>
      <c r="DM1804" s="4"/>
      <c r="DN1804" s="4"/>
      <c r="DO1804" s="4"/>
      <c r="DP1804" s="4"/>
      <c r="DQ1804" s="4">
        <v>78</v>
      </c>
      <c r="DR1804" s="4"/>
      <c r="DS1804" s="4"/>
      <c r="DT1804" s="4"/>
      <c r="DU1804" s="4"/>
      <c r="DV1804" s="4"/>
      <c r="DW1804" s="4"/>
      <c r="DX1804" s="4"/>
      <c r="DY1804" s="4"/>
      <c r="DZ1804" s="4"/>
      <c r="EA1804" s="4"/>
      <c r="EB1804" s="4"/>
      <c r="EC1804" s="4"/>
      <c r="ED1804" s="4"/>
      <c r="EE1804" s="4"/>
      <c r="EF1804" s="4"/>
      <c r="EG1804" s="4"/>
      <c r="EH1804" s="4"/>
      <c r="EI1804" s="4"/>
      <c r="EJ1804" s="4"/>
      <c r="EK1804" s="4"/>
      <c r="EL1804" s="4"/>
      <c r="EM1804" s="4"/>
      <c r="EN1804" s="4"/>
      <c r="EO1804" s="4"/>
      <c r="EP1804" s="4"/>
      <c r="EQ1804" s="4"/>
      <c r="ER1804" s="4"/>
      <c r="ES1804" s="4"/>
      <c r="ET1804" s="4"/>
      <c r="EU1804" s="4"/>
      <c r="EV1804" s="4"/>
      <c r="EW1804" s="4"/>
      <c r="EX1804" s="4"/>
      <c r="EY1804" s="4"/>
      <c r="EZ1804" s="4"/>
      <c r="FA1804" s="4"/>
      <c r="FB1804" s="4"/>
      <c r="FC1804" s="4"/>
      <c r="FD1804" s="4"/>
      <c r="FE1804" s="4"/>
      <c r="FF1804" s="4"/>
      <c r="FG1804" s="4"/>
      <c r="FH1804" s="4"/>
      <c r="FI1804" s="4"/>
      <c r="FJ1804" s="4"/>
      <c r="FK1804" s="4"/>
      <c r="FL1804" s="4"/>
      <c r="FM1804" s="4"/>
      <c r="FN1804" s="4"/>
      <c r="FO1804" s="4"/>
      <c r="FP1804" s="4"/>
      <c r="FQ1804" s="4"/>
      <c r="FR1804" s="4"/>
      <c r="FS1804" s="4"/>
      <c r="FT1804" s="4"/>
      <c r="FU1804" s="4"/>
      <c r="FV1804" s="4"/>
      <c r="FW1804" s="4"/>
      <c r="FX1804" s="4"/>
      <c r="FY1804" s="4"/>
      <c r="FZ1804" s="4"/>
      <c r="GA1804" s="4"/>
      <c r="GB1804" s="4"/>
      <c r="GC1804" s="4"/>
      <c r="GD1804" s="4"/>
      <c r="GE1804" s="4"/>
      <c r="GF1804" s="4"/>
      <c r="GG1804" s="4"/>
      <c r="GH1804" s="4"/>
    </row>
    <row r="1805">
      <c r="A1805" s="2" t="s">
        <v>9095</v>
      </c>
      <c r="B1805" s="2" t="s">
        <v>705</v>
      </c>
      <c r="C1805" s="2" t="s">
        <v>1375</v>
      </c>
      <c r="D1805" s="2" t="s">
        <v>817</v>
      </c>
      <c r="E1805" s="2" t="s">
        <v>818</v>
      </c>
      <c r="F1805" s="2" t="s">
        <v>9092</v>
      </c>
      <c r="G1805" s="2" t="s">
        <v>9092</v>
      </c>
      <c r="H1805" s="2" t="s">
        <v>9092</v>
      </c>
      <c r="I1805" s="2" t="s">
        <v>9093</v>
      </c>
      <c r="J1805" s="2" t="s">
        <v>711</v>
      </c>
      <c r="K1805" s="2" t="s">
        <v>416</v>
      </c>
      <c r="L1805" s="3">
        <v>53</v>
      </c>
      <c r="M1805" s="3">
        <v>55.65</v>
      </c>
      <c r="N1805" s="3">
        <v>109.99</v>
      </c>
      <c r="O1805" s="2" t="s">
        <v>212</v>
      </c>
      <c r="P1805" s="2" t="s">
        <v>205</v>
      </c>
      <c r="Q1805" s="2" t="s">
        <v>206</v>
      </c>
      <c r="R1805" s="2" t="s">
        <v>200</v>
      </c>
      <c r="S1805" s="2" t="s">
        <v>200</v>
      </c>
      <c r="T1805" s="2" t="s">
        <v>200</v>
      </c>
      <c r="U1805" s="2" t="s">
        <v>270</v>
      </c>
      <c r="V1805" s="2" t="s">
        <v>616</v>
      </c>
      <c r="W1805" s="2" t="s">
        <v>419</v>
      </c>
      <c r="X1805" s="2" t="s">
        <v>242</v>
      </c>
      <c r="Y1805" s="2" t="s">
        <v>473</v>
      </c>
      <c r="Z1805" s="4">
        <v>116</v>
      </c>
      <c r="AA1805" s="4">
        <f>=ROUNDDOWN(105.454545454545,0)</f>
      </c>
      <c r="AB1805" s="5">
        <v>1.1</v>
      </c>
      <c r="AC1805" s="2" t="s">
        <v>200</v>
      </c>
      <c r="AD1805" s="4"/>
      <c r="AE1805" s="4"/>
      <c r="AF1805" s="6">
        <v>65</v>
      </c>
      <c r="AG1805" s="6"/>
      <c r="AH1805" s="7">
        <v>1</v>
      </c>
      <c r="AI1805" s="4"/>
      <c r="AJ1805" s="4">
        <f>=ROUNDDOWN({0},0)</f>
      </c>
      <c r="AK1805" s="5"/>
      <c r="AL1805" s="2" t="s">
        <v>200</v>
      </c>
      <c r="AM1805" s="4"/>
      <c r="AN1805" s="4"/>
      <c r="AO1805" s="7"/>
      <c r="AP1805" s="4"/>
      <c r="AQ1805" s="8"/>
      <c r="AR1805" s="4"/>
      <c r="AS1805" s="8"/>
      <c r="AT1805" s="7"/>
      <c r="AU1805" s="7"/>
      <c r="AV1805" s="4"/>
      <c r="AW1805" s="8"/>
      <c r="AX1805" s="4"/>
      <c r="AY1805" s="8"/>
      <c r="AZ1805" s="7"/>
      <c r="BA1805" s="7"/>
      <c r="BB1805" s="7"/>
      <c r="BC1805" s="4" t="s">
        <v>200</v>
      </c>
      <c r="BD1805" s="8" t="s">
        <v>200</v>
      </c>
      <c r="BE1805" s="4" t="s">
        <v>200</v>
      </c>
      <c r="BF1805" s="8" t="s">
        <v>200</v>
      </c>
      <c r="BG1805" s="7" t="s">
        <v>200</v>
      </c>
      <c r="BH1805" s="7" t="s">
        <v>200</v>
      </c>
      <c r="BI1805" s="7"/>
      <c r="BJ1805" s="4">
        <v>2</v>
      </c>
      <c r="BK1805" s="8">
        <v>122.43</v>
      </c>
      <c r="BL1805" s="2" t="s">
        <v>2514</v>
      </c>
      <c r="BM1805" s="7"/>
      <c r="BN1805" s="7"/>
      <c r="BO1805" s="4"/>
      <c r="BP1805" s="8"/>
      <c r="BQ1805" s="4"/>
      <c r="BR1805" s="8"/>
      <c r="BS1805" s="7"/>
      <c r="BT1805" s="7"/>
      <c r="BU1805" s="2" t="s">
        <v>9096</v>
      </c>
      <c r="BV1805" s="2" t="s">
        <v>200</v>
      </c>
      <c r="BW1805" s="2" t="s">
        <v>200</v>
      </c>
      <c r="BX1805" s="2" t="s">
        <v>264</v>
      </c>
      <c r="BY1805" s="2" t="s">
        <v>247</v>
      </c>
      <c r="BZ1805" s="2" t="s">
        <v>212</v>
      </c>
      <c r="CA1805" s="2" t="s">
        <v>6144</v>
      </c>
      <c r="CB1805" s="2" t="s">
        <v>1328</v>
      </c>
      <c r="CC1805" s="2" t="s">
        <v>213</v>
      </c>
      <c r="CD1805" s="2" t="s">
        <v>200</v>
      </c>
      <c r="CE1805" s="4"/>
      <c r="CF1805" s="4">
        <v>116</v>
      </c>
      <c r="CG1805" s="4"/>
      <c r="CH1805" s="4"/>
      <c r="CI1805" s="4"/>
      <c r="CJ1805" s="4"/>
      <c r="CK1805" s="4"/>
      <c r="CL1805" s="4"/>
      <c r="CM1805" s="4"/>
      <c r="CN1805" s="4"/>
      <c r="CO1805" s="4"/>
      <c r="CP1805" s="4"/>
      <c r="CQ1805" s="4"/>
      <c r="CR1805" s="4"/>
      <c r="CS1805" s="4"/>
      <c r="CT1805" s="4"/>
      <c r="CU1805" s="4"/>
      <c r="CV1805" s="4"/>
      <c r="CW1805" s="4"/>
      <c r="CX1805" s="4"/>
      <c r="CY1805" s="4"/>
      <c r="CZ1805" s="4"/>
      <c r="DA1805" s="4"/>
      <c r="DB1805" s="4"/>
      <c r="DC1805" s="4"/>
      <c r="DD1805" s="4"/>
      <c r="DE1805" s="4"/>
      <c r="DF1805" s="4"/>
      <c r="DG1805" s="4"/>
      <c r="DH1805" s="4"/>
      <c r="DI1805" s="4"/>
      <c r="DJ1805" s="4"/>
      <c r="DK1805" s="4"/>
      <c r="DL1805" s="4"/>
      <c r="DM1805" s="4"/>
      <c r="DN1805" s="4"/>
      <c r="DO1805" s="4"/>
      <c r="DP1805" s="4"/>
      <c r="DQ1805" s="4"/>
      <c r="DR1805" s="4"/>
      <c r="DS1805" s="4"/>
      <c r="DT1805" s="4"/>
      <c r="DU1805" s="4"/>
      <c r="DV1805" s="4"/>
      <c r="DW1805" s="4"/>
      <c r="DX1805" s="4"/>
      <c r="DY1805" s="4"/>
      <c r="DZ1805" s="4"/>
      <c r="EA1805" s="4"/>
      <c r="EB1805" s="4"/>
      <c r="EC1805" s="4"/>
      <c r="ED1805" s="4"/>
      <c r="EE1805" s="4"/>
      <c r="EF1805" s="4"/>
      <c r="EG1805" s="4"/>
      <c r="EH1805" s="4"/>
      <c r="EI1805" s="4"/>
      <c r="EJ1805" s="4"/>
      <c r="EK1805" s="4"/>
      <c r="EL1805" s="4"/>
      <c r="EM1805" s="4"/>
      <c r="EN1805" s="4"/>
      <c r="EO1805" s="4"/>
      <c r="EP1805" s="4"/>
      <c r="EQ1805" s="4"/>
      <c r="ER1805" s="4"/>
      <c r="ES1805" s="4"/>
      <c r="ET1805" s="4"/>
      <c r="EU1805" s="4"/>
      <c r="EV1805" s="4"/>
      <c r="EW1805" s="4"/>
      <c r="EX1805" s="4"/>
      <c r="EY1805" s="4"/>
      <c r="EZ1805" s="4"/>
      <c r="FA1805" s="4"/>
      <c r="FB1805" s="4"/>
      <c r="FC1805" s="4"/>
      <c r="FD1805" s="4"/>
      <c r="FE1805" s="4"/>
      <c r="FF1805" s="4"/>
      <c r="FG1805" s="4"/>
      <c r="FH1805" s="4"/>
      <c r="FI1805" s="4"/>
      <c r="FJ1805" s="4"/>
      <c r="FK1805" s="4"/>
      <c r="FL1805" s="4"/>
      <c r="FM1805" s="4"/>
      <c r="FN1805" s="4"/>
      <c r="FO1805" s="4"/>
      <c r="FP1805" s="4"/>
      <c r="FQ1805" s="4"/>
      <c r="FR1805" s="4"/>
      <c r="FS1805" s="4"/>
      <c r="FT1805" s="4"/>
      <c r="FU1805" s="4"/>
      <c r="FV1805" s="4"/>
      <c r="FW1805" s="4"/>
      <c r="FX1805" s="4"/>
      <c r="FY1805" s="4"/>
      <c r="FZ1805" s="4"/>
      <c r="GA1805" s="4"/>
      <c r="GB1805" s="4"/>
      <c r="GC1805" s="4"/>
      <c r="GD1805" s="4"/>
      <c r="GE1805" s="4"/>
      <c r="GF1805" s="4"/>
      <c r="GG1805" s="4"/>
      <c r="GH1805" s="4"/>
    </row>
    <row r="1806">
      <c r="A1806" s="2" t="s">
        <v>9097</v>
      </c>
      <c r="B1806" s="2" t="s">
        <v>705</v>
      </c>
      <c r="C1806" s="2" t="s">
        <v>1375</v>
      </c>
      <c r="D1806" s="2" t="s">
        <v>817</v>
      </c>
      <c r="E1806" s="2" t="s">
        <v>818</v>
      </c>
      <c r="F1806" s="2" t="s">
        <v>9092</v>
      </c>
      <c r="G1806" s="2" t="s">
        <v>9092</v>
      </c>
      <c r="H1806" s="2" t="s">
        <v>9092</v>
      </c>
      <c r="I1806" s="2" t="s">
        <v>9093</v>
      </c>
      <c r="J1806" s="2" t="s">
        <v>711</v>
      </c>
      <c r="K1806" s="2" t="s">
        <v>221</v>
      </c>
      <c r="L1806" s="3">
        <v>53</v>
      </c>
      <c r="M1806" s="3">
        <v>55.65</v>
      </c>
      <c r="N1806" s="3">
        <v>109.99</v>
      </c>
      <c r="O1806" s="2" t="s">
        <v>212</v>
      </c>
      <c r="P1806" s="2" t="s">
        <v>205</v>
      </c>
      <c r="Q1806" s="2" t="s">
        <v>206</v>
      </c>
      <c r="R1806" s="2" t="s">
        <v>200</v>
      </c>
      <c r="S1806" s="2" t="s">
        <v>200</v>
      </c>
      <c r="T1806" s="2" t="s">
        <v>200</v>
      </c>
      <c r="U1806" s="2" t="s">
        <v>270</v>
      </c>
      <c r="V1806" s="2" t="s">
        <v>616</v>
      </c>
      <c r="W1806" s="2" t="s">
        <v>419</v>
      </c>
      <c r="X1806" s="2" t="s">
        <v>242</v>
      </c>
      <c r="Y1806" s="2" t="s">
        <v>473</v>
      </c>
      <c r="Z1806" s="4">
        <v>105</v>
      </c>
      <c r="AA1806" s="4">
        <f>=ROUNDDOWN(105,0)</f>
      </c>
      <c r="AB1806" s="5">
        <v>1</v>
      </c>
      <c r="AC1806" s="2" t="s">
        <v>200</v>
      </c>
      <c r="AD1806" s="4"/>
      <c r="AE1806" s="4"/>
      <c r="AF1806" s="6">
        <v>65</v>
      </c>
      <c r="AG1806" s="6"/>
      <c r="AH1806" s="7">
        <v>1</v>
      </c>
      <c r="AI1806" s="4"/>
      <c r="AJ1806" s="4">
        <f>=ROUNDDOWN({0},0)</f>
      </c>
      <c r="AK1806" s="5"/>
      <c r="AL1806" s="2" t="s">
        <v>200</v>
      </c>
      <c r="AM1806" s="4"/>
      <c r="AN1806" s="4"/>
      <c r="AO1806" s="7"/>
      <c r="AP1806" s="4"/>
      <c r="AQ1806" s="8"/>
      <c r="AR1806" s="4"/>
      <c r="AS1806" s="8"/>
      <c r="AT1806" s="7"/>
      <c r="AU1806" s="7"/>
      <c r="AV1806" s="4"/>
      <c r="AW1806" s="8"/>
      <c r="AX1806" s="4"/>
      <c r="AY1806" s="8"/>
      <c r="AZ1806" s="7"/>
      <c r="BA1806" s="7"/>
      <c r="BB1806" s="7"/>
      <c r="BC1806" s="4" t="s">
        <v>200</v>
      </c>
      <c r="BD1806" s="8" t="s">
        <v>200</v>
      </c>
      <c r="BE1806" s="4" t="s">
        <v>200</v>
      </c>
      <c r="BF1806" s="8" t="s">
        <v>200</v>
      </c>
      <c r="BG1806" s="7" t="s">
        <v>200</v>
      </c>
      <c r="BH1806" s="7" t="s">
        <v>200</v>
      </c>
      <c r="BI1806" s="7"/>
      <c r="BJ1806" s="4">
        <v>4</v>
      </c>
      <c r="BK1806" s="8">
        <v>200.32</v>
      </c>
      <c r="BL1806" s="2" t="s">
        <v>813</v>
      </c>
      <c r="BM1806" s="7"/>
      <c r="BN1806" s="7"/>
      <c r="BO1806" s="4"/>
      <c r="BP1806" s="8"/>
      <c r="BQ1806" s="4"/>
      <c r="BR1806" s="8"/>
      <c r="BS1806" s="7"/>
      <c r="BT1806" s="7"/>
      <c r="BU1806" s="2" t="s">
        <v>9098</v>
      </c>
      <c r="BV1806" s="2" t="s">
        <v>200</v>
      </c>
      <c r="BW1806" s="2" t="s">
        <v>200</v>
      </c>
      <c r="BX1806" s="2" t="s">
        <v>264</v>
      </c>
      <c r="BY1806" s="2" t="s">
        <v>247</v>
      </c>
      <c r="BZ1806" s="2" t="s">
        <v>212</v>
      </c>
      <c r="CA1806" s="2" t="s">
        <v>6144</v>
      </c>
      <c r="CB1806" s="2" t="s">
        <v>200</v>
      </c>
      <c r="CC1806" s="2" t="s">
        <v>213</v>
      </c>
      <c r="CD1806" s="2" t="s">
        <v>200</v>
      </c>
      <c r="CE1806" s="4"/>
      <c r="CF1806" s="4">
        <v>105</v>
      </c>
      <c r="CG1806" s="4"/>
      <c r="CH1806" s="4"/>
      <c r="CI1806" s="4"/>
      <c r="CJ1806" s="4"/>
      <c r="CK1806" s="4"/>
      <c r="CL1806" s="4"/>
      <c r="CM1806" s="4"/>
      <c r="CN1806" s="4"/>
      <c r="CO1806" s="4"/>
      <c r="CP1806" s="4"/>
      <c r="CQ1806" s="4"/>
      <c r="CR1806" s="4"/>
      <c r="CS1806" s="4"/>
      <c r="CT1806" s="4"/>
      <c r="CU1806" s="4"/>
      <c r="CV1806" s="4"/>
      <c r="CW1806" s="4"/>
      <c r="CX1806" s="4"/>
      <c r="CY1806" s="4"/>
      <c r="CZ1806" s="4"/>
      <c r="DA1806" s="4"/>
      <c r="DB1806" s="4"/>
      <c r="DC1806" s="4"/>
      <c r="DD1806" s="4"/>
      <c r="DE1806" s="4"/>
      <c r="DF1806" s="4"/>
      <c r="DG1806" s="4"/>
      <c r="DH1806" s="4"/>
      <c r="DI1806" s="4"/>
      <c r="DJ1806" s="4"/>
      <c r="DK1806" s="4"/>
      <c r="DL1806" s="4"/>
      <c r="DM1806" s="4"/>
      <c r="DN1806" s="4"/>
      <c r="DO1806" s="4"/>
      <c r="DP1806" s="4"/>
      <c r="DQ1806" s="4"/>
      <c r="DR1806" s="4"/>
      <c r="DS1806" s="4"/>
      <c r="DT1806" s="4"/>
      <c r="DU1806" s="4"/>
      <c r="DV1806" s="4"/>
      <c r="DW1806" s="4"/>
      <c r="DX1806" s="4"/>
      <c r="DY1806" s="4"/>
      <c r="DZ1806" s="4"/>
      <c r="EA1806" s="4"/>
      <c r="EB1806" s="4"/>
      <c r="EC1806" s="4"/>
      <c r="ED1806" s="4"/>
      <c r="EE1806" s="4"/>
      <c r="EF1806" s="4"/>
      <c r="EG1806" s="4"/>
      <c r="EH1806" s="4"/>
      <c r="EI1806" s="4"/>
      <c r="EJ1806" s="4"/>
      <c r="EK1806" s="4"/>
      <c r="EL1806" s="4"/>
      <c r="EM1806" s="4"/>
      <c r="EN1806" s="4"/>
      <c r="EO1806" s="4"/>
      <c r="EP1806" s="4"/>
      <c r="EQ1806" s="4"/>
      <c r="ER1806" s="4"/>
      <c r="ES1806" s="4"/>
      <c r="ET1806" s="4"/>
      <c r="EU1806" s="4"/>
      <c r="EV1806" s="4"/>
      <c r="EW1806" s="4"/>
      <c r="EX1806" s="4"/>
      <c r="EY1806" s="4"/>
      <c r="EZ1806" s="4"/>
      <c r="FA1806" s="4"/>
      <c r="FB1806" s="4"/>
      <c r="FC1806" s="4"/>
      <c r="FD1806" s="4"/>
      <c r="FE1806" s="4"/>
      <c r="FF1806" s="4"/>
      <c r="FG1806" s="4"/>
      <c r="FH1806" s="4"/>
      <c r="FI1806" s="4"/>
      <c r="FJ1806" s="4"/>
      <c r="FK1806" s="4"/>
      <c r="FL1806" s="4"/>
      <c r="FM1806" s="4"/>
      <c r="FN1806" s="4"/>
      <c r="FO1806" s="4"/>
      <c r="FP1806" s="4"/>
      <c r="FQ1806" s="4"/>
      <c r="FR1806" s="4"/>
      <c r="FS1806" s="4"/>
      <c r="FT1806" s="4"/>
      <c r="FU1806" s="4"/>
      <c r="FV1806" s="4"/>
      <c r="FW1806" s="4"/>
      <c r="FX1806" s="4"/>
      <c r="FY1806" s="4"/>
      <c r="FZ1806" s="4"/>
      <c r="GA1806" s="4"/>
      <c r="GB1806" s="4"/>
      <c r="GC1806" s="4"/>
      <c r="GD1806" s="4"/>
      <c r="GE1806" s="4"/>
      <c r="GF1806" s="4"/>
      <c r="GG1806" s="4"/>
      <c r="GH1806" s="4"/>
    </row>
    <row r="1807">
      <c r="A1807" s="2" t="s">
        <v>9099</v>
      </c>
      <c r="B1807" s="2" t="s">
        <v>705</v>
      </c>
      <c r="C1807" s="2" t="s">
        <v>745</v>
      </c>
      <c r="D1807" s="2" t="s">
        <v>817</v>
      </c>
      <c r="E1807" s="2" t="s">
        <v>818</v>
      </c>
      <c r="F1807" s="2" t="s">
        <v>9100</v>
      </c>
      <c r="G1807" s="2" t="s">
        <v>9100</v>
      </c>
      <c r="H1807" s="2" t="s">
        <v>9100</v>
      </c>
      <c r="I1807" s="2" t="s">
        <v>9101</v>
      </c>
      <c r="J1807" s="2" t="s">
        <v>711</v>
      </c>
      <c r="K1807" s="2" t="s">
        <v>221</v>
      </c>
      <c r="L1807" s="3">
        <v>38.4</v>
      </c>
      <c r="M1807" s="3">
        <v>40.32</v>
      </c>
      <c r="N1807" s="3">
        <v>79.99</v>
      </c>
      <c r="O1807" s="2" t="s">
        <v>212</v>
      </c>
      <c r="P1807" s="2" t="s">
        <v>205</v>
      </c>
      <c r="Q1807" s="2" t="s">
        <v>206</v>
      </c>
      <c r="R1807" s="2" t="s">
        <v>200</v>
      </c>
      <c r="S1807" s="2" t="s">
        <v>200</v>
      </c>
      <c r="T1807" s="2" t="s">
        <v>200</v>
      </c>
      <c r="U1807" s="2" t="s">
        <v>270</v>
      </c>
      <c r="V1807" s="2" t="s">
        <v>616</v>
      </c>
      <c r="W1807" s="2" t="s">
        <v>1291</v>
      </c>
      <c r="X1807" s="2" t="s">
        <v>379</v>
      </c>
      <c r="Y1807" s="2" t="s">
        <v>4253</v>
      </c>
      <c r="Z1807" s="4">
        <v>77</v>
      </c>
      <c r="AA1807" s="4">
        <f>=ROUNDDOWN(77,0)</f>
      </c>
      <c r="AB1807" s="5">
        <v>1</v>
      </c>
      <c r="AC1807" s="2" t="s">
        <v>200</v>
      </c>
      <c r="AD1807" s="4"/>
      <c r="AE1807" s="4"/>
      <c r="AF1807" s="6">
        <v>65</v>
      </c>
      <c r="AG1807" s="6"/>
      <c r="AH1807" s="7">
        <v>1</v>
      </c>
      <c r="AI1807" s="4"/>
      <c r="AJ1807" s="4">
        <f>=ROUNDDOWN({0},0)</f>
      </c>
      <c r="AK1807" s="5"/>
      <c r="AL1807" s="2" t="s">
        <v>200</v>
      </c>
      <c r="AM1807" s="4"/>
      <c r="AN1807" s="4"/>
      <c r="AO1807" s="7"/>
      <c r="AP1807" s="4"/>
      <c r="AQ1807" s="8"/>
      <c r="AR1807" s="4"/>
      <c r="AS1807" s="8"/>
      <c r="AT1807" s="7"/>
      <c r="AU1807" s="7"/>
      <c r="AV1807" s="4"/>
      <c r="AW1807" s="8"/>
      <c r="AX1807" s="4"/>
      <c r="AY1807" s="8"/>
      <c r="AZ1807" s="7"/>
      <c r="BA1807" s="7"/>
      <c r="BB1807" s="7"/>
      <c r="BC1807" s="4"/>
      <c r="BD1807" s="8"/>
      <c r="BE1807" s="4"/>
      <c r="BF1807" s="8"/>
      <c r="BG1807" s="7"/>
      <c r="BH1807" s="7"/>
      <c r="BI1807" s="7"/>
      <c r="BJ1807" s="4">
        <v>10</v>
      </c>
      <c r="BK1807" s="8">
        <v>381.8</v>
      </c>
      <c r="BL1807" s="2" t="s">
        <v>813</v>
      </c>
      <c r="BM1807" s="7"/>
      <c r="BN1807" s="7"/>
      <c r="BO1807" s="4"/>
      <c r="BP1807" s="8"/>
      <c r="BQ1807" s="4"/>
      <c r="BR1807" s="8"/>
      <c r="BS1807" s="7"/>
      <c r="BT1807" s="7"/>
      <c r="BU1807" s="2" t="s">
        <v>9102</v>
      </c>
      <c r="BV1807" s="2" t="s">
        <v>200</v>
      </c>
      <c r="BW1807" s="2" t="s">
        <v>200</v>
      </c>
      <c r="BX1807" s="2" t="s">
        <v>264</v>
      </c>
      <c r="BY1807" s="2" t="s">
        <v>247</v>
      </c>
      <c r="BZ1807" s="2" t="s">
        <v>212</v>
      </c>
      <c r="CA1807" s="2" t="s">
        <v>2406</v>
      </c>
      <c r="CB1807" s="2" t="s">
        <v>200</v>
      </c>
      <c r="CC1807" s="2" t="s">
        <v>213</v>
      </c>
      <c r="CD1807" s="2" t="s">
        <v>200</v>
      </c>
      <c r="CE1807" s="4"/>
      <c r="CF1807" s="4">
        <v>77</v>
      </c>
      <c r="CG1807" s="4"/>
      <c r="CH1807" s="4"/>
      <c r="CI1807" s="4"/>
      <c r="CJ1807" s="4"/>
      <c r="CK1807" s="4"/>
      <c r="CL1807" s="4"/>
      <c r="CM1807" s="4"/>
      <c r="CN1807" s="4"/>
      <c r="CO1807" s="4"/>
      <c r="CP1807" s="4"/>
      <c r="CQ1807" s="4"/>
      <c r="CR1807" s="4"/>
      <c r="CS1807" s="4"/>
      <c r="CT1807" s="4"/>
      <c r="CU1807" s="4"/>
      <c r="CV1807" s="4"/>
      <c r="CW1807" s="4"/>
      <c r="CX1807" s="4"/>
      <c r="CY1807" s="4"/>
      <c r="CZ1807" s="4"/>
      <c r="DA1807" s="4"/>
      <c r="DB1807" s="4"/>
      <c r="DC1807" s="4"/>
      <c r="DD1807" s="4"/>
      <c r="DE1807" s="4"/>
      <c r="DF1807" s="4"/>
      <c r="DG1807" s="4"/>
      <c r="DH1807" s="4"/>
      <c r="DI1807" s="4"/>
      <c r="DJ1807" s="4"/>
      <c r="DK1807" s="4"/>
      <c r="DL1807" s="4"/>
      <c r="DM1807" s="4"/>
      <c r="DN1807" s="4"/>
      <c r="DO1807" s="4"/>
      <c r="DP1807" s="4"/>
      <c r="DQ1807" s="4"/>
      <c r="DR1807" s="4"/>
      <c r="DS1807" s="4"/>
      <c r="DT1807" s="4"/>
      <c r="DU1807" s="4"/>
      <c r="DV1807" s="4"/>
      <c r="DW1807" s="4"/>
      <c r="DX1807" s="4"/>
      <c r="DY1807" s="4"/>
      <c r="DZ1807" s="4"/>
      <c r="EA1807" s="4"/>
      <c r="EB1807" s="4"/>
      <c r="EC1807" s="4"/>
      <c r="ED1807" s="4"/>
      <c r="EE1807" s="4"/>
      <c r="EF1807" s="4"/>
      <c r="EG1807" s="4"/>
      <c r="EH1807" s="4"/>
      <c r="EI1807" s="4"/>
      <c r="EJ1807" s="4"/>
      <c r="EK1807" s="4"/>
      <c r="EL1807" s="4"/>
      <c r="EM1807" s="4"/>
      <c r="EN1807" s="4"/>
      <c r="EO1807" s="4"/>
      <c r="EP1807" s="4"/>
      <c r="EQ1807" s="4"/>
      <c r="ER1807" s="4"/>
      <c r="ES1807" s="4"/>
      <c r="ET1807" s="4"/>
      <c r="EU1807" s="4"/>
      <c r="EV1807" s="4"/>
      <c r="EW1807" s="4"/>
      <c r="EX1807" s="4"/>
      <c r="EY1807" s="4"/>
      <c r="EZ1807" s="4"/>
      <c r="FA1807" s="4"/>
      <c r="FB1807" s="4"/>
      <c r="FC1807" s="4"/>
      <c r="FD1807" s="4"/>
      <c r="FE1807" s="4"/>
      <c r="FF1807" s="4"/>
      <c r="FG1807" s="4"/>
      <c r="FH1807" s="4"/>
      <c r="FI1807" s="4"/>
      <c r="FJ1807" s="4"/>
      <c r="FK1807" s="4"/>
      <c r="FL1807" s="4"/>
      <c r="FM1807" s="4"/>
      <c r="FN1807" s="4"/>
      <c r="FO1807" s="4"/>
      <c r="FP1807" s="4"/>
      <c r="FQ1807" s="4"/>
      <c r="FR1807" s="4"/>
      <c r="FS1807" s="4"/>
      <c r="FT1807" s="4"/>
      <c r="FU1807" s="4"/>
      <c r="FV1807" s="4"/>
      <c r="FW1807" s="4"/>
      <c r="FX1807" s="4"/>
      <c r="FY1807" s="4"/>
      <c r="FZ1807" s="4"/>
      <c r="GA1807" s="4"/>
      <c r="GB1807" s="4"/>
      <c r="GC1807" s="4"/>
      <c r="GD1807" s="4"/>
      <c r="GE1807" s="4"/>
      <c r="GF1807" s="4"/>
      <c r="GG1807" s="4"/>
      <c r="GH1807" s="4"/>
    </row>
    <row r="1808">
      <c r="A1808" s="2" t="s">
        <v>9103</v>
      </c>
      <c r="B1808" s="2" t="s">
        <v>2391</v>
      </c>
      <c r="C1808" s="2" t="s">
        <v>946</v>
      </c>
      <c r="D1808" s="2" t="s">
        <v>2392</v>
      </c>
      <c r="E1808" s="2" t="s">
        <v>2393</v>
      </c>
      <c r="F1808" s="2" t="s">
        <v>9104</v>
      </c>
      <c r="G1808" s="2" t="s">
        <v>9104</v>
      </c>
      <c r="H1808" s="2" t="s">
        <v>9104</v>
      </c>
      <c r="I1808" s="2" t="s">
        <v>9105</v>
      </c>
      <c r="J1808" s="2" t="s">
        <v>210</v>
      </c>
      <c r="K1808" s="2" t="s">
        <v>221</v>
      </c>
      <c r="L1808" s="3">
        <v>5.5</v>
      </c>
      <c r="M1808" s="3">
        <v>5.78</v>
      </c>
      <c r="N1808" s="3">
        <v>9.99</v>
      </c>
      <c r="O1808" s="2" t="s">
        <v>460</v>
      </c>
      <c r="P1808" s="2" t="s">
        <v>1258</v>
      </c>
      <c r="Q1808" s="2" t="s">
        <v>206</v>
      </c>
      <c r="R1808" s="2" t="s">
        <v>1259</v>
      </c>
      <c r="S1808" s="2" t="s">
        <v>200</v>
      </c>
      <c r="T1808" s="2" t="s">
        <v>200</v>
      </c>
      <c r="U1808" s="2" t="s">
        <v>200</v>
      </c>
      <c r="V1808" s="2" t="s">
        <v>616</v>
      </c>
      <c r="W1808" s="2" t="s">
        <v>200</v>
      </c>
      <c r="X1808" s="2" t="s">
        <v>200</v>
      </c>
      <c r="Y1808" s="2" t="s">
        <v>9106</v>
      </c>
      <c r="Z1808" s="4">
        <v>1095</v>
      </c>
      <c r="AA1808" s="4">
        <f>=ROUNDDOWN(179.508196721311,0)</f>
      </c>
      <c r="AB1808" s="5">
        <v>6.1</v>
      </c>
      <c r="AC1808" s="2" t="s">
        <v>200</v>
      </c>
      <c r="AD1808" s="4"/>
      <c r="AE1808" s="4"/>
      <c r="AF1808" s="6"/>
      <c r="AG1808" s="6">
        <v>47</v>
      </c>
      <c r="AH1808" s="7">
        <v>1</v>
      </c>
      <c r="AI1808" s="4"/>
      <c r="AJ1808" s="4">
        <f>=ROUNDDOWN({0},0)</f>
      </c>
      <c r="AK1808" s="5"/>
      <c r="AL1808" s="2" t="s">
        <v>200</v>
      </c>
      <c r="AM1808" s="4"/>
      <c r="AN1808" s="4"/>
      <c r="AO1808" s="7"/>
      <c r="AP1808" s="4"/>
      <c r="AQ1808" s="8"/>
      <c r="AR1808" s="4"/>
      <c r="AS1808" s="8"/>
      <c r="AT1808" s="7"/>
      <c r="AU1808" s="7"/>
      <c r="AV1808" s="4"/>
      <c r="AW1808" s="8"/>
      <c r="AX1808" s="4"/>
      <c r="AY1808" s="8"/>
      <c r="AZ1808" s="7"/>
      <c r="BA1808" s="7"/>
      <c r="BB1808" s="7"/>
      <c r="BC1808" s="4"/>
      <c r="BD1808" s="8"/>
      <c r="BE1808" s="4"/>
      <c r="BF1808" s="8"/>
      <c r="BG1808" s="7"/>
      <c r="BH1808" s="7"/>
      <c r="BI1808" s="7"/>
      <c r="BJ1808" s="4"/>
      <c r="BK1808" s="8"/>
      <c r="BL1808" s="2" t="s">
        <v>200</v>
      </c>
      <c r="BM1808" s="7"/>
      <c r="BN1808" s="7"/>
      <c r="BO1808" s="4"/>
      <c r="BP1808" s="8"/>
      <c r="BQ1808" s="4"/>
      <c r="BR1808" s="8"/>
      <c r="BS1808" s="7"/>
      <c r="BT1808" s="7"/>
      <c r="BU1808" s="2" t="s">
        <v>9107</v>
      </c>
      <c r="BV1808" s="2" t="s">
        <v>200</v>
      </c>
      <c r="BW1808" s="2" t="s">
        <v>200</v>
      </c>
      <c r="BX1808" s="2" t="s">
        <v>264</v>
      </c>
      <c r="BY1808" s="2" t="s">
        <v>247</v>
      </c>
      <c r="BZ1808" s="2" t="s">
        <v>212</v>
      </c>
      <c r="CA1808" s="2" t="s">
        <v>200</v>
      </c>
      <c r="CB1808" s="2" t="s">
        <v>200</v>
      </c>
      <c r="CC1808" s="2" t="s">
        <v>213</v>
      </c>
      <c r="CD1808" s="2" t="s">
        <v>200</v>
      </c>
      <c r="CE1808" s="4"/>
      <c r="CF1808" s="4">
        <v>1095</v>
      </c>
      <c r="CG1808" s="4"/>
      <c r="CH1808" s="4"/>
      <c r="CI1808" s="4"/>
      <c r="CJ1808" s="4"/>
      <c r="CK1808" s="4"/>
      <c r="CL1808" s="4"/>
      <c r="CM1808" s="4"/>
      <c r="CN1808" s="4"/>
      <c r="CO1808" s="4"/>
      <c r="CP1808" s="4"/>
      <c r="CQ1808" s="4"/>
      <c r="CR1808" s="4"/>
      <c r="CS1808" s="4"/>
      <c r="CT1808" s="4"/>
      <c r="CU1808" s="4"/>
      <c r="CV1808" s="4"/>
      <c r="CW1808" s="4"/>
      <c r="CX1808" s="4"/>
      <c r="CY1808" s="4"/>
      <c r="CZ1808" s="4"/>
      <c r="DA1808" s="4"/>
      <c r="DB1808" s="4"/>
      <c r="DC1808" s="4"/>
      <c r="DD1808" s="4"/>
      <c r="DE1808" s="4"/>
      <c r="DF1808" s="4"/>
      <c r="DG1808" s="4"/>
      <c r="DH1808" s="4"/>
      <c r="DI1808" s="4"/>
      <c r="DJ1808" s="4"/>
      <c r="DK1808" s="4"/>
      <c r="DL1808" s="4"/>
      <c r="DM1808" s="4"/>
      <c r="DN1808" s="4"/>
      <c r="DO1808" s="4"/>
      <c r="DP1808" s="4"/>
      <c r="DQ1808" s="4"/>
      <c r="DR1808" s="4"/>
      <c r="DS1808" s="4"/>
      <c r="DT1808" s="4"/>
      <c r="DU1808" s="4"/>
      <c r="DV1808" s="4"/>
      <c r="DW1808" s="4"/>
      <c r="DX1808" s="4"/>
      <c r="DY1808" s="4"/>
      <c r="DZ1808" s="4"/>
      <c r="EA1808" s="4"/>
      <c r="EB1808" s="4"/>
      <c r="EC1808" s="4"/>
      <c r="ED1808" s="4"/>
      <c r="EE1808" s="4"/>
      <c r="EF1808" s="4"/>
      <c r="EG1808" s="4"/>
      <c r="EH1808" s="4"/>
      <c r="EI1808" s="4"/>
      <c r="EJ1808" s="4"/>
      <c r="EK1808" s="4"/>
      <c r="EL1808" s="4"/>
      <c r="EM1808" s="4"/>
      <c r="EN1808" s="4"/>
      <c r="EO1808" s="4"/>
      <c r="EP1808" s="4"/>
      <c r="EQ1808" s="4"/>
      <c r="ER1808" s="4"/>
      <c r="ES1808" s="4"/>
      <c r="ET1808" s="4"/>
      <c r="EU1808" s="4"/>
      <c r="EV1808" s="4"/>
      <c r="EW1808" s="4"/>
      <c r="EX1808" s="4"/>
      <c r="EY1808" s="4"/>
      <c r="EZ1808" s="4"/>
      <c r="FA1808" s="4"/>
      <c r="FB1808" s="4"/>
      <c r="FC1808" s="4"/>
      <c r="FD1808" s="4"/>
      <c r="FE1808" s="4"/>
      <c r="FF1808" s="4"/>
      <c r="FG1808" s="4"/>
      <c r="FH1808" s="4"/>
      <c r="FI1808" s="4"/>
      <c r="FJ1808" s="4"/>
      <c r="FK1808" s="4"/>
      <c r="FL1808" s="4"/>
      <c r="FM1808" s="4"/>
      <c r="FN1808" s="4"/>
      <c r="FO1808" s="4"/>
      <c r="FP1808" s="4"/>
      <c r="FQ1808" s="4"/>
      <c r="FR1808" s="4"/>
      <c r="FS1808" s="4"/>
      <c r="FT1808" s="4"/>
      <c r="FU1808" s="4"/>
      <c r="FV1808" s="4"/>
      <c r="FW1808" s="4"/>
      <c r="FX1808" s="4"/>
      <c r="FY1808" s="4"/>
      <c r="FZ1808" s="4"/>
      <c r="GA1808" s="4"/>
      <c r="GB1808" s="4"/>
      <c r="GC1808" s="4"/>
      <c r="GD1808" s="4"/>
      <c r="GE1808" s="4"/>
      <c r="GF1808" s="4"/>
      <c r="GG1808" s="4"/>
      <c r="GH1808" s="4"/>
    </row>
    <row r="1809">
      <c r="A1809" s="2" t="s">
        <v>9108</v>
      </c>
      <c r="B1809" s="2" t="s">
        <v>705</v>
      </c>
      <c r="C1809" s="2" t="s">
        <v>1375</v>
      </c>
      <c r="D1809" s="2" t="s">
        <v>817</v>
      </c>
      <c r="E1809" s="2" t="s">
        <v>818</v>
      </c>
      <c r="F1809" s="2" t="s">
        <v>9109</v>
      </c>
      <c r="G1809" s="2" t="s">
        <v>9109</v>
      </c>
      <c r="H1809" s="2" t="s">
        <v>9109</v>
      </c>
      <c r="I1809" s="2" t="s">
        <v>9110</v>
      </c>
      <c r="J1809" s="2" t="s">
        <v>711</v>
      </c>
      <c r="K1809" s="2" t="s">
        <v>387</v>
      </c>
      <c r="L1809" s="3">
        <v>52</v>
      </c>
      <c r="M1809" s="3">
        <v>54.6</v>
      </c>
      <c r="N1809" s="3">
        <v>109.99</v>
      </c>
      <c r="O1809" s="2" t="s">
        <v>212</v>
      </c>
      <c r="P1809" s="2" t="s">
        <v>258</v>
      </c>
      <c r="Q1809" s="2" t="s">
        <v>206</v>
      </c>
      <c r="R1809" s="2" t="s">
        <v>200</v>
      </c>
      <c r="S1809" s="2" t="s">
        <v>200</v>
      </c>
      <c r="T1809" s="2" t="s">
        <v>200</v>
      </c>
      <c r="U1809" s="2" t="s">
        <v>270</v>
      </c>
      <c r="V1809" s="2" t="s">
        <v>616</v>
      </c>
      <c r="W1809" s="2" t="s">
        <v>242</v>
      </c>
      <c r="X1809" s="2" t="s">
        <v>419</v>
      </c>
      <c r="Y1809" s="2" t="s">
        <v>473</v>
      </c>
      <c r="Z1809" s="4">
        <v>36</v>
      </c>
      <c r="AA1809" s="4">
        <f>=ROUNDDOWN(18,0)</f>
      </c>
      <c r="AB1809" s="5">
        <v>2</v>
      </c>
      <c r="AC1809" s="2" t="s">
        <v>128</v>
      </c>
      <c r="AD1809" s="4">
        <v>100</v>
      </c>
      <c r="AE1809" s="4">
        <v>100</v>
      </c>
      <c r="AF1809" s="6">
        <v>65</v>
      </c>
      <c r="AG1809" s="6"/>
      <c r="AH1809" s="7">
        <v>1</v>
      </c>
      <c r="AI1809" s="4"/>
      <c r="AJ1809" s="4">
        <f>=ROUNDDOWN({0},0)</f>
      </c>
      <c r="AK1809" s="5"/>
      <c r="AL1809" s="2" t="s">
        <v>200</v>
      </c>
      <c r="AM1809" s="4"/>
      <c r="AN1809" s="4"/>
      <c r="AO1809" s="7"/>
      <c r="AP1809" s="4"/>
      <c r="AQ1809" s="8"/>
      <c r="AR1809" s="4"/>
      <c r="AS1809" s="8"/>
      <c r="AT1809" s="7"/>
      <c r="AU1809" s="7"/>
      <c r="AV1809" s="4"/>
      <c r="AW1809" s="8"/>
      <c r="AX1809" s="4"/>
      <c r="AY1809" s="8"/>
      <c r="AZ1809" s="7"/>
      <c r="BA1809" s="7"/>
      <c r="BB1809" s="7"/>
      <c r="BC1809" s="4"/>
      <c r="BD1809" s="8"/>
      <c r="BE1809" s="4"/>
      <c r="BF1809" s="8"/>
      <c r="BG1809" s="7"/>
      <c r="BH1809" s="7"/>
      <c r="BI1809" s="7"/>
      <c r="BJ1809" s="4">
        <v>12</v>
      </c>
      <c r="BK1809" s="8">
        <v>723.92</v>
      </c>
      <c r="BL1809" s="2" t="s">
        <v>9111</v>
      </c>
      <c r="BM1809" s="7"/>
      <c r="BN1809" s="7"/>
      <c r="BO1809" s="4"/>
      <c r="BP1809" s="8"/>
      <c r="BQ1809" s="4"/>
      <c r="BR1809" s="8"/>
      <c r="BS1809" s="7"/>
      <c r="BT1809" s="7"/>
      <c r="BU1809" s="2" t="s">
        <v>9112</v>
      </c>
      <c r="BV1809" s="2" t="s">
        <v>200</v>
      </c>
      <c r="BW1809" s="2" t="s">
        <v>200</v>
      </c>
      <c r="BX1809" s="2" t="s">
        <v>264</v>
      </c>
      <c r="BY1809" s="2" t="s">
        <v>247</v>
      </c>
      <c r="BZ1809" s="2" t="s">
        <v>212</v>
      </c>
      <c r="CA1809" s="2" t="s">
        <v>6144</v>
      </c>
      <c r="CB1809" s="2" t="s">
        <v>7931</v>
      </c>
      <c r="CC1809" s="2" t="s">
        <v>213</v>
      </c>
      <c r="CD1809" s="2" t="s">
        <v>200</v>
      </c>
      <c r="CE1809" s="4"/>
      <c r="CF1809" s="4">
        <v>36</v>
      </c>
      <c r="CG1809" s="4"/>
      <c r="CH1809" s="4"/>
      <c r="CI1809" s="4"/>
      <c r="CJ1809" s="4"/>
      <c r="CK1809" s="4"/>
      <c r="CL1809" s="4"/>
      <c r="CM1809" s="4"/>
      <c r="CN1809" s="4"/>
      <c r="CO1809" s="4"/>
      <c r="CP1809" s="4"/>
      <c r="CQ1809" s="4"/>
      <c r="CR1809" s="4"/>
      <c r="CS1809" s="4"/>
      <c r="CT1809" s="4"/>
      <c r="CU1809" s="4"/>
      <c r="CV1809" s="4"/>
      <c r="CW1809" s="4"/>
      <c r="CX1809" s="4"/>
      <c r="CY1809" s="4"/>
      <c r="CZ1809" s="4"/>
      <c r="DA1809" s="4"/>
      <c r="DB1809" s="4"/>
      <c r="DC1809" s="4"/>
      <c r="DD1809" s="4"/>
      <c r="DE1809" s="4"/>
      <c r="DF1809" s="4"/>
      <c r="DG1809" s="4"/>
      <c r="DH1809" s="4"/>
      <c r="DI1809" s="4"/>
      <c r="DJ1809" s="4"/>
      <c r="DK1809" s="4"/>
      <c r="DL1809" s="4"/>
      <c r="DM1809" s="4"/>
      <c r="DN1809" s="4"/>
      <c r="DO1809" s="4">
        <v>100</v>
      </c>
      <c r="DP1809" s="4"/>
      <c r="DQ1809" s="4"/>
      <c r="DR1809" s="4"/>
      <c r="DS1809" s="4"/>
      <c r="DT1809" s="4"/>
      <c r="DU1809" s="4"/>
      <c r="DV1809" s="4"/>
      <c r="DW1809" s="4"/>
      <c r="DX1809" s="4"/>
      <c r="DY1809" s="4"/>
      <c r="DZ1809" s="4"/>
      <c r="EA1809" s="4"/>
      <c r="EB1809" s="4"/>
      <c r="EC1809" s="4"/>
      <c r="ED1809" s="4"/>
      <c r="EE1809" s="4"/>
      <c r="EF1809" s="4"/>
      <c r="EG1809" s="4"/>
      <c r="EH1809" s="4"/>
      <c r="EI1809" s="4"/>
      <c r="EJ1809" s="4"/>
      <c r="EK1809" s="4"/>
      <c r="EL1809" s="4"/>
      <c r="EM1809" s="4"/>
      <c r="EN1809" s="4"/>
      <c r="EO1809" s="4"/>
      <c r="EP1809" s="4"/>
      <c r="EQ1809" s="4"/>
      <c r="ER1809" s="4"/>
      <c r="ES1809" s="4"/>
      <c r="ET1809" s="4"/>
      <c r="EU1809" s="4"/>
      <c r="EV1809" s="4"/>
      <c r="EW1809" s="4"/>
      <c r="EX1809" s="4"/>
      <c r="EY1809" s="4"/>
      <c r="EZ1809" s="4"/>
      <c r="FA1809" s="4"/>
      <c r="FB1809" s="4"/>
      <c r="FC1809" s="4"/>
      <c r="FD1809" s="4"/>
      <c r="FE1809" s="4"/>
      <c r="FF1809" s="4"/>
      <c r="FG1809" s="4"/>
      <c r="FH1809" s="4"/>
      <c r="FI1809" s="4"/>
      <c r="FJ1809" s="4"/>
      <c r="FK1809" s="4"/>
      <c r="FL1809" s="4"/>
      <c r="FM1809" s="4"/>
      <c r="FN1809" s="4"/>
      <c r="FO1809" s="4"/>
      <c r="FP1809" s="4"/>
      <c r="FQ1809" s="4"/>
      <c r="FR1809" s="4"/>
      <c r="FS1809" s="4"/>
      <c r="FT1809" s="4"/>
      <c r="FU1809" s="4"/>
      <c r="FV1809" s="4"/>
      <c r="FW1809" s="4"/>
      <c r="FX1809" s="4"/>
      <c r="FY1809" s="4"/>
      <c r="FZ1809" s="4"/>
      <c r="GA1809" s="4"/>
      <c r="GB1809" s="4"/>
      <c r="GC1809" s="4"/>
      <c r="GD1809" s="4"/>
      <c r="GE1809" s="4"/>
      <c r="GF1809" s="4"/>
      <c r="GG1809" s="4"/>
      <c r="GH1809" s="4"/>
    </row>
    <row r="1810">
      <c r="A1810" s="2" t="s">
        <v>9113</v>
      </c>
      <c r="B1810" s="2" t="s">
        <v>195</v>
      </c>
      <c r="C1810" s="2" t="s">
        <v>231</v>
      </c>
      <c r="D1810" s="2" t="s">
        <v>2254</v>
      </c>
      <c r="E1810" s="2" t="s">
        <v>2255</v>
      </c>
      <c r="F1810" s="2" t="s">
        <v>1506</v>
      </c>
      <c r="G1810" s="2" t="s">
        <v>9114</v>
      </c>
      <c r="H1810" s="2" t="s">
        <v>9114</v>
      </c>
      <c r="I1810" s="2" t="s">
        <v>9115</v>
      </c>
      <c r="J1810" s="2" t="s">
        <v>5442</v>
      </c>
      <c r="K1810" s="2" t="s">
        <v>499</v>
      </c>
      <c r="L1810" s="3">
        <v>15.91</v>
      </c>
      <c r="M1810" s="3">
        <v>16.71</v>
      </c>
      <c r="N1810" s="3">
        <v>36.99</v>
      </c>
      <c r="O1810" s="2" t="s">
        <v>212</v>
      </c>
      <c r="P1810" s="2" t="s">
        <v>258</v>
      </c>
      <c r="Q1810" s="2" t="s">
        <v>206</v>
      </c>
      <c r="R1810" s="2" t="s">
        <v>200</v>
      </c>
      <c r="S1810" s="2" t="s">
        <v>9116</v>
      </c>
      <c r="T1810" s="2" t="s">
        <v>1899</v>
      </c>
      <c r="U1810" s="2" t="s">
        <v>270</v>
      </c>
      <c r="V1810" s="2" t="s">
        <v>1726</v>
      </c>
      <c r="W1810" s="2" t="s">
        <v>242</v>
      </c>
      <c r="X1810" s="2" t="s">
        <v>200</v>
      </c>
      <c r="Y1810" s="2" t="s">
        <v>9117</v>
      </c>
      <c r="Z1810" s="4">
        <v>1025</v>
      </c>
      <c r="AA1810" s="4">
        <f>=ROUNDDOWN(36.6071428571429,0)</f>
      </c>
      <c r="AB1810" s="5">
        <v>28</v>
      </c>
      <c r="AC1810" s="2" t="s">
        <v>115</v>
      </c>
      <c r="AD1810" s="4">
        <v>300</v>
      </c>
      <c r="AE1810" s="4">
        <v>1100</v>
      </c>
      <c r="AF1810" s="6">
        <v>64</v>
      </c>
      <c r="AG1810" s="6"/>
      <c r="AH1810" s="7">
        <v>1</v>
      </c>
      <c r="AI1810" s="4"/>
      <c r="AJ1810" s="4">
        <f>=ROUNDDOWN({0},0)</f>
      </c>
      <c r="AK1810" s="5"/>
      <c r="AL1810" s="2" t="s">
        <v>200</v>
      </c>
      <c r="AM1810" s="4"/>
      <c r="AN1810" s="4"/>
      <c r="AO1810" s="7"/>
      <c r="AP1810" s="4"/>
      <c r="AQ1810" s="8"/>
      <c r="AR1810" s="4"/>
      <c r="AS1810" s="8"/>
      <c r="AT1810" s="7"/>
      <c r="AU1810" s="7"/>
      <c r="AV1810" s="4"/>
      <c r="AW1810" s="8"/>
      <c r="AX1810" s="4"/>
      <c r="AY1810" s="8"/>
      <c r="AZ1810" s="7"/>
      <c r="BA1810" s="7"/>
      <c r="BB1810" s="7"/>
      <c r="BC1810" s="4" t="s">
        <v>200</v>
      </c>
      <c r="BD1810" s="8" t="s">
        <v>200</v>
      </c>
      <c r="BE1810" s="4" t="s">
        <v>200</v>
      </c>
      <c r="BF1810" s="8" t="s">
        <v>200</v>
      </c>
      <c r="BG1810" s="7" t="s">
        <v>200</v>
      </c>
      <c r="BH1810" s="7" t="s">
        <v>200</v>
      </c>
      <c r="BI1810" s="7"/>
      <c r="BJ1810" s="4">
        <v>831</v>
      </c>
      <c r="BK1810" s="8">
        <v>12952.76</v>
      </c>
      <c r="BL1810" s="2" t="s">
        <v>9118</v>
      </c>
      <c r="BM1810" s="7"/>
      <c r="BN1810" s="7"/>
      <c r="BO1810" s="4"/>
      <c r="BP1810" s="8"/>
      <c r="BQ1810" s="4"/>
      <c r="BR1810" s="8"/>
      <c r="BS1810" s="7"/>
      <c r="BT1810" s="7"/>
      <c r="BU1810" s="2" t="s">
        <v>9119</v>
      </c>
      <c r="BV1810" s="2" t="s">
        <v>200</v>
      </c>
      <c r="BW1810" s="2" t="s">
        <v>200</v>
      </c>
      <c r="BX1810" s="2" t="s">
        <v>264</v>
      </c>
      <c r="BY1810" s="2" t="s">
        <v>247</v>
      </c>
      <c r="BZ1810" s="2" t="s">
        <v>212</v>
      </c>
      <c r="CA1810" s="2" t="s">
        <v>9120</v>
      </c>
      <c r="CB1810" s="2" t="s">
        <v>4706</v>
      </c>
      <c r="CC1810" s="2" t="s">
        <v>213</v>
      </c>
      <c r="CD1810" s="2" t="s">
        <v>200</v>
      </c>
      <c r="CE1810" s="4"/>
      <c r="CF1810" s="4">
        <v>311</v>
      </c>
      <c r="CG1810" s="4"/>
      <c r="CH1810" s="4">
        <v>714</v>
      </c>
      <c r="CI1810" s="4"/>
      <c r="CJ1810" s="4"/>
      <c r="CK1810" s="4"/>
      <c r="CL1810" s="4"/>
      <c r="CM1810" s="4"/>
      <c r="CN1810" s="4"/>
      <c r="CO1810" s="4"/>
      <c r="CP1810" s="4"/>
      <c r="CQ1810" s="4"/>
      <c r="CR1810" s="4"/>
      <c r="CS1810" s="4"/>
      <c r="CT1810" s="4"/>
      <c r="CU1810" s="4"/>
      <c r="CV1810" s="4"/>
      <c r="CW1810" s="4"/>
      <c r="CX1810" s="4"/>
      <c r="CY1810" s="4"/>
      <c r="CZ1810" s="4"/>
      <c r="DA1810" s="4"/>
      <c r="DB1810" s="4">
        <v>300</v>
      </c>
      <c r="DC1810" s="4"/>
      <c r="DD1810" s="4"/>
      <c r="DE1810" s="4">
        <v>400</v>
      </c>
      <c r="DF1810" s="4"/>
      <c r="DG1810" s="4"/>
      <c r="DH1810" s="4"/>
      <c r="DI1810" s="4"/>
      <c r="DJ1810" s="4"/>
      <c r="DK1810" s="4"/>
      <c r="DL1810" s="4"/>
      <c r="DM1810" s="4"/>
      <c r="DN1810" s="4"/>
      <c r="DO1810" s="4"/>
      <c r="DP1810" s="4"/>
      <c r="DQ1810" s="4"/>
      <c r="DR1810" s="4"/>
      <c r="DS1810" s="4"/>
      <c r="DT1810" s="4"/>
      <c r="DU1810" s="4"/>
      <c r="DV1810" s="4"/>
      <c r="DW1810" s="4"/>
      <c r="DX1810" s="4"/>
      <c r="DY1810" s="4"/>
      <c r="DZ1810" s="4"/>
      <c r="EA1810" s="4"/>
      <c r="EB1810" s="4"/>
      <c r="EC1810" s="4"/>
      <c r="ED1810" s="4"/>
      <c r="EE1810" s="4"/>
      <c r="EF1810" s="4"/>
      <c r="EG1810" s="4"/>
      <c r="EH1810" s="4"/>
      <c r="EI1810" s="4"/>
      <c r="EJ1810" s="4"/>
      <c r="EK1810" s="4"/>
      <c r="EL1810" s="4"/>
      <c r="EM1810" s="4"/>
      <c r="EN1810" s="4"/>
      <c r="EO1810" s="4"/>
      <c r="EP1810" s="4"/>
      <c r="EQ1810" s="4"/>
      <c r="ER1810" s="4"/>
      <c r="ES1810" s="4">
        <v>400</v>
      </c>
      <c r="ET1810" s="4"/>
      <c r="EU1810" s="4"/>
      <c r="EV1810" s="4"/>
      <c r="EW1810" s="4"/>
      <c r="EX1810" s="4"/>
      <c r="EY1810" s="4"/>
      <c r="EZ1810" s="4"/>
      <c r="FA1810" s="4"/>
      <c r="FB1810" s="4"/>
      <c r="FC1810" s="4"/>
      <c r="FD1810" s="4"/>
      <c r="FE1810" s="4"/>
      <c r="FF1810" s="4"/>
      <c r="FG1810" s="4"/>
      <c r="FH1810" s="4"/>
      <c r="FI1810" s="4"/>
      <c r="FJ1810" s="4"/>
      <c r="FK1810" s="4"/>
      <c r="FL1810" s="4"/>
      <c r="FM1810" s="4"/>
      <c r="FN1810" s="4"/>
      <c r="FO1810" s="4"/>
      <c r="FP1810" s="4"/>
      <c r="FQ1810" s="4"/>
      <c r="FR1810" s="4"/>
      <c r="FS1810" s="4"/>
      <c r="FT1810" s="4"/>
      <c r="FU1810" s="4"/>
      <c r="FV1810" s="4"/>
      <c r="FW1810" s="4"/>
      <c r="FX1810" s="4"/>
      <c r="FY1810" s="4"/>
      <c r="FZ1810" s="4"/>
      <c r="GA1810" s="4"/>
      <c r="GB1810" s="4"/>
      <c r="GC1810" s="4"/>
      <c r="GD1810" s="4"/>
      <c r="GE1810" s="4"/>
      <c r="GF1810" s="4"/>
      <c r="GG1810" s="4"/>
      <c r="GH1810" s="4"/>
    </row>
    <row r="1811">
      <c r="A1811" s="2" t="s">
        <v>9121</v>
      </c>
      <c r="B1811" s="2" t="s">
        <v>195</v>
      </c>
      <c r="C1811" s="2" t="s">
        <v>231</v>
      </c>
      <c r="D1811" s="2" t="s">
        <v>2254</v>
      </c>
      <c r="E1811" s="2" t="s">
        <v>2255</v>
      </c>
      <c r="F1811" s="2" t="s">
        <v>1506</v>
      </c>
      <c r="G1811" s="2" t="s">
        <v>9114</v>
      </c>
      <c r="H1811" s="2" t="s">
        <v>9114</v>
      </c>
      <c r="I1811" s="2" t="s">
        <v>9115</v>
      </c>
      <c r="J1811" s="2" t="s">
        <v>5442</v>
      </c>
      <c r="K1811" s="2" t="s">
        <v>1174</v>
      </c>
      <c r="L1811" s="3">
        <v>15.91</v>
      </c>
      <c r="M1811" s="3">
        <v>16.71</v>
      </c>
      <c r="N1811" s="3">
        <v>36.99</v>
      </c>
      <c r="O1811" s="2" t="s">
        <v>212</v>
      </c>
      <c r="P1811" s="2" t="s">
        <v>258</v>
      </c>
      <c r="Q1811" s="2" t="s">
        <v>206</v>
      </c>
      <c r="R1811" s="2" t="s">
        <v>200</v>
      </c>
      <c r="S1811" s="2" t="s">
        <v>9122</v>
      </c>
      <c r="T1811" s="2" t="s">
        <v>1899</v>
      </c>
      <c r="U1811" s="2" t="s">
        <v>200</v>
      </c>
      <c r="V1811" s="2" t="s">
        <v>1726</v>
      </c>
      <c r="W1811" s="2" t="s">
        <v>242</v>
      </c>
      <c r="X1811" s="2" t="s">
        <v>200</v>
      </c>
      <c r="Y1811" s="2" t="s">
        <v>261</v>
      </c>
      <c r="Z1811" s="4">
        <v>2241</v>
      </c>
      <c r="AA1811" s="4">
        <f>=ROUNDDOWN(74.7,0)</f>
      </c>
      <c r="AB1811" s="5">
        <v>30</v>
      </c>
      <c r="AC1811" s="2" t="s">
        <v>1674</v>
      </c>
      <c r="AD1811" s="4">
        <v>300</v>
      </c>
      <c r="AE1811" s="4">
        <v>1100</v>
      </c>
      <c r="AF1811" s="6">
        <v>64</v>
      </c>
      <c r="AG1811" s="6"/>
      <c r="AH1811" s="7">
        <v>1</v>
      </c>
      <c r="AI1811" s="4"/>
      <c r="AJ1811" s="4">
        <f>=ROUNDDOWN({0},0)</f>
      </c>
      <c r="AK1811" s="5"/>
      <c r="AL1811" s="2" t="s">
        <v>200</v>
      </c>
      <c r="AM1811" s="4"/>
      <c r="AN1811" s="4"/>
      <c r="AO1811" s="7"/>
      <c r="AP1811" s="4"/>
      <c r="AQ1811" s="8"/>
      <c r="AR1811" s="4"/>
      <c r="AS1811" s="8"/>
      <c r="AT1811" s="7"/>
      <c r="AU1811" s="7"/>
      <c r="AV1811" s="4" t="s">
        <v>200</v>
      </c>
      <c r="AW1811" s="8" t="s">
        <v>200</v>
      </c>
      <c r="AX1811" s="4" t="s">
        <v>200</v>
      </c>
      <c r="AY1811" s="8" t="s">
        <v>200</v>
      </c>
      <c r="AZ1811" s="7" t="s">
        <v>200</v>
      </c>
      <c r="BA1811" s="7" t="s">
        <v>200</v>
      </c>
      <c r="BB1811" s="7"/>
      <c r="BC1811" s="4" t="s">
        <v>200</v>
      </c>
      <c r="BD1811" s="8" t="s">
        <v>200</v>
      </c>
      <c r="BE1811" s="4" t="s">
        <v>200</v>
      </c>
      <c r="BF1811" s="8" t="s">
        <v>200</v>
      </c>
      <c r="BG1811" s="7" t="s">
        <v>200</v>
      </c>
      <c r="BH1811" s="7" t="s">
        <v>200</v>
      </c>
      <c r="BI1811" s="7"/>
      <c r="BJ1811" s="4">
        <v>797</v>
      </c>
      <c r="BK1811" s="8">
        <v>12765.38</v>
      </c>
      <c r="BL1811" s="2" t="s">
        <v>9123</v>
      </c>
      <c r="BM1811" s="7"/>
      <c r="BN1811" s="7"/>
      <c r="BO1811" s="4"/>
      <c r="BP1811" s="8"/>
      <c r="BQ1811" s="4"/>
      <c r="BR1811" s="8"/>
      <c r="BS1811" s="7"/>
      <c r="BT1811" s="7"/>
      <c r="BU1811" s="2" t="s">
        <v>9124</v>
      </c>
      <c r="BV1811" s="2" t="s">
        <v>200</v>
      </c>
      <c r="BW1811" s="2" t="s">
        <v>200</v>
      </c>
      <c r="BX1811" s="2" t="s">
        <v>264</v>
      </c>
      <c r="BY1811" s="2" t="s">
        <v>247</v>
      </c>
      <c r="BZ1811" s="2" t="s">
        <v>212</v>
      </c>
      <c r="CA1811" s="2" t="s">
        <v>265</v>
      </c>
      <c r="CB1811" s="2" t="s">
        <v>9125</v>
      </c>
      <c r="CC1811" s="2" t="s">
        <v>213</v>
      </c>
      <c r="CD1811" s="2" t="s">
        <v>200</v>
      </c>
      <c r="CE1811" s="4">
        <v>1528</v>
      </c>
      <c r="CF1811" s="4">
        <v>713</v>
      </c>
      <c r="CG1811" s="4"/>
      <c r="CH1811" s="4"/>
      <c r="CI1811" s="4"/>
      <c r="CJ1811" s="4"/>
      <c r="CK1811" s="4"/>
      <c r="CL1811" s="4"/>
      <c r="CM1811" s="4"/>
      <c r="CN1811" s="4"/>
      <c r="CO1811" s="4"/>
      <c r="CP1811" s="4"/>
      <c r="CQ1811" s="4"/>
      <c r="CR1811" s="4"/>
      <c r="CS1811" s="4"/>
      <c r="CT1811" s="4"/>
      <c r="CU1811" s="4"/>
      <c r="CV1811" s="4"/>
      <c r="CW1811" s="4"/>
      <c r="CX1811" s="4"/>
      <c r="CY1811" s="4"/>
      <c r="CZ1811" s="4"/>
      <c r="DA1811" s="4"/>
      <c r="DB1811" s="4"/>
      <c r="DC1811" s="4"/>
      <c r="DD1811" s="4"/>
      <c r="DE1811" s="4"/>
      <c r="DF1811" s="4"/>
      <c r="DG1811" s="4"/>
      <c r="DH1811" s="4"/>
      <c r="DI1811" s="4"/>
      <c r="DJ1811" s="4"/>
      <c r="DK1811" s="4"/>
      <c r="DL1811" s="4"/>
      <c r="DM1811" s="4"/>
      <c r="DN1811" s="4"/>
      <c r="DO1811" s="4"/>
      <c r="DP1811" s="4"/>
      <c r="DQ1811" s="4"/>
      <c r="DR1811" s="4"/>
      <c r="DS1811" s="4"/>
      <c r="DT1811" s="4"/>
      <c r="DU1811" s="4"/>
      <c r="DV1811" s="4"/>
      <c r="DW1811" s="4">
        <v>300</v>
      </c>
      <c r="DX1811" s="4"/>
      <c r="DY1811" s="4"/>
      <c r="DZ1811" s="4"/>
      <c r="EA1811" s="4"/>
      <c r="EB1811" s="4"/>
      <c r="EC1811" s="4"/>
      <c r="ED1811" s="4"/>
      <c r="EE1811" s="4"/>
      <c r="EF1811" s="4"/>
      <c r="EG1811" s="4"/>
      <c r="EH1811" s="4"/>
      <c r="EI1811" s="4"/>
      <c r="EJ1811" s="4"/>
      <c r="EK1811" s="4"/>
      <c r="EL1811" s="4"/>
      <c r="EM1811" s="4"/>
      <c r="EN1811" s="4"/>
      <c r="EO1811" s="4"/>
      <c r="EP1811" s="4">
        <v>800</v>
      </c>
      <c r="EQ1811" s="4"/>
      <c r="ER1811" s="4"/>
      <c r="ES1811" s="4"/>
      <c r="ET1811" s="4"/>
      <c r="EU1811" s="4"/>
      <c r="EV1811" s="4"/>
      <c r="EW1811" s="4"/>
      <c r="EX1811" s="4"/>
      <c r="EY1811" s="4"/>
      <c r="EZ1811" s="4"/>
      <c r="FA1811" s="4"/>
      <c r="FB1811" s="4"/>
      <c r="FC1811" s="4"/>
      <c r="FD1811" s="4"/>
      <c r="FE1811" s="4"/>
      <c r="FF1811" s="4"/>
      <c r="FG1811" s="4"/>
      <c r="FH1811" s="4"/>
      <c r="FI1811" s="4"/>
      <c r="FJ1811" s="4"/>
      <c r="FK1811" s="4"/>
      <c r="FL1811" s="4"/>
      <c r="FM1811" s="4"/>
      <c r="FN1811" s="4"/>
      <c r="FO1811" s="4"/>
      <c r="FP1811" s="4"/>
      <c r="FQ1811" s="4"/>
      <c r="FR1811" s="4"/>
      <c r="FS1811" s="4"/>
      <c r="FT1811" s="4"/>
      <c r="FU1811" s="4"/>
      <c r="FV1811" s="4"/>
      <c r="FW1811" s="4"/>
      <c r="FX1811" s="4"/>
      <c r="FY1811" s="4"/>
      <c r="FZ1811" s="4"/>
      <c r="GA1811" s="4"/>
      <c r="GB1811" s="4"/>
      <c r="GC1811" s="4"/>
      <c r="GD1811" s="4"/>
      <c r="GE1811" s="4"/>
      <c r="GF1811" s="4"/>
      <c r="GG1811" s="4"/>
      <c r="GH1811" s="4"/>
    </row>
    <row r="1812">
      <c r="A1812" s="2" t="s">
        <v>9126</v>
      </c>
      <c r="B1812" s="2" t="s">
        <v>195</v>
      </c>
      <c r="C1812" s="2" t="s">
        <v>231</v>
      </c>
      <c r="D1812" s="2" t="s">
        <v>2254</v>
      </c>
      <c r="E1812" s="2" t="s">
        <v>2255</v>
      </c>
      <c r="F1812" s="2" t="s">
        <v>1506</v>
      </c>
      <c r="G1812" s="2" t="s">
        <v>9114</v>
      </c>
      <c r="H1812" s="2" t="s">
        <v>9114</v>
      </c>
      <c r="I1812" s="2" t="s">
        <v>9127</v>
      </c>
      <c r="J1812" s="2" t="s">
        <v>9128</v>
      </c>
      <c r="K1812" s="2" t="s">
        <v>1174</v>
      </c>
      <c r="L1812" s="3">
        <v>27.6</v>
      </c>
      <c r="M1812" s="3">
        <v>28.98</v>
      </c>
      <c r="N1812" s="3">
        <v>59.99</v>
      </c>
      <c r="O1812" s="2" t="s">
        <v>212</v>
      </c>
      <c r="P1812" s="2" t="s">
        <v>285</v>
      </c>
      <c r="Q1812" s="2" t="s">
        <v>206</v>
      </c>
      <c r="R1812" s="2" t="s">
        <v>200</v>
      </c>
      <c r="S1812" s="2" t="s">
        <v>9122</v>
      </c>
      <c r="T1812" s="2" t="s">
        <v>1899</v>
      </c>
      <c r="U1812" s="2" t="s">
        <v>200</v>
      </c>
      <c r="V1812" s="2" t="s">
        <v>339</v>
      </c>
      <c r="W1812" s="2" t="s">
        <v>242</v>
      </c>
      <c r="X1812" s="2" t="s">
        <v>200</v>
      </c>
      <c r="Y1812" s="2" t="s">
        <v>261</v>
      </c>
      <c r="Z1812" s="4">
        <v>95</v>
      </c>
      <c r="AA1812" s="4">
        <f>=ROUNDDOWN(15.8333333333333,0)</f>
      </c>
      <c r="AB1812" s="5">
        <v>6</v>
      </c>
      <c r="AC1812" s="2" t="s">
        <v>200</v>
      </c>
      <c r="AD1812" s="4"/>
      <c r="AE1812" s="4"/>
      <c r="AF1812" s="6">
        <v>64</v>
      </c>
      <c r="AG1812" s="6"/>
      <c r="AH1812" s="7">
        <v>1</v>
      </c>
      <c r="AI1812" s="4"/>
      <c r="AJ1812" s="4">
        <f>=ROUNDDOWN({0},0)</f>
      </c>
      <c r="AK1812" s="5"/>
      <c r="AL1812" s="2" t="s">
        <v>200</v>
      </c>
      <c r="AM1812" s="4"/>
      <c r="AN1812" s="4"/>
      <c r="AO1812" s="7"/>
      <c r="AP1812" s="4"/>
      <c r="AQ1812" s="8"/>
      <c r="AR1812" s="4"/>
      <c r="AS1812" s="8"/>
      <c r="AT1812" s="7"/>
      <c r="AU1812" s="7"/>
      <c r="AV1812" s="4" t="s">
        <v>200</v>
      </c>
      <c r="AW1812" s="8" t="s">
        <v>200</v>
      </c>
      <c r="AX1812" s="4" t="s">
        <v>200</v>
      </c>
      <c r="AY1812" s="8" t="s">
        <v>200</v>
      </c>
      <c r="AZ1812" s="7" t="s">
        <v>200</v>
      </c>
      <c r="BA1812" s="7" t="s">
        <v>200</v>
      </c>
      <c r="BB1812" s="7"/>
      <c r="BC1812" s="4" t="s">
        <v>200</v>
      </c>
      <c r="BD1812" s="8" t="s">
        <v>200</v>
      </c>
      <c r="BE1812" s="4" t="s">
        <v>200</v>
      </c>
      <c r="BF1812" s="8" t="s">
        <v>200</v>
      </c>
      <c r="BG1812" s="7" t="s">
        <v>200</v>
      </c>
      <c r="BH1812" s="7" t="s">
        <v>200</v>
      </c>
      <c r="BI1812" s="7"/>
      <c r="BJ1812" s="4">
        <v>58</v>
      </c>
      <c r="BK1812" s="8">
        <v>1319.91</v>
      </c>
      <c r="BL1812" s="2" t="s">
        <v>9129</v>
      </c>
      <c r="BM1812" s="7"/>
      <c r="BN1812" s="7"/>
      <c r="BO1812" s="4"/>
      <c r="BP1812" s="8"/>
      <c r="BQ1812" s="4"/>
      <c r="BR1812" s="8"/>
      <c r="BS1812" s="7"/>
      <c r="BT1812" s="7"/>
      <c r="BU1812" s="2" t="s">
        <v>9130</v>
      </c>
      <c r="BV1812" s="2" t="s">
        <v>200</v>
      </c>
      <c r="BW1812" s="2" t="s">
        <v>200</v>
      </c>
      <c r="BX1812" s="2" t="s">
        <v>289</v>
      </c>
      <c r="BY1812" s="2" t="s">
        <v>247</v>
      </c>
      <c r="BZ1812" s="2" t="s">
        <v>212</v>
      </c>
      <c r="CA1812" s="2" t="s">
        <v>265</v>
      </c>
      <c r="CB1812" s="2" t="s">
        <v>9131</v>
      </c>
      <c r="CC1812" s="2" t="s">
        <v>213</v>
      </c>
      <c r="CD1812" s="2" t="s">
        <v>200</v>
      </c>
      <c r="CE1812" s="4">
        <v>95</v>
      </c>
      <c r="CF1812" s="4"/>
      <c r="CG1812" s="4"/>
      <c r="CH1812" s="4"/>
      <c r="CI1812" s="4"/>
      <c r="CJ1812" s="4"/>
      <c r="CK1812" s="4"/>
      <c r="CL1812" s="4"/>
      <c r="CM1812" s="4"/>
      <c r="CN1812" s="4"/>
      <c r="CO1812" s="4"/>
      <c r="CP1812" s="4"/>
      <c r="CQ1812" s="4"/>
      <c r="CR1812" s="4"/>
      <c r="CS1812" s="4"/>
      <c r="CT1812" s="4"/>
      <c r="CU1812" s="4"/>
      <c r="CV1812" s="4"/>
      <c r="CW1812" s="4"/>
      <c r="CX1812" s="4"/>
      <c r="CY1812" s="4"/>
      <c r="CZ1812" s="4"/>
      <c r="DA1812" s="4"/>
      <c r="DB1812" s="4"/>
      <c r="DC1812" s="4"/>
      <c r="DD1812" s="4"/>
      <c r="DE1812" s="4"/>
      <c r="DF1812" s="4"/>
      <c r="DG1812" s="4"/>
      <c r="DH1812" s="4"/>
      <c r="DI1812" s="4"/>
      <c r="DJ1812" s="4"/>
      <c r="DK1812" s="4"/>
      <c r="DL1812" s="4"/>
      <c r="DM1812" s="4"/>
      <c r="DN1812" s="4"/>
      <c r="DO1812" s="4"/>
      <c r="DP1812" s="4"/>
      <c r="DQ1812" s="4"/>
      <c r="DR1812" s="4"/>
      <c r="DS1812" s="4"/>
      <c r="DT1812" s="4"/>
      <c r="DU1812" s="4"/>
      <c r="DV1812" s="4"/>
      <c r="DW1812" s="4"/>
      <c r="DX1812" s="4"/>
      <c r="DY1812" s="4"/>
      <c r="DZ1812" s="4"/>
      <c r="EA1812" s="4"/>
      <c r="EB1812" s="4"/>
      <c r="EC1812" s="4"/>
      <c r="ED1812" s="4"/>
      <c r="EE1812" s="4"/>
      <c r="EF1812" s="4"/>
      <c r="EG1812" s="4"/>
      <c r="EH1812" s="4"/>
      <c r="EI1812" s="4"/>
      <c r="EJ1812" s="4"/>
      <c r="EK1812" s="4"/>
      <c r="EL1812" s="4"/>
      <c r="EM1812" s="4"/>
      <c r="EN1812" s="4"/>
      <c r="EO1812" s="4"/>
      <c r="EP1812" s="4"/>
      <c r="EQ1812" s="4"/>
      <c r="ER1812" s="4"/>
      <c r="ES1812" s="4"/>
      <c r="ET1812" s="4"/>
      <c r="EU1812" s="4"/>
      <c r="EV1812" s="4"/>
      <c r="EW1812" s="4"/>
      <c r="EX1812" s="4"/>
      <c r="EY1812" s="4"/>
      <c r="EZ1812" s="4"/>
      <c r="FA1812" s="4"/>
      <c r="FB1812" s="4"/>
      <c r="FC1812" s="4"/>
      <c r="FD1812" s="4"/>
      <c r="FE1812" s="4"/>
      <c r="FF1812" s="4"/>
      <c r="FG1812" s="4"/>
      <c r="FH1812" s="4"/>
      <c r="FI1812" s="4"/>
      <c r="FJ1812" s="4"/>
      <c r="FK1812" s="4"/>
      <c r="FL1812" s="4"/>
      <c r="FM1812" s="4"/>
      <c r="FN1812" s="4"/>
      <c r="FO1812" s="4"/>
      <c r="FP1812" s="4"/>
      <c r="FQ1812" s="4"/>
      <c r="FR1812" s="4"/>
      <c r="FS1812" s="4"/>
      <c r="FT1812" s="4"/>
      <c r="FU1812" s="4"/>
      <c r="FV1812" s="4"/>
      <c r="FW1812" s="4"/>
      <c r="FX1812" s="4"/>
      <c r="FY1812" s="4"/>
      <c r="FZ1812" s="4"/>
      <c r="GA1812" s="4"/>
      <c r="GB1812" s="4"/>
      <c r="GC1812" s="4"/>
      <c r="GD1812" s="4"/>
      <c r="GE1812" s="4"/>
      <c r="GF1812" s="4"/>
      <c r="GG1812" s="4"/>
      <c r="GH1812" s="4"/>
    </row>
    <row r="1813">
      <c r="A1813" s="2" t="s">
        <v>9132</v>
      </c>
      <c r="B1813" s="2" t="s">
        <v>195</v>
      </c>
      <c r="C1813" s="2" t="s">
        <v>231</v>
      </c>
      <c r="D1813" s="2" t="s">
        <v>2254</v>
      </c>
      <c r="E1813" s="2" t="s">
        <v>2255</v>
      </c>
      <c r="F1813" s="2" t="s">
        <v>1506</v>
      </c>
      <c r="G1813" s="2" t="s">
        <v>9114</v>
      </c>
      <c r="H1813" s="2" t="s">
        <v>9114</v>
      </c>
      <c r="I1813" s="2" t="s">
        <v>9127</v>
      </c>
      <c r="J1813" s="2" t="s">
        <v>9128</v>
      </c>
      <c r="K1813" s="2" t="s">
        <v>221</v>
      </c>
      <c r="L1813" s="3">
        <v>27.6</v>
      </c>
      <c r="M1813" s="3">
        <v>28.98</v>
      </c>
      <c r="N1813" s="3">
        <v>59.99</v>
      </c>
      <c r="O1813" s="2" t="s">
        <v>212</v>
      </c>
      <c r="P1813" s="2" t="s">
        <v>285</v>
      </c>
      <c r="Q1813" s="2" t="s">
        <v>206</v>
      </c>
      <c r="R1813" s="2" t="s">
        <v>200</v>
      </c>
      <c r="S1813" s="2" t="s">
        <v>9133</v>
      </c>
      <c r="T1813" s="2" t="s">
        <v>1899</v>
      </c>
      <c r="U1813" s="2" t="s">
        <v>200</v>
      </c>
      <c r="V1813" s="2" t="s">
        <v>339</v>
      </c>
      <c r="W1813" s="2" t="s">
        <v>242</v>
      </c>
      <c r="X1813" s="2" t="s">
        <v>200</v>
      </c>
      <c r="Y1813" s="2" t="s">
        <v>8212</v>
      </c>
      <c r="Z1813" s="4">
        <v>129</v>
      </c>
      <c r="AA1813" s="4">
        <f>=ROUNDDOWN(9.21428571428572,0)</f>
      </c>
      <c r="AB1813" s="5">
        <v>14</v>
      </c>
      <c r="AC1813" s="2" t="s">
        <v>200</v>
      </c>
      <c r="AD1813" s="4"/>
      <c r="AE1813" s="4"/>
      <c r="AF1813" s="6">
        <v>64</v>
      </c>
      <c r="AG1813" s="6"/>
      <c r="AH1813" s="7">
        <v>1</v>
      </c>
      <c r="AI1813" s="4"/>
      <c r="AJ1813" s="4">
        <f>=ROUNDDOWN({0},0)</f>
      </c>
      <c r="AK1813" s="5"/>
      <c r="AL1813" s="2" t="s">
        <v>200</v>
      </c>
      <c r="AM1813" s="4"/>
      <c r="AN1813" s="4"/>
      <c r="AO1813" s="7"/>
      <c r="AP1813" s="4"/>
      <c r="AQ1813" s="8"/>
      <c r="AR1813" s="4"/>
      <c r="AS1813" s="8"/>
      <c r="AT1813" s="7"/>
      <c r="AU1813" s="7"/>
      <c r="AV1813" s="4"/>
      <c r="AW1813" s="8"/>
      <c r="AX1813" s="4"/>
      <c r="AY1813" s="8"/>
      <c r="AZ1813" s="7"/>
      <c r="BA1813" s="7"/>
      <c r="BB1813" s="7"/>
      <c r="BC1813" s="4" t="s">
        <v>200</v>
      </c>
      <c r="BD1813" s="8" t="s">
        <v>200</v>
      </c>
      <c r="BE1813" s="4" t="s">
        <v>200</v>
      </c>
      <c r="BF1813" s="8" t="s">
        <v>200</v>
      </c>
      <c r="BG1813" s="7" t="s">
        <v>200</v>
      </c>
      <c r="BH1813" s="7" t="s">
        <v>200</v>
      </c>
      <c r="BI1813" s="7"/>
      <c r="BJ1813" s="4">
        <v>55</v>
      </c>
      <c r="BK1813" s="8">
        <v>1249.92</v>
      </c>
      <c r="BL1813" s="2" t="s">
        <v>9134</v>
      </c>
      <c r="BM1813" s="7"/>
      <c r="BN1813" s="7"/>
      <c r="BO1813" s="4"/>
      <c r="BP1813" s="8"/>
      <c r="BQ1813" s="4"/>
      <c r="BR1813" s="8"/>
      <c r="BS1813" s="7"/>
      <c r="BT1813" s="7"/>
      <c r="BU1813" s="2" t="s">
        <v>9135</v>
      </c>
      <c r="BV1813" s="2" t="s">
        <v>200</v>
      </c>
      <c r="BW1813" s="2" t="s">
        <v>200</v>
      </c>
      <c r="BX1813" s="2" t="s">
        <v>289</v>
      </c>
      <c r="BY1813" s="2" t="s">
        <v>247</v>
      </c>
      <c r="BZ1813" s="2" t="s">
        <v>212</v>
      </c>
      <c r="CA1813" s="2" t="s">
        <v>265</v>
      </c>
      <c r="CB1813" s="2" t="s">
        <v>1125</v>
      </c>
      <c r="CC1813" s="2" t="s">
        <v>213</v>
      </c>
      <c r="CD1813" s="2" t="s">
        <v>200</v>
      </c>
      <c r="CE1813" s="4">
        <v>129</v>
      </c>
      <c r="CF1813" s="4"/>
      <c r="CG1813" s="4"/>
      <c r="CH1813" s="4"/>
      <c r="CI1813" s="4"/>
      <c r="CJ1813" s="4"/>
      <c r="CK1813" s="4"/>
      <c r="CL1813" s="4"/>
      <c r="CM1813" s="4"/>
      <c r="CN1813" s="4"/>
      <c r="CO1813" s="4"/>
      <c r="CP1813" s="4"/>
      <c r="CQ1813" s="4"/>
      <c r="CR1813" s="4"/>
      <c r="CS1813" s="4"/>
      <c r="CT1813" s="4"/>
      <c r="CU1813" s="4"/>
      <c r="CV1813" s="4"/>
      <c r="CW1813" s="4"/>
      <c r="CX1813" s="4"/>
      <c r="CY1813" s="4"/>
      <c r="CZ1813" s="4"/>
      <c r="DA1813" s="4"/>
      <c r="DB1813" s="4"/>
      <c r="DC1813" s="4"/>
      <c r="DD1813" s="4"/>
      <c r="DE1813" s="4"/>
      <c r="DF1813" s="4"/>
      <c r="DG1813" s="4"/>
      <c r="DH1813" s="4"/>
      <c r="DI1813" s="4"/>
      <c r="DJ1813" s="4"/>
      <c r="DK1813" s="4"/>
      <c r="DL1813" s="4"/>
      <c r="DM1813" s="4"/>
      <c r="DN1813" s="4"/>
      <c r="DO1813" s="4"/>
      <c r="DP1813" s="4"/>
      <c r="DQ1813" s="4"/>
      <c r="DR1813" s="4"/>
      <c r="DS1813" s="4"/>
      <c r="DT1813" s="4"/>
      <c r="DU1813" s="4"/>
      <c r="DV1813" s="4"/>
      <c r="DW1813" s="4"/>
      <c r="DX1813" s="4"/>
      <c r="DY1813" s="4"/>
      <c r="DZ1813" s="4"/>
      <c r="EA1813" s="4"/>
      <c r="EB1813" s="4"/>
      <c r="EC1813" s="4"/>
      <c r="ED1813" s="4"/>
      <c r="EE1813" s="4"/>
      <c r="EF1813" s="4"/>
      <c r="EG1813" s="4"/>
      <c r="EH1813" s="4"/>
      <c r="EI1813" s="4"/>
      <c r="EJ1813" s="4"/>
      <c r="EK1813" s="4"/>
      <c r="EL1813" s="4"/>
      <c r="EM1813" s="4"/>
      <c r="EN1813" s="4"/>
      <c r="EO1813" s="4"/>
      <c r="EP1813" s="4"/>
      <c r="EQ1813" s="4"/>
      <c r="ER1813" s="4"/>
      <c r="ES1813" s="4"/>
      <c r="ET1813" s="4"/>
      <c r="EU1813" s="4"/>
      <c r="EV1813" s="4"/>
      <c r="EW1813" s="4"/>
      <c r="EX1813" s="4"/>
      <c r="EY1813" s="4"/>
      <c r="EZ1813" s="4"/>
      <c r="FA1813" s="4"/>
      <c r="FB1813" s="4"/>
      <c r="FC1813" s="4"/>
      <c r="FD1813" s="4"/>
      <c r="FE1813" s="4"/>
      <c r="FF1813" s="4"/>
      <c r="FG1813" s="4"/>
      <c r="FH1813" s="4"/>
      <c r="FI1813" s="4"/>
      <c r="FJ1813" s="4"/>
      <c r="FK1813" s="4"/>
      <c r="FL1813" s="4"/>
      <c r="FM1813" s="4"/>
      <c r="FN1813" s="4"/>
      <c r="FO1813" s="4"/>
      <c r="FP1813" s="4"/>
      <c r="FQ1813" s="4"/>
      <c r="FR1813" s="4"/>
      <c r="FS1813" s="4"/>
      <c r="FT1813" s="4"/>
      <c r="FU1813" s="4"/>
      <c r="FV1813" s="4"/>
      <c r="FW1813" s="4"/>
      <c r="FX1813" s="4"/>
      <c r="FY1813" s="4"/>
      <c r="FZ1813" s="4"/>
      <c r="GA1813" s="4"/>
      <c r="GB1813" s="4"/>
      <c r="GC1813" s="4"/>
      <c r="GD1813" s="4"/>
      <c r="GE1813" s="4"/>
      <c r="GF1813" s="4"/>
      <c r="GG1813" s="4"/>
      <c r="GH1813" s="4"/>
    </row>
    <row r="1814">
      <c r="A1814" s="2" t="s">
        <v>9136</v>
      </c>
      <c r="B1814" s="2" t="s">
        <v>195</v>
      </c>
      <c r="C1814" s="2" t="s">
        <v>231</v>
      </c>
      <c r="D1814" s="2" t="s">
        <v>1524</v>
      </c>
      <c r="E1814" s="2" t="s">
        <v>2324</v>
      </c>
      <c r="F1814" s="2" t="s">
        <v>1506</v>
      </c>
      <c r="G1814" s="2" t="s">
        <v>9114</v>
      </c>
      <c r="H1814" s="2" t="s">
        <v>9114</v>
      </c>
      <c r="I1814" s="2" t="s">
        <v>3899</v>
      </c>
      <c r="J1814" s="2" t="s">
        <v>1660</v>
      </c>
      <c r="K1814" s="2" t="s">
        <v>9137</v>
      </c>
      <c r="L1814" s="3">
        <v>14.83</v>
      </c>
      <c r="M1814" s="3">
        <v>15.57</v>
      </c>
      <c r="N1814" s="3">
        <v>31.99</v>
      </c>
      <c r="O1814" s="2" t="s">
        <v>212</v>
      </c>
      <c r="P1814" s="2" t="s">
        <v>258</v>
      </c>
      <c r="Q1814" s="2" t="s">
        <v>206</v>
      </c>
      <c r="R1814" s="2" t="s">
        <v>200</v>
      </c>
      <c r="S1814" s="2" t="s">
        <v>9138</v>
      </c>
      <c r="T1814" s="2" t="s">
        <v>1899</v>
      </c>
      <c r="U1814" s="2" t="s">
        <v>270</v>
      </c>
      <c r="V1814" s="2" t="s">
        <v>1726</v>
      </c>
      <c r="W1814" s="2" t="s">
        <v>242</v>
      </c>
      <c r="X1814" s="2" t="s">
        <v>200</v>
      </c>
      <c r="Y1814" s="2" t="s">
        <v>8951</v>
      </c>
      <c r="Z1814" s="4">
        <v>844</v>
      </c>
      <c r="AA1814" s="4">
        <f>=ROUNDDOWN(60.2857142857143,0)</f>
      </c>
      <c r="AB1814" s="5">
        <v>14</v>
      </c>
      <c r="AC1814" s="2" t="s">
        <v>200</v>
      </c>
      <c r="AD1814" s="4"/>
      <c r="AE1814" s="4"/>
      <c r="AF1814" s="6">
        <v>64</v>
      </c>
      <c r="AG1814" s="6"/>
      <c r="AH1814" s="7">
        <v>1</v>
      </c>
      <c r="AI1814" s="4"/>
      <c r="AJ1814" s="4">
        <f>=ROUNDDOWN({0},0)</f>
      </c>
      <c r="AK1814" s="5"/>
      <c r="AL1814" s="2" t="s">
        <v>200</v>
      </c>
      <c r="AM1814" s="4"/>
      <c r="AN1814" s="4"/>
      <c r="AO1814" s="7"/>
      <c r="AP1814" s="4"/>
      <c r="AQ1814" s="8"/>
      <c r="AR1814" s="4"/>
      <c r="AS1814" s="8"/>
      <c r="AT1814" s="7"/>
      <c r="AU1814" s="7"/>
      <c r="AV1814" s="4" t="s">
        <v>200</v>
      </c>
      <c r="AW1814" s="8" t="s">
        <v>200</v>
      </c>
      <c r="AX1814" s="4" t="s">
        <v>200</v>
      </c>
      <c r="AY1814" s="8" t="s">
        <v>200</v>
      </c>
      <c r="AZ1814" s="7" t="s">
        <v>200</v>
      </c>
      <c r="BA1814" s="7" t="s">
        <v>200</v>
      </c>
      <c r="BB1814" s="7"/>
      <c r="BC1814" s="4" t="s">
        <v>200</v>
      </c>
      <c r="BD1814" s="8" t="s">
        <v>200</v>
      </c>
      <c r="BE1814" s="4" t="s">
        <v>200</v>
      </c>
      <c r="BF1814" s="8" t="s">
        <v>200</v>
      </c>
      <c r="BG1814" s="7" t="s">
        <v>200</v>
      </c>
      <c r="BH1814" s="7" t="s">
        <v>200</v>
      </c>
      <c r="BI1814" s="7"/>
      <c r="BJ1814" s="4">
        <v>84</v>
      </c>
      <c r="BK1814" s="8">
        <v>1237.15</v>
      </c>
      <c r="BL1814" s="2" t="s">
        <v>9139</v>
      </c>
      <c r="BM1814" s="7"/>
      <c r="BN1814" s="7"/>
      <c r="BO1814" s="4"/>
      <c r="BP1814" s="8"/>
      <c r="BQ1814" s="4"/>
      <c r="BR1814" s="8"/>
      <c r="BS1814" s="7"/>
      <c r="BT1814" s="7"/>
      <c r="BU1814" s="2" t="s">
        <v>9140</v>
      </c>
      <c r="BV1814" s="2" t="s">
        <v>200</v>
      </c>
      <c r="BW1814" s="2" t="s">
        <v>200</v>
      </c>
      <c r="BX1814" s="2" t="s">
        <v>264</v>
      </c>
      <c r="BY1814" s="2" t="s">
        <v>247</v>
      </c>
      <c r="BZ1814" s="2" t="s">
        <v>212</v>
      </c>
      <c r="CA1814" s="2" t="s">
        <v>9141</v>
      </c>
      <c r="CB1814" s="2" t="s">
        <v>9142</v>
      </c>
      <c r="CC1814" s="2" t="s">
        <v>213</v>
      </c>
      <c r="CD1814" s="2" t="s">
        <v>200</v>
      </c>
      <c r="CE1814" s="4">
        <v>769</v>
      </c>
      <c r="CF1814" s="4">
        <v>75</v>
      </c>
      <c r="CG1814" s="4"/>
      <c r="CH1814" s="4"/>
      <c r="CI1814" s="4"/>
      <c r="CJ1814" s="4"/>
      <c r="CK1814" s="4"/>
      <c r="CL1814" s="4"/>
      <c r="CM1814" s="4"/>
      <c r="CN1814" s="4"/>
      <c r="CO1814" s="4"/>
      <c r="CP1814" s="4"/>
      <c r="CQ1814" s="4"/>
      <c r="CR1814" s="4"/>
      <c r="CS1814" s="4"/>
      <c r="CT1814" s="4"/>
      <c r="CU1814" s="4"/>
      <c r="CV1814" s="4"/>
      <c r="CW1814" s="4"/>
      <c r="CX1814" s="4"/>
      <c r="CY1814" s="4"/>
      <c r="CZ1814" s="4"/>
      <c r="DA1814" s="4"/>
      <c r="DB1814" s="4"/>
      <c r="DC1814" s="4"/>
      <c r="DD1814" s="4"/>
      <c r="DE1814" s="4"/>
      <c r="DF1814" s="4"/>
      <c r="DG1814" s="4"/>
      <c r="DH1814" s="4"/>
      <c r="DI1814" s="4"/>
      <c r="DJ1814" s="4"/>
      <c r="DK1814" s="4"/>
      <c r="DL1814" s="4"/>
      <c r="DM1814" s="4"/>
      <c r="DN1814" s="4"/>
      <c r="DO1814" s="4"/>
      <c r="DP1814" s="4"/>
      <c r="DQ1814" s="4"/>
      <c r="DR1814" s="4"/>
      <c r="DS1814" s="4"/>
      <c r="DT1814" s="4"/>
      <c r="DU1814" s="4"/>
      <c r="DV1814" s="4"/>
      <c r="DW1814" s="4"/>
      <c r="DX1814" s="4"/>
      <c r="DY1814" s="4"/>
      <c r="DZ1814" s="4"/>
      <c r="EA1814" s="4"/>
      <c r="EB1814" s="4"/>
      <c r="EC1814" s="4"/>
      <c r="ED1814" s="4"/>
      <c r="EE1814" s="4"/>
      <c r="EF1814" s="4"/>
      <c r="EG1814" s="4"/>
      <c r="EH1814" s="4"/>
      <c r="EI1814" s="4"/>
      <c r="EJ1814" s="4"/>
      <c r="EK1814" s="4"/>
      <c r="EL1814" s="4"/>
      <c r="EM1814" s="4"/>
      <c r="EN1814" s="4"/>
      <c r="EO1814" s="4"/>
      <c r="EP1814" s="4"/>
      <c r="EQ1814" s="4"/>
      <c r="ER1814" s="4"/>
      <c r="ES1814" s="4"/>
      <c r="ET1814" s="4"/>
      <c r="EU1814" s="4"/>
      <c r="EV1814" s="4"/>
      <c r="EW1814" s="4"/>
      <c r="EX1814" s="4"/>
      <c r="EY1814" s="4"/>
      <c r="EZ1814" s="4"/>
      <c r="FA1814" s="4"/>
      <c r="FB1814" s="4"/>
      <c r="FC1814" s="4"/>
      <c r="FD1814" s="4"/>
      <c r="FE1814" s="4"/>
      <c r="FF1814" s="4"/>
      <c r="FG1814" s="4"/>
      <c r="FH1814" s="4"/>
      <c r="FI1814" s="4"/>
      <c r="FJ1814" s="4"/>
      <c r="FK1814" s="4"/>
      <c r="FL1814" s="4"/>
      <c r="FM1814" s="4"/>
      <c r="FN1814" s="4"/>
      <c r="FO1814" s="4"/>
      <c r="FP1814" s="4"/>
      <c r="FQ1814" s="4"/>
      <c r="FR1814" s="4"/>
      <c r="FS1814" s="4"/>
      <c r="FT1814" s="4"/>
      <c r="FU1814" s="4"/>
      <c r="FV1814" s="4"/>
      <c r="FW1814" s="4"/>
      <c r="FX1814" s="4"/>
      <c r="FY1814" s="4"/>
      <c r="FZ1814" s="4"/>
      <c r="GA1814" s="4"/>
      <c r="GB1814" s="4"/>
      <c r="GC1814" s="4"/>
      <c r="GD1814" s="4"/>
      <c r="GE1814" s="4"/>
      <c r="GF1814" s="4"/>
      <c r="GG1814" s="4"/>
      <c r="GH1814" s="4"/>
    </row>
    <row r="1815">
      <c r="A1815" s="2" t="s">
        <v>9143</v>
      </c>
      <c r="B1815" s="2" t="s">
        <v>195</v>
      </c>
      <c r="C1815" s="2" t="s">
        <v>231</v>
      </c>
      <c r="D1815" s="2" t="s">
        <v>2254</v>
      </c>
      <c r="E1815" s="2" t="s">
        <v>2255</v>
      </c>
      <c r="F1815" s="2" t="s">
        <v>1506</v>
      </c>
      <c r="G1815" s="2" t="s">
        <v>9114</v>
      </c>
      <c r="H1815" s="2" t="s">
        <v>9114</v>
      </c>
      <c r="I1815" s="2" t="s">
        <v>9115</v>
      </c>
      <c r="J1815" s="2" t="s">
        <v>5442</v>
      </c>
      <c r="K1815" s="2" t="s">
        <v>9137</v>
      </c>
      <c r="L1815" s="3">
        <v>15.91</v>
      </c>
      <c r="M1815" s="3">
        <v>16.71</v>
      </c>
      <c r="N1815" s="3">
        <v>36.99</v>
      </c>
      <c r="O1815" s="2" t="s">
        <v>212</v>
      </c>
      <c r="P1815" s="2" t="s">
        <v>1075</v>
      </c>
      <c r="Q1815" s="2" t="s">
        <v>206</v>
      </c>
      <c r="R1815" s="2" t="s">
        <v>200</v>
      </c>
      <c r="S1815" s="2" t="s">
        <v>9138</v>
      </c>
      <c r="T1815" s="2" t="s">
        <v>1899</v>
      </c>
      <c r="U1815" s="2" t="s">
        <v>270</v>
      </c>
      <c r="V1815" s="2" t="s">
        <v>1726</v>
      </c>
      <c r="W1815" s="2" t="s">
        <v>242</v>
      </c>
      <c r="X1815" s="2" t="s">
        <v>200</v>
      </c>
      <c r="Y1815" s="2" t="s">
        <v>9144</v>
      </c>
      <c r="Z1815" s="4">
        <v>4236</v>
      </c>
      <c r="AA1815" s="4">
        <f>=ROUNDDOWN(61.6593886462882,0)</f>
      </c>
      <c r="AB1815" s="5">
        <v>68.7</v>
      </c>
      <c r="AC1815" s="2" t="s">
        <v>1674</v>
      </c>
      <c r="AD1815" s="4">
        <v>400</v>
      </c>
      <c r="AE1815" s="4">
        <v>400</v>
      </c>
      <c r="AF1815" s="6">
        <v>64</v>
      </c>
      <c r="AG1815" s="6"/>
      <c r="AH1815" s="7">
        <v>1</v>
      </c>
      <c r="AI1815" s="4"/>
      <c r="AJ1815" s="4">
        <f>=ROUNDDOWN({0},0)</f>
      </c>
      <c r="AK1815" s="5"/>
      <c r="AL1815" s="2" t="s">
        <v>200</v>
      </c>
      <c r="AM1815" s="4"/>
      <c r="AN1815" s="4"/>
      <c r="AO1815" s="7"/>
      <c r="AP1815" s="4"/>
      <c r="AQ1815" s="8"/>
      <c r="AR1815" s="4"/>
      <c r="AS1815" s="8"/>
      <c r="AT1815" s="7"/>
      <c r="AU1815" s="7"/>
      <c r="AV1815" s="4" t="s">
        <v>200</v>
      </c>
      <c r="AW1815" s="8" t="s">
        <v>200</v>
      </c>
      <c r="AX1815" s="4" t="s">
        <v>200</v>
      </c>
      <c r="AY1815" s="8" t="s">
        <v>200</v>
      </c>
      <c r="AZ1815" s="7" t="s">
        <v>200</v>
      </c>
      <c r="BA1815" s="7" t="s">
        <v>200</v>
      </c>
      <c r="BB1815" s="7"/>
      <c r="BC1815" s="4" t="s">
        <v>200</v>
      </c>
      <c r="BD1815" s="8" t="s">
        <v>200</v>
      </c>
      <c r="BE1815" s="4" t="s">
        <v>200</v>
      </c>
      <c r="BF1815" s="8" t="s">
        <v>200</v>
      </c>
      <c r="BG1815" s="7" t="s">
        <v>200</v>
      </c>
      <c r="BH1815" s="7" t="s">
        <v>200</v>
      </c>
      <c r="BI1815" s="7"/>
      <c r="BJ1815" s="4">
        <v>1722</v>
      </c>
      <c r="BK1815" s="8">
        <v>26872.06</v>
      </c>
      <c r="BL1815" s="2" t="s">
        <v>9145</v>
      </c>
      <c r="BM1815" s="7"/>
      <c r="BN1815" s="7"/>
      <c r="BO1815" s="4"/>
      <c r="BP1815" s="8"/>
      <c r="BQ1815" s="4"/>
      <c r="BR1815" s="8"/>
      <c r="BS1815" s="7"/>
      <c r="BT1815" s="7"/>
      <c r="BU1815" s="2" t="s">
        <v>9146</v>
      </c>
      <c r="BV1815" s="2" t="s">
        <v>200</v>
      </c>
      <c r="BW1815" s="2" t="s">
        <v>200</v>
      </c>
      <c r="BX1815" s="2" t="s">
        <v>264</v>
      </c>
      <c r="BY1815" s="2" t="s">
        <v>247</v>
      </c>
      <c r="BZ1815" s="2" t="s">
        <v>212</v>
      </c>
      <c r="CA1815" s="2" t="s">
        <v>9147</v>
      </c>
      <c r="CB1815" s="2" t="s">
        <v>9148</v>
      </c>
      <c r="CC1815" s="2" t="s">
        <v>213</v>
      </c>
      <c r="CD1815" s="2" t="s">
        <v>200</v>
      </c>
      <c r="CE1815" s="4">
        <v>3171</v>
      </c>
      <c r="CF1815" s="4">
        <v>1065</v>
      </c>
      <c r="CG1815" s="4"/>
      <c r="CH1815" s="4"/>
      <c r="CI1815" s="4"/>
      <c r="CJ1815" s="4"/>
      <c r="CK1815" s="4"/>
      <c r="CL1815" s="4"/>
      <c r="CM1815" s="4"/>
      <c r="CN1815" s="4"/>
      <c r="CO1815" s="4"/>
      <c r="CP1815" s="4"/>
      <c r="CQ1815" s="4"/>
      <c r="CR1815" s="4"/>
      <c r="CS1815" s="4"/>
      <c r="CT1815" s="4"/>
      <c r="CU1815" s="4"/>
      <c r="CV1815" s="4"/>
      <c r="CW1815" s="4"/>
      <c r="CX1815" s="4"/>
      <c r="CY1815" s="4"/>
      <c r="CZ1815" s="4"/>
      <c r="DA1815" s="4"/>
      <c r="DB1815" s="4"/>
      <c r="DC1815" s="4"/>
      <c r="DD1815" s="4"/>
      <c r="DE1815" s="4"/>
      <c r="DF1815" s="4"/>
      <c r="DG1815" s="4"/>
      <c r="DH1815" s="4"/>
      <c r="DI1815" s="4"/>
      <c r="DJ1815" s="4"/>
      <c r="DK1815" s="4"/>
      <c r="DL1815" s="4"/>
      <c r="DM1815" s="4"/>
      <c r="DN1815" s="4"/>
      <c r="DO1815" s="4"/>
      <c r="DP1815" s="4"/>
      <c r="DQ1815" s="4"/>
      <c r="DR1815" s="4"/>
      <c r="DS1815" s="4"/>
      <c r="DT1815" s="4"/>
      <c r="DU1815" s="4"/>
      <c r="DV1815" s="4"/>
      <c r="DW1815" s="4">
        <v>400</v>
      </c>
      <c r="DX1815" s="4"/>
      <c r="DY1815" s="4"/>
      <c r="DZ1815" s="4"/>
      <c r="EA1815" s="4"/>
      <c r="EB1815" s="4"/>
      <c r="EC1815" s="4"/>
      <c r="ED1815" s="4"/>
      <c r="EE1815" s="4"/>
      <c r="EF1815" s="4"/>
      <c r="EG1815" s="4"/>
      <c r="EH1815" s="4"/>
      <c r="EI1815" s="4"/>
      <c r="EJ1815" s="4"/>
      <c r="EK1815" s="4"/>
      <c r="EL1815" s="4"/>
      <c r="EM1815" s="4"/>
      <c r="EN1815" s="4"/>
      <c r="EO1815" s="4"/>
      <c r="EP1815" s="4"/>
      <c r="EQ1815" s="4"/>
      <c r="ER1815" s="4"/>
      <c r="ES1815" s="4"/>
      <c r="ET1815" s="4"/>
      <c r="EU1815" s="4"/>
      <c r="EV1815" s="4"/>
      <c r="EW1815" s="4"/>
      <c r="EX1815" s="4"/>
      <c r="EY1815" s="4"/>
      <c r="EZ1815" s="4"/>
      <c r="FA1815" s="4"/>
      <c r="FB1815" s="4"/>
      <c r="FC1815" s="4"/>
      <c r="FD1815" s="4"/>
      <c r="FE1815" s="4"/>
      <c r="FF1815" s="4"/>
      <c r="FG1815" s="4"/>
      <c r="FH1815" s="4"/>
      <c r="FI1815" s="4"/>
      <c r="FJ1815" s="4"/>
      <c r="FK1815" s="4"/>
      <c r="FL1815" s="4"/>
      <c r="FM1815" s="4"/>
      <c r="FN1815" s="4"/>
      <c r="FO1815" s="4"/>
      <c r="FP1815" s="4"/>
      <c r="FQ1815" s="4"/>
      <c r="FR1815" s="4"/>
      <c r="FS1815" s="4"/>
      <c r="FT1815" s="4"/>
      <c r="FU1815" s="4"/>
      <c r="FV1815" s="4"/>
      <c r="FW1815" s="4"/>
      <c r="FX1815" s="4"/>
      <c r="FY1815" s="4"/>
      <c r="FZ1815" s="4"/>
      <c r="GA1815" s="4"/>
      <c r="GB1815" s="4"/>
      <c r="GC1815" s="4"/>
      <c r="GD1815" s="4"/>
      <c r="GE1815" s="4"/>
      <c r="GF1815" s="4"/>
      <c r="GG1815" s="4"/>
      <c r="GH1815" s="4"/>
    </row>
    <row r="1816">
      <c r="A1816" s="2" t="s">
        <v>9149</v>
      </c>
      <c r="B1816" s="2" t="s">
        <v>195</v>
      </c>
      <c r="C1816" s="2" t="s">
        <v>231</v>
      </c>
      <c r="D1816" s="2" t="s">
        <v>2254</v>
      </c>
      <c r="E1816" s="2" t="s">
        <v>2255</v>
      </c>
      <c r="F1816" s="2" t="s">
        <v>1506</v>
      </c>
      <c r="G1816" s="2" t="s">
        <v>9114</v>
      </c>
      <c r="H1816" s="2" t="s">
        <v>9114</v>
      </c>
      <c r="I1816" s="2" t="s">
        <v>9127</v>
      </c>
      <c r="J1816" s="2" t="s">
        <v>9128</v>
      </c>
      <c r="K1816" s="2" t="s">
        <v>2163</v>
      </c>
      <c r="L1816" s="3">
        <v>27.6</v>
      </c>
      <c r="M1816" s="3">
        <v>28.98</v>
      </c>
      <c r="N1816" s="3">
        <v>59.99</v>
      </c>
      <c r="O1816" s="2" t="s">
        <v>212</v>
      </c>
      <c r="P1816" s="2" t="s">
        <v>285</v>
      </c>
      <c r="Q1816" s="2" t="s">
        <v>206</v>
      </c>
      <c r="R1816" s="2" t="s">
        <v>200</v>
      </c>
      <c r="S1816" s="2" t="s">
        <v>9150</v>
      </c>
      <c r="T1816" s="2" t="s">
        <v>1899</v>
      </c>
      <c r="U1816" s="2" t="s">
        <v>200</v>
      </c>
      <c r="V1816" s="2" t="s">
        <v>339</v>
      </c>
      <c r="W1816" s="2" t="s">
        <v>242</v>
      </c>
      <c r="X1816" s="2" t="s">
        <v>200</v>
      </c>
      <c r="Y1816" s="2" t="s">
        <v>261</v>
      </c>
      <c r="Z1816" s="4"/>
      <c r="AA1816" s="4">
        <f>=ROUNDDOWN({0},0)</f>
      </c>
      <c r="AB1816" s="5">
        <v>7.6</v>
      </c>
      <c r="AC1816" s="2" t="s">
        <v>200</v>
      </c>
      <c r="AD1816" s="4"/>
      <c r="AE1816" s="4"/>
      <c r="AF1816" s="6">
        <v>64</v>
      </c>
      <c r="AG1816" s="6"/>
      <c r="AH1816" s="7">
        <v>1</v>
      </c>
      <c r="AI1816" s="4"/>
      <c r="AJ1816" s="4">
        <f>=ROUNDDOWN({0},0)</f>
      </c>
      <c r="AK1816" s="5"/>
      <c r="AL1816" s="2" t="s">
        <v>200</v>
      </c>
      <c r="AM1816" s="4"/>
      <c r="AN1816" s="4"/>
      <c r="AO1816" s="7"/>
      <c r="AP1816" s="4"/>
      <c r="AQ1816" s="8"/>
      <c r="AR1816" s="4"/>
      <c r="AS1816" s="8"/>
      <c r="AT1816" s="7"/>
      <c r="AU1816" s="7"/>
      <c r="AV1816" s="4"/>
      <c r="AW1816" s="8"/>
      <c r="AX1816" s="4"/>
      <c r="AY1816" s="8"/>
      <c r="AZ1816" s="7"/>
      <c r="BA1816" s="7"/>
      <c r="BB1816" s="7"/>
      <c r="BC1816" s="4" t="s">
        <v>200</v>
      </c>
      <c r="BD1816" s="8" t="s">
        <v>200</v>
      </c>
      <c r="BE1816" s="4" t="s">
        <v>200</v>
      </c>
      <c r="BF1816" s="8" t="s">
        <v>200</v>
      </c>
      <c r="BG1816" s="7" t="s">
        <v>200</v>
      </c>
      <c r="BH1816" s="7" t="s">
        <v>200</v>
      </c>
      <c r="BI1816" s="7"/>
      <c r="BJ1816" s="4">
        <v>57</v>
      </c>
      <c r="BK1816" s="8">
        <v>975.17</v>
      </c>
      <c r="BL1816" s="2" t="s">
        <v>9151</v>
      </c>
      <c r="BM1816" s="7"/>
      <c r="BN1816" s="7"/>
      <c r="BO1816" s="4"/>
      <c r="BP1816" s="8"/>
      <c r="BQ1816" s="4"/>
      <c r="BR1816" s="8"/>
      <c r="BS1816" s="7"/>
      <c r="BT1816" s="7"/>
      <c r="BU1816" s="2" t="s">
        <v>9152</v>
      </c>
      <c r="BV1816" s="2" t="s">
        <v>200</v>
      </c>
      <c r="BW1816" s="2" t="s">
        <v>200</v>
      </c>
      <c r="BX1816" s="2" t="s">
        <v>289</v>
      </c>
      <c r="BY1816" s="2" t="s">
        <v>247</v>
      </c>
      <c r="BZ1816" s="2" t="s">
        <v>212</v>
      </c>
      <c r="CA1816" s="2" t="s">
        <v>265</v>
      </c>
      <c r="CB1816" s="2" t="s">
        <v>9153</v>
      </c>
      <c r="CC1816" s="2" t="s">
        <v>213</v>
      </c>
      <c r="CD1816" s="2" t="s">
        <v>200</v>
      </c>
      <c r="CE1816" s="4"/>
      <c r="CF1816" s="4"/>
      <c r="CG1816" s="4"/>
      <c r="CH1816" s="4"/>
      <c r="CI1816" s="4"/>
      <c r="CJ1816" s="4"/>
      <c r="CK1816" s="4"/>
      <c r="CL1816" s="4"/>
      <c r="CM1816" s="4"/>
      <c r="CN1816" s="4"/>
      <c r="CO1816" s="4"/>
      <c r="CP1816" s="4"/>
      <c r="CQ1816" s="4"/>
      <c r="CR1816" s="4"/>
      <c r="CS1816" s="4"/>
      <c r="CT1816" s="4"/>
      <c r="CU1816" s="4"/>
      <c r="CV1816" s="4"/>
      <c r="CW1816" s="4"/>
      <c r="CX1816" s="4"/>
      <c r="CY1816" s="4"/>
      <c r="CZ1816" s="4"/>
      <c r="DA1816" s="4"/>
      <c r="DB1816" s="4"/>
      <c r="DC1816" s="4"/>
      <c r="DD1816" s="4"/>
      <c r="DE1816" s="4"/>
      <c r="DF1816" s="4"/>
      <c r="DG1816" s="4"/>
      <c r="DH1816" s="4"/>
      <c r="DI1816" s="4"/>
      <c r="DJ1816" s="4"/>
      <c r="DK1816" s="4"/>
      <c r="DL1816" s="4"/>
      <c r="DM1816" s="4"/>
      <c r="DN1816" s="4"/>
      <c r="DO1816" s="4"/>
      <c r="DP1816" s="4"/>
      <c r="DQ1816" s="4"/>
      <c r="DR1816" s="4"/>
      <c r="DS1816" s="4"/>
      <c r="DT1816" s="4"/>
      <c r="DU1816" s="4"/>
      <c r="DV1816" s="4"/>
      <c r="DW1816" s="4"/>
      <c r="DX1816" s="4"/>
      <c r="DY1816" s="4"/>
      <c r="DZ1816" s="4"/>
      <c r="EA1816" s="4"/>
      <c r="EB1816" s="4"/>
      <c r="EC1816" s="4"/>
      <c r="ED1816" s="4"/>
      <c r="EE1816" s="4"/>
      <c r="EF1816" s="4"/>
      <c r="EG1816" s="4"/>
      <c r="EH1816" s="4"/>
      <c r="EI1816" s="4"/>
      <c r="EJ1816" s="4"/>
      <c r="EK1816" s="4"/>
      <c r="EL1816" s="4"/>
      <c r="EM1816" s="4"/>
      <c r="EN1816" s="4"/>
      <c r="EO1816" s="4"/>
      <c r="EP1816" s="4"/>
      <c r="EQ1816" s="4"/>
      <c r="ER1816" s="4"/>
      <c r="ES1816" s="4"/>
      <c r="ET1816" s="4"/>
      <c r="EU1816" s="4"/>
      <c r="EV1816" s="4"/>
      <c r="EW1816" s="4"/>
      <c r="EX1816" s="4"/>
      <c r="EY1816" s="4"/>
      <c r="EZ1816" s="4"/>
      <c r="FA1816" s="4"/>
      <c r="FB1816" s="4"/>
      <c r="FC1816" s="4"/>
      <c r="FD1816" s="4"/>
      <c r="FE1816" s="4"/>
      <c r="FF1816" s="4"/>
      <c r="FG1816" s="4"/>
      <c r="FH1816" s="4"/>
      <c r="FI1816" s="4"/>
      <c r="FJ1816" s="4"/>
      <c r="FK1816" s="4"/>
      <c r="FL1816" s="4"/>
      <c r="FM1816" s="4"/>
      <c r="FN1816" s="4"/>
      <c r="FO1816" s="4"/>
      <c r="FP1816" s="4"/>
      <c r="FQ1816" s="4"/>
      <c r="FR1816" s="4"/>
      <c r="FS1816" s="4"/>
      <c r="FT1816" s="4"/>
      <c r="FU1816" s="4"/>
      <c r="FV1816" s="4"/>
      <c r="FW1816" s="4"/>
      <c r="FX1816" s="4"/>
      <c r="FY1816" s="4"/>
      <c r="FZ1816" s="4"/>
      <c r="GA1816" s="4"/>
      <c r="GB1816" s="4"/>
      <c r="GC1816" s="4"/>
      <c r="GD1816" s="4"/>
      <c r="GE1816" s="4"/>
      <c r="GF1816" s="4"/>
      <c r="GG1816" s="4"/>
      <c r="GH1816" s="4"/>
    </row>
    <row r="1817">
      <c r="A1817" s="16" t="s">
        <v>9154</v>
      </c>
      <c r="B1817" s="9" t="s">
        <v>200</v>
      </c>
      <c r="C1817" s="9" t="s">
        <v>200</v>
      </c>
      <c r="D1817" s="9" t="s">
        <v>200</v>
      </c>
      <c r="E1817" s="9" t="s">
        <v>200</v>
      </c>
      <c r="F1817" s="9" t="s">
        <v>200</v>
      </c>
      <c r="G1817" s="9" t="s">
        <v>200</v>
      </c>
      <c r="H1817" s="9" t="s">
        <v>200</v>
      </c>
      <c r="I1817" s="9" t="s">
        <v>200</v>
      </c>
      <c r="J1817" s="9" t="s">
        <v>200</v>
      </c>
      <c r="K1817" s="9" t="s">
        <v>200</v>
      </c>
      <c r="L1817" s="10"/>
      <c r="M1817" s="10"/>
      <c r="N1817" s="10"/>
      <c r="O1817" s="9" t="s">
        <v>200</v>
      </c>
      <c r="P1817" s="9" t="s">
        <v>200</v>
      </c>
      <c r="Q1817" s="9" t="s">
        <v>200</v>
      </c>
      <c r="R1817" s="9" t="s">
        <v>200</v>
      </c>
      <c r="S1817" s="9" t="s">
        <v>200</v>
      </c>
      <c r="T1817" s="9" t="s">
        <v>200</v>
      </c>
      <c r="U1817" s="9" t="s">
        <v>200</v>
      </c>
      <c r="V1817" s="9" t="s">
        <v>200</v>
      </c>
      <c r="W1817" s="9" t="s">
        <v>200</v>
      </c>
      <c r="X1817" s="9" t="s">
        <v>200</v>
      </c>
      <c r="Y1817" s="9" t="s">
        <v>200</v>
      </c>
      <c r="Z1817" s="11">
        <v>391158</v>
      </c>
      <c r="AA1817" s="11">
        <f>=ROUNDDOWN({0},0)</f>
      </c>
      <c r="AB1817" s="12">
        <v>11688.5</v>
      </c>
      <c r="AC1817" s="9" t="s">
        <v>200</v>
      </c>
      <c r="AD1817" s="11"/>
      <c r="AE1817" s="11">
        <v>179782</v>
      </c>
      <c r="AF1817" s="13"/>
      <c r="AG1817" s="13"/>
      <c r="AH1817" s="14"/>
      <c r="AI1817" s="11"/>
      <c r="AJ1817" s="11">
        <f>=ROUNDDOWN({0},0)</f>
      </c>
      <c r="AK1817" s="12">
        <v>23.6</v>
      </c>
      <c r="AL1817" s="9" t="s">
        <v>200</v>
      </c>
      <c r="AM1817" s="11"/>
      <c r="AN1817" s="11">
        <v>825</v>
      </c>
      <c r="AO1817" s="14"/>
      <c r="AP1817" s="11"/>
      <c r="AQ1817" s="15"/>
      <c r="AR1817" s="11"/>
      <c r="AS1817" s="15"/>
      <c r="AT1817" s="14"/>
      <c r="AU1817" s="14"/>
      <c r="AV1817" s="11"/>
      <c r="AW1817" s="15"/>
      <c r="AX1817" s="11"/>
      <c r="AY1817" s="15"/>
      <c r="AZ1817" s="14"/>
      <c r="BA1817" s="14"/>
      <c r="BB1817" s="14"/>
      <c r="BC1817" s="11"/>
      <c r="BD1817" s="15"/>
      <c r="BE1817" s="11"/>
      <c r="BF1817" s="15"/>
      <c r="BG1817" s="14"/>
      <c r="BH1817" s="14"/>
      <c r="BI1817" s="14"/>
      <c r="BJ1817" s="11"/>
      <c r="BK1817" s="15"/>
      <c r="BL1817" s="9" t="s">
        <v>200</v>
      </c>
      <c r="BM1817" s="14"/>
      <c r="BN1817" s="14"/>
      <c r="BO1817" s="11"/>
      <c r="BP1817" s="15"/>
      <c r="BQ1817" s="11"/>
      <c r="BR1817" s="15"/>
      <c r="BS1817" s="14"/>
      <c r="BT1817" s="14"/>
      <c r="BU1817" s="9" t="s">
        <v>200</v>
      </c>
      <c r="BV1817" s="9" t="s">
        <v>200</v>
      </c>
      <c r="BW1817" s="9" t="s">
        <v>200</v>
      </c>
      <c r="BX1817" s="9" t="s">
        <v>200</v>
      </c>
      <c r="BY1817" s="9" t="s">
        <v>200</v>
      </c>
      <c r="BZ1817" s="9" t="s">
        <v>200</v>
      </c>
      <c r="CA1817" s="9" t="s">
        <v>200</v>
      </c>
      <c r="CB1817" s="9" t="s">
        <v>200</v>
      </c>
      <c r="CC1817" s="9" t="s">
        <v>200</v>
      </c>
      <c r="CD1817" s="9" t="s">
        <v>200</v>
      </c>
      <c r="CE1817" s="11">
        <v>271132</v>
      </c>
      <c r="CF1817" s="11">
        <v>60762</v>
      </c>
      <c r="CG1817" s="11"/>
      <c r="CH1817" s="11">
        <v>55592</v>
      </c>
      <c r="CI1817" s="11"/>
      <c r="CJ1817" s="11"/>
      <c r="CK1817" s="11">
        <v>1752</v>
      </c>
      <c r="CL1817" s="11"/>
      <c r="CM1817" s="11"/>
      <c r="CN1817" s="11"/>
      <c r="CO1817" s="11">
        <v>1920</v>
      </c>
      <c r="CP1817" s="11"/>
      <c r="CQ1817" s="11"/>
      <c r="CR1817" s="11"/>
      <c r="CS1817" s="11">
        <v>1512</v>
      </c>
      <c r="CT1817" s="11">
        <v>3456</v>
      </c>
      <c r="CU1817" s="11">
        <v>2460</v>
      </c>
      <c r="CV1817" s="11">
        <v>429</v>
      </c>
      <c r="CW1817" s="11">
        <v>6303</v>
      </c>
      <c r="CX1817" s="11">
        <v>4558</v>
      </c>
      <c r="CY1817" s="11">
        <v>3974</v>
      </c>
      <c r="CZ1817" s="11">
        <v>340</v>
      </c>
      <c r="DA1817" s="11">
        <v>795</v>
      </c>
      <c r="DB1817" s="11">
        <v>4968</v>
      </c>
      <c r="DC1817" s="11">
        <v>3519</v>
      </c>
      <c r="DD1817" s="11">
        <v>4848</v>
      </c>
      <c r="DE1817" s="11">
        <v>5890</v>
      </c>
      <c r="DF1817" s="11">
        <v>1464</v>
      </c>
      <c r="DG1817" s="11">
        <v>1416</v>
      </c>
      <c r="DH1817" s="11">
        <v>128</v>
      </c>
      <c r="DI1817" s="11">
        <v>5658</v>
      </c>
      <c r="DJ1817" s="11">
        <v>1677</v>
      </c>
      <c r="DK1817" s="11">
        <v>139</v>
      </c>
      <c r="DL1817" s="11">
        <v>1104</v>
      </c>
      <c r="DM1817" s="11">
        <v>812</v>
      </c>
      <c r="DN1817" s="11">
        <v>144</v>
      </c>
      <c r="DO1817" s="11">
        <v>270</v>
      </c>
      <c r="DP1817" s="11">
        <v>1241</v>
      </c>
      <c r="DQ1817" s="11">
        <v>228</v>
      </c>
      <c r="DR1817" s="11">
        <v>4066</v>
      </c>
      <c r="DS1817" s="11">
        <v>644</v>
      </c>
      <c r="DT1817" s="11">
        <v>1150</v>
      </c>
      <c r="DU1817" s="11">
        <v>8527</v>
      </c>
      <c r="DV1817" s="11">
        <v>880</v>
      </c>
      <c r="DW1817" s="11">
        <v>3706</v>
      </c>
      <c r="DX1817" s="11">
        <v>91</v>
      </c>
      <c r="DY1817" s="11">
        <v>100</v>
      </c>
      <c r="DZ1817" s="11">
        <v>1645</v>
      </c>
      <c r="EA1817" s="11">
        <v>1070</v>
      </c>
      <c r="EB1817" s="11">
        <v>55</v>
      </c>
      <c r="EC1817" s="11">
        <v>1469</v>
      </c>
      <c r="ED1817" s="11">
        <v>434</v>
      </c>
      <c r="EE1817" s="11">
        <v>1156</v>
      </c>
      <c r="EF1817" s="11">
        <v>3928</v>
      </c>
      <c r="EG1817" s="11">
        <v>383</v>
      </c>
      <c r="EH1817" s="11">
        <v>676</v>
      </c>
      <c r="EI1817" s="11">
        <v>80</v>
      </c>
      <c r="EJ1817" s="11">
        <v>902</v>
      </c>
      <c r="EK1817" s="11">
        <v>90</v>
      </c>
      <c r="EL1817" s="11">
        <v>4356</v>
      </c>
      <c r="EM1817" s="11">
        <v>345</v>
      </c>
      <c r="EN1817" s="11">
        <v>280</v>
      </c>
      <c r="EO1817" s="11">
        <v>460</v>
      </c>
      <c r="EP1817" s="11">
        <v>4328</v>
      </c>
      <c r="EQ1817" s="11">
        <v>430</v>
      </c>
      <c r="ER1817" s="11">
        <v>240</v>
      </c>
      <c r="ES1817" s="11">
        <v>1773</v>
      </c>
      <c r="ET1817" s="11">
        <v>840</v>
      </c>
      <c r="EU1817" s="11">
        <v>37</v>
      </c>
      <c r="EV1817" s="11">
        <v>308</v>
      </c>
      <c r="EW1817" s="11">
        <v>7730</v>
      </c>
      <c r="EX1817" s="11">
        <v>50</v>
      </c>
      <c r="EY1817" s="11">
        <v>101</v>
      </c>
      <c r="EZ1817" s="11">
        <v>138</v>
      </c>
      <c r="FA1817" s="11">
        <v>3120</v>
      </c>
      <c r="FB1817" s="11">
        <v>550</v>
      </c>
      <c r="FC1817" s="11">
        <v>2562</v>
      </c>
      <c r="FD1817" s="11">
        <v>149</v>
      </c>
      <c r="FE1817" s="11">
        <v>222</v>
      </c>
      <c r="FF1817" s="11">
        <v>5957</v>
      </c>
      <c r="FG1817" s="11">
        <v>250</v>
      </c>
      <c r="FH1817" s="11">
        <v>144</v>
      </c>
      <c r="FI1817" s="11">
        <v>4716</v>
      </c>
      <c r="FJ1817" s="11">
        <v>12170</v>
      </c>
      <c r="FK1817" s="11">
        <v>50</v>
      </c>
      <c r="FL1817" s="11">
        <v>19</v>
      </c>
      <c r="FM1817" s="11">
        <v>15655</v>
      </c>
      <c r="FN1817" s="11">
        <v>60</v>
      </c>
      <c r="FO1817" s="11">
        <v>182</v>
      </c>
      <c r="FP1817" s="11">
        <v>1862</v>
      </c>
      <c r="FQ1817" s="11">
        <v>50</v>
      </c>
      <c r="FR1817" s="11">
        <v>100</v>
      </c>
      <c r="FS1817" s="11">
        <v>13296</v>
      </c>
      <c r="FT1817" s="11">
        <v>1094</v>
      </c>
      <c r="FU1817" s="11">
        <v>50</v>
      </c>
      <c r="FV1817" s="11">
        <v>890</v>
      </c>
      <c r="FW1817" s="11">
        <v>3050</v>
      </c>
      <c r="FX1817" s="11">
        <v>348</v>
      </c>
      <c r="FY1817" s="11">
        <v>560</v>
      </c>
      <c r="FZ1817" s="11">
        <v>1775</v>
      </c>
      <c r="GA1817" s="11">
        <v>300</v>
      </c>
      <c r="GB1817" s="11">
        <v>800</v>
      </c>
      <c r="GC1817" s="11">
        <v>95</v>
      </c>
      <c r="GD1817" s="11">
        <v>220</v>
      </c>
      <c r="GE1817" s="11">
        <v>80</v>
      </c>
      <c r="GF1817" s="11">
        <v>120</v>
      </c>
      <c r="GG1817" s="11">
        <v>211</v>
      </c>
      <c r="GH1817" s="11">
        <v>99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D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4:CB5"/>
    <mergeCell ref="CC4:CC5"/>
    <mergeCell ref="CD4:CD5"/>
    <mergeCell ref="CE3:CR4"/>
    <mergeCell ref="CS3:GB4"/>
    <mergeCell ref="GC3:GH4"/>
    <mergeCell ref="BC6:BC15"/>
    <mergeCell ref="BD6:BD15"/>
    <mergeCell ref="BE6:BE15"/>
    <mergeCell ref="BF6:BF15"/>
    <mergeCell ref="BG6:BG15"/>
    <mergeCell ref="BH6:BH15"/>
    <mergeCell ref="BC17:BC19"/>
    <mergeCell ref="BD17:BD19"/>
    <mergeCell ref="BE17:BE19"/>
    <mergeCell ref="BF17:BF19"/>
    <mergeCell ref="BG17:BG19"/>
    <mergeCell ref="BH17:BH19"/>
    <mergeCell ref="BC20:BC23"/>
    <mergeCell ref="BD20:BD23"/>
    <mergeCell ref="BE20:BE23"/>
    <mergeCell ref="BF20:BF23"/>
    <mergeCell ref="BG20:BG23"/>
    <mergeCell ref="BH20:BH23"/>
    <mergeCell ref="BC24:BC35"/>
    <mergeCell ref="BD24:BD35"/>
    <mergeCell ref="BE24:BE35"/>
    <mergeCell ref="BF24:BF35"/>
    <mergeCell ref="BG24:BG35"/>
    <mergeCell ref="BH24:BH35"/>
    <mergeCell ref="BC38:BC41"/>
    <mergeCell ref="BD38:BD41"/>
    <mergeCell ref="BE38:BE41"/>
    <mergeCell ref="BF38:BF41"/>
    <mergeCell ref="BG38:BG41"/>
    <mergeCell ref="BH38:BH41"/>
    <mergeCell ref="BC42:BC44"/>
    <mergeCell ref="BD42:BD44"/>
    <mergeCell ref="BE42:BE44"/>
    <mergeCell ref="BF42:BF44"/>
    <mergeCell ref="BG42:BG44"/>
    <mergeCell ref="BH42:BH44"/>
    <mergeCell ref="BC46:BC50"/>
    <mergeCell ref="BD46:BD50"/>
    <mergeCell ref="BE46:BE50"/>
    <mergeCell ref="BF46:BF50"/>
    <mergeCell ref="BG46:BG50"/>
    <mergeCell ref="BH46:BH50"/>
    <mergeCell ref="BC51:BC74"/>
    <mergeCell ref="BD51:BD74"/>
    <mergeCell ref="BE51:BE74"/>
    <mergeCell ref="BF51:BF74"/>
    <mergeCell ref="BG51:BG74"/>
    <mergeCell ref="BH51:BH74"/>
    <mergeCell ref="BC75:BC77"/>
    <mergeCell ref="BD75:BD77"/>
    <mergeCell ref="BE75:BE77"/>
    <mergeCell ref="BF75:BF77"/>
    <mergeCell ref="BG75:BG77"/>
    <mergeCell ref="BH75:BH77"/>
    <mergeCell ref="BC79:BC82"/>
    <mergeCell ref="BD79:BD82"/>
    <mergeCell ref="BE79:BE82"/>
    <mergeCell ref="BF79:BF82"/>
    <mergeCell ref="BG79:BG82"/>
    <mergeCell ref="BH79:BH82"/>
    <mergeCell ref="BC85:BC88"/>
    <mergeCell ref="BD85:BD88"/>
    <mergeCell ref="BE85:BE88"/>
    <mergeCell ref="BF85:BF88"/>
    <mergeCell ref="BG85:BG88"/>
    <mergeCell ref="BH85:BH88"/>
    <mergeCell ref="BC93:BC97"/>
    <mergeCell ref="BD93:BD97"/>
    <mergeCell ref="BE93:BE97"/>
    <mergeCell ref="BF93:BF97"/>
    <mergeCell ref="BG93:BG97"/>
    <mergeCell ref="BH93:BH97"/>
    <mergeCell ref="BC99:BC100"/>
    <mergeCell ref="BD99:BD100"/>
    <mergeCell ref="BE99:BE100"/>
    <mergeCell ref="BF99:BF100"/>
    <mergeCell ref="BG99:BG100"/>
    <mergeCell ref="BH99:BH100"/>
    <mergeCell ref="BC102:BC103"/>
    <mergeCell ref="BD102:BD103"/>
    <mergeCell ref="BE102:BE103"/>
    <mergeCell ref="BF102:BF103"/>
    <mergeCell ref="BG102:BG103"/>
    <mergeCell ref="BH102:BH103"/>
    <mergeCell ref="BC107:BC108"/>
    <mergeCell ref="BD107:BD108"/>
    <mergeCell ref="BE107:BE108"/>
    <mergeCell ref="BF107:BF108"/>
    <mergeCell ref="BG107:BG108"/>
    <mergeCell ref="BH107:BH108"/>
    <mergeCell ref="BC109:BC110"/>
    <mergeCell ref="BD109:BD110"/>
    <mergeCell ref="BE109:BE110"/>
    <mergeCell ref="BF109:BF110"/>
    <mergeCell ref="BG109:BG110"/>
    <mergeCell ref="BH109:BH110"/>
    <mergeCell ref="BC113:BC115"/>
    <mergeCell ref="BD113:BD115"/>
    <mergeCell ref="BE113:BE115"/>
    <mergeCell ref="BF113:BF115"/>
    <mergeCell ref="BG113:BG115"/>
    <mergeCell ref="BH113:BH115"/>
    <mergeCell ref="BC116:BC118"/>
    <mergeCell ref="BD116:BD118"/>
    <mergeCell ref="BE116:BE118"/>
    <mergeCell ref="BF116:BF118"/>
    <mergeCell ref="BG116:BG118"/>
    <mergeCell ref="BH116:BH118"/>
    <mergeCell ref="BC120:BC121"/>
    <mergeCell ref="BD120:BD121"/>
    <mergeCell ref="BE120:BE121"/>
    <mergeCell ref="BF120:BF121"/>
    <mergeCell ref="BG120:BG121"/>
    <mergeCell ref="BH120:BH121"/>
    <mergeCell ref="BC122:BC127"/>
    <mergeCell ref="BD122:BD127"/>
    <mergeCell ref="BE122:BE127"/>
    <mergeCell ref="BF122:BF127"/>
    <mergeCell ref="BG122:BG127"/>
    <mergeCell ref="BH122:BH127"/>
    <mergeCell ref="BC128:BC142"/>
    <mergeCell ref="BD128:BD142"/>
    <mergeCell ref="BE128:BE142"/>
    <mergeCell ref="BF128:BF142"/>
    <mergeCell ref="BG128:BG142"/>
    <mergeCell ref="BH128:BH142"/>
    <mergeCell ref="BC143:BC145"/>
    <mergeCell ref="BD143:BD145"/>
    <mergeCell ref="BE143:BE145"/>
    <mergeCell ref="BF143:BF145"/>
    <mergeCell ref="BG143:BG145"/>
    <mergeCell ref="BH143:BH145"/>
    <mergeCell ref="BC146:BC147"/>
    <mergeCell ref="BD146:BD147"/>
    <mergeCell ref="BE146:BE147"/>
    <mergeCell ref="BF146:BF147"/>
    <mergeCell ref="BG146:BG147"/>
    <mergeCell ref="BH146:BH147"/>
    <mergeCell ref="BC149:BC153"/>
    <mergeCell ref="BD149:BD153"/>
    <mergeCell ref="BE149:BE153"/>
    <mergeCell ref="BF149:BF153"/>
    <mergeCell ref="BG149:BG153"/>
    <mergeCell ref="BH149:BH153"/>
    <mergeCell ref="BC161:BC163"/>
    <mergeCell ref="BD161:BD163"/>
    <mergeCell ref="BE161:BE163"/>
    <mergeCell ref="BF161:BF163"/>
    <mergeCell ref="BG161:BG163"/>
    <mergeCell ref="BH161:BH163"/>
    <mergeCell ref="BC166:BC167"/>
    <mergeCell ref="BD166:BD167"/>
    <mergeCell ref="BE166:BE167"/>
    <mergeCell ref="BF166:BF167"/>
    <mergeCell ref="BG166:BG167"/>
    <mergeCell ref="BH166:BH167"/>
    <mergeCell ref="BC172:BC182"/>
    <mergeCell ref="BD172:BD182"/>
    <mergeCell ref="BE172:BE182"/>
    <mergeCell ref="BF172:BF182"/>
    <mergeCell ref="BG172:BG182"/>
    <mergeCell ref="BH172:BH182"/>
    <mergeCell ref="BC183:BC185"/>
    <mergeCell ref="BD183:BD185"/>
    <mergeCell ref="BE183:BE185"/>
    <mergeCell ref="BF183:BF185"/>
    <mergeCell ref="BG183:BG185"/>
    <mergeCell ref="BH183:BH185"/>
    <mergeCell ref="BC193:BC194"/>
    <mergeCell ref="BD193:BD194"/>
    <mergeCell ref="BE193:BE194"/>
    <mergeCell ref="BF193:BF194"/>
    <mergeCell ref="BG193:BG194"/>
    <mergeCell ref="BH193:BH194"/>
    <mergeCell ref="BC195:BC196"/>
    <mergeCell ref="BD195:BD196"/>
    <mergeCell ref="BE195:BE196"/>
    <mergeCell ref="BF195:BF196"/>
    <mergeCell ref="BG195:BG196"/>
    <mergeCell ref="BH195:BH196"/>
    <mergeCell ref="BC197:BC199"/>
    <mergeCell ref="BD197:BD199"/>
    <mergeCell ref="BE197:BE199"/>
    <mergeCell ref="BF197:BF199"/>
    <mergeCell ref="BG197:BG199"/>
    <mergeCell ref="BH197:BH199"/>
    <mergeCell ref="BC202:BC206"/>
    <mergeCell ref="BD202:BD206"/>
    <mergeCell ref="BE202:BE206"/>
    <mergeCell ref="BF202:BF206"/>
    <mergeCell ref="BG202:BG206"/>
    <mergeCell ref="BH202:BH206"/>
    <mergeCell ref="BC208:BC211"/>
    <mergeCell ref="BD208:BD211"/>
    <mergeCell ref="BE208:BE211"/>
    <mergeCell ref="BF208:BF211"/>
    <mergeCell ref="BG208:BG211"/>
    <mergeCell ref="BH208:BH211"/>
    <mergeCell ref="BC214:BC219"/>
    <mergeCell ref="BD214:BD219"/>
    <mergeCell ref="BE214:BE219"/>
    <mergeCell ref="BF214:BF219"/>
    <mergeCell ref="BG214:BG219"/>
    <mergeCell ref="BH214:BH219"/>
    <mergeCell ref="BC220:BC221"/>
    <mergeCell ref="BD220:BD221"/>
    <mergeCell ref="BE220:BE221"/>
    <mergeCell ref="BF220:BF221"/>
    <mergeCell ref="BG220:BG221"/>
    <mergeCell ref="BH220:BH221"/>
    <mergeCell ref="BC225:BC226"/>
    <mergeCell ref="BD225:BD226"/>
    <mergeCell ref="BE225:BE226"/>
    <mergeCell ref="BF225:BF226"/>
    <mergeCell ref="BG225:BG226"/>
    <mergeCell ref="BH225:BH226"/>
    <mergeCell ref="BC228:BC230"/>
    <mergeCell ref="BD228:BD230"/>
    <mergeCell ref="BE228:BE230"/>
    <mergeCell ref="BF228:BF230"/>
    <mergeCell ref="BG228:BG230"/>
    <mergeCell ref="BH228:BH230"/>
    <mergeCell ref="BC231:BC237"/>
    <mergeCell ref="BD231:BD237"/>
    <mergeCell ref="BE231:BE237"/>
    <mergeCell ref="BF231:BF237"/>
    <mergeCell ref="BG231:BG237"/>
    <mergeCell ref="BH231:BH237"/>
    <mergeCell ref="BC238:BC239"/>
    <mergeCell ref="BD238:BD239"/>
    <mergeCell ref="BE238:BE239"/>
    <mergeCell ref="BF238:BF239"/>
    <mergeCell ref="BG238:BG239"/>
    <mergeCell ref="BH238:BH239"/>
    <mergeCell ref="BC240:BC241"/>
    <mergeCell ref="BD240:BD241"/>
    <mergeCell ref="BE240:BE241"/>
    <mergeCell ref="BF240:BF241"/>
    <mergeCell ref="BG240:BG241"/>
    <mergeCell ref="BH240:BH241"/>
    <mergeCell ref="BC242:BC245"/>
    <mergeCell ref="BD242:BD245"/>
    <mergeCell ref="BE242:BE245"/>
    <mergeCell ref="BF242:BF245"/>
    <mergeCell ref="BG242:BG245"/>
    <mergeCell ref="BH242:BH245"/>
    <mergeCell ref="BC246:BC248"/>
    <mergeCell ref="BD246:BD248"/>
    <mergeCell ref="BE246:BE248"/>
    <mergeCell ref="BF246:BF248"/>
    <mergeCell ref="BG246:BG248"/>
    <mergeCell ref="BH246:BH248"/>
    <mergeCell ref="BC249:BC254"/>
    <mergeCell ref="BD249:BD254"/>
    <mergeCell ref="BE249:BE254"/>
    <mergeCell ref="BF249:BF254"/>
    <mergeCell ref="BG249:BG254"/>
    <mergeCell ref="BH249:BH254"/>
    <mergeCell ref="BC255:BC258"/>
    <mergeCell ref="BD255:BD258"/>
    <mergeCell ref="BE255:BE258"/>
    <mergeCell ref="BF255:BF258"/>
    <mergeCell ref="BG255:BG258"/>
    <mergeCell ref="BH255:BH258"/>
    <mergeCell ref="BC259:BC261"/>
    <mergeCell ref="BD259:BD261"/>
    <mergeCell ref="BE259:BE261"/>
    <mergeCell ref="BF259:BF261"/>
    <mergeCell ref="BG259:BG261"/>
    <mergeCell ref="BH259:BH261"/>
    <mergeCell ref="BC265:BC266"/>
    <mergeCell ref="BD265:BD266"/>
    <mergeCell ref="BE265:BE266"/>
    <mergeCell ref="BF265:BF266"/>
    <mergeCell ref="BG265:BG266"/>
    <mergeCell ref="BH265:BH266"/>
    <mergeCell ref="BC267:BC268"/>
    <mergeCell ref="BD267:BD268"/>
    <mergeCell ref="BE267:BE268"/>
    <mergeCell ref="BF267:BF268"/>
    <mergeCell ref="BG267:BG268"/>
    <mergeCell ref="BH267:BH268"/>
    <mergeCell ref="BC271:BC278"/>
    <mergeCell ref="BD271:BD278"/>
    <mergeCell ref="BE271:BE278"/>
    <mergeCell ref="BF271:BF278"/>
    <mergeCell ref="BG271:BG278"/>
    <mergeCell ref="BH271:BH278"/>
    <mergeCell ref="BC281:BC289"/>
    <mergeCell ref="BD281:BD289"/>
    <mergeCell ref="BE281:BE289"/>
    <mergeCell ref="BF281:BF289"/>
    <mergeCell ref="BG281:BG289"/>
    <mergeCell ref="BH281:BH289"/>
    <mergeCell ref="BC290:BC301"/>
    <mergeCell ref="BD290:BD301"/>
    <mergeCell ref="BE290:BE301"/>
    <mergeCell ref="BF290:BF301"/>
    <mergeCell ref="BG290:BG301"/>
    <mergeCell ref="BH290:BH301"/>
    <mergeCell ref="BC303:BC304"/>
    <mergeCell ref="BD303:BD304"/>
    <mergeCell ref="BE303:BE304"/>
    <mergeCell ref="BF303:BF304"/>
    <mergeCell ref="BG303:BG304"/>
    <mergeCell ref="BH303:BH304"/>
    <mergeCell ref="BC307:BC308"/>
    <mergeCell ref="BD307:BD308"/>
    <mergeCell ref="BE307:BE308"/>
    <mergeCell ref="BF307:BF308"/>
    <mergeCell ref="BG307:BG308"/>
    <mergeCell ref="BH307:BH308"/>
    <mergeCell ref="BC309:BC324"/>
    <mergeCell ref="BD309:BD324"/>
    <mergeCell ref="BE309:BE324"/>
    <mergeCell ref="BF309:BF324"/>
    <mergeCell ref="BG309:BG324"/>
    <mergeCell ref="BH309:BH324"/>
    <mergeCell ref="BC325:BC333"/>
    <mergeCell ref="BD325:BD333"/>
    <mergeCell ref="BE325:BE333"/>
    <mergeCell ref="BF325:BF333"/>
    <mergeCell ref="BG325:BG333"/>
    <mergeCell ref="BH325:BH333"/>
    <mergeCell ref="BC334:BC335"/>
    <mergeCell ref="BD334:BD335"/>
    <mergeCell ref="BE334:BE335"/>
    <mergeCell ref="BF334:BF335"/>
    <mergeCell ref="BG334:BG335"/>
    <mergeCell ref="BH334:BH335"/>
    <mergeCell ref="BC338:BC340"/>
    <mergeCell ref="BD338:BD340"/>
    <mergeCell ref="BE338:BE340"/>
    <mergeCell ref="BF338:BF340"/>
    <mergeCell ref="BG338:BG340"/>
    <mergeCell ref="BH338:BH340"/>
    <mergeCell ref="BC341:BC343"/>
    <mergeCell ref="BD341:BD343"/>
    <mergeCell ref="BE341:BE343"/>
    <mergeCell ref="BF341:BF343"/>
    <mergeCell ref="BG341:BG343"/>
    <mergeCell ref="BH341:BH343"/>
    <mergeCell ref="BC345:BC351"/>
    <mergeCell ref="BD345:BD351"/>
    <mergeCell ref="BE345:BE351"/>
    <mergeCell ref="BF345:BF351"/>
    <mergeCell ref="BG345:BG351"/>
    <mergeCell ref="BH345:BH351"/>
    <mergeCell ref="BC358:BC359"/>
    <mergeCell ref="BD358:BD359"/>
    <mergeCell ref="BE358:BE359"/>
    <mergeCell ref="BF358:BF359"/>
    <mergeCell ref="BG358:BG359"/>
    <mergeCell ref="BH358:BH359"/>
    <mergeCell ref="BC360:BC365"/>
    <mergeCell ref="BD360:BD365"/>
    <mergeCell ref="BE360:BE365"/>
    <mergeCell ref="BF360:BF365"/>
    <mergeCell ref="BG360:BG365"/>
    <mergeCell ref="BH360:BH365"/>
    <mergeCell ref="BC366:BC371"/>
    <mergeCell ref="BD366:BD371"/>
    <mergeCell ref="BE366:BE371"/>
    <mergeCell ref="BF366:BF371"/>
    <mergeCell ref="BG366:BG371"/>
    <mergeCell ref="BH366:BH371"/>
    <mergeCell ref="BC372:BC374"/>
    <mergeCell ref="BD372:BD374"/>
    <mergeCell ref="BE372:BE374"/>
    <mergeCell ref="BF372:BF374"/>
    <mergeCell ref="BG372:BG374"/>
    <mergeCell ref="BH372:BH374"/>
    <mergeCell ref="BC378:BC380"/>
    <mergeCell ref="BD378:BD380"/>
    <mergeCell ref="BE378:BE380"/>
    <mergeCell ref="BF378:BF380"/>
    <mergeCell ref="BG378:BG380"/>
    <mergeCell ref="BH378:BH380"/>
    <mergeCell ref="BC381:BC383"/>
    <mergeCell ref="BD381:BD383"/>
    <mergeCell ref="BE381:BE383"/>
    <mergeCell ref="BF381:BF383"/>
    <mergeCell ref="BG381:BG383"/>
    <mergeCell ref="BH381:BH383"/>
    <mergeCell ref="BC384:BC385"/>
    <mergeCell ref="BD384:BD385"/>
    <mergeCell ref="BE384:BE385"/>
    <mergeCell ref="BF384:BF385"/>
    <mergeCell ref="BG384:BG385"/>
    <mergeCell ref="BH384:BH385"/>
    <mergeCell ref="BC390:BC392"/>
    <mergeCell ref="BD390:BD392"/>
    <mergeCell ref="BE390:BE392"/>
    <mergeCell ref="BF390:BF392"/>
    <mergeCell ref="BG390:BG392"/>
    <mergeCell ref="BH390:BH392"/>
    <mergeCell ref="BC394:BC397"/>
    <mergeCell ref="BD394:BD397"/>
    <mergeCell ref="BE394:BE397"/>
    <mergeCell ref="BF394:BF397"/>
    <mergeCell ref="BG394:BG397"/>
    <mergeCell ref="BH394:BH397"/>
    <mergeCell ref="BC399:BC400"/>
    <mergeCell ref="BD399:BD400"/>
    <mergeCell ref="BE399:BE400"/>
    <mergeCell ref="BF399:BF400"/>
    <mergeCell ref="BG399:BG400"/>
    <mergeCell ref="BH399:BH400"/>
    <mergeCell ref="BC408:BC409"/>
    <mergeCell ref="BD408:BD409"/>
    <mergeCell ref="BE408:BE409"/>
    <mergeCell ref="BF408:BF409"/>
    <mergeCell ref="BG408:BG409"/>
    <mergeCell ref="BH408:BH409"/>
    <mergeCell ref="BC411:BC423"/>
    <mergeCell ref="BD411:BD423"/>
    <mergeCell ref="BE411:BE423"/>
    <mergeCell ref="BF411:BF423"/>
    <mergeCell ref="BG411:BG423"/>
    <mergeCell ref="BH411:BH423"/>
    <mergeCell ref="BC425:BC431"/>
    <mergeCell ref="BD425:BD431"/>
    <mergeCell ref="BE425:BE431"/>
    <mergeCell ref="BF425:BF431"/>
    <mergeCell ref="BG425:BG431"/>
    <mergeCell ref="BH425:BH431"/>
    <mergeCell ref="BC432:BC451"/>
    <mergeCell ref="BD432:BD451"/>
    <mergeCell ref="BE432:BE451"/>
    <mergeCell ref="BF432:BF451"/>
    <mergeCell ref="BG432:BG451"/>
    <mergeCell ref="BH432:BH451"/>
    <mergeCell ref="BC452:BC462"/>
    <mergeCell ref="BD452:BD462"/>
    <mergeCell ref="BE452:BE462"/>
    <mergeCell ref="BF452:BF462"/>
    <mergeCell ref="BG452:BG462"/>
    <mergeCell ref="BH452:BH462"/>
    <mergeCell ref="BC464:BC467"/>
    <mergeCell ref="BD464:BD467"/>
    <mergeCell ref="BE464:BE467"/>
    <mergeCell ref="BF464:BF467"/>
    <mergeCell ref="BG464:BG467"/>
    <mergeCell ref="BH464:BH467"/>
    <mergeCell ref="BC468:BC472"/>
    <mergeCell ref="BD468:BD472"/>
    <mergeCell ref="BE468:BE472"/>
    <mergeCell ref="BF468:BF472"/>
    <mergeCell ref="BG468:BG472"/>
    <mergeCell ref="BH468:BH472"/>
    <mergeCell ref="BC473:BC476"/>
    <mergeCell ref="BD473:BD476"/>
    <mergeCell ref="BE473:BE476"/>
    <mergeCell ref="BF473:BF476"/>
    <mergeCell ref="BG473:BG476"/>
    <mergeCell ref="BH473:BH476"/>
    <mergeCell ref="BC482:BC488"/>
    <mergeCell ref="BD482:BD488"/>
    <mergeCell ref="BE482:BE488"/>
    <mergeCell ref="BF482:BF488"/>
    <mergeCell ref="BG482:BG488"/>
    <mergeCell ref="BH482:BH488"/>
    <mergeCell ref="BC489:BC508"/>
    <mergeCell ref="BD489:BD508"/>
    <mergeCell ref="BE489:BE508"/>
    <mergeCell ref="BF489:BF508"/>
    <mergeCell ref="BG489:BG508"/>
    <mergeCell ref="BH489:BH508"/>
    <mergeCell ref="BC511:BC543"/>
    <mergeCell ref="BD511:BD543"/>
    <mergeCell ref="BE511:BE543"/>
    <mergeCell ref="BF511:BF543"/>
    <mergeCell ref="BG511:BG543"/>
    <mergeCell ref="BH511:BH543"/>
    <mergeCell ref="BC544:BC548"/>
    <mergeCell ref="BD544:BD548"/>
    <mergeCell ref="BE544:BE548"/>
    <mergeCell ref="BF544:BF548"/>
    <mergeCell ref="BG544:BG548"/>
    <mergeCell ref="BH544:BH548"/>
    <mergeCell ref="BC554:BC555"/>
    <mergeCell ref="BD554:BD555"/>
    <mergeCell ref="BE554:BE555"/>
    <mergeCell ref="BF554:BF555"/>
    <mergeCell ref="BG554:BG555"/>
    <mergeCell ref="BH554:BH555"/>
    <mergeCell ref="BC556:BC560"/>
    <mergeCell ref="BD556:BD560"/>
    <mergeCell ref="BE556:BE560"/>
    <mergeCell ref="BF556:BF560"/>
    <mergeCell ref="BG556:BG560"/>
    <mergeCell ref="BH556:BH560"/>
    <mergeCell ref="BC562:BC564"/>
    <mergeCell ref="BD562:BD564"/>
    <mergeCell ref="BE562:BE564"/>
    <mergeCell ref="BF562:BF564"/>
    <mergeCell ref="BG562:BG564"/>
    <mergeCell ref="BH562:BH564"/>
    <mergeCell ref="BC566:BC567"/>
    <mergeCell ref="BD566:BD567"/>
    <mergeCell ref="BE566:BE567"/>
    <mergeCell ref="BF566:BF567"/>
    <mergeCell ref="BG566:BG567"/>
    <mergeCell ref="BH566:BH567"/>
    <mergeCell ref="BC568:BC574"/>
    <mergeCell ref="BD568:BD574"/>
    <mergeCell ref="BE568:BE574"/>
    <mergeCell ref="BF568:BF574"/>
    <mergeCell ref="BG568:BG574"/>
    <mergeCell ref="BH568:BH574"/>
    <mergeCell ref="BC575:BC576"/>
    <mergeCell ref="BD575:BD576"/>
    <mergeCell ref="BE575:BE576"/>
    <mergeCell ref="BF575:BF576"/>
    <mergeCell ref="BG575:BG576"/>
    <mergeCell ref="BH575:BH576"/>
    <mergeCell ref="BC585:BC592"/>
    <mergeCell ref="BD585:BD592"/>
    <mergeCell ref="BE585:BE592"/>
    <mergeCell ref="BF585:BF592"/>
    <mergeCell ref="BG585:BG592"/>
    <mergeCell ref="BH585:BH592"/>
    <mergeCell ref="BC593:BC603"/>
    <mergeCell ref="BD593:BD603"/>
    <mergeCell ref="BE593:BE603"/>
    <mergeCell ref="BF593:BF603"/>
    <mergeCell ref="BG593:BG603"/>
    <mergeCell ref="BH593:BH603"/>
    <mergeCell ref="BC604:BC610"/>
    <mergeCell ref="BD604:BD610"/>
    <mergeCell ref="BE604:BE610"/>
    <mergeCell ref="BF604:BF610"/>
    <mergeCell ref="BG604:BG610"/>
    <mergeCell ref="BH604:BH610"/>
    <mergeCell ref="BC612:BC618"/>
    <mergeCell ref="BD612:BD618"/>
    <mergeCell ref="BE612:BE618"/>
    <mergeCell ref="BF612:BF618"/>
    <mergeCell ref="BG612:BG618"/>
    <mergeCell ref="BH612:BH618"/>
    <mergeCell ref="BC621:BC624"/>
    <mergeCell ref="BD621:BD624"/>
    <mergeCell ref="BE621:BE624"/>
    <mergeCell ref="BF621:BF624"/>
    <mergeCell ref="BG621:BG624"/>
    <mergeCell ref="BH621:BH624"/>
    <mergeCell ref="BC627:BC628"/>
    <mergeCell ref="BD627:BD628"/>
    <mergeCell ref="BE627:BE628"/>
    <mergeCell ref="BF627:BF628"/>
    <mergeCell ref="BG627:BG628"/>
    <mergeCell ref="BH627:BH628"/>
    <mergeCell ref="BC629:BC633"/>
    <mergeCell ref="BD629:BD633"/>
    <mergeCell ref="BE629:BE633"/>
    <mergeCell ref="BF629:BF633"/>
    <mergeCell ref="BG629:BG633"/>
    <mergeCell ref="BH629:BH633"/>
    <mergeCell ref="BC634:BC635"/>
    <mergeCell ref="BD634:BD635"/>
    <mergeCell ref="BE634:BE635"/>
    <mergeCell ref="BF634:BF635"/>
    <mergeCell ref="BG634:BG635"/>
    <mergeCell ref="BH634:BH635"/>
    <mergeCell ref="BC636:BC637"/>
    <mergeCell ref="BD636:BD637"/>
    <mergeCell ref="BE636:BE637"/>
    <mergeCell ref="BF636:BF637"/>
    <mergeCell ref="BG636:BG637"/>
    <mergeCell ref="BH636:BH637"/>
    <mergeCell ref="BC643:BC646"/>
    <mergeCell ref="BD643:BD646"/>
    <mergeCell ref="BE643:BE646"/>
    <mergeCell ref="BF643:BF646"/>
    <mergeCell ref="BG643:BG646"/>
    <mergeCell ref="BH643:BH646"/>
    <mergeCell ref="BC647:BC686"/>
    <mergeCell ref="BD647:BD686"/>
    <mergeCell ref="BE647:BE686"/>
    <mergeCell ref="BF647:BF686"/>
    <mergeCell ref="BG647:BG686"/>
    <mergeCell ref="BH647:BH686"/>
    <mergeCell ref="BC687:BC689"/>
    <mergeCell ref="BD687:BD689"/>
    <mergeCell ref="BE687:BE689"/>
    <mergeCell ref="BF687:BF689"/>
    <mergeCell ref="BG687:BG689"/>
    <mergeCell ref="BH687:BH689"/>
    <mergeCell ref="BC691:BC693"/>
    <mergeCell ref="BD691:BD693"/>
    <mergeCell ref="BE691:BE693"/>
    <mergeCell ref="BF691:BF693"/>
    <mergeCell ref="BG691:BG693"/>
    <mergeCell ref="BH691:BH693"/>
    <mergeCell ref="BC697:BC698"/>
    <mergeCell ref="BD697:BD698"/>
    <mergeCell ref="BE697:BE698"/>
    <mergeCell ref="BF697:BF698"/>
    <mergeCell ref="BG697:BG698"/>
    <mergeCell ref="BH697:BH698"/>
    <mergeCell ref="BC703:BC704"/>
    <mergeCell ref="BD703:BD704"/>
    <mergeCell ref="BE703:BE704"/>
    <mergeCell ref="BF703:BF704"/>
    <mergeCell ref="BG703:BG704"/>
    <mergeCell ref="BH703:BH704"/>
    <mergeCell ref="BC706:BC711"/>
    <mergeCell ref="BD706:BD711"/>
    <mergeCell ref="BE706:BE711"/>
    <mergeCell ref="BF706:BF711"/>
    <mergeCell ref="BG706:BG711"/>
    <mergeCell ref="BH706:BH711"/>
    <mergeCell ref="BC715:BC716"/>
    <mergeCell ref="BD715:BD716"/>
    <mergeCell ref="BE715:BE716"/>
    <mergeCell ref="BF715:BF716"/>
    <mergeCell ref="BG715:BG716"/>
    <mergeCell ref="BH715:BH716"/>
    <mergeCell ref="BC717:BC730"/>
    <mergeCell ref="BD717:BD730"/>
    <mergeCell ref="BE717:BE730"/>
    <mergeCell ref="BF717:BF730"/>
    <mergeCell ref="BG717:BG730"/>
    <mergeCell ref="BH717:BH730"/>
    <mergeCell ref="BC740:BC741"/>
    <mergeCell ref="BD740:BD741"/>
    <mergeCell ref="BE740:BE741"/>
    <mergeCell ref="BF740:BF741"/>
    <mergeCell ref="BG740:BG741"/>
    <mergeCell ref="BH740:BH741"/>
    <mergeCell ref="BC742:BC743"/>
    <mergeCell ref="BD742:BD743"/>
    <mergeCell ref="BE742:BE743"/>
    <mergeCell ref="BF742:BF743"/>
    <mergeCell ref="BG742:BG743"/>
    <mergeCell ref="BH742:BH743"/>
    <mergeCell ref="BC745:BC747"/>
    <mergeCell ref="BD745:BD747"/>
    <mergeCell ref="BE745:BE747"/>
    <mergeCell ref="BF745:BF747"/>
    <mergeCell ref="BG745:BG747"/>
    <mergeCell ref="BH745:BH747"/>
    <mergeCell ref="BC749:BC751"/>
    <mergeCell ref="BD749:BD751"/>
    <mergeCell ref="BE749:BE751"/>
    <mergeCell ref="BF749:BF751"/>
    <mergeCell ref="BG749:BG751"/>
    <mergeCell ref="BH749:BH751"/>
    <mergeCell ref="BC752:BC754"/>
    <mergeCell ref="BD752:BD754"/>
    <mergeCell ref="BE752:BE754"/>
    <mergeCell ref="BF752:BF754"/>
    <mergeCell ref="BG752:BG754"/>
    <mergeCell ref="BH752:BH754"/>
    <mergeCell ref="BC755:BC769"/>
    <mergeCell ref="BD755:BD769"/>
    <mergeCell ref="BE755:BE769"/>
    <mergeCell ref="BF755:BF769"/>
    <mergeCell ref="BG755:BG769"/>
    <mergeCell ref="BH755:BH769"/>
    <mergeCell ref="BC773:BC774"/>
    <mergeCell ref="BD773:BD774"/>
    <mergeCell ref="BE773:BE774"/>
    <mergeCell ref="BF773:BF774"/>
    <mergeCell ref="BG773:BG774"/>
    <mergeCell ref="BH773:BH774"/>
    <mergeCell ref="BC775:BC778"/>
    <mergeCell ref="BD775:BD778"/>
    <mergeCell ref="BE775:BE778"/>
    <mergeCell ref="BF775:BF778"/>
    <mergeCell ref="BG775:BG778"/>
    <mergeCell ref="BH775:BH778"/>
    <mergeCell ref="BC779:BC781"/>
    <mergeCell ref="BD779:BD781"/>
    <mergeCell ref="BE779:BE781"/>
    <mergeCell ref="BF779:BF781"/>
    <mergeCell ref="BG779:BG781"/>
    <mergeCell ref="BH779:BH781"/>
    <mergeCell ref="BC783:BC784"/>
    <mergeCell ref="BD783:BD784"/>
    <mergeCell ref="BE783:BE784"/>
    <mergeCell ref="BF783:BF784"/>
    <mergeCell ref="BG783:BG784"/>
    <mergeCell ref="BH783:BH784"/>
    <mergeCell ref="BC788:BC790"/>
    <mergeCell ref="BD788:BD790"/>
    <mergeCell ref="BE788:BE790"/>
    <mergeCell ref="BF788:BF790"/>
    <mergeCell ref="BG788:BG790"/>
    <mergeCell ref="BH788:BH790"/>
    <mergeCell ref="BC796:BC802"/>
    <mergeCell ref="BD796:BD802"/>
    <mergeCell ref="BE796:BE802"/>
    <mergeCell ref="BF796:BF802"/>
    <mergeCell ref="BG796:BG802"/>
    <mergeCell ref="BH796:BH802"/>
    <mergeCell ref="BC803:BC804"/>
    <mergeCell ref="BD803:BD804"/>
    <mergeCell ref="BE803:BE804"/>
    <mergeCell ref="BF803:BF804"/>
    <mergeCell ref="BG803:BG804"/>
    <mergeCell ref="BH803:BH804"/>
    <mergeCell ref="BC806:BC807"/>
    <mergeCell ref="BD806:BD807"/>
    <mergeCell ref="BE806:BE807"/>
    <mergeCell ref="BF806:BF807"/>
    <mergeCell ref="BG806:BG807"/>
    <mergeCell ref="BH806:BH807"/>
    <mergeCell ref="BC809:BC815"/>
    <mergeCell ref="BD809:BD815"/>
    <mergeCell ref="BE809:BE815"/>
    <mergeCell ref="BF809:BF815"/>
    <mergeCell ref="BG809:BG815"/>
    <mergeCell ref="BH809:BH815"/>
    <mergeCell ref="BC816:BC818"/>
    <mergeCell ref="BD816:BD818"/>
    <mergeCell ref="BE816:BE818"/>
    <mergeCell ref="BF816:BF818"/>
    <mergeCell ref="BG816:BG818"/>
    <mergeCell ref="BH816:BH818"/>
    <mergeCell ref="BC819:BC826"/>
    <mergeCell ref="BD819:BD826"/>
    <mergeCell ref="BE819:BE826"/>
    <mergeCell ref="BF819:BF826"/>
    <mergeCell ref="BG819:BG826"/>
    <mergeCell ref="BH819:BH826"/>
    <mergeCell ref="BC832:BC833"/>
    <mergeCell ref="BD832:BD833"/>
    <mergeCell ref="BE832:BE833"/>
    <mergeCell ref="BF832:BF833"/>
    <mergeCell ref="BG832:BG833"/>
    <mergeCell ref="BH832:BH833"/>
    <mergeCell ref="BC836:BC840"/>
    <mergeCell ref="BD836:BD840"/>
    <mergeCell ref="BE836:BE840"/>
    <mergeCell ref="BF836:BF840"/>
    <mergeCell ref="BG836:BG840"/>
    <mergeCell ref="BH836:BH840"/>
    <mergeCell ref="BC845:BC846"/>
    <mergeCell ref="BD845:BD846"/>
    <mergeCell ref="BE845:BE846"/>
    <mergeCell ref="BF845:BF846"/>
    <mergeCell ref="BG845:BG846"/>
    <mergeCell ref="BH845:BH846"/>
    <mergeCell ref="BC851:BC852"/>
    <mergeCell ref="BD851:BD852"/>
    <mergeCell ref="BE851:BE852"/>
    <mergeCell ref="BF851:BF852"/>
    <mergeCell ref="BG851:BG852"/>
    <mergeCell ref="BH851:BH852"/>
    <mergeCell ref="BC853:BC858"/>
    <mergeCell ref="BD853:BD858"/>
    <mergeCell ref="BE853:BE858"/>
    <mergeCell ref="BF853:BF858"/>
    <mergeCell ref="BG853:BG858"/>
    <mergeCell ref="BH853:BH858"/>
    <mergeCell ref="BC859:BC861"/>
    <mergeCell ref="BD859:BD861"/>
    <mergeCell ref="BE859:BE861"/>
    <mergeCell ref="BF859:BF861"/>
    <mergeCell ref="BG859:BG861"/>
    <mergeCell ref="BH859:BH861"/>
    <mergeCell ref="BC862:BC864"/>
    <mergeCell ref="BD862:BD864"/>
    <mergeCell ref="BE862:BE864"/>
    <mergeCell ref="BF862:BF864"/>
    <mergeCell ref="BG862:BG864"/>
    <mergeCell ref="BH862:BH864"/>
    <mergeCell ref="BC866:BC869"/>
    <mergeCell ref="BD866:BD869"/>
    <mergeCell ref="BE866:BE869"/>
    <mergeCell ref="BF866:BF869"/>
    <mergeCell ref="BG866:BG869"/>
    <mergeCell ref="BH866:BH869"/>
    <mergeCell ref="BC870:BC882"/>
    <mergeCell ref="BD870:BD882"/>
    <mergeCell ref="BE870:BE882"/>
    <mergeCell ref="BF870:BF882"/>
    <mergeCell ref="BG870:BG882"/>
    <mergeCell ref="BH870:BH882"/>
    <mergeCell ref="BC883:BC896"/>
    <mergeCell ref="BD883:BD896"/>
    <mergeCell ref="BE883:BE896"/>
    <mergeCell ref="BF883:BF896"/>
    <mergeCell ref="BG883:BG896"/>
    <mergeCell ref="BH883:BH896"/>
    <mergeCell ref="BC897:BC906"/>
    <mergeCell ref="BD897:BD906"/>
    <mergeCell ref="BE897:BE906"/>
    <mergeCell ref="BF897:BF906"/>
    <mergeCell ref="BG897:BG906"/>
    <mergeCell ref="BH897:BH906"/>
    <mergeCell ref="BC908:BC918"/>
    <mergeCell ref="BD908:BD918"/>
    <mergeCell ref="BE908:BE918"/>
    <mergeCell ref="BF908:BF918"/>
    <mergeCell ref="BG908:BG918"/>
    <mergeCell ref="BH908:BH918"/>
    <mergeCell ref="BC921:BC923"/>
    <mergeCell ref="BD921:BD923"/>
    <mergeCell ref="BE921:BE923"/>
    <mergeCell ref="BF921:BF923"/>
    <mergeCell ref="BG921:BG923"/>
    <mergeCell ref="BH921:BH923"/>
    <mergeCell ref="BC927:BC930"/>
    <mergeCell ref="BD927:BD930"/>
    <mergeCell ref="BE927:BE930"/>
    <mergeCell ref="BF927:BF930"/>
    <mergeCell ref="BG927:BG930"/>
    <mergeCell ref="BH927:BH930"/>
    <mergeCell ref="BC931:BC932"/>
    <mergeCell ref="BD931:BD932"/>
    <mergeCell ref="BE931:BE932"/>
    <mergeCell ref="BF931:BF932"/>
    <mergeCell ref="BG931:BG932"/>
    <mergeCell ref="BH931:BH932"/>
    <mergeCell ref="BC933:BC934"/>
    <mergeCell ref="BD933:BD934"/>
    <mergeCell ref="BE933:BE934"/>
    <mergeCell ref="BF933:BF934"/>
    <mergeCell ref="BG933:BG934"/>
    <mergeCell ref="BH933:BH934"/>
    <mergeCell ref="BC937:BC942"/>
    <mergeCell ref="BD937:BD942"/>
    <mergeCell ref="BE937:BE942"/>
    <mergeCell ref="BF937:BF942"/>
    <mergeCell ref="BG937:BG942"/>
    <mergeCell ref="BH937:BH942"/>
    <mergeCell ref="BC943:BC944"/>
    <mergeCell ref="BD943:BD944"/>
    <mergeCell ref="BE943:BE944"/>
    <mergeCell ref="BF943:BF944"/>
    <mergeCell ref="BG943:BG944"/>
    <mergeCell ref="BH943:BH944"/>
    <mergeCell ref="BC950:BC955"/>
    <mergeCell ref="BD950:BD955"/>
    <mergeCell ref="BE950:BE955"/>
    <mergeCell ref="BF950:BF955"/>
    <mergeCell ref="BG950:BG955"/>
    <mergeCell ref="BH950:BH955"/>
    <mergeCell ref="BC956:BC958"/>
    <mergeCell ref="BD956:BD958"/>
    <mergeCell ref="BE956:BE958"/>
    <mergeCell ref="BF956:BF958"/>
    <mergeCell ref="BG956:BG958"/>
    <mergeCell ref="BH956:BH958"/>
    <mergeCell ref="BC960:BC962"/>
    <mergeCell ref="BD960:BD962"/>
    <mergeCell ref="BE960:BE962"/>
    <mergeCell ref="BF960:BF962"/>
    <mergeCell ref="BG960:BG962"/>
    <mergeCell ref="BH960:BH962"/>
    <mergeCell ref="BC963:BC966"/>
    <mergeCell ref="BD963:BD966"/>
    <mergeCell ref="BE963:BE966"/>
    <mergeCell ref="BF963:BF966"/>
    <mergeCell ref="BG963:BG966"/>
    <mergeCell ref="BH963:BH966"/>
    <mergeCell ref="BC967:BC969"/>
    <mergeCell ref="BD967:BD969"/>
    <mergeCell ref="BE967:BE969"/>
    <mergeCell ref="BF967:BF969"/>
    <mergeCell ref="BG967:BG969"/>
    <mergeCell ref="BH967:BH969"/>
    <mergeCell ref="BC970:BC973"/>
    <mergeCell ref="BD970:BD973"/>
    <mergeCell ref="BE970:BE973"/>
    <mergeCell ref="BF970:BF973"/>
    <mergeCell ref="BG970:BG973"/>
    <mergeCell ref="BH970:BH973"/>
    <mergeCell ref="BC978:BC979"/>
    <mergeCell ref="BD978:BD979"/>
    <mergeCell ref="BE978:BE979"/>
    <mergeCell ref="BF978:BF979"/>
    <mergeCell ref="BG978:BG979"/>
    <mergeCell ref="BH978:BH979"/>
    <mergeCell ref="BC988:BC989"/>
    <mergeCell ref="BD988:BD989"/>
    <mergeCell ref="BE988:BE989"/>
    <mergeCell ref="BF988:BF989"/>
    <mergeCell ref="BG988:BG989"/>
    <mergeCell ref="BH988:BH989"/>
    <mergeCell ref="BC990:BC994"/>
    <mergeCell ref="BD990:BD994"/>
    <mergeCell ref="BE990:BE994"/>
    <mergeCell ref="BF990:BF994"/>
    <mergeCell ref="BG990:BG994"/>
    <mergeCell ref="BH990:BH994"/>
    <mergeCell ref="BC999:BC1000"/>
    <mergeCell ref="BD999:BD1000"/>
    <mergeCell ref="BE999:BE1000"/>
    <mergeCell ref="BF999:BF1000"/>
    <mergeCell ref="BG999:BG1000"/>
    <mergeCell ref="BH999:BH1000"/>
    <mergeCell ref="BC1001:BC1004"/>
    <mergeCell ref="BD1001:BD1004"/>
    <mergeCell ref="BE1001:BE1004"/>
    <mergeCell ref="BF1001:BF1004"/>
    <mergeCell ref="BG1001:BG1004"/>
    <mergeCell ref="BH1001:BH1004"/>
    <mergeCell ref="BC1006:BC1009"/>
    <mergeCell ref="BD1006:BD1009"/>
    <mergeCell ref="BE1006:BE1009"/>
    <mergeCell ref="BF1006:BF1009"/>
    <mergeCell ref="BG1006:BG1009"/>
    <mergeCell ref="BH1006:BH1009"/>
    <mergeCell ref="BC1018:BC1022"/>
    <mergeCell ref="BD1018:BD1022"/>
    <mergeCell ref="BE1018:BE1022"/>
    <mergeCell ref="BF1018:BF1022"/>
    <mergeCell ref="BG1018:BG1022"/>
    <mergeCell ref="BH1018:BH1022"/>
    <mergeCell ref="BC1024:BC1025"/>
    <mergeCell ref="BD1024:BD1025"/>
    <mergeCell ref="BE1024:BE1025"/>
    <mergeCell ref="BF1024:BF1025"/>
    <mergeCell ref="BG1024:BG1025"/>
    <mergeCell ref="BH1024:BH1025"/>
    <mergeCell ref="BC1026:BC1028"/>
    <mergeCell ref="BD1026:BD1028"/>
    <mergeCell ref="BE1026:BE1028"/>
    <mergeCell ref="BF1026:BF1028"/>
    <mergeCell ref="BG1026:BG1028"/>
    <mergeCell ref="BH1026:BH1028"/>
    <mergeCell ref="BC1033:BC1034"/>
    <mergeCell ref="BD1033:BD1034"/>
    <mergeCell ref="BE1033:BE1034"/>
    <mergeCell ref="BF1033:BF1034"/>
    <mergeCell ref="BG1033:BG1034"/>
    <mergeCell ref="BH1033:BH1034"/>
    <mergeCell ref="BC1035:BC1037"/>
    <mergeCell ref="BD1035:BD1037"/>
    <mergeCell ref="BE1035:BE1037"/>
    <mergeCell ref="BF1035:BF1037"/>
    <mergeCell ref="BG1035:BG1037"/>
    <mergeCell ref="BH1035:BH1037"/>
    <mergeCell ref="BC1038:BC1039"/>
    <mergeCell ref="BD1038:BD1039"/>
    <mergeCell ref="BE1038:BE1039"/>
    <mergeCell ref="BF1038:BF1039"/>
    <mergeCell ref="BG1038:BG1039"/>
    <mergeCell ref="BH1038:BH1039"/>
    <mergeCell ref="BC1041:BC1043"/>
    <mergeCell ref="BD1041:BD1043"/>
    <mergeCell ref="BE1041:BE1043"/>
    <mergeCell ref="BF1041:BF1043"/>
    <mergeCell ref="BG1041:BG1043"/>
    <mergeCell ref="BH1041:BH1043"/>
    <mergeCell ref="BC1045:BC1056"/>
    <mergeCell ref="BD1045:BD1056"/>
    <mergeCell ref="BE1045:BE1056"/>
    <mergeCell ref="BF1045:BF1056"/>
    <mergeCell ref="BG1045:BG1056"/>
    <mergeCell ref="BH1045:BH1056"/>
    <mergeCell ref="BC1059:BC1060"/>
    <mergeCell ref="BD1059:BD1060"/>
    <mergeCell ref="BE1059:BE1060"/>
    <mergeCell ref="BF1059:BF1060"/>
    <mergeCell ref="BG1059:BG1060"/>
    <mergeCell ref="BH1059:BH1060"/>
    <mergeCell ref="BC1061:BC1062"/>
    <mergeCell ref="BD1061:BD1062"/>
    <mergeCell ref="BE1061:BE1062"/>
    <mergeCell ref="BF1061:BF1062"/>
    <mergeCell ref="BG1061:BG1062"/>
    <mergeCell ref="BH1061:BH1062"/>
    <mergeCell ref="BC1063:BC1065"/>
    <mergeCell ref="BD1063:BD1065"/>
    <mergeCell ref="BE1063:BE1065"/>
    <mergeCell ref="BF1063:BF1065"/>
    <mergeCell ref="BG1063:BG1065"/>
    <mergeCell ref="BH1063:BH1065"/>
    <mergeCell ref="BC1066:BC1073"/>
    <mergeCell ref="BD1066:BD1073"/>
    <mergeCell ref="BE1066:BE1073"/>
    <mergeCell ref="BF1066:BF1073"/>
    <mergeCell ref="BG1066:BG1073"/>
    <mergeCell ref="BH1066:BH1073"/>
    <mergeCell ref="BC1081:BC1082"/>
    <mergeCell ref="BD1081:BD1082"/>
    <mergeCell ref="BE1081:BE1082"/>
    <mergeCell ref="BF1081:BF1082"/>
    <mergeCell ref="BG1081:BG1082"/>
    <mergeCell ref="BH1081:BH1082"/>
    <mergeCell ref="BC1084:BC1085"/>
    <mergeCell ref="BD1084:BD1085"/>
    <mergeCell ref="BE1084:BE1085"/>
    <mergeCell ref="BF1084:BF1085"/>
    <mergeCell ref="BG1084:BG1085"/>
    <mergeCell ref="BH1084:BH1085"/>
    <mergeCell ref="BC1086:BC1087"/>
    <mergeCell ref="BD1086:BD1087"/>
    <mergeCell ref="BE1086:BE1087"/>
    <mergeCell ref="BF1086:BF1087"/>
    <mergeCell ref="BG1086:BG1087"/>
    <mergeCell ref="BH1086:BH1087"/>
    <mergeCell ref="BC1091:BC1094"/>
    <mergeCell ref="BD1091:BD1094"/>
    <mergeCell ref="BE1091:BE1094"/>
    <mergeCell ref="BF1091:BF1094"/>
    <mergeCell ref="BG1091:BG1094"/>
    <mergeCell ref="BH1091:BH1094"/>
    <mergeCell ref="BC1097:BC1098"/>
    <mergeCell ref="BD1097:BD1098"/>
    <mergeCell ref="BE1097:BE1098"/>
    <mergeCell ref="BF1097:BF1098"/>
    <mergeCell ref="BG1097:BG1098"/>
    <mergeCell ref="BH1097:BH1098"/>
    <mergeCell ref="BC1099:BC1101"/>
    <mergeCell ref="BD1099:BD1101"/>
    <mergeCell ref="BE1099:BE1101"/>
    <mergeCell ref="BF1099:BF1101"/>
    <mergeCell ref="BG1099:BG1101"/>
    <mergeCell ref="BH1099:BH1101"/>
    <mergeCell ref="BC1102:BC1104"/>
    <mergeCell ref="BD1102:BD1104"/>
    <mergeCell ref="BE1102:BE1104"/>
    <mergeCell ref="BF1102:BF1104"/>
    <mergeCell ref="BG1102:BG1104"/>
    <mergeCell ref="BH1102:BH1104"/>
    <mergeCell ref="BC1107:BC1110"/>
    <mergeCell ref="BD1107:BD1110"/>
    <mergeCell ref="BE1107:BE1110"/>
    <mergeCell ref="BF1107:BF1110"/>
    <mergeCell ref="BG1107:BG1110"/>
    <mergeCell ref="BH1107:BH1110"/>
    <mergeCell ref="BC1111:BC1120"/>
    <mergeCell ref="BD1111:BD1120"/>
    <mergeCell ref="BE1111:BE1120"/>
    <mergeCell ref="BF1111:BF1120"/>
    <mergeCell ref="BG1111:BG1120"/>
    <mergeCell ref="BH1111:BH1120"/>
    <mergeCell ref="BC1122:BC1123"/>
    <mergeCell ref="BD1122:BD1123"/>
    <mergeCell ref="BE1122:BE1123"/>
    <mergeCell ref="BF1122:BF1123"/>
    <mergeCell ref="BG1122:BG1123"/>
    <mergeCell ref="BH1122:BH1123"/>
    <mergeCell ref="BC1125:BC1128"/>
    <mergeCell ref="BD1125:BD1128"/>
    <mergeCell ref="BE1125:BE1128"/>
    <mergeCell ref="BF1125:BF1128"/>
    <mergeCell ref="BG1125:BG1128"/>
    <mergeCell ref="BH1125:BH1128"/>
    <mergeCell ref="BC1129:BC1130"/>
    <mergeCell ref="BD1129:BD1130"/>
    <mergeCell ref="BE1129:BE1130"/>
    <mergeCell ref="BF1129:BF1130"/>
    <mergeCell ref="BG1129:BG1130"/>
    <mergeCell ref="BH1129:BH1130"/>
    <mergeCell ref="BC1133:BC1148"/>
    <mergeCell ref="BD1133:BD1148"/>
    <mergeCell ref="BE1133:BE1148"/>
    <mergeCell ref="BF1133:BF1148"/>
    <mergeCell ref="BG1133:BG1148"/>
    <mergeCell ref="BH1133:BH1148"/>
    <mergeCell ref="BC1149:BC1175"/>
    <mergeCell ref="BD1149:BD1175"/>
    <mergeCell ref="BE1149:BE1175"/>
    <mergeCell ref="BF1149:BF1175"/>
    <mergeCell ref="BG1149:BG1175"/>
    <mergeCell ref="BH1149:BH1175"/>
    <mergeCell ref="BC1177:BC1184"/>
    <mergeCell ref="BD1177:BD1184"/>
    <mergeCell ref="BE1177:BE1184"/>
    <mergeCell ref="BF1177:BF1184"/>
    <mergeCell ref="BG1177:BG1184"/>
    <mergeCell ref="BH1177:BH1184"/>
    <mergeCell ref="BC1185:BC1187"/>
    <mergeCell ref="BD1185:BD1187"/>
    <mergeCell ref="BE1185:BE1187"/>
    <mergeCell ref="BF1185:BF1187"/>
    <mergeCell ref="BG1185:BG1187"/>
    <mergeCell ref="BH1185:BH1187"/>
    <mergeCell ref="BC1189:BC1191"/>
    <mergeCell ref="BD1189:BD1191"/>
    <mergeCell ref="BE1189:BE1191"/>
    <mergeCell ref="BF1189:BF1191"/>
    <mergeCell ref="BG1189:BG1191"/>
    <mergeCell ref="BH1189:BH1191"/>
    <mergeCell ref="BC1195:BC1196"/>
    <mergeCell ref="BD1195:BD1196"/>
    <mergeCell ref="BE1195:BE1196"/>
    <mergeCell ref="BF1195:BF1196"/>
    <mergeCell ref="BG1195:BG1196"/>
    <mergeCell ref="BH1195:BH1196"/>
    <mergeCell ref="BC1197:BC1200"/>
    <mergeCell ref="BD1197:BD1200"/>
    <mergeCell ref="BE1197:BE1200"/>
    <mergeCell ref="BF1197:BF1200"/>
    <mergeCell ref="BG1197:BG1200"/>
    <mergeCell ref="BH1197:BH1200"/>
    <mergeCell ref="BC1201:BC1202"/>
    <mergeCell ref="BD1201:BD1202"/>
    <mergeCell ref="BE1201:BE1202"/>
    <mergeCell ref="BF1201:BF1202"/>
    <mergeCell ref="BG1201:BG1202"/>
    <mergeCell ref="BH1201:BH1202"/>
    <mergeCell ref="BC1203:BC1204"/>
    <mergeCell ref="BD1203:BD1204"/>
    <mergeCell ref="BE1203:BE1204"/>
    <mergeCell ref="BF1203:BF1204"/>
    <mergeCell ref="BG1203:BG1204"/>
    <mergeCell ref="BH1203:BH1204"/>
    <mergeCell ref="BC1205:BC1221"/>
    <mergeCell ref="BD1205:BD1221"/>
    <mergeCell ref="BE1205:BE1221"/>
    <mergeCell ref="BF1205:BF1221"/>
    <mergeCell ref="BG1205:BG1221"/>
    <mergeCell ref="BH1205:BH1221"/>
    <mergeCell ref="BC1223:BC1224"/>
    <mergeCell ref="BD1223:BD1224"/>
    <mergeCell ref="BE1223:BE1224"/>
    <mergeCell ref="BF1223:BF1224"/>
    <mergeCell ref="BG1223:BG1224"/>
    <mergeCell ref="BH1223:BH1224"/>
    <mergeCell ref="BC1226:BC1227"/>
    <mergeCell ref="BD1226:BD1227"/>
    <mergeCell ref="BE1226:BE1227"/>
    <mergeCell ref="BF1226:BF1227"/>
    <mergeCell ref="BG1226:BG1227"/>
    <mergeCell ref="BH1226:BH1227"/>
    <mergeCell ref="BC1229:BC1240"/>
    <mergeCell ref="BD1229:BD1240"/>
    <mergeCell ref="BE1229:BE1240"/>
    <mergeCell ref="BF1229:BF1240"/>
    <mergeCell ref="BG1229:BG1240"/>
    <mergeCell ref="BH1229:BH1240"/>
    <mergeCell ref="BC1242:BC1243"/>
    <mergeCell ref="BD1242:BD1243"/>
    <mergeCell ref="BE1242:BE1243"/>
    <mergeCell ref="BF1242:BF1243"/>
    <mergeCell ref="BG1242:BG1243"/>
    <mergeCell ref="BH1242:BH1243"/>
    <mergeCell ref="BC1245:BC1249"/>
    <mergeCell ref="BD1245:BD1249"/>
    <mergeCell ref="BE1245:BE1249"/>
    <mergeCell ref="BF1245:BF1249"/>
    <mergeCell ref="BG1245:BG1249"/>
    <mergeCell ref="BH1245:BH1249"/>
    <mergeCell ref="BC1251:BC1253"/>
    <mergeCell ref="BD1251:BD1253"/>
    <mergeCell ref="BE1251:BE1253"/>
    <mergeCell ref="BF1251:BF1253"/>
    <mergeCell ref="BG1251:BG1253"/>
    <mergeCell ref="BH1251:BH1253"/>
    <mergeCell ref="BC1256:BC1266"/>
    <mergeCell ref="BD1256:BD1266"/>
    <mergeCell ref="BE1256:BE1266"/>
    <mergeCell ref="BF1256:BF1266"/>
    <mergeCell ref="BG1256:BG1266"/>
    <mergeCell ref="BH1256:BH1266"/>
    <mergeCell ref="BC1267:BC1268"/>
    <mergeCell ref="BD1267:BD1268"/>
    <mergeCell ref="BE1267:BE1268"/>
    <mergeCell ref="BF1267:BF1268"/>
    <mergeCell ref="BG1267:BG1268"/>
    <mergeCell ref="BH1267:BH1268"/>
    <mergeCell ref="BC1269:BC1273"/>
    <mergeCell ref="BD1269:BD1273"/>
    <mergeCell ref="BE1269:BE1273"/>
    <mergeCell ref="BF1269:BF1273"/>
    <mergeCell ref="BG1269:BG1273"/>
    <mergeCell ref="BH1269:BH1273"/>
    <mergeCell ref="BC1276:BC1284"/>
    <mergeCell ref="BD1276:BD1284"/>
    <mergeCell ref="BE1276:BE1284"/>
    <mergeCell ref="BF1276:BF1284"/>
    <mergeCell ref="BG1276:BG1284"/>
    <mergeCell ref="BH1276:BH1284"/>
    <mergeCell ref="BC1286:BC1291"/>
    <mergeCell ref="BD1286:BD1291"/>
    <mergeCell ref="BE1286:BE1291"/>
    <mergeCell ref="BF1286:BF1291"/>
    <mergeCell ref="BG1286:BG1291"/>
    <mergeCell ref="BH1286:BH1291"/>
    <mergeCell ref="BC1293:BC1294"/>
    <mergeCell ref="BD1293:BD1294"/>
    <mergeCell ref="BE1293:BE1294"/>
    <mergeCell ref="BF1293:BF1294"/>
    <mergeCell ref="BG1293:BG1294"/>
    <mergeCell ref="BH1293:BH1294"/>
    <mergeCell ref="BC1296:BC1297"/>
    <mergeCell ref="BD1296:BD1297"/>
    <mergeCell ref="BE1296:BE1297"/>
    <mergeCell ref="BF1296:BF1297"/>
    <mergeCell ref="BG1296:BG1297"/>
    <mergeCell ref="BH1296:BH1297"/>
    <mergeCell ref="BC1298:BC1301"/>
    <mergeCell ref="BD1298:BD1301"/>
    <mergeCell ref="BE1298:BE1301"/>
    <mergeCell ref="BF1298:BF1301"/>
    <mergeCell ref="BG1298:BG1301"/>
    <mergeCell ref="BH1298:BH1301"/>
    <mergeCell ref="BC1302:BC1304"/>
    <mergeCell ref="BD1302:BD1304"/>
    <mergeCell ref="BE1302:BE1304"/>
    <mergeCell ref="BF1302:BF1304"/>
    <mergeCell ref="BG1302:BG1304"/>
    <mergeCell ref="BH1302:BH1304"/>
    <mergeCell ref="BC1306:BC1308"/>
    <mergeCell ref="BD1306:BD1308"/>
    <mergeCell ref="BE1306:BE1308"/>
    <mergeCell ref="BF1306:BF1308"/>
    <mergeCell ref="BG1306:BG1308"/>
    <mergeCell ref="BH1306:BH1308"/>
    <mergeCell ref="BC1313:BC1315"/>
    <mergeCell ref="BD1313:BD1315"/>
    <mergeCell ref="BE1313:BE1315"/>
    <mergeCell ref="BF1313:BF1315"/>
    <mergeCell ref="BG1313:BG1315"/>
    <mergeCell ref="BH1313:BH1315"/>
    <mergeCell ref="BC1317:BC1328"/>
    <mergeCell ref="BD1317:BD1328"/>
    <mergeCell ref="BE1317:BE1328"/>
    <mergeCell ref="BF1317:BF1328"/>
    <mergeCell ref="BG1317:BG1328"/>
    <mergeCell ref="BH1317:BH1328"/>
    <mergeCell ref="BC1331:BC1334"/>
    <mergeCell ref="BD1331:BD1334"/>
    <mergeCell ref="BE1331:BE1334"/>
    <mergeCell ref="BF1331:BF1334"/>
    <mergeCell ref="BG1331:BG1334"/>
    <mergeCell ref="BH1331:BH1334"/>
    <mergeCell ref="BC1339:BC1340"/>
    <mergeCell ref="BD1339:BD1340"/>
    <mergeCell ref="BE1339:BE1340"/>
    <mergeCell ref="BF1339:BF1340"/>
    <mergeCell ref="BG1339:BG1340"/>
    <mergeCell ref="BH1339:BH1340"/>
    <mergeCell ref="BC1341:BC1343"/>
    <mergeCell ref="BD1341:BD1343"/>
    <mergeCell ref="BE1341:BE1343"/>
    <mergeCell ref="BF1341:BF1343"/>
    <mergeCell ref="BG1341:BG1343"/>
    <mergeCell ref="BH1341:BH1343"/>
    <mergeCell ref="BC1345:BC1358"/>
    <mergeCell ref="BD1345:BD1358"/>
    <mergeCell ref="BE1345:BE1358"/>
    <mergeCell ref="BF1345:BF1358"/>
    <mergeCell ref="BG1345:BG1358"/>
    <mergeCell ref="BH1345:BH1358"/>
    <mergeCell ref="BC1359:BC1362"/>
    <mergeCell ref="BD1359:BD1362"/>
    <mergeCell ref="BE1359:BE1362"/>
    <mergeCell ref="BF1359:BF1362"/>
    <mergeCell ref="BG1359:BG1362"/>
    <mergeCell ref="BH1359:BH1362"/>
    <mergeCell ref="BC1365:BC1371"/>
    <mergeCell ref="BD1365:BD1371"/>
    <mergeCell ref="BE1365:BE1371"/>
    <mergeCell ref="BF1365:BF1371"/>
    <mergeCell ref="BG1365:BG1371"/>
    <mergeCell ref="BH1365:BH1371"/>
    <mergeCell ref="BC1374:BC1376"/>
    <mergeCell ref="BD1374:BD1376"/>
    <mergeCell ref="BE1374:BE1376"/>
    <mergeCell ref="BF1374:BF1376"/>
    <mergeCell ref="BG1374:BG1376"/>
    <mergeCell ref="BH1374:BH1376"/>
    <mergeCell ref="BC1378:BC1381"/>
    <mergeCell ref="BD1378:BD1381"/>
    <mergeCell ref="BE1378:BE1381"/>
    <mergeCell ref="BF1378:BF1381"/>
    <mergeCell ref="BG1378:BG1381"/>
    <mergeCell ref="BH1378:BH1381"/>
    <mergeCell ref="BC1382:BC1389"/>
    <mergeCell ref="BD1382:BD1389"/>
    <mergeCell ref="BE1382:BE1389"/>
    <mergeCell ref="BF1382:BF1389"/>
    <mergeCell ref="BG1382:BG1389"/>
    <mergeCell ref="BH1382:BH1389"/>
    <mergeCell ref="BC1390:BC1391"/>
    <mergeCell ref="BD1390:BD1391"/>
    <mergeCell ref="BE1390:BE1391"/>
    <mergeCell ref="BF1390:BF1391"/>
    <mergeCell ref="BG1390:BG1391"/>
    <mergeCell ref="BH1390:BH1391"/>
    <mergeCell ref="BC1393:BC1394"/>
    <mergeCell ref="BD1393:BD1394"/>
    <mergeCell ref="BE1393:BE1394"/>
    <mergeCell ref="BF1393:BF1394"/>
    <mergeCell ref="BG1393:BG1394"/>
    <mergeCell ref="BH1393:BH1394"/>
    <mergeCell ref="BC1395:BC1407"/>
    <mergeCell ref="BD1395:BD1407"/>
    <mergeCell ref="BE1395:BE1407"/>
    <mergeCell ref="BF1395:BF1407"/>
    <mergeCell ref="BG1395:BG1407"/>
    <mergeCell ref="BH1395:BH1407"/>
    <mergeCell ref="BC1409:BC1415"/>
    <mergeCell ref="BD1409:BD1415"/>
    <mergeCell ref="BE1409:BE1415"/>
    <mergeCell ref="BF1409:BF1415"/>
    <mergeCell ref="BG1409:BG1415"/>
    <mergeCell ref="BH1409:BH1415"/>
    <mergeCell ref="BC1417:BC1427"/>
    <mergeCell ref="BD1417:BD1427"/>
    <mergeCell ref="BE1417:BE1427"/>
    <mergeCell ref="BF1417:BF1427"/>
    <mergeCell ref="BG1417:BG1427"/>
    <mergeCell ref="BH1417:BH1427"/>
    <mergeCell ref="BC1428:BC1430"/>
    <mergeCell ref="BD1428:BD1430"/>
    <mergeCell ref="BE1428:BE1430"/>
    <mergeCell ref="BF1428:BF1430"/>
    <mergeCell ref="BG1428:BG1430"/>
    <mergeCell ref="BH1428:BH1430"/>
    <mergeCell ref="BC1432:BC1433"/>
    <mergeCell ref="BD1432:BD1433"/>
    <mergeCell ref="BE1432:BE1433"/>
    <mergeCell ref="BF1432:BF1433"/>
    <mergeCell ref="BG1432:BG1433"/>
    <mergeCell ref="BH1432:BH1433"/>
    <mergeCell ref="BC1435:BC1436"/>
    <mergeCell ref="BD1435:BD1436"/>
    <mergeCell ref="BE1435:BE1436"/>
    <mergeCell ref="BF1435:BF1436"/>
    <mergeCell ref="BG1435:BG1436"/>
    <mergeCell ref="BH1435:BH1436"/>
    <mergeCell ref="BC1439:BC1442"/>
    <mergeCell ref="BD1439:BD1442"/>
    <mergeCell ref="BE1439:BE1442"/>
    <mergeCell ref="BF1439:BF1442"/>
    <mergeCell ref="BG1439:BG1442"/>
    <mergeCell ref="BH1439:BH1442"/>
    <mergeCell ref="BC1447:BC1448"/>
    <mergeCell ref="BD1447:BD1448"/>
    <mergeCell ref="BE1447:BE1448"/>
    <mergeCell ref="BF1447:BF1448"/>
    <mergeCell ref="BG1447:BG1448"/>
    <mergeCell ref="BH1447:BH1448"/>
    <mergeCell ref="BC1449:BC1454"/>
    <mergeCell ref="BD1449:BD1454"/>
    <mergeCell ref="BE1449:BE1454"/>
    <mergeCell ref="BF1449:BF1454"/>
    <mergeCell ref="BG1449:BG1454"/>
    <mergeCell ref="BH1449:BH1454"/>
    <mergeCell ref="BC1455:BC1456"/>
    <mergeCell ref="BD1455:BD1456"/>
    <mergeCell ref="BE1455:BE1456"/>
    <mergeCell ref="BF1455:BF1456"/>
    <mergeCell ref="BG1455:BG1456"/>
    <mergeCell ref="BH1455:BH1456"/>
    <mergeCell ref="BC1457:BC1458"/>
    <mergeCell ref="BD1457:BD1458"/>
    <mergeCell ref="BE1457:BE1458"/>
    <mergeCell ref="BF1457:BF1458"/>
    <mergeCell ref="BG1457:BG1458"/>
    <mergeCell ref="BH1457:BH1458"/>
    <mergeCell ref="BC1463:BC1466"/>
    <mergeCell ref="BD1463:BD1466"/>
    <mergeCell ref="BE1463:BE1466"/>
    <mergeCell ref="BF1463:BF1466"/>
    <mergeCell ref="BG1463:BG1466"/>
    <mergeCell ref="BH1463:BH1466"/>
    <mergeCell ref="BC1467:BC1471"/>
    <mergeCell ref="BD1467:BD1471"/>
    <mergeCell ref="BE1467:BE1471"/>
    <mergeCell ref="BF1467:BF1471"/>
    <mergeCell ref="BG1467:BG1471"/>
    <mergeCell ref="BH1467:BH1471"/>
    <mergeCell ref="BC1472:BC1480"/>
    <mergeCell ref="BD1472:BD1480"/>
    <mergeCell ref="BE1472:BE1480"/>
    <mergeCell ref="BF1472:BF1480"/>
    <mergeCell ref="BG1472:BG1480"/>
    <mergeCell ref="BH1472:BH1480"/>
    <mergeCell ref="BC1483:BC1484"/>
    <mergeCell ref="BD1483:BD1484"/>
    <mergeCell ref="BE1483:BE1484"/>
    <mergeCell ref="BF1483:BF1484"/>
    <mergeCell ref="BG1483:BG1484"/>
    <mergeCell ref="BH1483:BH1484"/>
    <mergeCell ref="BC1487:BC1490"/>
    <mergeCell ref="BD1487:BD1490"/>
    <mergeCell ref="BE1487:BE1490"/>
    <mergeCell ref="BF1487:BF1490"/>
    <mergeCell ref="BG1487:BG1490"/>
    <mergeCell ref="BH1487:BH1490"/>
    <mergeCell ref="BC1492:BC1494"/>
    <mergeCell ref="BD1492:BD1494"/>
    <mergeCell ref="BE1492:BE1494"/>
    <mergeCell ref="BF1492:BF1494"/>
    <mergeCell ref="BG1492:BG1494"/>
    <mergeCell ref="BH1492:BH1494"/>
    <mergeCell ref="BC1495:BC1496"/>
    <mergeCell ref="BD1495:BD1496"/>
    <mergeCell ref="BE1495:BE1496"/>
    <mergeCell ref="BF1495:BF1496"/>
    <mergeCell ref="BG1495:BG1496"/>
    <mergeCell ref="BH1495:BH1496"/>
    <mergeCell ref="BC1498:BC1499"/>
    <mergeCell ref="BD1498:BD1499"/>
    <mergeCell ref="BE1498:BE1499"/>
    <mergeCell ref="BF1498:BF1499"/>
    <mergeCell ref="BG1498:BG1499"/>
    <mergeCell ref="BH1498:BH1499"/>
    <mergeCell ref="BC1500:BC1510"/>
    <mergeCell ref="BD1500:BD1510"/>
    <mergeCell ref="BE1500:BE1510"/>
    <mergeCell ref="BF1500:BF1510"/>
    <mergeCell ref="BG1500:BG1510"/>
    <mergeCell ref="BH1500:BH1510"/>
    <mergeCell ref="BC1511:BC1527"/>
    <mergeCell ref="BD1511:BD1527"/>
    <mergeCell ref="BE1511:BE1527"/>
    <mergeCell ref="BF1511:BF1527"/>
    <mergeCell ref="BG1511:BG1527"/>
    <mergeCell ref="BH1511:BH1527"/>
    <mergeCell ref="BC1534:BC1535"/>
    <mergeCell ref="BD1534:BD1535"/>
    <mergeCell ref="BE1534:BE1535"/>
    <mergeCell ref="BF1534:BF1535"/>
    <mergeCell ref="BG1534:BG1535"/>
    <mergeCell ref="BH1534:BH1535"/>
    <mergeCell ref="BC1536:BC1538"/>
    <mergeCell ref="BD1536:BD1538"/>
    <mergeCell ref="BE1536:BE1538"/>
    <mergeCell ref="BF1536:BF1538"/>
    <mergeCell ref="BG1536:BG1538"/>
    <mergeCell ref="BH1536:BH1538"/>
    <mergeCell ref="BC1540:BC1544"/>
    <mergeCell ref="BD1540:BD1544"/>
    <mergeCell ref="BE1540:BE1544"/>
    <mergeCell ref="BF1540:BF1544"/>
    <mergeCell ref="BG1540:BG1544"/>
    <mergeCell ref="BH1540:BH1544"/>
    <mergeCell ref="BC1551:BC1556"/>
    <mergeCell ref="BD1551:BD1556"/>
    <mergeCell ref="BE1551:BE1556"/>
    <mergeCell ref="BF1551:BF1556"/>
    <mergeCell ref="BG1551:BG1556"/>
    <mergeCell ref="BH1551:BH1556"/>
    <mergeCell ref="BC1557:BC1558"/>
    <mergeCell ref="BD1557:BD1558"/>
    <mergeCell ref="BE1557:BE1558"/>
    <mergeCell ref="BF1557:BF1558"/>
    <mergeCell ref="BG1557:BG1558"/>
    <mergeCell ref="BH1557:BH1558"/>
    <mergeCell ref="BC1561:BC1563"/>
    <mergeCell ref="BD1561:BD1563"/>
    <mergeCell ref="BE1561:BE1563"/>
    <mergeCell ref="BF1561:BF1563"/>
    <mergeCell ref="BG1561:BG1563"/>
    <mergeCell ref="BH1561:BH1563"/>
    <mergeCell ref="BC1565:BC1572"/>
    <mergeCell ref="BD1565:BD1572"/>
    <mergeCell ref="BE1565:BE1572"/>
    <mergeCell ref="BF1565:BF1572"/>
    <mergeCell ref="BG1565:BG1572"/>
    <mergeCell ref="BH1565:BH1572"/>
    <mergeCell ref="BC1573:BC1585"/>
    <mergeCell ref="BD1573:BD1585"/>
    <mergeCell ref="BE1573:BE1585"/>
    <mergeCell ref="BF1573:BF1585"/>
    <mergeCell ref="BG1573:BG1585"/>
    <mergeCell ref="BH1573:BH1585"/>
    <mergeCell ref="BC1588:BC1595"/>
    <mergeCell ref="BD1588:BD1595"/>
    <mergeCell ref="BE1588:BE1595"/>
    <mergeCell ref="BF1588:BF1595"/>
    <mergeCell ref="BG1588:BG1595"/>
    <mergeCell ref="BH1588:BH1595"/>
    <mergeCell ref="BC1597:BC1600"/>
    <mergeCell ref="BD1597:BD1600"/>
    <mergeCell ref="BE1597:BE1600"/>
    <mergeCell ref="BF1597:BF1600"/>
    <mergeCell ref="BG1597:BG1600"/>
    <mergeCell ref="BH1597:BH1600"/>
    <mergeCell ref="BC1601:BC1602"/>
    <mergeCell ref="BD1601:BD1602"/>
    <mergeCell ref="BE1601:BE1602"/>
    <mergeCell ref="BF1601:BF1602"/>
    <mergeCell ref="BG1601:BG1602"/>
    <mergeCell ref="BH1601:BH1602"/>
    <mergeCell ref="BC1603:BC1610"/>
    <mergeCell ref="BD1603:BD1610"/>
    <mergeCell ref="BE1603:BE1610"/>
    <mergeCell ref="BF1603:BF1610"/>
    <mergeCell ref="BG1603:BG1610"/>
    <mergeCell ref="BH1603:BH1610"/>
    <mergeCell ref="BC1611:BC1626"/>
    <mergeCell ref="BD1611:BD1626"/>
    <mergeCell ref="BE1611:BE1626"/>
    <mergeCell ref="BF1611:BF1626"/>
    <mergeCell ref="BG1611:BG1626"/>
    <mergeCell ref="BH1611:BH1626"/>
    <mergeCell ref="BC1628:BC1670"/>
    <mergeCell ref="BD1628:BD1670"/>
    <mergeCell ref="BE1628:BE1670"/>
    <mergeCell ref="BF1628:BF1670"/>
    <mergeCell ref="BG1628:BG1670"/>
    <mergeCell ref="BH1628:BH1670"/>
    <mergeCell ref="BC1671:BC1672"/>
    <mergeCell ref="BD1671:BD1672"/>
    <mergeCell ref="BE1671:BE1672"/>
    <mergeCell ref="BF1671:BF1672"/>
    <mergeCell ref="BG1671:BG1672"/>
    <mergeCell ref="BH1671:BH1672"/>
    <mergeCell ref="BC1673:BC1674"/>
    <mergeCell ref="BD1673:BD1674"/>
    <mergeCell ref="BE1673:BE1674"/>
    <mergeCell ref="BF1673:BF1674"/>
    <mergeCell ref="BG1673:BG1674"/>
    <mergeCell ref="BH1673:BH1674"/>
    <mergeCell ref="BC1677:BC1678"/>
    <mergeCell ref="BD1677:BD1678"/>
    <mergeCell ref="BE1677:BE1678"/>
    <mergeCell ref="BF1677:BF1678"/>
    <mergeCell ref="BG1677:BG1678"/>
    <mergeCell ref="BH1677:BH1678"/>
    <mergeCell ref="BC1679:BC1680"/>
    <mergeCell ref="BD1679:BD1680"/>
    <mergeCell ref="BE1679:BE1680"/>
    <mergeCell ref="BF1679:BF1680"/>
    <mergeCell ref="BG1679:BG1680"/>
    <mergeCell ref="BH1679:BH1680"/>
    <mergeCell ref="BC1681:BC1686"/>
    <mergeCell ref="BD1681:BD1686"/>
    <mergeCell ref="BE1681:BE1686"/>
    <mergeCell ref="BF1681:BF1686"/>
    <mergeCell ref="BG1681:BG1686"/>
    <mergeCell ref="BH1681:BH1686"/>
    <mergeCell ref="BC1688:BC1689"/>
    <mergeCell ref="BD1688:BD1689"/>
    <mergeCell ref="BE1688:BE1689"/>
    <mergeCell ref="BF1688:BF1689"/>
    <mergeCell ref="BG1688:BG1689"/>
    <mergeCell ref="BH1688:BH1689"/>
    <mergeCell ref="BC1694:BC1697"/>
    <mergeCell ref="BD1694:BD1697"/>
    <mergeCell ref="BE1694:BE1697"/>
    <mergeCell ref="BF1694:BF1697"/>
    <mergeCell ref="BG1694:BG1697"/>
    <mergeCell ref="BH1694:BH1697"/>
    <mergeCell ref="BC1701:BC1720"/>
    <mergeCell ref="BD1701:BD1720"/>
    <mergeCell ref="BE1701:BE1720"/>
    <mergeCell ref="BF1701:BF1720"/>
    <mergeCell ref="BG1701:BG1720"/>
    <mergeCell ref="BH1701:BH1720"/>
    <mergeCell ref="BC1721:BC1724"/>
    <mergeCell ref="BD1721:BD1724"/>
    <mergeCell ref="BE1721:BE1724"/>
    <mergeCell ref="BF1721:BF1724"/>
    <mergeCell ref="BG1721:BG1724"/>
    <mergeCell ref="BH1721:BH1724"/>
    <mergeCell ref="BC1725:BC1726"/>
    <mergeCell ref="BD1725:BD1726"/>
    <mergeCell ref="BE1725:BE1726"/>
    <mergeCell ref="BF1725:BF1726"/>
    <mergeCell ref="BG1725:BG1726"/>
    <mergeCell ref="BH1725:BH1726"/>
    <mergeCell ref="BC1727:BC1728"/>
    <mergeCell ref="BD1727:BD1728"/>
    <mergeCell ref="BE1727:BE1728"/>
    <mergeCell ref="BF1727:BF1728"/>
    <mergeCell ref="BG1727:BG1728"/>
    <mergeCell ref="BH1727:BH1728"/>
    <mergeCell ref="BC1729:BC1730"/>
    <mergeCell ref="BD1729:BD1730"/>
    <mergeCell ref="BE1729:BE1730"/>
    <mergeCell ref="BF1729:BF1730"/>
    <mergeCell ref="BG1729:BG1730"/>
    <mergeCell ref="BH1729:BH1730"/>
    <mergeCell ref="BC1733:BC1737"/>
    <mergeCell ref="BD1733:BD1737"/>
    <mergeCell ref="BE1733:BE1737"/>
    <mergeCell ref="BF1733:BF1737"/>
    <mergeCell ref="BG1733:BG1737"/>
    <mergeCell ref="BH1733:BH1737"/>
    <mergeCell ref="BC1738:BC1739"/>
    <mergeCell ref="BD1738:BD1739"/>
    <mergeCell ref="BE1738:BE1739"/>
    <mergeCell ref="BF1738:BF1739"/>
    <mergeCell ref="BG1738:BG1739"/>
    <mergeCell ref="BH1738:BH1739"/>
    <mergeCell ref="BC1741:BC1742"/>
    <mergeCell ref="BD1741:BD1742"/>
    <mergeCell ref="BE1741:BE1742"/>
    <mergeCell ref="BF1741:BF1742"/>
    <mergeCell ref="BG1741:BG1742"/>
    <mergeCell ref="BH1741:BH1742"/>
    <mergeCell ref="BC1746:BC1749"/>
    <mergeCell ref="BD1746:BD1749"/>
    <mergeCell ref="BE1746:BE1749"/>
    <mergeCell ref="BF1746:BF1749"/>
    <mergeCell ref="BG1746:BG1749"/>
    <mergeCell ref="BH1746:BH1749"/>
    <mergeCell ref="BC1751:BC1752"/>
    <mergeCell ref="BD1751:BD1752"/>
    <mergeCell ref="BE1751:BE1752"/>
    <mergeCell ref="BF1751:BF1752"/>
    <mergeCell ref="BG1751:BG1752"/>
    <mergeCell ref="BH1751:BH1752"/>
    <mergeCell ref="BC1753:BC1758"/>
    <mergeCell ref="BD1753:BD1758"/>
    <mergeCell ref="BE1753:BE1758"/>
    <mergeCell ref="BF1753:BF1758"/>
    <mergeCell ref="BG1753:BG1758"/>
    <mergeCell ref="BH1753:BH1758"/>
    <mergeCell ref="BC1763:BC1768"/>
    <mergeCell ref="BD1763:BD1768"/>
    <mergeCell ref="BE1763:BE1768"/>
    <mergeCell ref="BF1763:BF1768"/>
    <mergeCell ref="BG1763:BG1768"/>
    <mergeCell ref="BH1763:BH1768"/>
    <mergeCell ref="BC1770:BC1771"/>
    <mergeCell ref="BD1770:BD1771"/>
    <mergeCell ref="BE1770:BE1771"/>
    <mergeCell ref="BF1770:BF1771"/>
    <mergeCell ref="BG1770:BG1771"/>
    <mergeCell ref="BH1770:BH1771"/>
    <mergeCell ref="BC1772:BC1778"/>
    <mergeCell ref="BD1772:BD1778"/>
    <mergeCell ref="BE1772:BE1778"/>
    <mergeCell ref="BF1772:BF1778"/>
    <mergeCell ref="BG1772:BG1778"/>
    <mergeCell ref="BH1772:BH1778"/>
    <mergeCell ref="BC1782:BC1797"/>
    <mergeCell ref="BD1782:BD1797"/>
    <mergeCell ref="BE1782:BE1797"/>
    <mergeCell ref="BF1782:BF1797"/>
    <mergeCell ref="BG1782:BG1797"/>
    <mergeCell ref="BH1782:BH1797"/>
    <mergeCell ref="BC1800:BC1802"/>
    <mergeCell ref="BD1800:BD1802"/>
    <mergeCell ref="BE1800:BE1802"/>
    <mergeCell ref="BF1800:BF1802"/>
    <mergeCell ref="BG1800:BG1802"/>
    <mergeCell ref="BH1800:BH1802"/>
    <mergeCell ref="BC1804:BC1806"/>
    <mergeCell ref="BD1804:BD1806"/>
    <mergeCell ref="BE1804:BE1806"/>
    <mergeCell ref="BF1804:BF1806"/>
    <mergeCell ref="BG1804:BG1806"/>
    <mergeCell ref="BH1804:BH1806"/>
    <mergeCell ref="BC1810:BC1816"/>
    <mergeCell ref="BD1810:BD1816"/>
    <mergeCell ref="BE1810:BE1816"/>
    <mergeCell ref="BF1810:BF1816"/>
    <mergeCell ref="BG1810:BG1816"/>
    <mergeCell ref="BH1810:BH1816"/>
    <mergeCell ref="AV6:AV9"/>
    <mergeCell ref="AW6:AW9"/>
    <mergeCell ref="AX6:AX9"/>
    <mergeCell ref="AY6:AY9"/>
    <mergeCell ref="AZ6:AZ9"/>
    <mergeCell ref="BA6:BA9"/>
    <mergeCell ref="AV11:AV15"/>
    <mergeCell ref="AW11:AW15"/>
    <mergeCell ref="AX11:AX15"/>
    <mergeCell ref="AY11:AY15"/>
    <mergeCell ref="AZ11:AZ15"/>
    <mergeCell ref="BA11:BA15"/>
    <mergeCell ref="AV17:AV19"/>
    <mergeCell ref="AW17:AW19"/>
    <mergeCell ref="AX17:AX19"/>
    <mergeCell ref="AY17:AY19"/>
    <mergeCell ref="AZ17:AZ19"/>
    <mergeCell ref="BA17:BA19"/>
    <mergeCell ref="AV20:AV23"/>
    <mergeCell ref="AW20:AW23"/>
    <mergeCell ref="AX20:AX23"/>
    <mergeCell ref="AY20:AY23"/>
    <mergeCell ref="AZ20:AZ23"/>
    <mergeCell ref="BA20:BA23"/>
    <mergeCell ref="AV24:AV26"/>
    <mergeCell ref="AW24:AW26"/>
    <mergeCell ref="AX24:AX26"/>
    <mergeCell ref="AY24:AY26"/>
    <mergeCell ref="AZ24:AZ26"/>
    <mergeCell ref="BA24:BA26"/>
    <mergeCell ref="AV27:AV29"/>
    <mergeCell ref="AW27:AW29"/>
    <mergeCell ref="AX27:AX29"/>
    <mergeCell ref="AY27:AY29"/>
    <mergeCell ref="AZ27:AZ29"/>
    <mergeCell ref="BA27:BA29"/>
    <mergeCell ref="AV31:AV32"/>
    <mergeCell ref="AW31:AW32"/>
    <mergeCell ref="AX31:AX32"/>
    <mergeCell ref="AY31:AY32"/>
    <mergeCell ref="AZ31:AZ32"/>
    <mergeCell ref="BA31:BA32"/>
    <mergeCell ref="AV33:AV34"/>
    <mergeCell ref="AW33:AW34"/>
    <mergeCell ref="AX33:AX34"/>
    <mergeCell ref="AY33:AY34"/>
    <mergeCell ref="AZ33:AZ34"/>
    <mergeCell ref="BA33:BA34"/>
    <mergeCell ref="AV38:AV41"/>
    <mergeCell ref="AW38:AW41"/>
    <mergeCell ref="AX38:AX41"/>
    <mergeCell ref="AY38:AY41"/>
    <mergeCell ref="AZ38:AZ41"/>
    <mergeCell ref="BA38:BA41"/>
    <mergeCell ref="AV42:AV44"/>
    <mergeCell ref="AW42:AW44"/>
    <mergeCell ref="AX42:AX44"/>
    <mergeCell ref="AY42:AY44"/>
    <mergeCell ref="AZ42:AZ44"/>
    <mergeCell ref="BA42:BA44"/>
    <mergeCell ref="AV47:AV48"/>
    <mergeCell ref="AW47:AW48"/>
    <mergeCell ref="AX47:AX48"/>
    <mergeCell ref="AY47:AY48"/>
    <mergeCell ref="AZ47:AZ48"/>
    <mergeCell ref="BA47:BA48"/>
    <mergeCell ref="AV51:AV55"/>
    <mergeCell ref="AW51:AW55"/>
    <mergeCell ref="AX51:AX55"/>
    <mergeCell ref="AY51:AY55"/>
    <mergeCell ref="AZ51:AZ55"/>
    <mergeCell ref="BA51:BA55"/>
    <mergeCell ref="AV56:AV57"/>
    <mergeCell ref="AW56:AW57"/>
    <mergeCell ref="AX56:AX57"/>
    <mergeCell ref="AY56:AY57"/>
    <mergeCell ref="AZ56:AZ57"/>
    <mergeCell ref="BA56:BA57"/>
    <mergeCell ref="AV58:AV60"/>
    <mergeCell ref="AW58:AW60"/>
    <mergeCell ref="AX58:AX60"/>
    <mergeCell ref="AY58:AY60"/>
    <mergeCell ref="AZ58:AZ60"/>
    <mergeCell ref="BA58:BA60"/>
    <mergeCell ref="AV61:AV64"/>
    <mergeCell ref="AW61:AW64"/>
    <mergeCell ref="AX61:AX64"/>
    <mergeCell ref="AY61:AY64"/>
    <mergeCell ref="AZ61:AZ64"/>
    <mergeCell ref="BA61:BA64"/>
    <mergeCell ref="AV67:AV69"/>
    <mergeCell ref="AW67:AW69"/>
    <mergeCell ref="AX67:AX69"/>
    <mergeCell ref="AY67:AY69"/>
    <mergeCell ref="AZ67:AZ69"/>
    <mergeCell ref="BA67:BA69"/>
    <mergeCell ref="AV71:AV74"/>
    <mergeCell ref="AW71:AW74"/>
    <mergeCell ref="AX71:AX74"/>
    <mergeCell ref="AY71:AY74"/>
    <mergeCell ref="AZ71:AZ74"/>
    <mergeCell ref="BA71:BA74"/>
    <mergeCell ref="AV79:AV80"/>
    <mergeCell ref="AW79:AW80"/>
    <mergeCell ref="AX79:AX80"/>
    <mergeCell ref="AY79:AY80"/>
    <mergeCell ref="AZ79:AZ80"/>
    <mergeCell ref="BA79:BA80"/>
    <mergeCell ref="AV94:AV95"/>
    <mergeCell ref="AW94:AW95"/>
    <mergeCell ref="AX94:AX95"/>
    <mergeCell ref="AY94:AY95"/>
    <mergeCell ref="AZ94:AZ95"/>
    <mergeCell ref="BA94:BA95"/>
    <mergeCell ref="AV96:AV97"/>
    <mergeCell ref="AW96:AW97"/>
    <mergeCell ref="AX96:AX97"/>
    <mergeCell ref="AY96:AY97"/>
    <mergeCell ref="AZ96:AZ97"/>
    <mergeCell ref="BA96:BA97"/>
    <mergeCell ref="AV120:AV121"/>
    <mergeCell ref="AW120:AW121"/>
    <mergeCell ref="AX120:AX121"/>
    <mergeCell ref="AY120:AY121"/>
    <mergeCell ref="AZ120:AZ121"/>
    <mergeCell ref="BA120:BA121"/>
    <mergeCell ref="AV124:AV125"/>
    <mergeCell ref="AW124:AW125"/>
    <mergeCell ref="AX124:AX125"/>
    <mergeCell ref="AY124:AY125"/>
    <mergeCell ref="AZ124:AZ125"/>
    <mergeCell ref="BA124:BA125"/>
    <mergeCell ref="AV126:AV127"/>
    <mergeCell ref="AW126:AW127"/>
    <mergeCell ref="AX126:AX127"/>
    <mergeCell ref="AY126:AY127"/>
    <mergeCell ref="AZ126:AZ127"/>
    <mergeCell ref="BA126:BA127"/>
    <mergeCell ref="AV128:AV130"/>
    <mergeCell ref="AW128:AW130"/>
    <mergeCell ref="AX128:AX130"/>
    <mergeCell ref="AY128:AY130"/>
    <mergeCell ref="AZ128:AZ130"/>
    <mergeCell ref="BA128:BA130"/>
    <mergeCell ref="AV131:AV133"/>
    <mergeCell ref="AW131:AW133"/>
    <mergeCell ref="AX131:AX133"/>
    <mergeCell ref="AY131:AY133"/>
    <mergeCell ref="AZ131:AZ133"/>
    <mergeCell ref="BA131:BA133"/>
    <mergeCell ref="AV136:AV137"/>
    <mergeCell ref="AW136:AW137"/>
    <mergeCell ref="AX136:AX137"/>
    <mergeCell ref="AY136:AY137"/>
    <mergeCell ref="AZ136:AZ137"/>
    <mergeCell ref="BA136:BA137"/>
    <mergeCell ref="AV138:AV139"/>
    <mergeCell ref="AW138:AW139"/>
    <mergeCell ref="AX138:AX139"/>
    <mergeCell ref="AY138:AY139"/>
    <mergeCell ref="AZ138:AZ139"/>
    <mergeCell ref="BA138:BA139"/>
    <mergeCell ref="AV141:AV142"/>
    <mergeCell ref="AW141:AW142"/>
    <mergeCell ref="AX141:AX142"/>
    <mergeCell ref="AY141:AY142"/>
    <mergeCell ref="AZ141:AZ142"/>
    <mergeCell ref="BA141:BA142"/>
    <mergeCell ref="AV150:AV151"/>
    <mergeCell ref="AW150:AW151"/>
    <mergeCell ref="AX150:AX151"/>
    <mergeCell ref="AY150:AY151"/>
    <mergeCell ref="AZ150:AZ151"/>
    <mergeCell ref="BA150:BA151"/>
    <mergeCell ref="AV161:AV162"/>
    <mergeCell ref="AW161:AW162"/>
    <mergeCell ref="AX161:AX162"/>
    <mergeCell ref="AY161:AY162"/>
    <mergeCell ref="AZ161:AZ162"/>
    <mergeCell ref="BA161:BA162"/>
    <mergeCell ref="AV172:AV173"/>
    <mergeCell ref="AW172:AW173"/>
    <mergeCell ref="AX172:AX173"/>
    <mergeCell ref="AY172:AY173"/>
    <mergeCell ref="AZ172:AZ173"/>
    <mergeCell ref="BA172:BA173"/>
    <mergeCell ref="AV175:AV177"/>
    <mergeCell ref="AW175:AW177"/>
    <mergeCell ref="AX175:AX177"/>
    <mergeCell ref="AY175:AY177"/>
    <mergeCell ref="AZ175:AZ177"/>
    <mergeCell ref="BA175:BA177"/>
    <mergeCell ref="AV178:AV180"/>
    <mergeCell ref="AW178:AW180"/>
    <mergeCell ref="AX178:AX180"/>
    <mergeCell ref="AY178:AY180"/>
    <mergeCell ref="AZ178:AZ180"/>
    <mergeCell ref="BA178:BA180"/>
    <mergeCell ref="AV193:AV194"/>
    <mergeCell ref="AW193:AW194"/>
    <mergeCell ref="AX193:AX194"/>
    <mergeCell ref="AY193:AY194"/>
    <mergeCell ref="AZ193:AZ194"/>
    <mergeCell ref="BA193:BA194"/>
    <mergeCell ref="AV195:AV196"/>
    <mergeCell ref="AW195:AW196"/>
    <mergeCell ref="AX195:AX196"/>
    <mergeCell ref="AY195:AY196"/>
    <mergeCell ref="AZ195:AZ196"/>
    <mergeCell ref="BA195:BA196"/>
    <mergeCell ref="AV220:AV221"/>
    <mergeCell ref="AW220:AW221"/>
    <mergeCell ref="AX220:AX221"/>
    <mergeCell ref="AY220:AY221"/>
    <mergeCell ref="AZ220:AZ221"/>
    <mergeCell ref="BA220:BA221"/>
    <mergeCell ref="AV225:AV226"/>
    <mergeCell ref="AW225:AW226"/>
    <mergeCell ref="AX225:AX226"/>
    <mergeCell ref="AY225:AY226"/>
    <mergeCell ref="AZ225:AZ226"/>
    <mergeCell ref="BA225:BA226"/>
    <mergeCell ref="AV231:AV232"/>
    <mergeCell ref="AW231:AW232"/>
    <mergeCell ref="AX231:AX232"/>
    <mergeCell ref="AY231:AY232"/>
    <mergeCell ref="AZ231:AZ232"/>
    <mergeCell ref="BA231:BA232"/>
    <mergeCell ref="AV233:AV235"/>
    <mergeCell ref="AW233:AW235"/>
    <mergeCell ref="AX233:AX235"/>
    <mergeCell ref="AY233:AY235"/>
    <mergeCell ref="AZ233:AZ235"/>
    <mergeCell ref="BA233:BA235"/>
    <mergeCell ref="AV238:AV239"/>
    <mergeCell ref="AW238:AW239"/>
    <mergeCell ref="AX238:AX239"/>
    <mergeCell ref="AY238:AY239"/>
    <mergeCell ref="AZ238:AZ239"/>
    <mergeCell ref="BA238:BA239"/>
    <mergeCell ref="AV250:AV252"/>
    <mergeCell ref="AW250:AW252"/>
    <mergeCell ref="AX250:AX252"/>
    <mergeCell ref="AY250:AY252"/>
    <mergeCell ref="AZ250:AZ252"/>
    <mergeCell ref="BA250:BA252"/>
    <mergeCell ref="AV253:AV254"/>
    <mergeCell ref="AW253:AW254"/>
    <mergeCell ref="AX253:AX254"/>
    <mergeCell ref="AY253:AY254"/>
    <mergeCell ref="AZ253:AZ254"/>
    <mergeCell ref="BA253:BA254"/>
    <mergeCell ref="AV255:AV258"/>
    <mergeCell ref="AW255:AW258"/>
    <mergeCell ref="AX255:AX258"/>
    <mergeCell ref="AY255:AY258"/>
    <mergeCell ref="AZ255:AZ258"/>
    <mergeCell ref="BA255:BA258"/>
    <mergeCell ref="AV265:AV266"/>
    <mergeCell ref="AW265:AW266"/>
    <mergeCell ref="AX265:AX266"/>
    <mergeCell ref="AY265:AY266"/>
    <mergeCell ref="AZ265:AZ266"/>
    <mergeCell ref="BA265:BA266"/>
    <mergeCell ref="AV271:AV274"/>
    <mergeCell ref="AW271:AW274"/>
    <mergeCell ref="AX271:AX274"/>
    <mergeCell ref="AY271:AY274"/>
    <mergeCell ref="AZ271:AZ274"/>
    <mergeCell ref="BA271:BA274"/>
    <mergeCell ref="AV275:AV278"/>
    <mergeCell ref="AW275:AW278"/>
    <mergeCell ref="AX275:AX278"/>
    <mergeCell ref="AY275:AY278"/>
    <mergeCell ref="AZ275:AZ278"/>
    <mergeCell ref="BA275:BA278"/>
    <mergeCell ref="AV283:AV286"/>
    <mergeCell ref="AW283:AW286"/>
    <mergeCell ref="AX283:AX286"/>
    <mergeCell ref="AY283:AY286"/>
    <mergeCell ref="AZ283:AZ286"/>
    <mergeCell ref="BA283:BA286"/>
    <mergeCell ref="AV288:AV289"/>
    <mergeCell ref="AW288:AW289"/>
    <mergeCell ref="AX288:AX289"/>
    <mergeCell ref="AY288:AY289"/>
    <mergeCell ref="AZ288:AZ289"/>
    <mergeCell ref="BA288:BA289"/>
    <mergeCell ref="AV290:AV292"/>
    <mergeCell ref="AW290:AW292"/>
    <mergeCell ref="AX290:AX292"/>
    <mergeCell ref="AY290:AY292"/>
    <mergeCell ref="AZ290:AZ292"/>
    <mergeCell ref="BA290:BA292"/>
    <mergeCell ref="AV293:AV295"/>
    <mergeCell ref="AW293:AW295"/>
    <mergeCell ref="AX293:AX295"/>
    <mergeCell ref="AY293:AY295"/>
    <mergeCell ref="AZ293:AZ295"/>
    <mergeCell ref="BA293:BA295"/>
    <mergeCell ref="AV296:AV298"/>
    <mergeCell ref="AW296:AW298"/>
    <mergeCell ref="AX296:AX298"/>
    <mergeCell ref="AY296:AY298"/>
    <mergeCell ref="AZ296:AZ298"/>
    <mergeCell ref="BA296:BA298"/>
    <mergeCell ref="AV299:AV301"/>
    <mergeCell ref="AW299:AW301"/>
    <mergeCell ref="AX299:AX301"/>
    <mergeCell ref="AY299:AY301"/>
    <mergeCell ref="AZ299:AZ301"/>
    <mergeCell ref="BA299:BA301"/>
    <mergeCell ref="AV310:AV312"/>
    <mergeCell ref="AW310:AW312"/>
    <mergeCell ref="AX310:AX312"/>
    <mergeCell ref="AY310:AY312"/>
    <mergeCell ref="AZ310:AZ312"/>
    <mergeCell ref="BA310:BA312"/>
    <mergeCell ref="AV313:AV315"/>
    <mergeCell ref="AW313:AW315"/>
    <mergeCell ref="AX313:AX315"/>
    <mergeCell ref="AY313:AY315"/>
    <mergeCell ref="AZ313:AZ315"/>
    <mergeCell ref="BA313:BA315"/>
    <mergeCell ref="AV316:AV317"/>
    <mergeCell ref="AW316:AW317"/>
    <mergeCell ref="AX316:AX317"/>
    <mergeCell ref="AY316:AY317"/>
    <mergeCell ref="AZ316:AZ317"/>
    <mergeCell ref="BA316:BA317"/>
    <mergeCell ref="AV319:AV322"/>
    <mergeCell ref="AW319:AW322"/>
    <mergeCell ref="AX319:AX322"/>
    <mergeCell ref="AY319:AY322"/>
    <mergeCell ref="AZ319:AZ322"/>
    <mergeCell ref="BA319:BA322"/>
    <mergeCell ref="AV323:AV324"/>
    <mergeCell ref="AW323:AW324"/>
    <mergeCell ref="AX323:AX324"/>
    <mergeCell ref="AY323:AY324"/>
    <mergeCell ref="AZ323:AZ324"/>
    <mergeCell ref="BA323:BA324"/>
    <mergeCell ref="AV334:AV335"/>
    <mergeCell ref="AW334:AW335"/>
    <mergeCell ref="AX334:AX335"/>
    <mergeCell ref="AY334:AY335"/>
    <mergeCell ref="AZ334:AZ335"/>
    <mergeCell ref="BA334:BA335"/>
    <mergeCell ref="AV338:AV339"/>
    <mergeCell ref="AW338:AW339"/>
    <mergeCell ref="AX338:AX339"/>
    <mergeCell ref="AY338:AY339"/>
    <mergeCell ref="AZ338:AZ339"/>
    <mergeCell ref="BA338:BA339"/>
    <mergeCell ref="AV345:AV347"/>
    <mergeCell ref="AW345:AW347"/>
    <mergeCell ref="AX345:AX347"/>
    <mergeCell ref="AY345:AY347"/>
    <mergeCell ref="AZ345:AZ347"/>
    <mergeCell ref="BA345:BA347"/>
    <mergeCell ref="AV348:AV351"/>
    <mergeCell ref="AW348:AW351"/>
    <mergeCell ref="AX348:AX351"/>
    <mergeCell ref="AY348:AY351"/>
    <mergeCell ref="AZ348:AZ351"/>
    <mergeCell ref="BA348:BA351"/>
    <mergeCell ref="AV358:AV359"/>
    <mergeCell ref="AW358:AW359"/>
    <mergeCell ref="AX358:AX359"/>
    <mergeCell ref="AY358:AY359"/>
    <mergeCell ref="AZ358:AZ359"/>
    <mergeCell ref="BA358:BA359"/>
    <mergeCell ref="AV361:AV362"/>
    <mergeCell ref="AW361:AW362"/>
    <mergeCell ref="AX361:AX362"/>
    <mergeCell ref="AY361:AY362"/>
    <mergeCell ref="AZ361:AZ362"/>
    <mergeCell ref="BA361:BA362"/>
    <mergeCell ref="AV364:AV365"/>
    <mergeCell ref="AW364:AW365"/>
    <mergeCell ref="AX364:AX365"/>
    <mergeCell ref="AY364:AY365"/>
    <mergeCell ref="AZ364:AZ365"/>
    <mergeCell ref="BA364:BA365"/>
    <mergeCell ref="AV367:AV370"/>
    <mergeCell ref="AW367:AW370"/>
    <mergeCell ref="AX367:AX370"/>
    <mergeCell ref="AY367:AY370"/>
    <mergeCell ref="AZ367:AZ370"/>
    <mergeCell ref="BA367:BA370"/>
    <mergeCell ref="AV373:AV374"/>
    <mergeCell ref="AW373:AW374"/>
    <mergeCell ref="AX373:AX374"/>
    <mergeCell ref="AY373:AY374"/>
    <mergeCell ref="AZ373:AZ374"/>
    <mergeCell ref="BA373:BA374"/>
    <mergeCell ref="AV379:AV380"/>
    <mergeCell ref="AW379:AW380"/>
    <mergeCell ref="AX379:AX380"/>
    <mergeCell ref="AY379:AY380"/>
    <mergeCell ref="AZ379:AZ380"/>
    <mergeCell ref="BA379:BA380"/>
    <mergeCell ref="AV381:AV383"/>
    <mergeCell ref="AW381:AW383"/>
    <mergeCell ref="AX381:AX383"/>
    <mergeCell ref="AY381:AY383"/>
    <mergeCell ref="AZ381:AZ383"/>
    <mergeCell ref="BA381:BA383"/>
    <mergeCell ref="AV384:AV385"/>
    <mergeCell ref="AW384:AW385"/>
    <mergeCell ref="AX384:AX385"/>
    <mergeCell ref="AY384:AY385"/>
    <mergeCell ref="AZ384:AZ385"/>
    <mergeCell ref="BA384:BA385"/>
    <mergeCell ref="AV390:AV392"/>
    <mergeCell ref="AW390:AW392"/>
    <mergeCell ref="AX390:AX392"/>
    <mergeCell ref="AY390:AY392"/>
    <mergeCell ref="AZ390:AZ392"/>
    <mergeCell ref="BA390:BA392"/>
    <mergeCell ref="AV394:AV395"/>
    <mergeCell ref="AW394:AW395"/>
    <mergeCell ref="AX394:AX395"/>
    <mergeCell ref="AY394:AY395"/>
    <mergeCell ref="AZ394:AZ395"/>
    <mergeCell ref="BA394:BA395"/>
    <mergeCell ref="AV396:AV397"/>
    <mergeCell ref="AW396:AW397"/>
    <mergeCell ref="AX396:AX397"/>
    <mergeCell ref="AY396:AY397"/>
    <mergeCell ref="AZ396:AZ397"/>
    <mergeCell ref="BA396:BA397"/>
    <mergeCell ref="AV411:AV413"/>
    <mergeCell ref="AW411:AW413"/>
    <mergeCell ref="AX411:AX413"/>
    <mergeCell ref="AY411:AY413"/>
    <mergeCell ref="AZ411:AZ413"/>
    <mergeCell ref="BA411:BA413"/>
    <mergeCell ref="AV415:AV416"/>
    <mergeCell ref="AW415:AW416"/>
    <mergeCell ref="AX415:AX416"/>
    <mergeCell ref="AY415:AY416"/>
    <mergeCell ref="AZ415:AZ416"/>
    <mergeCell ref="BA415:BA416"/>
    <mergeCell ref="AV417:AV419"/>
    <mergeCell ref="AW417:AW419"/>
    <mergeCell ref="AX417:AX419"/>
    <mergeCell ref="AY417:AY419"/>
    <mergeCell ref="AZ417:AZ419"/>
    <mergeCell ref="BA417:BA419"/>
    <mergeCell ref="AV420:AV421"/>
    <mergeCell ref="AW420:AW421"/>
    <mergeCell ref="AX420:AX421"/>
    <mergeCell ref="AY420:AY421"/>
    <mergeCell ref="AZ420:AZ421"/>
    <mergeCell ref="BA420:BA421"/>
    <mergeCell ref="AV422:AV423"/>
    <mergeCell ref="AW422:AW423"/>
    <mergeCell ref="AX422:AX423"/>
    <mergeCell ref="AY422:AY423"/>
    <mergeCell ref="AZ422:AZ423"/>
    <mergeCell ref="BA422:BA423"/>
    <mergeCell ref="AV425:AV426"/>
    <mergeCell ref="AW425:AW426"/>
    <mergeCell ref="AX425:AX426"/>
    <mergeCell ref="AY425:AY426"/>
    <mergeCell ref="AZ425:AZ426"/>
    <mergeCell ref="BA425:BA426"/>
    <mergeCell ref="AV427:AV428"/>
    <mergeCell ref="AW427:AW428"/>
    <mergeCell ref="AX427:AX428"/>
    <mergeCell ref="AY427:AY428"/>
    <mergeCell ref="AZ427:AZ428"/>
    <mergeCell ref="BA427:BA428"/>
    <mergeCell ref="AV429:AV431"/>
    <mergeCell ref="AW429:AW431"/>
    <mergeCell ref="AX429:AX431"/>
    <mergeCell ref="AY429:AY431"/>
    <mergeCell ref="AZ429:AZ431"/>
    <mergeCell ref="BA429:BA431"/>
    <mergeCell ref="AV432:AV433"/>
    <mergeCell ref="AW432:AW433"/>
    <mergeCell ref="AX432:AX433"/>
    <mergeCell ref="AY432:AY433"/>
    <mergeCell ref="AZ432:AZ433"/>
    <mergeCell ref="BA432:BA433"/>
    <mergeCell ref="AV434:AV436"/>
    <mergeCell ref="AW434:AW436"/>
    <mergeCell ref="AX434:AX436"/>
    <mergeCell ref="AY434:AY436"/>
    <mergeCell ref="AZ434:AZ436"/>
    <mergeCell ref="BA434:BA436"/>
    <mergeCell ref="AV437:AV439"/>
    <mergeCell ref="AW437:AW439"/>
    <mergeCell ref="AX437:AX439"/>
    <mergeCell ref="AY437:AY439"/>
    <mergeCell ref="AZ437:AZ439"/>
    <mergeCell ref="BA437:BA439"/>
    <mergeCell ref="AV440:AV445"/>
    <mergeCell ref="AW440:AW445"/>
    <mergeCell ref="AX440:AX445"/>
    <mergeCell ref="AY440:AY445"/>
    <mergeCell ref="AZ440:AZ445"/>
    <mergeCell ref="BA440:BA445"/>
    <mergeCell ref="AV446:AV451"/>
    <mergeCell ref="AW446:AW451"/>
    <mergeCell ref="AX446:AX451"/>
    <mergeCell ref="AY446:AY451"/>
    <mergeCell ref="AZ446:AZ451"/>
    <mergeCell ref="BA446:BA451"/>
    <mergeCell ref="AV456:AV462"/>
    <mergeCell ref="AW456:AW462"/>
    <mergeCell ref="AX456:AX462"/>
    <mergeCell ref="AY456:AY462"/>
    <mergeCell ref="AZ456:AZ462"/>
    <mergeCell ref="BA456:BA462"/>
    <mergeCell ref="AV464:AV467"/>
    <mergeCell ref="AW464:AW467"/>
    <mergeCell ref="AX464:AX467"/>
    <mergeCell ref="AY464:AY467"/>
    <mergeCell ref="AZ464:AZ467"/>
    <mergeCell ref="BA464:BA467"/>
    <mergeCell ref="AV469:AV471"/>
    <mergeCell ref="AW469:AW471"/>
    <mergeCell ref="AX469:AX471"/>
    <mergeCell ref="AY469:AY471"/>
    <mergeCell ref="AZ469:AZ471"/>
    <mergeCell ref="BA469:BA471"/>
    <mergeCell ref="AV473:AV474"/>
    <mergeCell ref="AW473:AW474"/>
    <mergeCell ref="AX473:AX474"/>
    <mergeCell ref="AY473:AY474"/>
    <mergeCell ref="AZ473:AZ474"/>
    <mergeCell ref="BA473:BA474"/>
    <mergeCell ref="AV475:AV476"/>
    <mergeCell ref="AW475:AW476"/>
    <mergeCell ref="AX475:AX476"/>
    <mergeCell ref="AY475:AY476"/>
    <mergeCell ref="AZ475:AZ476"/>
    <mergeCell ref="BA475:BA476"/>
    <mergeCell ref="AV482:AV483"/>
    <mergeCell ref="AW482:AW483"/>
    <mergeCell ref="AX482:AX483"/>
    <mergeCell ref="AY482:AY483"/>
    <mergeCell ref="AZ482:AZ483"/>
    <mergeCell ref="BA482:BA483"/>
    <mergeCell ref="AV484:AV486"/>
    <mergeCell ref="AW484:AW486"/>
    <mergeCell ref="AX484:AX486"/>
    <mergeCell ref="AY484:AY486"/>
    <mergeCell ref="AZ484:AZ486"/>
    <mergeCell ref="BA484:BA486"/>
    <mergeCell ref="AV487:AV488"/>
    <mergeCell ref="AW487:AW488"/>
    <mergeCell ref="AX487:AX488"/>
    <mergeCell ref="AY487:AY488"/>
    <mergeCell ref="AZ487:AZ488"/>
    <mergeCell ref="BA487:BA488"/>
    <mergeCell ref="AV489:AV490"/>
    <mergeCell ref="AW489:AW490"/>
    <mergeCell ref="AX489:AX490"/>
    <mergeCell ref="AY489:AY490"/>
    <mergeCell ref="AZ489:AZ490"/>
    <mergeCell ref="BA489:BA490"/>
    <mergeCell ref="AV492:AV494"/>
    <mergeCell ref="AW492:AW494"/>
    <mergeCell ref="AX492:AX494"/>
    <mergeCell ref="AY492:AY494"/>
    <mergeCell ref="AZ492:AZ494"/>
    <mergeCell ref="BA492:BA494"/>
    <mergeCell ref="AV495:AV499"/>
    <mergeCell ref="AW495:AW499"/>
    <mergeCell ref="AX495:AX499"/>
    <mergeCell ref="AY495:AY499"/>
    <mergeCell ref="AZ495:AZ499"/>
    <mergeCell ref="BA495:BA499"/>
    <mergeCell ref="AV500:AV503"/>
    <mergeCell ref="AW500:AW503"/>
    <mergeCell ref="AX500:AX503"/>
    <mergeCell ref="AY500:AY503"/>
    <mergeCell ref="AZ500:AZ503"/>
    <mergeCell ref="BA500:BA503"/>
    <mergeCell ref="AV505:AV508"/>
    <mergeCell ref="AW505:AW508"/>
    <mergeCell ref="AX505:AX508"/>
    <mergeCell ref="AY505:AY508"/>
    <mergeCell ref="AZ505:AZ508"/>
    <mergeCell ref="BA505:BA508"/>
    <mergeCell ref="AV511:AV512"/>
    <mergeCell ref="AW511:AW512"/>
    <mergeCell ref="AX511:AX512"/>
    <mergeCell ref="AY511:AY512"/>
    <mergeCell ref="AZ511:AZ512"/>
    <mergeCell ref="BA511:BA512"/>
    <mergeCell ref="AV517:AV520"/>
    <mergeCell ref="AW517:AW520"/>
    <mergeCell ref="AX517:AX520"/>
    <mergeCell ref="AY517:AY520"/>
    <mergeCell ref="AZ517:AZ520"/>
    <mergeCell ref="BA517:BA520"/>
    <mergeCell ref="AV523:AV524"/>
    <mergeCell ref="AW523:AW524"/>
    <mergeCell ref="AX523:AX524"/>
    <mergeCell ref="AY523:AY524"/>
    <mergeCell ref="AZ523:AZ524"/>
    <mergeCell ref="BA523:BA524"/>
    <mergeCell ref="AV530:AV532"/>
    <mergeCell ref="AW530:AW532"/>
    <mergeCell ref="AX530:AX532"/>
    <mergeCell ref="AY530:AY532"/>
    <mergeCell ref="AZ530:AZ532"/>
    <mergeCell ref="BA530:BA532"/>
    <mergeCell ref="AV533:AV534"/>
    <mergeCell ref="AW533:AW534"/>
    <mergeCell ref="AX533:AX534"/>
    <mergeCell ref="AY533:AY534"/>
    <mergeCell ref="AZ533:AZ534"/>
    <mergeCell ref="BA533:BA534"/>
    <mergeCell ref="AV538:AV541"/>
    <mergeCell ref="AW538:AW541"/>
    <mergeCell ref="AX538:AX541"/>
    <mergeCell ref="AY538:AY541"/>
    <mergeCell ref="AZ538:AZ541"/>
    <mergeCell ref="BA538:BA541"/>
    <mergeCell ref="AV542:AV543"/>
    <mergeCell ref="AW542:AW543"/>
    <mergeCell ref="AX542:AX543"/>
    <mergeCell ref="AY542:AY543"/>
    <mergeCell ref="AZ542:AZ543"/>
    <mergeCell ref="BA542:BA543"/>
    <mergeCell ref="AV546:AV547"/>
    <mergeCell ref="AW546:AW547"/>
    <mergeCell ref="AX546:AX547"/>
    <mergeCell ref="AY546:AY547"/>
    <mergeCell ref="AZ546:AZ547"/>
    <mergeCell ref="BA546:BA547"/>
    <mergeCell ref="AV554:AV555"/>
    <mergeCell ref="AW554:AW555"/>
    <mergeCell ref="AX554:AX555"/>
    <mergeCell ref="AY554:AY555"/>
    <mergeCell ref="AZ554:AZ555"/>
    <mergeCell ref="BA554:BA555"/>
    <mergeCell ref="AV556:AV558"/>
    <mergeCell ref="AW556:AW558"/>
    <mergeCell ref="AX556:AX558"/>
    <mergeCell ref="AY556:AY558"/>
    <mergeCell ref="AZ556:AZ558"/>
    <mergeCell ref="BA556:BA558"/>
    <mergeCell ref="AV559:AV560"/>
    <mergeCell ref="AW559:AW560"/>
    <mergeCell ref="AX559:AX560"/>
    <mergeCell ref="AY559:AY560"/>
    <mergeCell ref="AZ559:AZ560"/>
    <mergeCell ref="BA559:BA560"/>
    <mergeCell ref="AV566:AV567"/>
    <mergeCell ref="AW566:AW567"/>
    <mergeCell ref="AX566:AX567"/>
    <mergeCell ref="AY566:AY567"/>
    <mergeCell ref="AZ566:AZ567"/>
    <mergeCell ref="BA566:BA567"/>
    <mergeCell ref="AV568:AV569"/>
    <mergeCell ref="AW568:AW569"/>
    <mergeCell ref="AX568:AX569"/>
    <mergeCell ref="AY568:AY569"/>
    <mergeCell ref="AZ568:AZ569"/>
    <mergeCell ref="BA568:BA569"/>
    <mergeCell ref="AV570:AV574"/>
    <mergeCell ref="AW570:AW574"/>
    <mergeCell ref="AX570:AX574"/>
    <mergeCell ref="AY570:AY574"/>
    <mergeCell ref="AZ570:AZ574"/>
    <mergeCell ref="BA570:BA574"/>
    <mergeCell ref="AV587:AV589"/>
    <mergeCell ref="AW587:AW589"/>
    <mergeCell ref="AX587:AX589"/>
    <mergeCell ref="AY587:AY589"/>
    <mergeCell ref="AZ587:AZ589"/>
    <mergeCell ref="BA587:BA589"/>
    <mergeCell ref="AV590:AV592"/>
    <mergeCell ref="AW590:AW592"/>
    <mergeCell ref="AX590:AX592"/>
    <mergeCell ref="AY590:AY592"/>
    <mergeCell ref="AZ590:AZ592"/>
    <mergeCell ref="BA590:BA592"/>
    <mergeCell ref="AV593:AV595"/>
    <mergeCell ref="AW593:AW595"/>
    <mergeCell ref="AX593:AX595"/>
    <mergeCell ref="AY593:AY595"/>
    <mergeCell ref="AZ593:AZ595"/>
    <mergeCell ref="BA593:BA595"/>
    <mergeCell ref="AV596:AV598"/>
    <mergeCell ref="AW596:AW598"/>
    <mergeCell ref="AX596:AX598"/>
    <mergeCell ref="AY596:AY598"/>
    <mergeCell ref="AZ596:AZ598"/>
    <mergeCell ref="BA596:BA598"/>
    <mergeCell ref="AV599:AV600"/>
    <mergeCell ref="AW599:AW600"/>
    <mergeCell ref="AX599:AX600"/>
    <mergeCell ref="AY599:AY600"/>
    <mergeCell ref="AZ599:AZ600"/>
    <mergeCell ref="BA599:BA600"/>
    <mergeCell ref="AV601:AV603"/>
    <mergeCell ref="AW601:AW603"/>
    <mergeCell ref="AX601:AX603"/>
    <mergeCell ref="AY601:AY603"/>
    <mergeCell ref="AZ601:AZ603"/>
    <mergeCell ref="BA601:BA603"/>
    <mergeCell ref="AV604:AV605"/>
    <mergeCell ref="AW604:AW605"/>
    <mergeCell ref="AX604:AX605"/>
    <mergeCell ref="AY604:AY605"/>
    <mergeCell ref="AZ604:AZ605"/>
    <mergeCell ref="BA604:BA605"/>
    <mergeCell ref="AV606:AV609"/>
    <mergeCell ref="AW606:AW609"/>
    <mergeCell ref="AX606:AX609"/>
    <mergeCell ref="AY606:AY609"/>
    <mergeCell ref="AZ606:AZ609"/>
    <mergeCell ref="BA606:BA609"/>
    <mergeCell ref="AV612:AV613"/>
    <mergeCell ref="AW612:AW613"/>
    <mergeCell ref="AX612:AX613"/>
    <mergeCell ref="AY612:AY613"/>
    <mergeCell ref="AZ612:AZ613"/>
    <mergeCell ref="BA612:BA613"/>
    <mergeCell ref="AV614:AV615"/>
    <mergeCell ref="AW614:AW615"/>
    <mergeCell ref="AX614:AX615"/>
    <mergeCell ref="AY614:AY615"/>
    <mergeCell ref="AZ614:AZ615"/>
    <mergeCell ref="BA614:BA615"/>
    <mergeCell ref="AV616:AV617"/>
    <mergeCell ref="AW616:AW617"/>
    <mergeCell ref="AX616:AX617"/>
    <mergeCell ref="AY616:AY617"/>
    <mergeCell ref="AZ616:AZ617"/>
    <mergeCell ref="BA616:BA617"/>
    <mergeCell ref="AV622:AV624"/>
    <mergeCell ref="AW622:AW624"/>
    <mergeCell ref="AX622:AX624"/>
    <mergeCell ref="AY622:AY624"/>
    <mergeCell ref="AZ622:AZ624"/>
    <mergeCell ref="BA622:BA624"/>
    <mergeCell ref="AV630:AV631"/>
    <mergeCell ref="AW630:AW631"/>
    <mergeCell ref="AX630:AX631"/>
    <mergeCell ref="AY630:AY631"/>
    <mergeCell ref="AZ630:AZ631"/>
    <mergeCell ref="BA630:BA631"/>
    <mergeCell ref="AV632:AV633"/>
    <mergeCell ref="AW632:AW633"/>
    <mergeCell ref="AX632:AX633"/>
    <mergeCell ref="AY632:AY633"/>
    <mergeCell ref="AZ632:AZ633"/>
    <mergeCell ref="BA632:BA633"/>
    <mergeCell ref="AV645:AV646"/>
    <mergeCell ref="AW645:AW646"/>
    <mergeCell ref="AX645:AX646"/>
    <mergeCell ref="AY645:AY646"/>
    <mergeCell ref="AZ645:AZ646"/>
    <mergeCell ref="BA645:BA646"/>
    <mergeCell ref="AV647:AV650"/>
    <mergeCell ref="AW647:AW650"/>
    <mergeCell ref="AX647:AX650"/>
    <mergeCell ref="AY647:AY650"/>
    <mergeCell ref="AZ647:AZ650"/>
    <mergeCell ref="BA647:BA650"/>
    <mergeCell ref="AV651:AV652"/>
    <mergeCell ref="AW651:AW652"/>
    <mergeCell ref="AX651:AX652"/>
    <mergeCell ref="AY651:AY652"/>
    <mergeCell ref="AZ651:AZ652"/>
    <mergeCell ref="BA651:BA652"/>
    <mergeCell ref="AV653:AV655"/>
    <mergeCell ref="AW653:AW655"/>
    <mergeCell ref="AX653:AX655"/>
    <mergeCell ref="AY653:AY655"/>
    <mergeCell ref="AZ653:AZ655"/>
    <mergeCell ref="BA653:BA655"/>
    <mergeCell ref="AV656:AV658"/>
    <mergeCell ref="AW656:AW658"/>
    <mergeCell ref="AX656:AX658"/>
    <mergeCell ref="AY656:AY658"/>
    <mergeCell ref="AZ656:AZ658"/>
    <mergeCell ref="BA656:BA658"/>
    <mergeCell ref="AV659:AV661"/>
    <mergeCell ref="AW659:AW661"/>
    <mergeCell ref="AX659:AX661"/>
    <mergeCell ref="AY659:AY661"/>
    <mergeCell ref="AZ659:AZ661"/>
    <mergeCell ref="BA659:BA661"/>
    <mergeCell ref="AV662:AV666"/>
    <mergeCell ref="AW662:AW666"/>
    <mergeCell ref="AX662:AX666"/>
    <mergeCell ref="AY662:AY666"/>
    <mergeCell ref="AZ662:AZ666"/>
    <mergeCell ref="BA662:BA666"/>
    <mergeCell ref="AV667:AV668"/>
    <mergeCell ref="AW667:AW668"/>
    <mergeCell ref="AX667:AX668"/>
    <mergeCell ref="AY667:AY668"/>
    <mergeCell ref="AZ667:AZ668"/>
    <mergeCell ref="BA667:BA668"/>
    <mergeCell ref="AV669:AV671"/>
    <mergeCell ref="AW669:AW671"/>
    <mergeCell ref="AX669:AX671"/>
    <mergeCell ref="AY669:AY671"/>
    <mergeCell ref="AZ669:AZ671"/>
    <mergeCell ref="BA669:BA671"/>
    <mergeCell ref="AV672:AV676"/>
    <mergeCell ref="AW672:AW676"/>
    <mergeCell ref="AX672:AX676"/>
    <mergeCell ref="AY672:AY676"/>
    <mergeCell ref="AZ672:AZ676"/>
    <mergeCell ref="BA672:BA676"/>
    <mergeCell ref="AV677:AV680"/>
    <mergeCell ref="AW677:AW680"/>
    <mergeCell ref="AX677:AX680"/>
    <mergeCell ref="AY677:AY680"/>
    <mergeCell ref="AZ677:AZ680"/>
    <mergeCell ref="BA677:BA680"/>
    <mergeCell ref="AV681:AV685"/>
    <mergeCell ref="AW681:AW685"/>
    <mergeCell ref="AX681:AX685"/>
    <mergeCell ref="AY681:AY685"/>
    <mergeCell ref="AZ681:AZ685"/>
    <mergeCell ref="BA681:BA685"/>
    <mergeCell ref="AV687:AV688"/>
    <mergeCell ref="AW687:AW688"/>
    <mergeCell ref="AX687:AX688"/>
    <mergeCell ref="AY687:AY688"/>
    <mergeCell ref="AZ687:AZ688"/>
    <mergeCell ref="BA687:BA688"/>
    <mergeCell ref="AV691:AV693"/>
    <mergeCell ref="AW691:AW693"/>
    <mergeCell ref="AX691:AX693"/>
    <mergeCell ref="AY691:AY693"/>
    <mergeCell ref="AZ691:AZ693"/>
    <mergeCell ref="BA691:BA693"/>
    <mergeCell ref="AV697:AV698"/>
    <mergeCell ref="AW697:AW698"/>
    <mergeCell ref="AX697:AX698"/>
    <mergeCell ref="AY697:AY698"/>
    <mergeCell ref="AZ697:AZ698"/>
    <mergeCell ref="BA697:BA698"/>
    <mergeCell ref="AV703:AV704"/>
    <mergeCell ref="AW703:AW704"/>
    <mergeCell ref="AX703:AX704"/>
    <mergeCell ref="AY703:AY704"/>
    <mergeCell ref="AZ703:AZ704"/>
    <mergeCell ref="BA703:BA704"/>
    <mergeCell ref="AV706:AV707"/>
    <mergeCell ref="AW706:AW707"/>
    <mergeCell ref="AX706:AX707"/>
    <mergeCell ref="AY706:AY707"/>
    <mergeCell ref="AZ706:AZ707"/>
    <mergeCell ref="BA706:BA707"/>
    <mergeCell ref="AV715:AV716"/>
    <mergeCell ref="AW715:AW716"/>
    <mergeCell ref="AX715:AX716"/>
    <mergeCell ref="AY715:AY716"/>
    <mergeCell ref="AZ715:AZ716"/>
    <mergeCell ref="BA715:BA716"/>
    <mergeCell ref="AV717:AV720"/>
    <mergeCell ref="AW717:AW720"/>
    <mergeCell ref="AX717:AX720"/>
    <mergeCell ref="AY717:AY720"/>
    <mergeCell ref="AZ717:AZ720"/>
    <mergeCell ref="BA717:BA720"/>
    <mergeCell ref="AV721:AV724"/>
    <mergeCell ref="AW721:AW724"/>
    <mergeCell ref="AX721:AX724"/>
    <mergeCell ref="AY721:AY724"/>
    <mergeCell ref="AZ721:AZ724"/>
    <mergeCell ref="BA721:BA724"/>
    <mergeCell ref="AV725:AV726"/>
    <mergeCell ref="AW725:AW726"/>
    <mergeCell ref="AX725:AX726"/>
    <mergeCell ref="AY725:AY726"/>
    <mergeCell ref="AZ725:AZ726"/>
    <mergeCell ref="BA725:BA726"/>
    <mergeCell ref="AV728:AV730"/>
    <mergeCell ref="AW728:AW730"/>
    <mergeCell ref="AX728:AX730"/>
    <mergeCell ref="AY728:AY730"/>
    <mergeCell ref="AZ728:AZ730"/>
    <mergeCell ref="BA728:BA730"/>
    <mergeCell ref="AV742:AV743"/>
    <mergeCell ref="AW742:AW743"/>
    <mergeCell ref="AX742:AX743"/>
    <mergeCell ref="AY742:AY743"/>
    <mergeCell ref="AZ742:AZ743"/>
    <mergeCell ref="BA742:BA743"/>
    <mergeCell ref="AV746:AV747"/>
    <mergeCell ref="AW746:AW747"/>
    <mergeCell ref="AX746:AX747"/>
    <mergeCell ref="AY746:AY747"/>
    <mergeCell ref="AZ746:AZ747"/>
    <mergeCell ref="BA746:BA747"/>
    <mergeCell ref="AV749:AV750"/>
    <mergeCell ref="AW749:AW750"/>
    <mergeCell ref="AX749:AX750"/>
    <mergeCell ref="AY749:AY750"/>
    <mergeCell ref="AZ749:AZ750"/>
    <mergeCell ref="BA749:BA750"/>
    <mergeCell ref="AV752:AV754"/>
    <mergeCell ref="AW752:AW754"/>
    <mergeCell ref="AX752:AX754"/>
    <mergeCell ref="AY752:AY754"/>
    <mergeCell ref="AZ752:AZ754"/>
    <mergeCell ref="BA752:BA754"/>
    <mergeCell ref="AV755:AV757"/>
    <mergeCell ref="AW755:AW757"/>
    <mergeCell ref="AX755:AX757"/>
    <mergeCell ref="AY755:AY757"/>
    <mergeCell ref="AZ755:AZ757"/>
    <mergeCell ref="BA755:BA757"/>
    <mergeCell ref="AV759:AV764"/>
    <mergeCell ref="AW759:AW764"/>
    <mergeCell ref="AX759:AX764"/>
    <mergeCell ref="AY759:AY764"/>
    <mergeCell ref="AZ759:AZ764"/>
    <mergeCell ref="BA759:BA764"/>
    <mergeCell ref="AV765:AV766"/>
    <mergeCell ref="AW765:AW766"/>
    <mergeCell ref="AX765:AX766"/>
    <mergeCell ref="AY765:AY766"/>
    <mergeCell ref="AZ765:AZ766"/>
    <mergeCell ref="BA765:BA766"/>
    <mergeCell ref="AV767:AV769"/>
    <mergeCell ref="AW767:AW769"/>
    <mergeCell ref="AX767:AX769"/>
    <mergeCell ref="AY767:AY769"/>
    <mergeCell ref="AZ767:AZ769"/>
    <mergeCell ref="BA767:BA769"/>
    <mergeCell ref="AV773:AV774"/>
    <mergeCell ref="AW773:AW774"/>
    <mergeCell ref="AX773:AX774"/>
    <mergeCell ref="AY773:AY774"/>
    <mergeCell ref="AZ773:AZ774"/>
    <mergeCell ref="BA773:BA774"/>
    <mergeCell ref="AV777:AV778"/>
    <mergeCell ref="AW777:AW778"/>
    <mergeCell ref="AX777:AX778"/>
    <mergeCell ref="AY777:AY778"/>
    <mergeCell ref="AZ777:AZ778"/>
    <mergeCell ref="BA777:BA778"/>
    <mergeCell ref="AV780:AV781"/>
    <mergeCell ref="AW780:AW781"/>
    <mergeCell ref="AX780:AX781"/>
    <mergeCell ref="AY780:AY781"/>
    <mergeCell ref="AZ780:AZ781"/>
    <mergeCell ref="BA780:BA781"/>
    <mergeCell ref="AV788:AV790"/>
    <mergeCell ref="AW788:AW790"/>
    <mergeCell ref="AX788:AX790"/>
    <mergeCell ref="AY788:AY790"/>
    <mergeCell ref="AZ788:AZ790"/>
    <mergeCell ref="BA788:BA790"/>
    <mergeCell ref="AV806:AV807"/>
    <mergeCell ref="AW806:AW807"/>
    <mergeCell ref="AX806:AX807"/>
    <mergeCell ref="AY806:AY807"/>
    <mergeCell ref="AZ806:AZ807"/>
    <mergeCell ref="BA806:BA807"/>
    <mergeCell ref="AV809:AV811"/>
    <mergeCell ref="AW809:AW811"/>
    <mergeCell ref="AX809:AX811"/>
    <mergeCell ref="AY809:AY811"/>
    <mergeCell ref="AZ809:AZ811"/>
    <mergeCell ref="BA809:BA811"/>
    <mergeCell ref="AV812:AV814"/>
    <mergeCell ref="AW812:AW814"/>
    <mergeCell ref="AX812:AX814"/>
    <mergeCell ref="AY812:AY814"/>
    <mergeCell ref="AZ812:AZ814"/>
    <mergeCell ref="BA812:BA814"/>
    <mergeCell ref="AV817:AV818"/>
    <mergeCell ref="AW817:AW818"/>
    <mergeCell ref="AX817:AX818"/>
    <mergeCell ref="AY817:AY818"/>
    <mergeCell ref="AZ817:AZ818"/>
    <mergeCell ref="BA817:BA818"/>
    <mergeCell ref="AV821:AV822"/>
    <mergeCell ref="AW821:AW822"/>
    <mergeCell ref="AX821:AX822"/>
    <mergeCell ref="AY821:AY822"/>
    <mergeCell ref="AZ821:AZ822"/>
    <mergeCell ref="BA821:BA822"/>
    <mergeCell ref="AV823:AV824"/>
    <mergeCell ref="AW823:AW824"/>
    <mergeCell ref="AX823:AX824"/>
    <mergeCell ref="AY823:AY824"/>
    <mergeCell ref="AZ823:AZ824"/>
    <mergeCell ref="BA823:BA824"/>
    <mergeCell ref="AV825:AV826"/>
    <mergeCell ref="AW825:AW826"/>
    <mergeCell ref="AX825:AX826"/>
    <mergeCell ref="AY825:AY826"/>
    <mergeCell ref="AZ825:AZ826"/>
    <mergeCell ref="BA825:BA826"/>
    <mergeCell ref="AV836:AV840"/>
    <mergeCell ref="AW836:AW840"/>
    <mergeCell ref="AX836:AX840"/>
    <mergeCell ref="AY836:AY840"/>
    <mergeCell ref="AZ836:AZ840"/>
    <mergeCell ref="BA836:BA840"/>
    <mergeCell ref="AV845:AV846"/>
    <mergeCell ref="AW845:AW846"/>
    <mergeCell ref="AX845:AX846"/>
    <mergeCell ref="AY845:AY846"/>
    <mergeCell ref="AZ845:AZ846"/>
    <mergeCell ref="BA845:BA846"/>
    <mergeCell ref="AV853:AV854"/>
    <mergeCell ref="AW853:AW854"/>
    <mergeCell ref="AX853:AX854"/>
    <mergeCell ref="AY853:AY854"/>
    <mergeCell ref="AZ853:AZ854"/>
    <mergeCell ref="BA853:BA854"/>
    <mergeCell ref="AV855:AV856"/>
    <mergeCell ref="AW855:AW856"/>
    <mergeCell ref="AX855:AX856"/>
    <mergeCell ref="AY855:AY856"/>
    <mergeCell ref="AZ855:AZ856"/>
    <mergeCell ref="BA855:BA856"/>
    <mergeCell ref="AV857:AV858"/>
    <mergeCell ref="AW857:AW858"/>
    <mergeCell ref="AX857:AX858"/>
    <mergeCell ref="AY857:AY858"/>
    <mergeCell ref="AZ857:AZ858"/>
    <mergeCell ref="BA857:BA858"/>
    <mergeCell ref="AV868:AV869"/>
    <mergeCell ref="AW868:AW869"/>
    <mergeCell ref="AX868:AX869"/>
    <mergeCell ref="AY868:AY869"/>
    <mergeCell ref="AZ868:AZ869"/>
    <mergeCell ref="BA868:BA869"/>
    <mergeCell ref="AV870:AV871"/>
    <mergeCell ref="AW870:AW871"/>
    <mergeCell ref="AX870:AX871"/>
    <mergeCell ref="AY870:AY871"/>
    <mergeCell ref="AZ870:AZ871"/>
    <mergeCell ref="BA870:BA871"/>
    <mergeCell ref="AV872:AV876"/>
    <mergeCell ref="AW872:AW876"/>
    <mergeCell ref="AX872:AX876"/>
    <mergeCell ref="AY872:AY876"/>
    <mergeCell ref="AZ872:AZ876"/>
    <mergeCell ref="BA872:BA876"/>
    <mergeCell ref="AV877:AV882"/>
    <mergeCell ref="AW877:AW882"/>
    <mergeCell ref="AX877:AX882"/>
    <mergeCell ref="AY877:AY882"/>
    <mergeCell ref="AZ877:AZ882"/>
    <mergeCell ref="BA877:BA882"/>
    <mergeCell ref="AV883:AV885"/>
    <mergeCell ref="AW883:AW885"/>
    <mergeCell ref="AX883:AX885"/>
    <mergeCell ref="AY883:AY885"/>
    <mergeCell ref="AZ883:AZ885"/>
    <mergeCell ref="BA883:BA885"/>
    <mergeCell ref="AV886:AV887"/>
    <mergeCell ref="AW886:AW887"/>
    <mergeCell ref="AX886:AX887"/>
    <mergeCell ref="AY886:AY887"/>
    <mergeCell ref="AZ886:AZ887"/>
    <mergeCell ref="BA886:BA887"/>
    <mergeCell ref="AV888:AV889"/>
    <mergeCell ref="AW888:AW889"/>
    <mergeCell ref="AX888:AX889"/>
    <mergeCell ref="AY888:AY889"/>
    <mergeCell ref="AZ888:AZ889"/>
    <mergeCell ref="BA888:BA889"/>
    <mergeCell ref="AV890:AV891"/>
    <mergeCell ref="AW890:AW891"/>
    <mergeCell ref="AX890:AX891"/>
    <mergeCell ref="AY890:AY891"/>
    <mergeCell ref="AZ890:AZ891"/>
    <mergeCell ref="BA890:BA891"/>
    <mergeCell ref="AV892:AV893"/>
    <mergeCell ref="AW892:AW893"/>
    <mergeCell ref="AX892:AX893"/>
    <mergeCell ref="AY892:AY893"/>
    <mergeCell ref="AZ892:AZ893"/>
    <mergeCell ref="BA892:BA893"/>
    <mergeCell ref="AV894:AV896"/>
    <mergeCell ref="AW894:AW896"/>
    <mergeCell ref="AX894:AX896"/>
    <mergeCell ref="AY894:AY896"/>
    <mergeCell ref="AZ894:AZ896"/>
    <mergeCell ref="BA894:BA896"/>
    <mergeCell ref="AV897:AV899"/>
    <mergeCell ref="AW897:AW899"/>
    <mergeCell ref="AX897:AX899"/>
    <mergeCell ref="AY897:AY899"/>
    <mergeCell ref="AZ897:AZ899"/>
    <mergeCell ref="BA897:BA899"/>
    <mergeCell ref="AV901:AV904"/>
    <mergeCell ref="AW901:AW904"/>
    <mergeCell ref="AX901:AX904"/>
    <mergeCell ref="AY901:AY904"/>
    <mergeCell ref="AZ901:AZ904"/>
    <mergeCell ref="BA901:BA904"/>
    <mergeCell ref="AV905:AV906"/>
    <mergeCell ref="AW905:AW906"/>
    <mergeCell ref="AX905:AX906"/>
    <mergeCell ref="AY905:AY906"/>
    <mergeCell ref="AZ905:AZ906"/>
    <mergeCell ref="BA905:BA906"/>
    <mergeCell ref="AV908:AV910"/>
    <mergeCell ref="AW908:AW910"/>
    <mergeCell ref="AX908:AX910"/>
    <mergeCell ref="AY908:AY910"/>
    <mergeCell ref="AZ908:AZ910"/>
    <mergeCell ref="BA908:BA910"/>
    <mergeCell ref="AV911:AV913"/>
    <mergeCell ref="AW911:AW913"/>
    <mergeCell ref="AX911:AX913"/>
    <mergeCell ref="AY911:AY913"/>
    <mergeCell ref="AZ911:AZ913"/>
    <mergeCell ref="BA911:BA913"/>
    <mergeCell ref="AV914:AV915"/>
    <mergeCell ref="AW914:AW915"/>
    <mergeCell ref="AX914:AX915"/>
    <mergeCell ref="AY914:AY915"/>
    <mergeCell ref="AZ914:AZ915"/>
    <mergeCell ref="BA914:BA915"/>
    <mergeCell ref="AV916:AV918"/>
    <mergeCell ref="AW916:AW918"/>
    <mergeCell ref="AX916:AX918"/>
    <mergeCell ref="AY916:AY918"/>
    <mergeCell ref="AZ916:AZ918"/>
    <mergeCell ref="BA916:BA918"/>
    <mergeCell ref="AV921:AV922"/>
    <mergeCell ref="AW921:AW922"/>
    <mergeCell ref="AX921:AX922"/>
    <mergeCell ref="AY921:AY922"/>
    <mergeCell ref="AZ921:AZ922"/>
    <mergeCell ref="BA921:BA922"/>
    <mergeCell ref="AV928:AV930"/>
    <mergeCell ref="AW928:AW930"/>
    <mergeCell ref="AX928:AX930"/>
    <mergeCell ref="AY928:AY930"/>
    <mergeCell ref="AZ928:AZ930"/>
    <mergeCell ref="BA928:BA930"/>
    <mergeCell ref="AV931:AV932"/>
    <mergeCell ref="AW931:AW932"/>
    <mergeCell ref="AX931:AX932"/>
    <mergeCell ref="AY931:AY932"/>
    <mergeCell ref="AZ931:AZ932"/>
    <mergeCell ref="BA931:BA932"/>
    <mergeCell ref="AV933:AV934"/>
    <mergeCell ref="AW933:AW934"/>
    <mergeCell ref="AX933:AX934"/>
    <mergeCell ref="AY933:AY934"/>
    <mergeCell ref="AZ933:AZ934"/>
    <mergeCell ref="BA933:BA934"/>
    <mergeCell ref="AV937:AV939"/>
    <mergeCell ref="AW937:AW939"/>
    <mergeCell ref="AX937:AX939"/>
    <mergeCell ref="AY937:AY939"/>
    <mergeCell ref="AZ937:AZ939"/>
    <mergeCell ref="BA937:BA939"/>
    <mergeCell ref="AV940:AV942"/>
    <mergeCell ref="AW940:AW942"/>
    <mergeCell ref="AX940:AX942"/>
    <mergeCell ref="AY940:AY942"/>
    <mergeCell ref="AZ940:AZ942"/>
    <mergeCell ref="BA940:BA942"/>
    <mergeCell ref="AV950:AV952"/>
    <mergeCell ref="AW950:AW952"/>
    <mergeCell ref="AX950:AX952"/>
    <mergeCell ref="AY950:AY952"/>
    <mergeCell ref="AZ950:AZ952"/>
    <mergeCell ref="BA950:BA952"/>
    <mergeCell ref="AV953:AV955"/>
    <mergeCell ref="AW953:AW955"/>
    <mergeCell ref="AX953:AX955"/>
    <mergeCell ref="AY953:AY955"/>
    <mergeCell ref="AZ953:AZ955"/>
    <mergeCell ref="BA953:BA955"/>
    <mergeCell ref="AV956:AV958"/>
    <mergeCell ref="AW956:AW958"/>
    <mergeCell ref="AX956:AX958"/>
    <mergeCell ref="AY956:AY958"/>
    <mergeCell ref="AZ956:AZ958"/>
    <mergeCell ref="BA956:BA958"/>
    <mergeCell ref="AV963:AV965"/>
    <mergeCell ref="AW963:AW965"/>
    <mergeCell ref="AX963:AX965"/>
    <mergeCell ref="AY963:AY965"/>
    <mergeCell ref="AZ963:AZ965"/>
    <mergeCell ref="BA963:BA965"/>
    <mergeCell ref="AV970:AV971"/>
    <mergeCell ref="AW970:AW971"/>
    <mergeCell ref="AX970:AX971"/>
    <mergeCell ref="AY970:AY971"/>
    <mergeCell ref="AZ970:AZ971"/>
    <mergeCell ref="BA970:BA971"/>
    <mergeCell ref="AV988:AV989"/>
    <mergeCell ref="AW988:AW989"/>
    <mergeCell ref="AX988:AX989"/>
    <mergeCell ref="AY988:AY989"/>
    <mergeCell ref="AZ988:AZ989"/>
    <mergeCell ref="BA988:BA989"/>
    <mergeCell ref="AV990:AV991"/>
    <mergeCell ref="AW990:AW991"/>
    <mergeCell ref="AX990:AX991"/>
    <mergeCell ref="AY990:AY991"/>
    <mergeCell ref="AZ990:AZ991"/>
    <mergeCell ref="BA990:BA991"/>
    <mergeCell ref="AV992:AV994"/>
    <mergeCell ref="AW992:AW994"/>
    <mergeCell ref="AX992:AX994"/>
    <mergeCell ref="AY992:AY994"/>
    <mergeCell ref="AZ992:AZ994"/>
    <mergeCell ref="BA992:BA994"/>
    <mergeCell ref="AV999:AV1000"/>
    <mergeCell ref="AW999:AW1000"/>
    <mergeCell ref="AX999:AX1000"/>
    <mergeCell ref="AY999:AY1000"/>
    <mergeCell ref="AZ999:AZ1000"/>
    <mergeCell ref="BA999:BA1000"/>
    <mergeCell ref="AV1008:AV1009"/>
    <mergeCell ref="AW1008:AW1009"/>
    <mergeCell ref="AX1008:AX1009"/>
    <mergeCell ref="AY1008:AY1009"/>
    <mergeCell ref="AZ1008:AZ1009"/>
    <mergeCell ref="BA1008:BA1009"/>
    <mergeCell ref="AV1018:AV1022"/>
    <mergeCell ref="AW1018:AW1022"/>
    <mergeCell ref="AX1018:AX1022"/>
    <mergeCell ref="AY1018:AY1022"/>
    <mergeCell ref="AZ1018:AZ1022"/>
    <mergeCell ref="BA1018:BA1022"/>
    <mergeCell ref="AV1027:AV1028"/>
    <mergeCell ref="AW1027:AW1028"/>
    <mergeCell ref="AX1027:AX1028"/>
    <mergeCell ref="AY1027:AY1028"/>
    <mergeCell ref="AZ1027:AZ1028"/>
    <mergeCell ref="BA1027:BA1028"/>
    <mergeCell ref="AV1045:AV1047"/>
    <mergeCell ref="AW1045:AW1047"/>
    <mergeCell ref="AX1045:AX1047"/>
    <mergeCell ref="AY1045:AY1047"/>
    <mergeCell ref="AZ1045:AZ1047"/>
    <mergeCell ref="BA1045:BA1047"/>
    <mergeCell ref="AV1048:AV1049"/>
    <mergeCell ref="AW1048:AW1049"/>
    <mergeCell ref="AX1048:AX1049"/>
    <mergeCell ref="AY1048:AY1049"/>
    <mergeCell ref="AZ1048:AZ1049"/>
    <mergeCell ref="BA1048:BA1049"/>
    <mergeCell ref="AV1050:AV1052"/>
    <mergeCell ref="AW1050:AW1052"/>
    <mergeCell ref="AX1050:AX1052"/>
    <mergeCell ref="AY1050:AY1052"/>
    <mergeCell ref="AZ1050:AZ1052"/>
    <mergeCell ref="BA1050:BA1052"/>
    <mergeCell ref="AV1053:AV1054"/>
    <mergeCell ref="AW1053:AW1054"/>
    <mergeCell ref="AX1053:AX1054"/>
    <mergeCell ref="AY1053:AY1054"/>
    <mergeCell ref="AZ1053:AZ1054"/>
    <mergeCell ref="BA1053:BA1054"/>
    <mergeCell ref="AV1059:AV1060"/>
    <mergeCell ref="AW1059:AW1060"/>
    <mergeCell ref="AX1059:AX1060"/>
    <mergeCell ref="AY1059:AY1060"/>
    <mergeCell ref="AZ1059:AZ1060"/>
    <mergeCell ref="BA1059:BA1060"/>
    <mergeCell ref="AV1064:AV1065"/>
    <mergeCell ref="AW1064:AW1065"/>
    <mergeCell ref="AX1064:AX1065"/>
    <mergeCell ref="AY1064:AY1065"/>
    <mergeCell ref="AZ1064:AZ1065"/>
    <mergeCell ref="BA1064:BA1065"/>
    <mergeCell ref="AV1066:AV1069"/>
    <mergeCell ref="AW1066:AW1069"/>
    <mergeCell ref="AX1066:AX1069"/>
    <mergeCell ref="AY1066:AY1069"/>
    <mergeCell ref="AZ1066:AZ1069"/>
    <mergeCell ref="BA1066:BA1069"/>
    <mergeCell ref="AV1070:AV1073"/>
    <mergeCell ref="AW1070:AW1073"/>
    <mergeCell ref="AX1070:AX1073"/>
    <mergeCell ref="AY1070:AY1073"/>
    <mergeCell ref="AZ1070:AZ1073"/>
    <mergeCell ref="BA1070:BA1073"/>
    <mergeCell ref="AV1081:AV1082"/>
    <mergeCell ref="AW1081:AW1082"/>
    <mergeCell ref="AX1081:AX1082"/>
    <mergeCell ref="AY1081:AY1082"/>
    <mergeCell ref="AZ1081:AZ1082"/>
    <mergeCell ref="BA1081:BA1082"/>
    <mergeCell ref="AV1091:AV1094"/>
    <mergeCell ref="AW1091:AW1094"/>
    <mergeCell ref="AX1091:AX1094"/>
    <mergeCell ref="AY1091:AY1094"/>
    <mergeCell ref="AZ1091:AZ1094"/>
    <mergeCell ref="BA1091:BA1094"/>
    <mergeCell ref="AV1097:AV1098"/>
    <mergeCell ref="AW1097:AW1098"/>
    <mergeCell ref="AX1097:AX1098"/>
    <mergeCell ref="AY1097:AY1098"/>
    <mergeCell ref="AZ1097:AZ1098"/>
    <mergeCell ref="BA1097:BA1098"/>
    <mergeCell ref="AV1102:AV1103"/>
    <mergeCell ref="AW1102:AW1103"/>
    <mergeCell ref="AX1102:AX1103"/>
    <mergeCell ref="AY1102:AY1103"/>
    <mergeCell ref="AZ1102:AZ1103"/>
    <mergeCell ref="BA1102:BA1103"/>
    <mergeCell ref="AV1107:AV1108"/>
    <mergeCell ref="AW1107:AW1108"/>
    <mergeCell ref="AX1107:AX1108"/>
    <mergeCell ref="AY1107:AY1108"/>
    <mergeCell ref="AZ1107:AZ1108"/>
    <mergeCell ref="BA1107:BA1108"/>
    <mergeCell ref="AV1109:AV1110"/>
    <mergeCell ref="AW1109:AW1110"/>
    <mergeCell ref="AX1109:AX1110"/>
    <mergeCell ref="AY1109:AY1110"/>
    <mergeCell ref="AZ1109:AZ1110"/>
    <mergeCell ref="BA1109:BA1110"/>
    <mergeCell ref="AV1111:AV1115"/>
    <mergeCell ref="AW1111:AW1115"/>
    <mergeCell ref="AX1111:AX1115"/>
    <mergeCell ref="AY1111:AY1115"/>
    <mergeCell ref="AZ1111:AZ1115"/>
    <mergeCell ref="BA1111:BA1115"/>
    <mergeCell ref="AV1116:AV1120"/>
    <mergeCell ref="AW1116:AW1120"/>
    <mergeCell ref="AX1116:AX1120"/>
    <mergeCell ref="AY1116:AY1120"/>
    <mergeCell ref="AZ1116:AZ1120"/>
    <mergeCell ref="BA1116:BA1120"/>
    <mergeCell ref="AV1127:AV1128"/>
    <mergeCell ref="AW1127:AW1128"/>
    <mergeCell ref="AX1127:AX1128"/>
    <mergeCell ref="AY1127:AY1128"/>
    <mergeCell ref="AZ1127:AZ1128"/>
    <mergeCell ref="BA1127:BA1128"/>
    <mergeCell ref="AV1133:AV1135"/>
    <mergeCell ref="AW1133:AW1135"/>
    <mergeCell ref="AX1133:AX1135"/>
    <mergeCell ref="AY1133:AY1135"/>
    <mergeCell ref="AZ1133:AZ1135"/>
    <mergeCell ref="BA1133:BA1135"/>
    <mergeCell ref="AV1136:AV1138"/>
    <mergeCell ref="AW1136:AW1138"/>
    <mergeCell ref="AX1136:AX1138"/>
    <mergeCell ref="AY1136:AY1138"/>
    <mergeCell ref="AZ1136:AZ1138"/>
    <mergeCell ref="BA1136:BA1138"/>
    <mergeCell ref="AV1139:AV1140"/>
    <mergeCell ref="AW1139:AW1140"/>
    <mergeCell ref="AX1139:AX1140"/>
    <mergeCell ref="AY1139:AY1140"/>
    <mergeCell ref="AZ1139:AZ1140"/>
    <mergeCell ref="BA1139:BA1140"/>
    <mergeCell ref="AV1149:AV1151"/>
    <mergeCell ref="AW1149:AW1151"/>
    <mergeCell ref="AX1149:AX1151"/>
    <mergeCell ref="AY1149:AY1151"/>
    <mergeCell ref="AZ1149:AZ1151"/>
    <mergeCell ref="BA1149:BA1151"/>
    <mergeCell ref="AV1152:AV1153"/>
    <mergeCell ref="AW1152:AW1153"/>
    <mergeCell ref="AX1152:AX1153"/>
    <mergeCell ref="AY1152:AY1153"/>
    <mergeCell ref="AZ1152:AZ1153"/>
    <mergeCell ref="BA1152:BA1153"/>
    <mergeCell ref="AV1154:AV1157"/>
    <mergeCell ref="AW1154:AW1157"/>
    <mergeCell ref="AX1154:AX1157"/>
    <mergeCell ref="AY1154:AY1157"/>
    <mergeCell ref="AZ1154:AZ1157"/>
    <mergeCell ref="BA1154:BA1157"/>
    <mergeCell ref="AV1158:AV1164"/>
    <mergeCell ref="AW1158:AW1164"/>
    <mergeCell ref="AX1158:AX1164"/>
    <mergeCell ref="AY1158:AY1164"/>
    <mergeCell ref="AZ1158:AZ1164"/>
    <mergeCell ref="BA1158:BA1164"/>
    <mergeCell ref="AV1165:AV1167"/>
    <mergeCell ref="AW1165:AW1167"/>
    <mergeCell ref="AX1165:AX1167"/>
    <mergeCell ref="AY1165:AY1167"/>
    <mergeCell ref="AZ1165:AZ1167"/>
    <mergeCell ref="BA1165:BA1167"/>
    <mergeCell ref="AV1168:AV1171"/>
    <mergeCell ref="AW1168:AW1171"/>
    <mergeCell ref="AX1168:AX1171"/>
    <mergeCell ref="AY1168:AY1171"/>
    <mergeCell ref="AZ1168:AZ1171"/>
    <mergeCell ref="BA1168:BA1171"/>
    <mergeCell ref="AV1172:AV1173"/>
    <mergeCell ref="AW1172:AW1173"/>
    <mergeCell ref="AX1172:AX1173"/>
    <mergeCell ref="AY1172:AY1173"/>
    <mergeCell ref="AZ1172:AZ1173"/>
    <mergeCell ref="BA1172:BA1173"/>
    <mergeCell ref="AV1174:AV1175"/>
    <mergeCell ref="AW1174:AW1175"/>
    <mergeCell ref="AX1174:AX1175"/>
    <mergeCell ref="AY1174:AY1175"/>
    <mergeCell ref="AZ1174:AZ1175"/>
    <mergeCell ref="BA1174:BA1175"/>
    <mergeCell ref="AV1177:AV1178"/>
    <mergeCell ref="AW1177:AW1178"/>
    <mergeCell ref="AX1177:AX1178"/>
    <mergeCell ref="AY1177:AY1178"/>
    <mergeCell ref="AZ1177:AZ1178"/>
    <mergeCell ref="BA1177:BA1178"/>
    <mergeCell ref="AV1179:AV1181"/>
    <mergeCell ref="AW1179:AW1181"/>
    <mergeCell ref="AX1179:AX1181"/>
    <mergeCell ref="AY1179:AY1181"/>
    <mergeCell ref="AZ1179:AZ1181"/>
    <mergeCell ref="BA1179:BA1181"/>
    <mergeCell ref="AV1182:AV1183"/>
    <mergeCell ref="AW1182:AW1183"/>
    <mergeCell ref="AX1182:AX1183"/>
    <mergeCell ref="AY1182:AY1183"/>
    <mergeCell ref="AZ1182:AZ1183"/>
    <mergeCell ref="BA1182:BA1183"/>
    <mergeCell ref="AV1189:AV1191"/>
    <mergeCell ref="AW1189:AW1191"/>
    <mergeCell ref="AX1189:AX1191"/>
    <mergeCell ref="AY1189:AY1191"/>
    <mergeCell ref="AZ1189:AZ1191"/>
    <mergeCell ref="BA1189:BA1191"/>
    <mergeCell ref="AV1197:AV1198"/>
    <mergeCell ref="AW1197:AW1198"/>
    <mergeCell ref="AX1197:AX1198"/>
    <mergeCell ref="AY1197:AY1198"/>
    <mergeCell ref="AZ1197:AZ1198"/>
    <mergeCell ref="BA1197:BA1198"/>
    <mergeCell ref="AV1201:AV1202"/>
    <mergeCell ref="AW1201:AW1202"/>
    <mergeCell ref="AX1201:AX1202"/>
    <mergeCell ref="AY1201:AY1202"/>
    <mergeCell ref="AZ1201:AZ1202"/>
    <mergeCell ref="BA1201:BA1202"/>
    <mergeCell ref="AV1205:AV1212"/>
    <mergeCell ref="AW1205:AW1212"/>
    <mergeCell ref="AX1205:AX1212"/>
    <mergeCell ref="AY1205:AY1212"/>
    <mergeCell ref="AZ1205:AZ1212"/>
    <mergeCell ref="BA1205:BA1212"/>
    <mergeCell ref="AV1213:AV1221"/>
    <mergeCell ref="AW1213:AW1221"/>
    <mergeCell ref="AX1213:AX1221"/>
    <mergeCell ref="AY1213:AY1221"/>
    <mergeCell ref="AZ1213:AZ1221"/>
    <mergeCell ref="BA1213:BA1221"/>
    <mergeCell ref="AV1226:AV1227"/>
    <mergeCell ref="AW1226:AW1227"/>
    <mergeCell ref="AX1226:AX1227"/>
    <mergeCell ref="AY1226:AY1227"/>
    <mergeCell ref="AZ1226:AZ1227"/>
    <mergeCell ref="BA1226:BA1227"/>
    <mergeCell ref="AV1229:AV1232"/>
    <mergeCell ref="AW1229:AW1232"/>
    <mergeCell ref="AX1229:AX1232"/>
    <mergeCell ref="AY1229:AY1232"/>
    <mergeCell ref="AZ1229:AZ1232"/>
    <mergeCell ref="BA1229:BA1232"/>
    <mergeCell ref="AV1233:AV1236"/>
    <mergeCell ref="AW1233:AW1236"/>
    <mergeCell ref="AX1233:AX1236"/>
    <mergeCell ref="AY1233:AY1236"/>
    <mergeCell ref="AZ1233:AZ1236"/>
    <mergeCell ref="BA1233:BA1236"/>
    <mergeCell ref="AV1237:AV1240"/>
    <mergeCell ref="AW1237:AW1240"/>
    <mergeCell ref="AX1237:AX1240"/>
    <mergeCell ref="AY1237:AY1240"/>
    <mergeCell ref="AZ1237:AZ1240"/>
    <mergeCell ref="BA1237:BA1240"/>
    <mergeCell ref="AV1245:AV1246"/>
    <mergeCell ref="AW1245:AW1246"/>
    <mergeCell ref="AX1245:AX1246"/>
    <mergeCell ref="AY1245:AY1246"/>
    <mergeCell ref="AZ1245:AZ1246"/>
    <mergeCell ref="BA1245:BA1246"/>
    <mergeCell ref="AV1251:AV1253"/>
    <mergeCell ref="AW1251:AW1253"/>
    <mergeCell ref="AX1251:AX1253"/>
    <mergeCell ref="AY1251:AY1253"/>
    <mergeCell ref="AZ1251:AZ1253"/>
    <mergeCell ref="BA1251:BA1253"/>
    <mergeCell ref="AV1257:AV1258"/>
    <mergeCell ref="AW1257:AW1258"/>
    <mergeCell ref="AX1257:AX1258"/>
    <mergeCell ref="AY1257:AY1258"/>
    <mergeCell ref="AZ1257:AZ1258"/>
    <mergeCell ref="BA1257:BA1258"/>
    <mergeCell ref="AV1260:AV1262"/>
    <mergeCell ref="AW1260:AW1262"/>
    <mergeCell ref="AX1260:AX1262"/>
    <mergeCell ref="AY1260:AY1262"/>
    <mergeCell ref="AZ1260:AZ1262"/>
    <mergeCell ref="BA1260:BA1262"/>
    <mergeCell ref="AV1263:AV1264"/>
    <mergeCell ref="AW1263:AW1264"/>
    <mergeCell ref="AX1263:AX1264"/>
    <mergeCell ref="AY1263:AY1264"/>
    <mergeCell ref="AZ1263:AZ1264"/>
    <mergeCell ref="BA1263:BA1264"/>
    <mergeCell ref="AV1265:AV1266"/>
    <mergeCell ref="AW1265:AW1266"/>
    <mergeCell ref="AX1265:AX1266"/>
    <mergeCell ref="AY1265:AY1266"/>
    <mergeCell ref="AZ1265:AZ1266"/>
    <mergeCell ref="BA1265:BA1266"/>
    <mergeCell ref="AV1269:AV1273"/>
    <mergeCell ref="AW1269:AW1273"/>
    <mergeCell ref="AX1269:AX1273"/>
    <mergeCell ref="AY1269:AY1273"/>
    <mergeCell ref="AZ1269:AZ1273"/>
    <mergeCell ref="BA1269:BA1273"/>
    <mergeCell ref="AV1277:AV1280"/>
    <mergeCell ref="AW1277:AW1280"/>
    <mergeCell ref="AX1277:AX1280"/>
    <mergeCell ref="AY1277:AY1280"/>
    <mergeCell ref="AZ1277:AZ1280"/>
    <mergeCell ref="BA1277:BA1280"/>
    <mergeCell ref="AV1281:AV1284"/>
    <mergeCell ref="AW1281:AW1284"/>
    <mergeCell ref="AX1281:AX1284"/>
    <mergeCell ref="AY1281:AY1284"/>
    <mergeCell ref="AZ1281:AZ1284"/>
    <mergeCell ref="BA1281:BA1284"/>
    <mergeCell ref="AV1286:AV1287"/>
    <mergeCell ref="AW1286:AW1287"/>
    <mergeCell ref="AX1286:AX1287"/>
    <mergeCell ref="AY1286:AY1287"/>
    <mergeCell ref="AZ1286:AZ1287"/>
    <mergeCell ref="BA1286:BA1287"/>
    <mergeCell ref="AV1288:AV1290"/>
    <mergeCell ref="AW1288:AW1290"/>
    <mergeCell ref="AX1288:AX1290"/>
    <mergeCell ref="AY1288:AY1290"/>
    <mergeCell ref="AZ1288:AZ1290"/>
    <mergeCell ref="BA1288:BA1290"/>
    <mergeCell ref="AV1293:AV1294"/>
    <mergeCell ref="AW1293:AW1294"/>
    <mergeCell ref="AX1293:AX1294"/>
    <mergeCell ref="AY1293:AY1294"/>
    <mergeCell ref="AZ1293:AZ1294"/>
    <mergeCell ref="BA1293:BA1294"/>
    <mergeCell ref="AV1298:AV1301"/>
    <mergeCell ref="AW1298:AW1301"/>
    <mergeCell ref="AX1298:AX1301"/>
    <mergeCell ref="AY1298:AY1301"/>
    <mergeCell ref="AZ1298:AZ1301"/>
    <mergeCell ref="BA1298:BA1301"/>
    <mergeCell ref="AV1303:AV1304"/>
    <mergeCell ref="AW1303:AW1304"/>
    <mergeCell ref="AX1303:AX1304"/>
    <mergeCell ref="AY1303:AY1304"/>
    <mergeCell ref="AZ1303:AZ1304"/>
    <mergeCell ref="BA1303:BA1304"/>
    <mergeCell ref="AV1306:AV1308"/>
    <mergeCell ref="AW1306:AW1308"/>
    <mergeCell ref="AX1306:AX1308"/>
    <mergeCell ref="AY1306:AY1308"/>
    <mergeCell ref="AZ1306:AZ1308"/>
    <mergeCell ref="BA1306:BA1308"/>
    <mergeCell ref="AV1313:AV1314"/>
    <mergeCell ref="AW1313:AW1314"/>
    <mergeCell ref="AX1313:AX1314"/>
    <mergeCell ref="AY1313:AY1314"/>
    <mergeCell ref="AZ1313:AZ1314"/>
    <mergeCell ref="BA1313:BA1314"/>
    <mergeCell ref="AV1318:AV1321"/>
    <mergeCell ref="AW1318:AW1321"/>
    <mergeCell ref="AX1318:AX1321"/>
    <mergeCell ref="AY1318:AY1321"/>
    <mergeCell ref="AZ1318:AZ1321"/>
    <mergeCell ref="BA1318:BA1321"/>
    <mergeCell ref="AV1323:AV1325"/>
    <mergeCell ref="AW1323:AW1325"/>
    <mergeCell ref="AX1323:AX1325"/>
    <mergeCell ref="AY1323:AY1325"/>
    <mergeCell ref="AZ1323:AZ1325"/>
    <mergeCell ref="BA1323:BA1325"/>
    <mergeCell ref="AV1326:AV1327"/>
    <mergeCell ref="AW1326:AW1327"/>
    <mergeCell ref="AX1326:AX1327"/>
    <mergeCell ref="AY1326:AY1327"/>
    <mergeCell ref="AZ1326:AZ1327"/>
    <mergeCell ref="BA1326:BA1327"/>
    <mergeCell ref="AV1341:AV1342"/>
    <mergeCell ref="AW1341:AW1342"/>
    <mergeCell ref="AX1341:AX1342"/>
    <mergeCell ref="AY1341:AY1342"/>
    <mergeCell ref="AZ1341:AZ1342"/>
    <mergeCell ref="BA1341:BA1342"/>
    <mergeCell ref="AV1345:AV1346"/>
    <mergeCell ref="AW1345:AW1346"/>
    <mergeCell ref="AX1345:AX1346"/>
    <mergeCell ref="AY1345:AY1346"/>
    <mergeCell ref="AZ1345:AZ1346"/>
    <mergeCell ref="BA1345:BA1346"/>
    <mergeCell ref="AV1347:AV1348"/>
    <mergeCell ref="AW1347:AW1348"/>
    <mergeCell ref="AX1347:AX1348"/>
    <mergeCell ref="AY1347:AY1348"/>
    <mergeCell ref="AZ1347:AZ1348"/>
    <mergeCell ref="BA1347:BA1348"/>
    <mergeCell ref="AV1350:AV1353"/>
    <mergeCell ref="AW1350:AW1353"/>
    <mergeCell ref="AX1350:AX1353"/>
    <mergeCell ref="AY1350:AY1353"/>
    <mergeCell ref="AZ1350:AZ1353"/>
    <mergeCell ref="BA1350:BA1353"/>
    <mergeCell ref="AV1355:AV1356"/>
    <mergeCell ref="AW1355:AW1356"/>
    <mergeCell ref="AX1355:AX1356"/>
    <mergeCell ref="AY1355:AY1356"/>
    <mergeCell ref="AZ1355:AZ1356"/>
    <mergeCell ref="BA1355:BA1356"/>
    <mergeCell ref="AV1357:AV1358"/>
    <mergeCell ref="AW1357:AW1358"/>
    <mergeCell ref="AX1357:AX1358"/>
    <mergeCell ref="AY1357:AY1358"/>
    <mergeCell ref="AZ1357:AZ1358"/>
    <mergeCell ref="BA1357:BA1358"/>
    <mergeCell ref="AV1359:AV1361"/>
    <mergeCell ref="AW1359:AW1361"/>
    <mergeCell ref="AX1359:AX1361"/>
    <mergeCell ref="AY1359:AY1361"/>
    <mergeCell ref="AZ1359:AZ1361"/>
    <mergeCell ref="BA1359:BA1361"/>
    <mergeCell ref="AV1378:AV1379"/>
    <mergeCell ref="AW1378:AW1379"/>
    <mergeCell ref="AX1378:AX1379"/>
    <mergeCell ref="AY1378:AY1379"/>
    <mergeCell ref="AZ1378:AZ1379"/>
    <mergeCell ref="BA1378:BA1379"/>
    <mergeCell ref="AV1382:AV1383"/>
    <mergeCell ref="AW1382:AW1383"/>
    <mergeCell ref="AX1382:AX1383"/>
    <mergeCell ref="AY1382:AY1383"/>
    <mergeCell ref="AZ1382:AZ1383"/>
    <mergeCell ref="BA1382:BA1383"/>
    <mergeCell ref="AV1384:AV1385"/>
    <mergeCell ref="AW1384:AW1385"/>
    <mergeCell ref="AX1384:AX1385"/>
    <mergeCell ref="AY1384:AY1385"/>
    <mergeCell ref="AZ1384:AZ1385"/>
    <mergeCell ref="BA1384:BA1385"/>
    <mergeCell ref="AV1386:AV1387"/>
    <mergeCell ref="AW1386:AW1387"/>
    <mergeCell ref="AX1386:AX1387"/>
    <mergeCell ref="AY1386:AY1387"/>
    <mergeCell ref="AZ1386:AZ1387"/>
    <mergeCell ref="BA1386:BA1387"/>
    <mergeCell ref="AV1388:AV1389"/>
    <mergeCell ref="AW1388:AW1389"/>
    <mergeCell ref="AX1388:AX1389"/>
    <mergeCell ref="AY1388:AY1389"/>
    <mergeCell ref="AZ1388:AZ1389"/>
    <mergeCell ref="BA1388:BA1389"/>
    <mergeCell ref="AV1390:AV1391"/>
    <mergeCell ref="AW1390:AW1391"/>
    <mergeCell ref="AX1390:AX1391"/>
    <mergeCell ref="AY1390:AY1391"/>
    <mergeCell ref="AZ1390:AZ1391"/>
    <mergeCell ref="BA1390:BA1391"/>
    <mergeCell ref="AV1395:AV1398"/>
    <mergeCell ref="AW1395:AW1398"/>
    <mergeCell ref="AX1395:AX1398"/>
    <mergeCell ref="AY1395:AY1398"/>
    <mergeCell ref="AZ1395:AZ1398"/>
    <mergeCell ref="BA1395:BA1398"/>
    <mergeCell ref="AV1399:AV1402"/>
    <mergeCell ref="AW1399:AW1402"/>
    <mergeCell ref="AX1399:AX1402"/>
    <mergeCell ref="AY1399:AY1402"/>
    <mergeCell ref="AZ1399:AZ1402"/>
    <mergeCell ref="BA1399:BA1402"/>
    <mergeCell ref="AV1404:AV1407"/>
    <mergeCell ref="AW1404:AW1407"/>
    <mergeCell ref="AX1404:AX1407"/>
    <mergeCell ref="AY1404:AY1407"/>
    <mergeCell ref="AZ1404:AZ1407"/>
    <mergeCell ref="BA1404:BA1407"/>
    <mergeCell ref="AV1417:AV1418"/>
    <mergeCell ref="AW1417:AW1418"/>
    <mergeCell ref="AX1417:AX1418"/>
    <mergeCell ref="AY1417:AY1418"/>
    <mergeCell ref="AZ1417:AZ1418"/>
    <mergeCell ref="BA1417:BA1418"/>
    <mergeCell ref="AV1420:AV1424"/>
    <mergeCell ref="AW1420:AW1424"/>
    <mergeCell ref="AX1420:AX1424"/>
    <mergeCell ref="AY1420:AY1424"/>
    <mergeCell ref="AZ1420:AZ1424"/>
    <mergeCell ref="BA1420:BA1424"/>
    <mergeCell ref="AV1425:AV1426"/>
    <mergeCell ref="AW1425:AW1426"/>
    <mergeCell ref="AX1425:AX1426"/>
    <mergeCell ref="AY1425:AY1426"/>
    <mergeCell ref="AZ1425:AZ1426"/>
    <mergeCell ref="BA1425:BA1426"/>
    <mergeCell ref="AV1428:AV1429"/>
    <mergeCell ref="AW1428:AW1429"/>
    <mergeCell ref="AX1428:AX1429"/>
    <mergeCell ref="AY1428:AY1429"/>
    <mergeCell ref="AZ1428:AZ1429"/>
    <mergeCell ref="BA1428:BA1429"/>
    <mergeCell ref="AV1435:AV1436"/>
    <mergeCell ref="AW1435:AW1436"/>
    <mergeCell ref="AX1435:AX1436"/>
    <mergeCell ref="AY1435:AY1436"/>
    <mergeCell ref="AZ1435:AZ1436"/>
    <mergeCell ref="BA1435:BA1436"/>
    <mergeCell ref="AV1439:AV1440"/>
    <mergeCell ref="AW1439:AW1440"/>
    <mergeCell ref="AX1439:AX1440"/>
    <mergeCell ref="AY1439:AY1440"/>
    <mergeCell ref="AZ1439:AZ1440"/>
    <mergeCell ref="BA1439:BA1440"/>
    <mergeCell ref="AV1449:AV1451"/>
    <mergeCell ref="AW1449:AW1451"/>
    <mergeCell ref="AX1449:AX1451"/>
    <mergeCell ref="AY1449:AY1451"/>
    <mergeCell ref="AZ1449:AZ1451"/>
    <mergeCell ref="BA1449:BA1451"/>
    <mergeCell ref="AV1452:AV1454"/>
    <mergeCell ref="AW1452:AW1454"/>
    <mergeCell ref="AX1452:AX1454"/>
    <mergeCell ref="AY1452:AY1454"/>
    <mergeCell ref="AZ1452:AZ1454"/>
    <mergeCell ref="BA1452:BA1454"/>
    <mergeCell ref="AV1455:AV1456"/>
    <mergeCell ref="AW1455:AW1456"/>
    <mergeCell ref="AX1455:AX1456"/>
    <mergeCell ref="AY1455:AY1456"/>
    <mergeCell ref="AZ1455:AZ1456"/>
    <mergeCell ref="BA1455:BA1456"/>
    <mergeCell ref="AV1457:AV1458"/>
    <mergeCell ref="AW1457:AW1458"/>
    <mergeCell ref="AX1457:AX1458"/>
    <mergeCell ref="AY1457:AY1458"/>
    <mergeCell ref="AZ1457:AZ1458"/>
    <mergeCell ref="BA1457:BA1458"/>
    <mergeCell ref="AV1463:AV1464"/>
    <mergeCell ref="AW1463:AW1464"/>
    <mergeCell ref="AX1463:AX1464"/>
    <mergeCell ref="AY1463:AY1464"/>
    <mergeCell ref="AZ1463:AZ1464"/>
    <mergeCell ref="BA1463:BA1464"/>
    <mergeCell ref="AV1465:AV1466"/>
    <mergeCell ref="AW1465:AW1466"/>
    <mergeCell ref="AX1465:AX1466"/>
    <mergeCell ref="AY1465:AY1466"/>
    <mergeCell ref="AZ1465:AZ1466"/>
    <mergeCell ref="BA1465:BA1466"/>
    <mergeCell ref="AV1467:AV1468"/>
    <mergeCell ref="AW1467:AW1468"/>
    <mergeCell ref="AX1467:AX1468"/>
    <mergeCell ref="AY1467:AY1468"/>
    <mergeCell ref="AZ1467:AZ1468"/>
    <mergeCell ref="BA1467:BA1468"/>
    <mergeCell ref="AV1470:AV1471"/>
    <mergeCell ref="AW1470:AW1471"/>
    <mergeCell ref="AX1470:AX1471"/>
    <mergeCell ref="AY1470:AY1471"/>
    <mergeCell ref="AZ1470:AZ1471"/>
    <mergeCell ref="BA1470:BA1471"/>
    <mergeCell ref="AV1472:AV1474"/>
    <mergeCell ref="AW1472:AW1474"/>
    <mergeCell ref="AX1472:AX1474"/>
    <mergeCell ref="AY1472:AY1474"/>
    <mergeCell ref="AZ1472:AZ1474"/>
    <mergeCell ref="BA1472:BA1474"/>
    <mergeCell ref="AV1476:AV1480"/>
    <mergeCell ref="AW1476:AW1480"/>
    <mergeCell ref="AX1476:AX1480"/>
    <mergeCell ref="AY1476:AY1480"/>
    <mergeCell ref="AZ1476:AZ1480"/>
    <mergeCell ref="BA1476:BA1480"/>
    <mergeCell ref="AV1483:AV1484"/>
    <mergeCell ref="AW1483:AW1484"/>
    <mergeCell ref="AX1483:AX1484"/>
    <mergeCell ref="AY1483:AY1484"/>
    <mergeCell ref="AZ1483:AZ1484"/>
    <mergeCell ref="BA1483:BA1484"/>
    <mergeCell ref="AV1492:AV1494"/>
    <mergeCell ref="AW1492:AW1494"/>
    <mergeCell ref="AX1492:AX1494"/>
    <mergeCell ref="AY1492:AY1494"/>
    <mergeCell ref="AZ1492:AZ1494"/>
    <mergeCell ref="BA1492:BA1494"/>
    <mergeCell ref="AV1495:AV1496"/>
    <mergeCell ref="AW1495:AW1496"/>
    <mergeCell ref="AX1495:AX1496"/>
    <mergeCell ref="AY1495:AY1496"/>
    <mergeCell ref="AZ1495:AZ1496"/>
    <mergeCell ref="BA1495:BA1496"/>
    <mergeCell ref="AV1498:AV1499"/>
    <mergeCell ref="AW1498:AW1499"/>
    <mergeCell ref="AX1498:AX1499"/>
    <mergeCell ref="AY1498:AY1499"/>
    <mergeCell ref="AZ1498:AZ1499"/>
    <mergeCell ref="BA1498:BA1499"/>
    <mergeCell ref="AV1500:AV1502"/>
    <mergeCell ref="AW1500:AW1502"/>
    <mergeCell ref="AX1500:AX1502"/>
    <mergeCell ref="AY1500:AY1502"/>
    <mergeCell ref="AZ1500:AZ1502"/>
    <mergeCell ref="BA1500:BA1502"/>
    <mergeCell ref="AV1503:AV1505"/>
    <mergeCell ref="AW1503:AW1505"/>
    <mergeCell ref="AX1503:AX1505"/>
    <mergeCell ref="AY1503:AY1505"/>
    <mergeCell ref="AZ1503:AZ1505"/>
    <mergeCell ref="BA1503:BA1505"/>
    <mergeCell ref="AV1508:AV1509"/>
    <mergeCell ref="AW1508:AW1509"/>
    <mergeCell ref="AX1508:AX1509"/>
    <mergeCell ref="AY1508:AY1509"/>
    <mergeCell ref="AZ1508:AZ1509"/>
    <mergeCell ref="BA1508:BA1509"/>
    <mergeCell ref="AV1514:AV1517"/>
    <mergeCell ref="AW1514:AW1517"/>
    <mergeCell ref="AX1514:AX1517"/>
    <mergeCell ref="AY1514:AY1517"/>
    <mergeCell ref="AZ1514:AZ1517"/>
    <mergeCell ref="BA1514:BA1517"/>
    <mergeCell ref="AV1521:AV1523"/>
    <mergeCell ref="AW1521:AW1523"/>
    <mergeCell ref="AX1521:AX1523"/>
    <mergeCell ref="AY1521:AY1523"/>
    <mergeCell ref="AZ1521:AZ1523"/>
    <mergeCell ref="BA1521:BA1523"/>
    <mergeCell ref="AV1525:AV1527"/>
    <mergeCell ref="AW1525:AW1527"/>
    <mergeCell ref="AX1525:AX1527"/>
    <mergeCell ref="AY1525:AY1527"/>
    <mergeCell ref="AZ1525:AZ1527"/>
    <mergeCell ref="BA1525:BA1527"/>
    <mergeCell ref="AV1536:AV1538"/>
    <mergeCell ref="AW1536:AW1538"/>
    <mergeCell ref="AX1536:AX1538"/>
    <mergeCell ref="AY1536:AY1538"/>
    <mergeCell ref="AZ1536:AZ1538"/>
    <mergeCell ref="BA1536:BA1538"/>
    <mergeCell ref="AV1540:AV1541"/>
    <mergeCell ref="AW1540:AW1541"/>
    <mergeCell ref="AX1540:AX1541"/>
    <mergeCell ref="AY1540:AY1541"/>
    <mergeCell ref="AZ1540:AZ1541"/>
    <mergeCell ref="BA1540:BA1541"/>
    <mergeCell ref="AV1551:AV1554"/>
    <mergeCell ref="AW1551:AW1554"/>
    <mergeCell ref="AX1551:AX1554"/>
    <mergeCell ref="AY1551:AY1554"/>
    <mergeCell ref="AZ1551:AZ1554"/>
    <mergeCell ref="BA1551:BA1554"/>
    <mergeCell ref="AV1555:AV1556"/>
    <mergeCell ref="AW1555:AW1556"/>
    <mergeCell ref="AX1555:AX1556"/>
    <mergeCell ref="AY1555:AY1556"/>
    <mergeCell ref="AZ1555:AZ1556"/>
    <mergeCell ref="BA1555:BA1556"/>
    <mergeCell ref="AV1557:AV1558"/>
    <mergeCell ref="AW1557:AW1558"/>
    <mergeCell ref="AX1557:AX1558"/>
    <mergeCell ref="AY1557:AY1558"/>
    <mergeCell ref="AZ1557:AZ1558"/>
    <mergeCell ref="BA1557:BA1558"/>
    <mergeCell ref="AV1562:AV1563"/>
    <mergeCell ref="AW1562:AW1563"/>
    <mergeCell ref="AX1562:AX1563"/>
    <mergeCell ref="AY1562:AY1563"/>
    <mergeCell ref="AZ1562:AZ1563"/>
    <mergeCell ref="BA1562:BA1563"/>
    <mergeCell ref="AV1565:AV1567"/>
    <mergeCell ref="AW1565:AW1567"/>
    <mergeCell ref="AX1565:AX1567"/>
    <mergeCell ref="AY1565:AY1567"/>
    <mergeCell ref="AZ1565:AZ1567"/>
    <mergeCell ref="BA1565:BA1567"/>
    <mergeCell ref="AV1568:AV1570"/>
    <mergeCell ref="AW1568:AW1570"/>
    <mergeCell ref="AX1568:AX1570"/>
    <mergeCell ref="AY1568:AY1570"/>
    <mergeCell ref="AZ1568:AZ1570"/>
    <mergeCell ref="BA1568:BA1570"/>
    <mergeCell ref="AV1571:AV1572"/>
    <mergeCell ref="AW1571:AW1572"/>
    <mergeCell ref="AX1571:AX1572"/>
    <mergeCell ref="AY1571:AY1572"/>
    <mergeCell ref="AZ1571:AZ1572"/>
    <mergeCell ref="BA1571:BA1572"/>
    <mergeCell ref="AV1573:AV1575"/>
    <mergeCell ref="AW1573:AW1575"/>
    <mergeCell ref="AX1573:AX1575"/>
    <mergeCell ref="AY1573:AY1575"/>
    <mergeCell ref="AZ1573:AZ1575"/>
    <mergeCell ref="BA1573:BA1575"/>
    <mergeCell ref="AV1577:AV1580"/>
    <mergeCell ref="AW1577:AW1580"/>
    <mergeCell ref="AX1577:AX1580"/>
    <mergeCell ref="AY1577:AY1580"/>
    <mergeCell ref="AZ1577:AZ1580"/>
    <mergeCell ref="BA1577:BA1580"/>
    <mergeCell ref="AV1581:AV1584"/>
    <mergeCell ref="AW1581:AW1584"/>
    <mergeCell ref="AX1581:AX1584"/>
    <mergeCell ref="AY1581:AY1584"/>
    <mergeCell ref="AZ1581:AZ1584"/>
    <mergeCell ref="BA1581:BA1584"/>
    <mergeCell ref="AV1590:AV1591"/>
    <mergeCell ref="AW1590:AW1591"/>
    <mergeCell ref="AX1590:AX1591"/>
    <mergeCell ref="AY1590:AY1591"/>
    <mergeCell ref="AZ1590:AZ1591"/>
    <mergeCell ref="BA1590:BA1591"/>
    <mergeCell ref="AV1593:AV1595"/>
    <mergeCell ref="AW1593:AW1595"/>
    <mergeCell ref="AX1593:AX1595"/>
    <mergeCell ref="AY1593:AY1595"/>
    <mergeCell ref="AZ1593:AZ1595"/>
    <mergeCell ref="BA1593:BA1595"/>
    <mergeCell ref="AV1597:AV1598"/>
    <mergeCell ref="AW1597:AW1598"/>
    <mergeCell ref="AX1597:AX1598"/>
    <mergeCell ref="AY1597:AY1598"/>
    <mergeCell ref="AZ1597:AZ1598"/>
    <mergeCell ref="BA1597:BA1598"/>
    <mergeCell ref="AV1601:AV1602"/>
    <mergeCell ref="AW1601:AW1602"/>
    <mergeCell ref="AX1601:AX1602"/>
    <mergeCell ref="AY1601:AY1602"/>
    <mergeCell ref="AZ1601:AZ1602"/>
    <mergeCell ref="BA1601:BA1602"/>
    <mergeCell ref="AV1603:AV1604"/>
    <mergeCell ref="AW1603:AW1604"/>
    <mergeCell ref="AX1603:AX1604"/>
    <mergeCell ref="AY1603:AY1604"/>
    <mergeCell ref="AZ1603:AZ1604"/>
    <mergeCell ref="BA1603:BA1604"/>
    <mergeCell ref="AV1605:AV1606"/>
    <mergeCell ref="AW1605:AW1606"/>
    <mergeCell ref="AX1605:AX1606"/>
    <mergeCell ref="AY1605:AY1606"/>
    <mergeCell ref="AZ1605:AZ1606"/>
    <mergeCell ref="BA1605:BA1606"/>
    <mergeCell ref="AV1607:AV1608"/>
    <mergeCell ref="AW1607:AW1608"/>
    <mergeCell ref="AX1607:AX1608"/>
    <mergeCell ref="AY1607:AY1608"/>
    <mergeCell ref="AZ1607:AZ1608"/>
    <mergeCell ref="BA1607:BA1608"/>
    <mergeCell ref="AV1609:AV1610"/>
    <mergeCell ref="AW1609:AW1610"/>
    <mergeCell ref="AX1609:AX1610"/>
    <mergeCell ref="AY1609:AY1610"/>
    <mergeCell ref="AZ1609:AZ1610"/>
    <mergeCell ref="BA1609:BA1610"/>
    <mergeCell ref="AV1611:AV1613"/>
    <mergeCell ref="AW1611:AW1613"/>
    <mergeCell ref="AX1611:AX1613"/>
    <mergeCell ref="AY1611:AY1613"/>
    <mergeCell ref="AZ1611:AZ1613"/>
    <mergeCell ref="BA1611:BA1613"/>
    <mergeCell ref="AV1614:AV1618"/>
    <mergeCell ref="AW1614:AW1618"/>
    <mergeCell ref="AX1614:AX1618"/>
    <mergeCell ref="AY1614:AY1618"/>
    <mergeCell ref="AZ1614:AZ1618"/>
    <mergeCell ref="BA1614:BA1618"/>
    <mergeCell ref="AV1619:AV1622"/>
    <mergeCell ref="AW1619:AW1622"/>
    <mergeCell ref="AX1619:AX1622"/>
    <mergeCell ref="AY1619:AY1622"/>
    <mergeCell ref="AZ1619:AZ1622"/>
    <mergeCell ref="BA1619:BA1622"/>
    <mergeCell ref="AV1623:AV1625"/>
    <mergeCell ref="AW1623:AW1625"/>
    <mergeCell ref="AX1623:AX1625"/>
    <mergeCell ref="AY1623:AY1625"/>
    <mergeCell ref="AZ1623:AZ1625"/>
    <mergeCell ref="BA1623:BA1625"/>
    <mergeCell ref="AV1628:AV1633"/>
    <mergeCell ref="AW1628:AW1633"/>
    <mergeCell ref="AX1628:AX1633"/>
    <mergeCell ref="AY1628:AY1633"/>
    <mergeCell ref="AZ1628:AZ1633"/>
    <mergeCell ref="BA1628:BA1633"/>
    <mergeCell ref="AV1634:AV1638"/>
    <mergeCell ref="AW1634:AW1638"/>
    <mergeCell ref="AX1634:AX1638"/>
    <mergeCell ref="AY1634:AY1638"/>
    <mergeCell ref="AZ1634:AZ1638"/>
    <mergeCell ref="BA1634:BA1638"/>
    <mergeCell ref="AV1639:AV1643"/>
    <mergeCell ref="AW1639:AW1643"/>
    <mergeCell ref="AX1639:AX1643"/>
    <mergeCell ref="AY1639:AY1643"/>
    <mergeCell ref="AZ1639:AZ1643"/>
    <mergeCell ref="BA1639:BA1643"/>
    <mergeCell ref="AV1644:AV1648"/>
    <mergeCell ref="AW1644:AW1648"/>
    <mergeCell ref="AX1644:AX1648"/>
    <mergeCell ref="AY1644:AY1648"/>
    <mergeCell ref="AZ1644:AZ1648"/>
    <mergeCell ref="BA1644:BA1648"/>
    <mergeCell ref="AV1649:AV1654"/>
    <mergeCell ref="AW1649:AW1654"/>
    <mergeCell ref="AX1649:AX1654"/>
    <mergeCell ref="AY1649:AY1654"/>
    <mergeCell ref="AZ1649:AZ1654"/>
    <mergeCell ref="BA1649:BA1654"/>
    <mergeCell ref="AV1655:AV1659"/>
    <mergeCell ref="AW1655:AW1659"/>
    <mergeCell ref="AX1655:AX1659"/>
    <mergeCell ref="AY1655:AY1659"/>
    <mergeCell ref="AZ1655:AZ1659"/>
    <mergeCell ref="BA1655:BA1659"/>
    <mergeCell ref="AV1660:AV1664"/>
    <mergeCell ref="AW1660:AW1664"/>
    <mergeCell ref="AX1660:AX1664"/>
    <mergeCell ref="AY1660:AY1664"/>
    <mergeCell ref="AZ1660:AZ1664"/>
    <mergeCell ref="BA1660:BA1664"/>
    <mergeCell ref="AV1665:AV1670"/>
    <mergeCell ref="AW1665:AW1670"/>
    <mergeCell ref="AX1665:AX1670"/>
    <mergeCell ref="AY1665:AY1670"/>
    <mergeCell ref="AZ1665:AZ1670"/>
    <mergeCell ref="BA1665:BA1670"/>
    <mergeCell ref="AV1673:AV1674"/>
    <mergeCell ref="AW1673:AW1674"/>
    <mergeCell ref="AX1673:AX1674"/>
    <mergeCell ref="AY1673:AY1674"/>
    <mergeCell ref="AZ1673:AZ1674"/>
    <mergeCell ref="BA1673:BA1674"/>
    <mergeCell ref="AV1679:AV1680"/>
    <mergeCell ref="AW1679:AW1680"/>
    <mergeCell ref="AX1679:AX1680"/>
    <mergeCell ref="AY1679:AY1680"/>
    <mergeCell ref="AZ1679:AZ1680"/>
    <mergeCell ref="BA1679:BA1680"/>
    <mergeCell ref="AV1694:AV1695"/>
    <mergeCell ref="AW1694:AW1695"/>
    <mergeCell ref="AX1694:AX1695"/>
    <mergeCell ref="AY1694:AY1695"/>
    <mergeCell ref="AZ1694:AZ1695"/>
    <mergeCell ref="BA1694:BA1695"/>
    <mergeCell ref="AV1701:AV1704"/>
    <mergeCell ref="AW1701:AW1704"/>
    <mergeCell ref="AX1701:AX1704"/>
    <mergeCell ref="AY1701:AY1704"/>
    <mergeCell ref="AZ1701:AZ1704"/>
    <mergeCell ref="BA1701:BA1704"/>
    <mergeCell ref="AV1705:AV1707"/>
    <mergeCell ref="AW1705:AW1707"/>
    <mergeCell ref="AX1705:AX1707"/>
    <mergeCell ref="AY1705:AY1707"/>
    <mergeCell ref="AZ1705:AZ1707"/>
    <mergeCell ref="BA1705:BA1707"/>
    <mergeCell ref="AV1708:AV1709"/>
    <mergeCell ref="AW1708:AW1709"/>
    <mergeCell ref="AX1708:AX1709"/>
    <mergeCell ref="AY1708:AY1709"/>
    <mergeCell ref="AZ1708:AZ1709"/>
    <mergeCell ref="BA1708:BA1709"/>
    <mergeCell ref="AV1710:AV1713"/>
    <mergeCell ref="AW1710:AW1713"/>
    <mergeCell ref="AX1710:AX1713"/>
    <mergeCell ref="AY1710:AY1713"/>
    <mergeCell ref="AZ1710:AZ1713"/>
    <mergeCell ref="BA1710:BA1713"/>
    <mergeCell ref="AV1714:AV1716"/>
    <mergeCell ref="AW1714:AW1716"/>
    <mergeCell ref="AX1714:AX1716"/>
    <mergeCell ref="AY1714:AY1716"/>
    <mergeCell ref="AZ1714:AZ1716"/>
    <mergeCell ref="BA1714:BA1716"/>
    <mergeCell ref="AV1717:AV1718"/>
    <mergeCell ref="AW1717:AW1718"/>
    <mergeCell ref="AX1717:AX1718"/>
    <mergeCell ref="AY1717:AY1718"/>
    <mergeCell ref="AZ1717:AZ1718"/>
    <mergeCell ref="BA1717:BA1718"/>
    <mergeCell ref="AV1719:AV1720"/>
    <mergeCell ref="AW1719:AW1720"/>
    <mergeCell ref="AX1719:AX1720"/>
    <mergeCell ref="AY1719:AY1720"/>
    <mergeCell ref="AZ1719:AZ1720"/>
    <mergeCell ref="BA1719:BA1720"/>
    <mergeCell ref="AV1721:AV1724"/>
    <mergeCell ref="AW1721:AW1724"/>
    <mergeCell ref="AX1721:AX1724"/>
    <mergeCell ref="AY1721:AY1724"/>
    <mergeCell ref="AZ1721:AZ1724"/>
    <mergeCell ref="BA1721:BA1724"/>
    <mergeCell ref="AV1734:AV1735"/>
    <mergeCell ref="AW1734:AW1735"/>
    <mergeCell ref="AX1734:AX1735"/>
    <mergeCell ref="AY1734:AY1735"/>
    <mergeCell ref="AZ1734:AZ1735"/>
    <mergeCell ref="BA1734:BA1735"/>
    <mergeCell ref="AV1736:AV1737"/>
    <mergeCell ref="AW1736:AW1737"/>
    <mergeCell ref="AX1736:AX1737"/>
    <mergeCell ref="AY1736:AY1737"/>
    <mergeCell ref="AZ1736:AZ1737"/>
    <mergeCell ref="BA1736:BA1737"/>
    <mergeCell ref="AV1741:AV1742"/>
    <mergeCell ref="AW1741:AW1742"/>
    <mergeCell ref="AX1741:AX1742"/>
    <mergeCell ref="AY1741:AY1742"/>
    <mergeCell ref="AZ1741:AZ1742"/>
    <mergeCell ref="BA1741:BA1742"/>
    <mergeCell ref="AV1746:AV1747"/>
    <mergeCell ref="AW1746:AW1747"/>
    <mergeCell ref="AX1746:AX1747"/>
    <mergeCell ref="AY1746:AY1747"/>
    <mergeCell ref="AZ1746:AZ1747"/>
    <mergeCell ref="BA1746:BA1747"/>
    <mergeCell ref="AV1748:AV1749"/>
    <mergeCell ref="AW1748:AW1749"/>
    <mergeCell ref="AX1748:AX1749"/>
    <mergeCell ref="AY1748:AY1749"/>
    <mergeCell ref="AZ1748:AZ1749"/>
    <mergeCell ref="BA1748:BA1749"/>
    <mergeCell ref="AV1751:AV1752"/>
    <mergeCell ref="AW1751:AW1752"/>
    <mergeCell ref="AX1751:AX1752"/>
    <mergeCell ref="AY1751:AY1752"/>
    <mergeCell ref="AZ1751:AZ1752"/>
    <mergeCell ref="BA1751:BA1752"/>
    <mergeCell ref="AV1753:AV1755"/>
    <mergeCell ref="AW1753:AW1755"/>
    <mergeCell ref="AX1753:AX1755"/>
    <mergeCell ref="AY1753:AY1755"/>
    <mergeCell ref="AZ1753:AZ1755"/>
    <mergeCell ref="BA1753:BA1755"/>
    <mergeCell ref="AV1756:AV1758"/>
    <mergeCell ref="AW1756:AW1758"/>
    <mergeCell ref="AX1756:AX1758"/>
    <mergeCell ref="AY1756:AY1758"/>
    <mergeCell ref="AZ1756:AZ1758"/>
    <mergeCell ref="BA1756:BA1758"/>
    <mergeCell ref="AV1763:AV1764"/>
    <mergeCell ref="AW1763:AW1764"/>
    <mergeCell ref="AX1763:AX1764"/>
    <mergeCell ref="AY1763:AY1764"/>
    <mergeCell ref="AZ1763:AZ1764"/>
    <mergeCell ref="BA1763:BA1764"/>
    <mergeCell ref="AV1765:AV1766"/>
    <mergeCell ref="AW1765:AW1766"/>
    <mergeCell ref="AX1765:AX1766"/>
    <mergeCell ref="AY1765:AY1766"/>
    <mergeCell ref="AZ1765:AZ1766"/>
    <mergeCell ref="BA1765:BA1766"/>
    <mergeCell ref="AV1767:AV1768"/>
    <mergeCell ref="AW1767:AW1768"/>
    <mergeCell ref="AX1767:AX1768"/>
    <mergeCell ref="AY1767:AY1768"/>
    <mergeCell ref="AZ1767:AZ1768"/>
    <mergeCell ref="BA1767:BA1768"/>
    <mergeCell ref="AV1773:AV1775"/>
    <mergeCell ref="AW1773:AW1775"/>
    <mergeCell ref="AX1773:AX1775"/>
    <mergeCell ref="AY1773:AY1775"/>
    <mergeCell ref="AZ1773:AZ1775"/>
    <mergeCell ref="BA1773:BA1775"/>
    <mergeCell ref="AV1776:AV1778"/>
    <mergeCell ref="AW1776:AW1778"/>
    <mergeCell ref="AX1776:AX1778"/>
    <mergeCell ref="AY1776:AY1778"/>
    <mergeCell ref="AZ1776:AZ1778"/>
    <mergeCell ref="BA1776:BA1778"/>
    <mergeCell ref="AV1782:AV1784"/>
    <mergeCell ref="AW1782:AW1784"/>
    <mergeCell ref="AX1782:AX1784"/>
    <mergeCell ref="AY1782:AY1784"/>
    <mergeCell ref="AZ1782:AZ1784"/>
    <mergeCell ref="BA1782:BA1784"/>
    <mergeCell ref="AV1785:AV1787"/>
    <mergeCell ref="AW1785:AW1787"/>
    <mergeCell ref="AX1785:AX1787"/>
    <mergeCell ref="AY1785:AY1787"/>
    <mergeCell ref="AZ1785:AZ1787"/>
    <mergeCell ref="BA1785:BA1787"/>
    <mergeCell ref="AV1788:AV1790"/>
    <mergeCell ref="AW1788:AW1790"/>
    <mergeCell ref="AX1788:AX1790"/>
    <mergeCell ref="AY1788:AY1790"/>
    <mergeCell ref="AZ1788:AZ1790"/>
    <mergeCell ref="BA1788:BA1790"/>
    <mergeCell ref="AV1791:AV1793"/>
    <mergeCell ref="AW1791:AW1793"/>
    <mergeCell ref="AX1791:AX1793"/>
    <mergeCell ref="AY1791:AY1793"/>
    <mergeCell ref="AZ1791:AZ1793"/>
    <mergeCell ref="BA1791:BA1793"/>
    <mergeCell ref="AV1794:AV1795"/>
    <mergeCell ref="AW1794:AW1795"/>
    <mergeCell ref="AX1794:AX1795"/>
    <mergeCell ref="AY1794:AY1795"/>
    <mergeCell ref="AZ1794:AZ1795"/>
    <mergeCell ref="BA1794:BA1795"/>
    <mergeCell ref="AV1796:AV1797"/>
    <mergeCell ref="AW1796:AW1797"/>
    <mergeCell ref="AX1796:AX1797"/>
    <mergeCell ref="AY1796:AY1797"/>
    <mergeCell ref="AZ1796:AZ1797"/>
    <mergeCell ref="BA1796:BA1797"/>
    <mergeCell ref="AV1800:AV1802"/>
    <mergeCell ref="AW1800:AW1802"/>
    <mergeCell ref="AX1800:AX1802"/>
    <mergeCell ref="AY1800:AY1802"/>
    <mergeCell ref="AZ1800:AZ1802"/>
    <mergeCell ref="BA1800:BA1802"/>
    <mergeCell ref="AV1811:AV1812"/>
    <mergeCell ref="AW1811:AW1812"/>
    <mergeCell ref="AX1811:AX1812"/>
    <mergeCell ref="AY1811:AY1812"/>
    <mergeCell ref="AZ1811:AZ1812"/>
    <mergeCell ref="BA1811:BA1812"/>
    <mergeCell ref="AV1814:AV1815"/>
    <mergeCell ref="AW1814:AW1815"/>
    <mergeCell ref="AX1814:AX1815"/>
    <mergeCell ref="AY1814:AY1815"/>
    <mergeCell ref="AZ1814:AZ1815"/>
    <mergeCell ref="BA1814:BA1815"/>
    <mergeCell ref="BB6:BB7"/>
    <mergeCell ref="BB172:BB173"/>
    <mergeCell ref="BB176:BB177"/>
    <mergeCell ref="BB178:BB180"/>
    <mergeCell ref="BB233:BB234"/>
    <mergeCell ref="BB250:BB251"/>
    <mergeCell ref="BB255:BB256"/>
    <mergeCell ref="BB257:BB258"/>
    <mergeCell ref="BB310:BB311"/>
    <mergeCell ref="BB319:BB320"/>
    <mergeCell ref="BB358:BB359"/>
    <mergeCell ref="BB367:BB368"/>
    <mergeCell ref="BB391:BB392"/>
    <mergeCell ref="BB396:BB397"/>
    <mergeCell ref="BB456:BB457"/>
    <mergeCell ref="BB464:BB465"/>
    <mergeCell ref="BB466:BB467"/>
    <mergeCell ref="BB706:BB707"/>
    <mergeCell ref="BB717:BB718"/>
    <mergeCell ref="BB721:BB722"/>
    <mergeCell ref="BB728:BB729"/>
    <mergeCell ref="BB901:BB902"/>
    <mergeCell ref="BB903:BB904"/>
    <mergeCell ref="BB921:BB922"/>
    <mergeCell ref="BB1045:BB1046"/>
    <mergeCell ref="BB1050:BB1051"/>
    <mergeCell ref="BB1066:BB1067"/>
    <mergeCell ref="BB1068:BB1069"/>
    <mergeCell ref="BB1070:BB1071"/>
    <mergeCell ref="BB1072:BB1073"/>
    <mergeCell ref="BB1091:BB1092"/>
    <mergeCell ref="BB1093:BB1094"/>
    <mergeCell ref="BB1112:BB1113"/>
    <mergeCell ref="BB1114:BB1115"/>
    <mergeCell ref="BB1119:BB1120"/>
    <mergeCell ref="BB1154:BB1155"/>
    <mergeCell ref="BB1160:BB1161"/>
    <mergeCell ref="BB1162:BB1163"/>
    <mergeCell ref="BB1169:BB1170"/>
    <mergeCell ref="BB1190:BB1191"/>
    <mergeCell ref="BB1207:BB1212"/>
    <mergeCell ref="BB1216:BB1221"/>
    <mergeCell ref="BB1245:BB1246"/>
    <mergeCell ref="BB1252:BB1253"/>
    <mergeCell ref="BB1257:BB1258"/>
    <mergeCell ref="BB1263:BB1264"/>
    <mergeCell ref="BB1265:BB1266"/>
    <mergeCell ref="BB1298:BB1299"/>
    <mergeCell ref="BB1300:BB1301"/>
    <mergeCell ref="BB1359:BB1361"/>
    <mergeCell ref="BB1473:BB1474"/>
    <mergeCell ref="BB1477:BB1478"/>
    <mergeCell ref="BB1479:BB1480"/>
    <mergeCell ref="BB1495:BB1496"/>
    <mergeCell ref="BB1537:BB1538"/>
    <mergeCell ref="BB1553:BB1554"/>
    <mergeCell ref="BB1555:BB1556"/>
    <mergeCell ref="BB1566:BB1567"/>
    <mergeCell ref="BB1569:BB1570"/>
    <mergeCell ref="BB1571:BB1572"/>
    <mergeCell ref="BB1597:BB1598"/>
    <mergeCell ref="BB1763:BB1764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29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9155</v>
      </c>
      <c r="C2" s="0" t="s">
        <v>9156</v>
      </c>
      <c r="D2" s="0" t="s">
        <v>9157</v>
      </c>
      <c r="E2" s="0" t="s">
        <v>59</v>
      </c>
    </row>
    <row r="3">
      <c r="A3" s="1" t="s">
        <v>59</v>
      </c>
      <c r="B3" s="1" t="s">
        <v>60</v>
      </c>
      <c r="C3" s="1" t="s">
        <v>61</v>
      </c>
      <c r="D3" s="1" t="s">
        <v>62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59</v>
      </c>
      <c r="B4" s="1" t="s">
        <v>60</v>
      </c>
      <c r="C4" s="1" t="s">
        <v>61</v>
      </c>
      <c r="D4" s="1" t="s">
        <v>62</v>
      </c>
      <c r="E4" s="1" t="s">
        <v>36</v>
      </c>
      <c r="F4" s="1" t="s">
        <v>36</v>
      </c>
      <c r="G4" s="1" t="s">
        <v>37</v>
      </c>
      <c r="H4" s="1" t="s">
        <v>37</v>
      </c>
      <c r="I4" s="1" t="s">
        <v>9158</v>
      </c>
      <c r="J4" s="1" t="s">
        <v>9159</v>
      </c>
      <c r="K4" s="1" t="s">
        <v>36</v>
      </c>
      <c r="L4" s="1" t="s">
        <v>36</v>
      </c>
      <c r="M4" s="1" t="s">
        <v>37</v>
      </c>
      <c r="N4" s="1" t="s">
        <v>37</v>
      </c>
      <c r="O4" s="1" t="s">
        <v>9160</v>
      </c>
      <c r="P4" s="1" t="s">
        <v>9161</v>
      </c>
    </row>
    <row r="5">
      <c r="A5" s="1" t="s">
        <v>59</v>
      </c>
      <c r="B5" s="1" t="s">
        <v>60</v>
      </c>
      <c r="C5" s="1" t="s">
        <v>61</v>
      </c>
      <c r="D5" s="1" t="s">
        <v>62</v>
      </c>
      <c r="E5" s="1" t="s">
        <v>9162</v>
      </c>
      <c r="F5" s="1" t="s">
        <v>9163</v>
      </c>
      <c r="G5" s="1" t="s">
        <v>9162</v>
      </c>
      <c r="H5" s="1" t="s">
        <v>9163</v>
      </c>
      <c r="I5" s="1" t="s">
        <v>9158</v>
      </c>
      <c r="J5" s="1" t="s">
        <v>9159</v>
      </c>
      <c r="K5" s="1" t="s">
        <v>9164</v>
      </c>
      <c r="L5" s="1" t="s">
        <v>9165</v>
      </c>
      <c r="M5" s="1" t="s">
        <v>9164</v>
      </c>
      <c r="N5" s="1" t="s">
        <v>9165</v>
      </c>
      <c r="O5" s="1" t="s">
        <v>9160</v>
      </c>
      <c r="P5" s="1" t="s">
        <v>9161</v>
      </c>
    </row>
    <row r="6">
      <c r="A6" s="2" t="s">
        <v>903</v>
      </c>
      <c r="B6" s="2" t="s">
        <v>1375</v>
      </c>
      <c r="C6" s="2" t="s">
        <v>608</v>
      </c>
      <c r="D6" s="2" t="s">
        <v>609</v>
      </c>
      <c r="E6" s="4"/>
      <c r="F6" s="8"/>
      <c r="G6" s="4"/>
      <c r="H6" s="8"/>
      <c r="I6" s="7"/>
      <c r="J6" s="7"/>
      <c r="K6" s="4"/>
      <c r="L6" s="8"/>
      <c r="M6" s="4"/>
      <c r="N6" s="8"/>
      <c r="O6" s="7"/>
      <c r="P6" s="7"/>
    </row>
    <row r="7">
      <c r="A7" s="2" t="s">
        <v>903</v>
      </c>
      <c r="B7" s="2" t="s">
        <v>1375</v>
      </c>
      <c r="C7" s="2" t="s">
        <v>1818</v>
      </c>
      <c r="D7" s="2" t="s">
        <v>1819</v>
      </c>
      <c r="E7" s="4"/>
      <c r="F7" s="8"/>
      <c r="G7" s="4"/>
      <c r="H7" s="8"/>
      <c r="I7" s="7"/>
      <c r="J7" s="7"/>
      <c r="K7" s="4"/>
      <c r="L7" s="8"/>
      <c r="M7" s="4"/>
      <c r="N7" s="8"/>
      <c r="O7" s="7"/>
      <c r="P7" s="7"/>
    </row>
    <row r="8">
      <c r="A8" s="2" t="s">
        <v>903</v>
      </c>
      <c r="B8" s="2" t="s">
        <v>624</v>
      </c>
      <c r="C8" s="2" t="s">
        <v>608</v>
      </c>
      <c r="D8" s="2" t="s">
        <v>1324</v>
      </c>
      <c r="E8" s="4"/>
      <c r="F8" s="8"/>
      <c r="G8" s="4"/>
      <c r="H8" s="8"/>
      <c r="I8" s="7"/>
      <c r="J8" s="7"/>
      <c r="K8" s="4"/>
      <c r="L8" s="8"/>
      <c r="M8" s="4"/>
      <c r="N8" s="8"/>
      <c r="O8" s="7"/>
      <c r="P8" s="7"/>
    </row>
    <row r="9">
      <c r="A9" s="2" t="s">
        <v>903</v>
      </c>
      <c r="B9" s="2" t="s">
        <v>624</v>
      </c>
      <c r="C9" s="2" t="s">
        <v>1818</v>
      </c>
      <c r="D9" s="2" t="s">
        <v>2000</v>
      </c>
      <c r="E9" s="4"/>
      <c r="F9" s="8"/>
      <c r="G9" s="4"/>
      <c r="H9" s="8"/>
      <c r="I9" s="7"/>
      <c r="J9" s="7"/>
      <c r="K9" s="4"/>
      <c r="L9" s="8"/>
      <c r="M9" s="4"/>
      <c r="N9" s="8"/>
      <c r="O9" s="7"/>
      <c r="P9" s="7"/>
    </row>
    <row r="10">
      <c r="A10" s="2" t="s">
        <v>903</v>
      </c>
      <c r="B10" s="2" t="s">
        <v>624</v>
      </c>
      <c r="C10" s="2" t="s">
        <v>918</v>
      </c>
      <c r="D10" s="2" t="s">
        <v>919</v>
      </c>
      <c r="E10" s="4"/>
      <c r="F10" s="8"/>
      <c r="G10" s="4"/>
      <c r="H10" s="8"/>
      <c r="I10" s="7"/>
      <c r="J10" s="7"/>
      <c r="K10" s="4"/>
      <c r="L10" s="8"/>
      <c r="M10" s="4"/>
      <c r="N10" s="8"/>
      <c r="O10" s="7"/>
      <c r="P10" s="7"/>
    </row>
    <row r="11">
      <c r="A11" s="2" t="s">
        <v>903</v>
      </c>
      <c r="B11" s="2" t="s">
        <v>1323</v>
      </c>
      <c r="C11" s="2" t="s">
        <v>608</v>
      </c>
      <c r="D11" s="2" t="s">
        <v>1324</v>
      </c>
      <c r="E11" s="4"/>
      <c r="F11" s="8"/>
      <c r="G11" s="4"/>
      <c r="H11" s="8"/>
      <c r="I11" s="7"/>
      <c r="J11" s="7"/>
      <c r="K11" s="4"/>
      <c r="L11" s="8"/>
      <c r="M11" s="4"/>
      <c r="N11" s="8"/>
      <c r="O11" s="7"/>
      <c r="P11" s="7"/>
    </row>
    <row r="12">
      <c r="A12" s="2" t="s">
        <v>903</v>
      </c>
      <c r="B12" s="2" t="s">
        <v>1252</v>
      </c>
      <c r="C12" s="2" t="s">
        <v>608</v>
      </c>
      <c r="D12" s="2" t="s">
        <v>1324</v>
      </c>
      <c r="E12" s="4"/>
      <c r="F12" s="8"/>
      <c r="G12" s="4"/>
      <c r="H12" s="8"/>
      <c r="I12" s="7"/>
      <c r="J12" s="7"/>
      <c r="K12" s="4"/>
      <c r="L12" s="8"/>
      <c r="M12" s="4"/>
      <c r="N12" s="8"/>
      <c r="O12" s="7"/>
      <c r="P12" s="7"/>
    </row>
    <row r="13">
      <c r="A13" s="2" t="s">
        <v>903</v>
      </c>
      <c r="B13" s="2" t="s">
        <v>1211</v>
      </c>
      <c r="C13" s="2" t="s">
        <v>2228</v>
      </c>
      <c r="D13" s="2" t="s">
        <v>2229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903</v>
      </c>
      <c r="B14" s="2" t="s">
        <v>1211</v>
      </c>
      <c r="C14" s="2" t="s">
        <v>1818</v>
      </c>
      <c r="D14" s="2" t="s">
        <v>2020</v>
      </c>
      <c r="E14" s="4"/>
      <c r="F14" s="8"/>
      <c r="G14" s="4"/>
      <c r="H14" s="8"/>
      <c r="I14" s="7"/>
      <c r="J14" s="7"/>
      <c r="K14" s="4"/>
      <c r="L14" s="8"/>
      <c r="M14" s="4"/>
      <c r="N14" s="8"/>
      <c r="O14" s="7"/>
      <c r="P14" s="7"/>
    </row>
    <row r="15">
      <c r="A15" s="2" t="s">
        <v>903</v>
      </c>
      <c r="B15" s="2" t="s">
        <v>1211</v>
      </c>
      <c r="C15" s="2" t="s">
        <v>918</v>
      </c>
      <c r="D15" s="2" t="s">
        <v>934</v>
      </c>
      <c r="E15" s="4"/>
      <c r="F15" s="8"/>
      <c r="G15" s="4"/>
      <c r="H15" s="8"/>
      <c r="I15" s="7"/>
      <c r="J15" s="7"/>
      <c r="K15" s="4"/>
      <c r="L15" s="8"/>
      <c r="M15" s="4"/>
      <c r="N15" s="8"/>
      <c r="O15" s="7"/>
      <c r="P15" s="7"/>
    </row>
    <row r="16">
      <c r="A16" s="2" t="s">
        <v>903</v>
      </c>
      <c r="B16" s="2" t="s">
        <v>1523</v>
      </c>
      <c r="C16" s="2" t="s">
        <v>2228</v>
      </c>
      <c r="D16" s="2" t="s">
        <v>2229</v>
      </c>
      <c r="E16" s="4"/>
      <c r="F16" s="8"/>
      <c r="G16" s="4"/>
      <c r="H16" s="8"/>
      <c r="I16" s="7"/>
      <c r="J16" s="7"/>
      <c r="K16" s="4"/>
      <c r="L16" s="8"/>
      <c r="M16" s="4"/>
      <c r="N16" s="8"/>
      <c r="O16" s="7"/>
      <c r="P16" s="7"/>
    </row>
    <row r="17">
      <c r="A17" s="2" t="s">
        <v>903</v>
      </c>
      <c r="B17" s="2" t="s">
        <v>1523</v>
      </c>
      <c r="C17" s="2" t="s">
        <v>608</v>
      </c>
      <c r="D17" s="2" t="s">
        <v>609</v>
      </c>
      <c r="E17" s="4"/>
      <c r="F17" s="8"/>
      <c r="G17" s="4"/>
      <c r="H17" s="8"/>
      <c r="I17" s="7"/>
      <c r="J17" s="7"/>
      <c r="K17" s="4"/>
      <c r="L17" s="8"/>
      <c r="M17" s="4"/>
      <c r="N17" s="8"/>
      <c r="O17" s="7"/>
      <c r="P17" s="7"/>
    </row>
    <row r="18">
      <c r="A18" s="2" t="s">
        <v>903</v>
      </c>
      <c r="B18" s="2" t="s">
        <v>1523</v>
      </c>
      <c r="C18" s="2" t="s">
        <v>1818</v>
      </c>
      <c r="D18" s="2" t="s">
        <v>2020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903</v>
      </c>
      <c r="B19" s="2" t="s">
        <v>1523</v>
      </c>
      <c r="C19" s="2" t="s">
        <v>1524</v>
      </c>
      <c r="D19" s="2" t="s">
        <v>1525</v>
      </c>
      <c r="E19" s="4"/>
      <c r="F19" s="8"/>
      <c r="G19" s="4"/>
      <c r="H19" s="8"/>
      <c r="I19" s="7"/>
      <c r="J19" s="7"/>
      <c r="K19" s="4"/>
      <c r="L19" s="8"/>
      <c r="M19" s="4"/>
      <c r="N19" s="8"/>
      <c r="O19" s="7"/>
      <c r="P19" s="7"/>
    </row>
    <row r="20">
      <c r="A20" s="2" t="s">
        <v>903</v>
      </c>
      <c r="B20" s="2" t="s">
        <v>4514</v>
      </c>
      <c r="C20" s="2" t="s">
        <v>2228</v>
      </c>
      <c r="D20" s="2" t="s">
        <v>2229</v>
      </c>
      <c r="E20" s="4"/>
      <c r="F20" s="8"/>
      <c r="G20" s="4"/>
      <c r="H20" s="8"/>
      <c r="I20" s="7"/>
      <c r="J20" s="7"/>
      <c r="K20" s="4"/>
      <c r="L20" s="8"/>
      <c r="M20" s="4"/>
      <c r="N20" s="8"/>
      <c r="O20" s="7"/>
      <c r="P20" s="7"/>
    </row>
    <row r="21">
      <c r="A21" s="2" t="s">
        <v>903</v>
      </c>
      <c r="B21" s="2" t="s">
        <v>4514</v>
      </c>
      <c r="C21" s="2" t="s">
        <v>1818</v>
      </c>
      <c r="D21" s="2" t="s">
        <v>2020</v>
      </c>
      <c r="E21" s="4"/>
      <c r="F21" s="8"/>
      <c r="G21" s="4"/>
      <c r="H21" s="8"/>
      <c r="I21" s="7"/>
      <c r="J21" s="7"/>
      <c r="K21" s="4"/>
      <c r="L21" s="8"/>
      <c r="M21" s="4"/>
      <c r="N21" s="8"/>
      <c r="O21" s="7"/>
      <c r="P21" s="7"/>
    </row>
    <row r="22">
      <c r="A22" s="2" t="s">
        <v>903</v>
      </c>
      <c r="B22" s="2" t="s">
        <v>4514</v>
      </c>
      <c r="C22" s="2" t="s">
        <v>1524</v>
      </c>
      <c r="D22" s="2" t="s">
        <v>1525</v>
      </c>
      <c r="E22" s="4"/>
      <c r="F22" s="8"/>
      <c r="G22" s="4"/>
      <c r="H22" s="8"/>
      <c r="I22" s="7"/>
      <c r="J22" s="7"/>
      <c r="K22" s="4"/>
      <c r="L22" s="8"/>
      <c r="M22" s="4"/>
      <c r="N22" s="8"/>
      <c r="O22" s="7"/>
      <c r="P22" s="7"/>
    </row>
    <row r="23">
      <c r="A23" s="2" t="s">
        <v>903</v>
      </c>
      <c r="B23" s="2" t="s">
        <v>706</v>
      </c>
      <c r="C23" s="2" t="s">
        <v>1818</v>
      </c>
      <c r="D23" s="2" t="s">
        <v>2020</v>
      </c>
      <c r="E23" s="4"/>
      <c r="F23" s="8"/>
      <c r="G23" s="4"/>
      <c r="H23" s="8"/>
      <c r="I23" s="7"/>
      <c r="J23" s="7"/>
      <c r="K23" s="4"/>
      <c r="L23" s="8"/>
      <c r="M23" s="4"/>
      <c r="N23" s="8"/>
      <c r="O23" s="7"/>
      <c r="P23" s="7"/>
    </row>
    <row r="24">
      <c r="A24" s="2" t="s">
        <v>903</v>
      </c>
      <c r="B24" s="2" t="s">
        <v>1759</v>
      </c>
      <c r="C24" s="2" t="s">
        <v>2228</v>
      </c>
      <c r="D24" s="2" t="s">
        <v>2229</v>
      </c>
      <c r="E24" s="4" t="s">
        <v>200</v>
      </c>
      <c r="F24" s="8" t="s">
        <v>200</v>
      </c>
      <c r="G24" s="4" t="s">
        <v>200</v>
      </c>
      <c r="H24" s="8" t="s">
        <v>200</v>
      </c>
      <c r="I24" s="7" t="s">
        <v>200</v>
      </c>
      <c r="J24" s="7" t="s">
        <v>200</v>
      </c>
      <c r="K24" s="4"/>
      <c r="L24" s="8"/>
      <c r="M24" s="4"/>
      <c r="N24" s="8"/>
      <c r="O24" s="7"/>
      <c r="P24" s="7"/>
    </row>
    <row r="25">
      <c r="A25" s="2" t="s">
        <v>903</v>
      </c>
      <c r="B25" s="2" t="s">
        <v>1759</v>
      </c>
      <c r="C25" s="2" t="s">
        <v>2228</v>
      </c>
      <c r="D25" s="2" t="s">
        <v>2755</v>
      </c>
      <c r="E25" s="4" t="s">
        <v>200</v>
      </c>
      <c r="F25" s="8" t="s">
        <v>200</v>
      </c>
      <c r="G25" s="4" t="s">
        <v>200</v>
      </c>
      <c r="H25" s="8" t="s">
        <v>200</v>
      </c>
      <c r="I25" s="7" t="s">
        <v>200</v>
      </c>
      <c r="J25" s="7" t="s">
        <v>200</v>
      </c>
      <c r="K25" s="4"/>
      <c r="L25" s="8"/>
      <c r="M25" s="4"/>
      <c r="N25" s="8"/>
      <c r="O25" s="7"/>
      <c r="P25" s="7"/>
    </row>
    <row r="26">
      <c r="A26" s="2" t="s">
        <v>903</v>
      </c>
      <c r="B26" s="2" t="s">
        <v>1759</v>
      </c>
      <c r="C26" s="2" t="s">
        <v>608</v>
      </c>
      <c r="D26" s="2" t="s">
        <v>609</v>
      </c>
      <c r="E26" s="4"/>
      <c r="F26" s="8"/>
      <c r="G26" s="4"/>
      <c r="H26" s="8"/>
      <c r="I26" s="7"/>
      <c r="J26" s="7"/>
      <c r="K26" s="4"/>
      <c r="L26" s="8"/>
      <c r="M26" s="4"/>
      <c r="N26" s="8"/>
      <c r="O26" s="7"/>
      <c r="P26" s="7"/>
    </row>
    <row r="27">
      <c r="A27" s="2" t="s">
        <v>903</v>
      </c>
      <c r="B27" s="2" t="s">
        <v>1759</v>
      </c>
      <c r="C27" s="2" t="s">
        <v>1818</v>
      </c>
      <c r="D27" s="2" t="s">
        <v>2020</v>
      </c>
      <c r="E27" s="4"/>
      <c r="F27" s="8"/>
      <c r="G27" s="4"/>
      <c r="H27" s="8"/>
      <c r="I27" s="7"/>
      <c r="J27" s="7"/>
      <c r="K27" s="4"/>
      <c r="L27" s="8"/>
      <c r="M27" s="4"/>
      <c r="N27" s="8"/>
      <c r="O27" s="7"/>
      <c r="P27" s="7"/>
    </row>
    <row r="28">
      <c r="A28" s="2" t="s">
        <v>903</v>
      </c>
      <c r="B28" s="2" t="s">
        <v>1759</v>
      </c>
      <c r="C28" s="2" t="s">
        <v>918</v>
      </c>
      <c r="D28" s="2" t="s">
        <v>919</v>
      </c>
      <c r="E28" s="4" t="s">
        <v>200</v>
      </c>
      <c r="F28" s="8" t="s">
        <v>200</v>
      </c>
      <c r="G28" s="4" t="s">
        <v>200</v>
      </c>
      <c r="H28" s="8" t="s">
        <v>200</v>
      </c>
      <c r="I28" s="7" t="s">
        <v>200</v>
      </c>
      <c r="J28" s="7" t="s">
        <v>200</v>
      </c>
      <c r="K28" s="4"/>
      <c r="L28" s="8"/>
      <c r="M28" s="4"/>
      <c r="N28" s="8"/>
      <c r="O28" s="7"/>
      <c r="P28" s="7"/>
    </row>
    <row r="29">
      <c r="A29" s="2" t="s">
        <v>903</v>
      </c>
      <c r="B29" s="2" t="s">
        <v>1759</v>
      </c>
      <c r="C29" s="2" t="s">
        <v>918</v>
      </c>
      <c r="D29" s="2" t="s">
        <v>934</v>
      </c>
      <c r="E29" s="4" t="s">
        <v>200</v>
      </c>
      <c r="F29" s="8" t="s">
        <v>200</v>
      </c>
      <c r="G29" s="4" t="s">
        <v>200</v>
      </c>
      <c r="H29" s="8" t="s">
        <v>200</v>
      </c>
      <c r="I29" s="7" t="s">
        <v>200</v>
      </c>
      <c r="J29" s="7" t="s">
        <v>200</v>
      </c>
      <c r="K29" s="4"/>
      <c r="L29" s="8"/>
      <c r="M29" s="4"/>
      <c r="N29" s="8"/>
      <c r="O29" s="7"/>
      <c r="P29" s="7"/>
    </row>
    <row r="30">
      <c r="A30" s="2" t="s">
        <v>903</v>
      </c>
      <c r="B30" s="2" t="s">
        <v>7515</v>
      </c>
      <c r="C30" s="2" t="s">
        <v>608</v>
      </c>
      <c r="D30" s="2" t="s">
        <v>609</v>
      </c>
      <c r="E30" s="4"/>
      <c r="F30" s="8"/>
      <c r="G30" s="4"/>
      <c r="H30" s="8"/>
      <c r="I30" s="7"/>
      <c r="J30" s="7"/>
      <c r="K30" s="4"/>
      <c r="L30" s="8"/>
      <c r="M30" s="4"/>
      <c r="N30" s="8"/>
      <c r="O30" s="7"/>
      <c r="P30" s="7"/>
    </row>
    <row r="31">
      <c r="A31" s="2" t="s">
        <v>903</v>
      </c>
      <c r="B31" s="2" t="s">
        <v>745</v>
      </c>
      <c r="C31" s="2" t="s">
        <v>608</v>
      </c>
      <c r="D31" s="2" t="s">
        <v>609</v>
      </c>
      <c r="E31" s="4" t="s">
        <v>200</v>
      </c>
      <c r="F31" s="8" t="s">
        <v>200</v>
      </c>
      <c r="G31" s="4" t="s">
        <v>200</v>
      </c>
      <c r="H31" s="8" t="s">
        <v>200</v>
      </c>
      <c r="I31" s="7" t="s">
        <v>200</v>
      </c>
      <c r="J31" s="7" t="s">
        <v>200</v>
      </c>
      <c r="K31" s="4"/>
      <c r="L31" s="8"/>
      <c r="M31" s="4"/>
      <c r="N31" s="8"/>
      <c r="O31" s="7"/>
      <c r="P31" s="7"/>
    </row>
    <row r="32">
      <c r="A32" s="2" t="s">
        <v>903</v>
      </c>
      <c r="B32" s="2" t="s">
        <v>745</v>
      </c>
      <c r="C32" s="2" t="s">
        <v>608</v>
      </c>
      <c r="D32" s="2" t="s">
        <v>1324</v>
      </c>
      <c r="E32" s="4" t="s">
        <v>200</v>
      </c>
      <c r="F32" s="8" t="s">
        <v>200</v>
      </c>
      <c r="G32" s="4" t="s">
        <v>200</v>
      </c>
      <c r="H32" s="8" t="s">
        <v>200</v>
      </c>
      <c r="I32" s="7" t="s">
        <v>200</v>
      </c>
      <c r="J32" s="7" t="s">
        <v>200</v>
      </c>
      <c r="K32" s="4"/>
      <c r="L32" s="8"/>
      <c r="M32" s="4"/>
      <c r="N32" s="8"/>
      <c r="O32" s="7"/>
      <c r="P32" s="7"/>
    </row>
    <row r="33">
      <c r="A33" s="2" t="s">
        <v>903</v>
      </c>
      <c r="B33" s="2" t="s">
        <v>745</v>
      </c>
      <c r="C33" s="2" t="s">
        <v>1818</v>
      </c>
      <c r="D33" s="2" t="s">
        <v>2020</v>
      </c>
      <c r="E33" s="4"/>
      <c r="F33" s="8"/>
      <c r="G33" s="4"/>
      <c r="H33" s="8"/>
      <c r="I33" s="7"/>
      <c r="J33" s="7"/>
      <c r="K33" s="4"/>
      <c r="L33" s="8"/>
      <c r="M33" s="4"/>
      <c r="N33" s="8"/>
      <c r="O33" s="7"/>
      <c r="P33" s="7"/>
    </row>
    <row r="34">
      <c r="A34" s="2" t="s">
        <v>903</v>
      </c>
      <c r="B34" s="2" t="s">
        <v>745</v>
      </c>
      <c r="C34" s="2" t="s">
        <v>918</v>
      </c>
      <c r="D34" s="2" t="s">
        <v>919</v>
      </c>
      <c r="E34" s="4" t="s">
        <v>200</v>
      </c>
      <c r="F34" s="8" t="s">
        <v>200</v>
      </c>
      <c r="G34" s="4" t="s">
        <v>200</v>
      </c>
      <c r="H34" s="8" t="s">
        <v>200</v>
      </c>
      <c r="I34" s="7" t="s">
        <v>200</v>
      </c>
      <c r="J34" s="7" t="s">
        <v>200</v>
      </c>
      <c r="K34" s="4"/>
      <c r="L34" s="8"/>
      <c r="M34" s="4"/>
      <c r="N34" s="8"/>
      <c r="O34" s="7"/>
      <c r="P34" s="7"/>
    </row>
    <row r="35">
      <c r="A35" s="2" t="s">
        <v>903</v>
      </c>
      <c r="B35" s="2" t="s">
        <v>745</v>
      </c>
      <c r="C35" s="2" t="s">
        <v>918</v>
      </c>
      <c r="D35" s="2" t="s">
        <v>934</v>
      </c>
      <c r="E35" s="4" t="s">
        <v>200</v>
      </c>
      <c r="F35" s="8" t="s">
        <v>200</v>
      </c>
      <c r="G35" s="4" t="s">
        <v>200</v>
      </c>
      <c r="H35" s="8" t="s">
        <v>200</v>
      </c>
      <c r="I35" s="7" t="s">
        <v>200</v>
      </c>
      <c r="J35" s="7" t="s">
        <v>200</v>
      </c>
      <c r="K35" s="4"/>
      <c r="L35" s="8"/>
      <c r="M35" s="4"/>
      <c r="N35" s="8"/>
      <c r="O35" s="7"/>
      <c r="P35" s="7"/>
    </row>
    <row r="36">
      <c r="A36" s="2" t="s">
        <v>903</v>
      </c>
      <c r="B36" s="2" t="s">
        <v>745</v>
      </c>
      <c r="C36" s="2" t="s">
        <v>1524</v>
      </c>
      <c r="D36" s="2" t="s">
        <v>2324</v>
      </c>
      <c r="E36" s="4"/>
      <c r="F36" s="8"/>
      <c r="G36" s="4"/>
      <c r="H36" s="8"/>
      <c r="I36" s="7"/>
      <c r="J36" s="7"/>
      <c r="K36" s="4"/>
      <c r="L36" s="8"/>
      <c r="M36" s="4"/>
      <c r="N36" s="8"/>
      <c r="O36" s="7"/>
      <c r="P36" s="7"/>
    </row>
    <row r="37">
      <c r="A37" s="2" t="s">
        <v>903</v>
      </c>
      <c r="B37" s="2" t="s">
        <v>231</v>
      </c>
      <c r="C37" s="2" t="s">
        <v>608</v>
      </c>
      <c r="D37" s="2" t="s">
        <v>904</v>
      </c>
      <c r="E37" s="4" t="s">
        <v>200</v>
      </c>
      <c r="F37" s="8" t="s">
        <v>200</v>
      </c>
      <c r="G37" s="4" t="s">
        <v>200</v>
      </c>
      <c r="H37" s="8" t="s">
        <v>200</v>
      </c>
      <c r="I37" s="7" t="s">
        <v>200</v>
      </c>
      <c r="J37" s="7" t="s">
        <v>200</v>
      </c>
      <c r="K37" s="4"/>
      <c r="L37" s="8"/>
      <c r="M37" s="4"/>
      <c r="N37" s="8"/>
      <c r="O37" s="7"/>
      <c r="P37" s="7"/>
    </row>
    <row r="38">
      <c r="A38" s="2" t="s">
        <v>903</v>
      </c>
      <c r="B38" s="2" t="s">
        <v>231</v>
      </c>
      <c r="C38" s="2" t="s">
        <v>608</v>
      </c>
      <c r="D38" s="2" t="s">
        <v>609</v>
      </c>
      <c r="E38" s="4" t="s">
        <v>200</v>
      </c>
      <c r="F38" s="8" t="s">
        <v>200</v>
      </c>
      <c r="G38" s="4" t="s">
        <v>200</v>
      </c>
      <c r="H38" s="8" t="s">
        <v>200</v>
      </c>
      <c r="I38" s="7" t="s">
        <v>200</v>
      </c>
      <c r="J38" s="7" t="s">
        <v>200</v>
      </c>
      <c r="K38" s="4"/>
      <c r="L38" s="8"/>
      <c r="M38" s="4"/>
      <c r="N38" s="8"/>
      <c r="O38" s="7"/>
      <c r="P38" s="7"/>
    </row>
    <row r="39">
      <c r="A39" s="2" t="s">
        <v>903</v>
      </c>
      <c r="B39" s="2" t="s">
        <v>231</v>
      </c>
      <c r="C39" s="2" t="s">
        <v>608</v>
      </c>
      <c r="D39" s="2" t="s">
        <v>1324</v>
      </c>
      <c r="E39" s="4" t="s">
        <v>200</v>
      </c>
      <c r="F39" s="8" t="s">
        <v>200</v>
      </c>
      <c r="G39" s="4" t="s">
        <v>200</v>
      </c>
      <c r="H39" s="8" t="s">
        <v>200</v>
      </c>
      <c r="I39" s="7" t="s">
        <v>200</v>
      </c>
      <c r="J39" s="7" t="s">
        <v>200</v>
      </c>
      <c r="K39" s="4"/>
      <c r="L39" s="8"/>
      <c r="M39" s="4"/>
      <c r="N39" s="8"/>
      <c r="O39" s="7"/>
      <c r="P39" s="7"/>
    </row>
    <row r="40">
      <c r="A40" s="2" t="s">
        <v>903</v>
      </c>
      <c r="B40" s="2" t="s">
        <v>231</v>
      </c>
      <c r="C40" s="2" t="s">
        <v>1818</v>
      </c>
      <c r="D40" s="2" t="s">
        <v>1819</v>
      </c>
      <c r="E40" s="4" t="s">
        <v>200</v>
      </c>
      <c r="F40" s="8" t="s">
        <v>200</v>
      </c>
      <c r="G40" s="4" t="s">
        <v>200</v>
      </c>
      <c r="H40" s="8" t="s">
        <v>200</v>
      </c>
      <c r="I40" s="7" t="s">
        <v>200</v>
      </c>
      <c r="J40" s="7" t="s">
        <v>200</v>
      </c>
      <c r="K40" s="4"/>
      <c r="L40" s="8"/>
      <c r="M40" s="4"/>
      <c r="N40" s="8"/>
      <c r="O40" s="7"/>
      <c r="P40" s="7"/>
    </row>
    <row r="41">
      <c r="A41" s="2" t="s">
        <v>903</v>
      </c>
      <c r="B41" s="2" t="s">
        <v>231</v>
      </c>
      <c r="C41" s="2" t="s">
        <v>1818</v>
      </c>
      <c r="D41" s="2" t="s">
        <v>2020</v>
      </c>
      <c r="E41" s="4" t="s">
        <v>200</v>
      </c>
      <c r="F41" s="8" t="s">
        <v>200</v>
      </c>
      <c r="G41" s="4" t="s">
        <v>200</v>
      </c>
      <c r="H41" s="8" t="s">
        <v>200</v>
      </c>
      <c r="I41" s="7" t="s">
        <v>200</v>
      </c>
      <c r="J41" s="7" t="s">
        <v>200</v>
      </c>
      <c r="K41" s="4"/>
      <c r="L41" s="8"/>
      <c r="M41" s="4"/>
      <c r="N41" s="8"/>
      <c r="O41" s="7"/>
      <c r="P41" s="7"/>
    </row>
    <row r="42">
      <c r="A42" s="2" t="s">
        <v>903</v>
      </c>
      <c r="B42" s="2" t="s">
        <v>231</v>
      </c>
      <c r="C42" s="2" t="s">
        <v>1818</v>
      </c>
      <c r="D42" s="2" t="s">
        <v>2000</v>
      </c>
      <c r="E42" s="4" t="s">
        <v>200</v>
      </c>
      <c r="F42" s="8" t="s">
        <v>200</v>
      </c>
      <c r="G42" s="4" t="s">
        <v>200</v>
      </c>
      <c r="H42" s="8" t="s">
        <v>200</v>
      </c>
      <c r="I42" s="7" t="s">
        <v>200</v>
      </c>
      <c r="J42" s="7" t="s">
        <v>200</v>
      </c>
      <c r="K42" s="4"/>
      <c r="L42" s="8"/>
      <c r="M42" s="4"/>
      <c r="N42" s="8"/>
      <c r="O42" s="7"/>
      <c r="P42" s="7"/>
    </row>
    <row r="43">
      <c r="A43" s="2" t="s">
        <v>903</v>
      </c>
      <c r="B43" s="2" t="s">
        <v>231</v>
      </c>
      <c r="C43" s="2" t="s">
        <v>918</v>
      </c>
      <c r="D43" s="2" t="s">
        <v>919</v>
      </c>
      <c r="E43" s="4" t="s">
        <v>200</v>
      </c>
      <c r="F43" s="8" t="s">
        <v>200</v>
      </c>
      <c r="G43" s="4" t="s">
        <v>200</v>
      </c>
      <c r="H43" s="8" t="s">
        <v>200</v>
      </c>
      <c r="I43" s="7" t="s">
        <v>200</v>
      </c>
      <c r="J43" s="7" t="s">
        <v>200</v>
      </c>
      <c r="K43" s="4"/>
      <c r="L43" s="8"/>
      <c r="M43" s="4"/>
      <c r="N43" s="8"/>
      <c r="O43" s="7"/>
      <c r="P43" s="7"/>
    </row>
    <row r="44">
      <c r="A44" s="2" t="s">
        <v>903</v>
      </c>
      <c r="B44" s="2" t="s">
        <v>231</v>
      </c>
      <c r="C44" s="2" t="s">
        <v>918</v>
      </c>
      <c r="D44" s="2" t="s">
        <v>934</v>
      </c>
      <c r="E44" s="4" t="s">
        <v>200</v>
      </c>
      <c r="F44" s="8" t="s">
        <v>200</v>
      </c>
      <c r="G44" s="4" t="s">
        <v>200</v>
      </c>
      <c r="H44" s="8" t="s">
        <v>200</v>
      </c>
      <c r="I44" s="7" t="s">
        <v>200</v>
      </c>
      <c r="J44" s="7" t="s">
        <v>200</v>
      </c>
      <c r="K44" s="4"/>
      <c r="L44" s="8"/>
      <c r="M44" s="4"/>
      <c r="N44" s="8"/>
      <c r="O44" s="7"/>
      <c r="P44" s="7"/>
    </row>
    <row r="45">
      <c r="A45" s="2" t="s">
        <v>903</v>
      </c>
      <c r="B45" s="2" t="s">
        <v>307</v>
      </c>
      <c r="C45" s="2" t="s">
        <v>608</v>
      </c>
      <c r="D45" s="2" t="s">
        <v>904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903</v>
      </c>
      <c r="B46" s="2" t="s">
        <v>607</v>
      </c>
      <c r="C46" s="2" t="s">
        <v>608</v>
      </c>
      <c r="D46" s="2" t="s">
        <v>609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903</v>
      </c>
      <c r="B47" s="2" t="s">
        <v>2878</v>
      </c>
      <c r="C47" s="2" t="s">
        <v>2228</v>
      </c>
      <c r="D47" s="2" t="s">
        <v>2229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903</v>
      </c>
      <c r="B48" s="2" t="s">
        <v>2878</v>
      </c>
      <c r="C48" s="2" t="s">
        <v>1524</v>
      </c>
      <c r="D48" s="2" t="s">
        <v>1525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903</v>
      </c>
      <c r="B49" s="2" t="s">
        <v>1894</v>
      </c>
      <c r="C49" s="2" t="s">
        <v>608</v>
      </c>
      <c r="D49" s="2" t="s">
        <v>1324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903</v>
      </c>
      <c r="B50" s="2" t="s">
        <v>1894</v>
      </c>
      <c r="C50" s="2" t="s">
        <v>1818</v>
      </c>
      <c r="D50" s="2" t="s">
        <v>5133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903</v>
      </c>
      <c r="B51" s="2" t="s">
        <v>1894</v>
      </c>
      <c r="C51" s="2" t="s">
        <v>918</v>
      </c>
      <c r="D51" s="2" t="s">
        <v>919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903</v>
      </c>
      <c r="B52" s="2" t="s">
        <v>1894</v>
      </c>
      <c r="C52" s="2" t="s">
        <v>2254</v>
      </c>
      <c r="D52" s="2" t="s">
        <v>3132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2124</v>
      </c>
      <c r="B53" s="2" t="s">
        <v>624</v>
      </c>
      <c r="C53" s="2" t="s">
        <v>2125</v>
      </c>
      <c r="D53" s="2" t="s">
        <v>2126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2124</v>
      </c>
      <c r="B54" s="2" t="s">
        <v>745</v>
      </c>
      <c r="C54" s="2" t="s">
        <v>2125</v>
      </c>
      <c r="D54" s="2" t="s">
        <v>2126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2124</v>
      </c>
      <c r="B55" s="2" t="s">
        <v>231</v>
      </c>
      <c r="C55" s="2" t="s">
        <v>2125</v>
      </c>
      <c r="D55" s="2" t="s">
        <v>2126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719</v>
      </c>
      <c r="B56" s="2" t="s">
        <v>745</v>
      </c>
      <c r="C56" s="2" t="s">
        <v>1542</v>
      </c>
      <c r="D56" s="2" t="s">
        <v>2060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719</v>
      </c>
      <c r="B57" s="2" t="s">
        <v>745</v>
      </c>
      <c r="C57" s="2" t="s">
        <v>1554</v>
      </c>
      <c r="D57" s="2" t="s">
        <v>1555</v>
      </c>
      <c r="E57" s="4" t="s">
        <v>200</v>
      </c>
      <c r="F57" s="8" t="s">
        <v>200</v>
      </c>
      <c r="G57" s="4" t="s">
        <v>200</v>
      </c>
      <c r="H57" s="8" t="s">
        <v>200</v>
      </c>
      <c r="I57" s="7" t="s">
        <v>200</v>
      </c>
      <c r="J57" s="7" t="s">
        <v>200</v>
      </c>
      <c r="K57" s="4"/>
      <c r="L57" s="8"/>
      <c r="M57" s="4"/>
      <c r="N57" s="8"/>
      <c r="O57" s="7"/>
      <c r="P57" s="7"/>
    </row>
    <row r="58">
      <c r="A58" s="2" t="s">
        <v>719</v>
      </c>
      <c r="B58" s="2" t="s">
        <v>745</v>
      </c>
      <c r="C58" s="2" t="s">
        <v>1554</v>
      </c>
      <c r="D58" s="2" t="s">
        <v>721</v>
      </c>
      <c r="E58" s="4" t="s">
        <v>200</v>
      </c>
      <c r="F58" s="8" t="s">
        <v>200</v>
      </c>
      <c r="G58" s="4" t="s">
        <v>200</v>
      </c>
      <c r="H58" s="8" t="s">
        <v>200</v>
      </c>
      <c r="I58" s="7" t="s">
        <v>200</v>
      </c>
      <c r="J58" s="7" t="s">
        <v>200</v>
      </c>
      <c r="K58" s="4"/>
      <c r="L58" s="8"/>
      <c r="M58" s="4"/>
      <c r="N58" s="8"/>
      <c r="O58" s="7"/>
      <c r="P58" s="7"/>
    </row>
    <row r="59">
      <c r="A59" s="2" t="s">
        <v>719</v>
      </c>
      <c r="B59" s="2" t="s">
        <v>877</v>
      </c>
      <c r="C59" s="2" t="s">
        <v>1542</v>
      </c>
      <c r="D59" s="2" t="s">
        <v>5927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719</v>
      </c>
      <c r="B60" s="2" t="s">
        <v>877</v>
      </c>
      <c r="C60" s="2" t="s">
        <v>1554</v>
      </c>
      <c r="D60" s="2" t="s">
        <v>1555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719</v>
      </c>
      <c r="B61" s="2" t="s">
        <v>231</v>
      </c>
      <c r="C61" s="2" t="s">
        <v>6246</v>
      </c>
      <c r="D61" s="2" t="s">
        <v>6247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719</v>
      </c>
      <c r="B62" s="2" t="s">
        <v>231</v>
      </c>
      <c r="C62" s="2" t="s">
        <v>1542</v>
      </c>
      <c r="D62" s="2" t="s">
        <v>5927</v>
      </c>
      <c r="E62" s="4" t="s">
        <v>200</v>
      </c>
      <c r="F62" s="8" t="s">
        <v>200</v>
      </c>
      <c r="G62" s="4" t="s">
        <v>200</v>
      </c>
      <c r="H62" s="8" t="s">
        <v>200</v>
      </c>
      <c r="I62" s="7" t="s">
        <v>200</v>
      </c>
      <c r="J62" s="7" t="s">
        <v>200</v>
      </c>
      <c r="K62" s="4"/>
      <c r="L62" s="8"/>
      <c r="M62" s="4"/>
      <c r="N62" s="8"/>
      <c r="O62" s="7"/>
      <c r="P62" s="7"/>
    </row>
    <row r="63">
      <c r="A63" s="2" t="s">
        <v>719</v>
      </c>
      <c r="B63" s="2" t="s">
        <v>231</v>
      </c>
      <c r="C63" s="2" t="s">
        <v>1542</v>
      </c>
      <c r="D63" s="2" t="s">
        <v>721</v>
      </c>
      <c r="E63" s="4" t="s">
        <v>200</v>
      </c>
      <c r="F63" s="8" t="s">
        <v>200</v>
      </c>
      <c r="G63" s="4" t="s">
        <v>200</v>
      </c>
      <c r="H63" s="8" t="s">
        <v>200</v>
      </c>
      <c r="I63" s="7" t="s">
        <v>200</v>
      </c>
      <c r="J63" s="7" t="s">
        <v>200</v>
      </c>
      <c r="K63" s="4"/>
      <c r="L63" s="8"/>
      <c r="M63" s="4"/>
      <c r="N63" s="8"/>
      <c r="O63" s="7"/>
      <c r="P63" s="7"/>
    </row>
    <row r="64">
      <c r="A64" s="2" t="s">
        <v>719</v>
      </c>
      <c r="B64" s="2" t="s">
        <v>231</v>
      </c>
      <c r="C64" s="2" t="s">
        <v>1542</v>
      </c>
      <c r="D64" s="2" t="s">
        <v>2060</v>
      </c>
      <c r="E64" s="4" t="s">
        <v>200</v>
      </c>
      <c r="F64" s="8" t="s">
        <v>200</v>
      </c>
      <c r="G64" s="4" t="s">
        <v>200</v>
      </c>
      <c r="H64" s="8" t="s">
        <v>200</v>
      </c>
      <c r="I64" s="7" t="s">
        <v>200</v>
      </c>
      <c r="J64" s="7" t="s">
        <v>200</v>
      </c>
      <c r="K64" s="4"/>
      <c r="L64" s="8"/>
      <c r="M64" s="4"/>
      <c r="N64" s="8"/>
      <c r="O64" s="7"/>
      <c r="P64" s="7"/>
    </row>
    <row r="65">
      <c r="A65" s="2" t="s">
        <v>719</v>
      </c>
      <c r="B65" s="2" t="s">
        <v>231</v>
      </c>
      <c r="C65" s="2" t="s">
        <v>1554</v>
      </c>
      <c r="D65" s="2" t="s">
        <v>1555</v>
      </c>
      <c r="E65" s="4" t="s">
        <v>200</v>
      </c>
      <c r="F65" s="8" t="s">
        <v>200</v>
      </c>
      <c r="G65" s="4" t="s">
        <v>200</v>
      </c>
      <c r="H65" s="8" t="s">
        <v>200</v>
      </c>
      <c r="I65" s="7" t="s">
        <v>200</v>
      </c>
      <c r="J65" s="7" t="s">
        <v>200</v>
      </c>
      <c r="K65" s="4"/>
      <c r="L65" s="8"/>
      <c r="M65" s="4"/>
      <c r="N65" s="8"/>
      <c r="O65" s="7"/>
      <c r="P65" s="7"/>
    </row>
    <row r="66">
      <c r="A66" s="2" t="s">
        <v>719</v>
      </c>
      <c r="B66" s="2" t="s">
        <v>231</v>
      </c>
      <c r="C66" s="2" t="s">
        <v>1554</v>
      </c>
      <c r="D66" s="2" t="s">
        <v>721</v>
      </c>
      <c r="E66" s="4" t="s">
        <v>200</v>
      </c>
      <c r="F66" s="8" t="s">
        <v>200</v>
      </c>
      <c r="G66" s="4" t="s">
        <v>200</v>
      </c>
      <c r="H66" s="8" t="s">
        <v>200</v>
      </c>
      <c r="I66" s="7" t="s">
        <v>200</v>
      </c>
      <c r="J66" s="7" t="s">
        <v>200</v>
      </c>
      <c r="K66" s="4"/>
      <c r="L66" s="8"/>
      <c r="M66" s="4"/>
      <c r="N66" s="8"/>
      <c r="O66" s="7"/>
      <c r="P66" s="7"/>
    </row>
    <row r="67">
      <c r="A67" s="2" t="s">
        <v>719</v>
      </c>
      <c r="B67" s="2" t="s">
        <v>231</v>
      </c>
      <c r="C67" s="2" t="s">
        <v>1535</v>
      </c>
      <c r="D67" s="2" t="s">
        <v>1536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  <row r="68">
      <c r="A68" s="2" t="s">
        <v>719</v>
      </c>
      <c r="B68" s="2" t="s">
        <v>231</v>
      </c>
      <c r="C68" s="2" t="s">
        <v>720</v>
      </c>
      <c r="D68" s="2" t="s">
        <v>721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719</v>
      </c>
      <c r="B69" s="2" t="s">
        <v>607</v>
      </c>
      <c r="C69" s="2" t="s">
        <v>1542</v>
      </c>
      <c r="D69" s="2" t="s">
        <v>6247</v>
      </c>
      <c r="E69" s="4" t="s">
        <v>200</v>
      </c>
      <c r="F69" s="8" t="s">
        <v>200</v>
      </c>
      <c r="G69" s="4" t="s">
        <v>200</v>
      </c>
      <c r="H69" s="8" t="s">
        <v>200</v>
      </c>
      <c r="I69" s="7" t="s">
        <v>200</v>
      </c>
      <c r="J69" s="7" t="s">
        <v>200</v>
      </c>
      <c r="K69" s="4"/>
      <c r="L69" s="8"/>
      <c r="M69" s="4"/>
      <c r="N69" s="8"/>
      <c r="O69" s="7"/>
      <c r="P69" s="7"/>
    </row>
    <row r="70">
      <c r="A70" s="2" t="s">
        <v>719</v>
      </c>
      <c r="B70" s="2" t="s">
        <v>607</v>
      </c>
      <c r="C70" s="2" t="s">
        <v>1542</v>
      </c>
      <c r="D70" s="2" t="s">
        <v>5927</v>
      </c>
      <c r="E70" s="4" t="s">
        <v>200</v>
      </c>
      <c r="F70" s="8" t="s">
        <v>200</v>
      </c>
      <c r="G70" s="4" t="s">
        <v>200</v>
      </c>
      <c r="H70" s="8" t="s">
        <v>200</v>
      </c>
      <c r="I70" s="7" t="s">
        <v>200</v>
      </c>
      <c r="J70" s="7" t="s">
        <v>200</v>
      </c>
      <c r="K70" s="4"/>
      <c r="L70" s="8"/>
      <c r="M70" s="4"/>
      <c r="N70" s="8"/>
      <c r="O70" s="7"/>
      <c r="P70" s="7"/>
    </row>
    <row r="71">
      <c r="A71" s="2" t="s">
        <v>719</v>
      </c>
      <c r="B71" s="2" t="s">
        <v>607</v>
      </c>
      <c r="C71" s="2" t="s">
        <v>1535</v>
      </c>
      <c r="D71" s="2" t="s">
        <v>6297</v>
      </c>
      <c r="E71" s="4"/>
      <c r="F71" s="8"/>
      <c r="G71" s="4"/>
      <c r="H71" s="8"/>
      <c r="I71" s="7"/>
      <c r="J71" s="7"/>
      <c r="K71" s="4"/>
      <c r="L71" s="8"/>
      <c r="M71" s="4"/>
      <c r="N71" s="8"/>
      <c r="O71" s="7"/>
      <c r="P71" s="7"/>
    </row>
    <row r="72">
      <c r="A72" s="2" t="s">
        <v>719</v>
      </c>
      <c r="B72" s="2" t="s">
        <v>730</v>
      </c>
      <c r="C72" s="2" t="s">
        <v>1542</v>
      </c>
      <c r="D72" s="2" t="s">
        <v>5927</v>
      </c>
      <c r="E72" s="4" t="s">
        <v>200</v>
      </c>
      <c r="F72" s="8" t="s">
        <v>200</v>
      </c>
      <c r="G72" s="4" t="s">
        <v>200</v>
      </c>
      <c r="H72" s="8" t="s">
        <v>200</v>
      </c>
      <c r="I72" s="7" t="s">
        <v>200</v>
      </c>
      <c r="J72" s="7" t="s">
        <v>200</v>
      </c>
      <c r="K72" s="4"/>
      <c r="L72" s="8"/>
      <c r="M72" s="4"/>
      <c r="N72" s="8"/>
      <c r="O72" s="7"/>
      <c r="P72" s="7"/>
    </row>
    <row r="73">
      <c r="A73" s="2" t="s">
        <v>719</v>
      </c>
      <c r="B73" s="2" t="s">
        <v>730</v>
      </c>
      <c r="C73" s="2" t="s">
        <v>1542</v>
      </c>
      <c r="D73" s="2" t="s">
        <v>721</v>
      </c>
      <c r="E73" s="4" t="s">
        <v>200</v>
      </c>
      <c r="F73" s="8" t="s">
        <v>200</v>
      </c>
      <c r="G73" s="4" t="s">
        <v>200</v>
      </c>
      <c r="H73" s="8" t="s">
        <v>200</v>
      </c>
      <c r="I73" s="7" t="s">
        <v>200</v>
      </c>
      <c r="J73" s="7" t="s">
        <v>200</v>
      </c>
      <c r="K73" s="4"/>
      <c r="L73" s="8"/>
      <c r="M73" s="4"/>
      <c r="N73" s="8"/>
      <c r="O73" s="7"/>
      <c r="P73" s="7"/>
    </row>
    <row r="74">
      <c r="A74" s="2" t="s">
        <v>719</v>
      </c>
      <c r="B74" s="2" t="s">
        <v>730</v>
      </c>
      <c r="C74" s="2" t="s">
        <v>1542</v>
      </c>
      <c r="D74" s="2" t="s">
        <v>2060</v>
      </c>
      <c r="E74" s="4" t="s">
        <v>200</v>
      </c>
      <c r="F74" s="8" t="s">
        <v>200</v>
      </c>
      <c r="G74" s="4" t="s">
        <v>200</v>
      </c>
      <c r="H74" s="8" t="s">
        <v>200</v>
      </c>
      <c r="I74" s="7" t="s">
        <v>200</v>
      </c>
      <c r="J74" s="7" t="s">
        <v>200</v>
      </c>
      <c r="K74" s="4"/>
      <c r="L74" s="8"/>
      <c r="M74" s="4"/>
      <c r="N74" s="8"/>
      <c r="O74" s="7"/>
      <c r="P74" s="7"/>
    </row>
    <row r="75">
      <c r="A75" s="2" t="s">
        <v>719</v>
      </c>
      <c r="B75" s="2" t="s">
        <v>730</v>
      </c>
      <c r="C75" s="2" t="s">
        <v>1554</v>
      </c>
      <c r="D75" s="2" t="s">
        <v>721</v>
      </c>
      <c r="E75" s="4"/>
      <c r="F75" s="8"/>
      <c r="G75" s="4"/>
      <c r="H75" s="8"/>
      <c r="I75" s="7"/>
      <c r="J75" s="7"/>
      <c r="K75" s="4"/>
      <c r="L75" s="8"/>
      <c r="M75" s="4"/>
      <c r="N75" s="8"/>
      <c r="O75" s="7"/>
      <c r="P75" s="7"/>
    </row>
    <row r="76">
      <c r="A76" s="2" t="s">
        <v>719</v>
      </c>
      <c r="B76" s="2" t="s">
        <v>730</v>
      </c>
      <c r="C76" s="2" t="s">
        <v>1535</v>
      </c>
      <c r="D76" s="2" t="s">
        <v>1536</v>
      </c>
      <c r="E76" s="4"/>
      <c r="F76" s="8"/>
      <c r="G76" s="4"/>
      <c r="H76" s="8"/>
      <c r="I76" s="7"/>
      <c r="J76" s="7"/>
      <c r="K76" s="4"/>
      <c r="L76" s="8"/>
      <c r="M76" s="4"/>
      <c r="N76" s="8"/>
      <c r="O76" s="7"/>
      <c r="P76" s="7"/>
    </row>
    <row r="77">
      <c r="A77" s="2" t="s">
        <v>719</v>
      </c>
      <c r="B77" s="2" t="s">
        <v>730</v>
      </c>
      <c r="C77" s="2" t="s">
        <v>720</v>
      </c>
      <c r="D77" s="2" t="s">
        <v>721</v>
      </c>
      <c r="E77" s="4" t="s">
        <v>200</v>
      </c>
      <c r="F77" s="8" t="s">
        <v>200</v>
      </c>
      <c r="G77" s="4" t="s">
        <v>200</v>
      </c>
      <c r="H77" s="8" t="s">
        <v>200</v>
      </c>
      <c r="I77" s="7" t="s">
        <v>200</v>
      </c>
      <c r="J77" s="7" t="s">
        <v>200</v>
      </c>
      <c r="K77" s="4"/>
      <c r="L77" s="8"/>
      <c r="M77" s="4"/>
      <c r="N77" s="8"/>
      <c r="O77" s="7"/>
      <c r="P77" s="7"/>
    </row>
    <row r="78">
      <c r="A78" s="2" t="s">
        <v>719</v>
      </c>
      <c r="B78" s="2" t="s">
        <v>730</v>
      </c>
      <c r="C78" s="2" t="s">
        <v>720</v>
      </c>
      <c r="D78" s="2" t="s">
        <v>2060</v>
      </c>
      <c r="E78" s="4" t="s">
        <v>200</v>
      </c>
      <c r="F78" s="8" t="s">
        <v>200</v>
      </c>
      <c r="G78" s="4" t="s">
        <v>200</v>
      </c>
      <c r="H78" s="8" t="s">
        <v>200</v>
      </c>
      <c r="I78" s="7" t="s">
        <v>200</v>
      </c>
      <c r="J78" s="7" t="s">
        <v>200</v>
      </c>
      <c r="K78" s="4"/>
      <c r="L78" s="8"/>
      <c r="M78" s="4"/>
      <c r="N78" s="8"/>
      <c r="O78" s="7"/>
      <c r="P78" s="7"/>
    </row>
    <row r="79">
      <c r="A79" s="2" t="s">
        <v>719</v>
      </c>
      <c r="B79" s="2" t="s">
        <v>1839</v>
      </c>
      <c r="C79" s="2" t="s">
        <v>1554</v>
      </c>
      <c r="D79" s="2" t="s">
        <v>1555</v>
      </c>
      <c r="E79" s="4" t="s">
        <v>200</v>
      </c>
      <c r="F79" s="8" t="s">
        <v>200</v>
      </c>
      <c r="G79" s="4" t="s">
        <v>200</v>
      </c>
      <c r="H79" s="8" t="s">
        <v>200</v>
      </c>
      <c r="I79" s="7" t="s">
        <v>200</v>
      </c>
      <c r="J79" s="7" t="s">
        <v>200</v>
      </c>
      <c r="K79" s="4"/>
      <c r="L79" s="8"/>
      <c r="M79" s="4"/>
      <c r="N79" s="8"/>
      <c r="O79" s="7"/>
      <c r="P79" s="7"/>
    </row>
    <row r="80">
      <c r="A80" s="2" t="s">
        <v>719</v>
      </c>
      <c r="B80" s="2" t="s">
        <v>1839</v>
      </c>
      <c r="C80" s="2" t="s">
        <v>1554</v>
      </c>
      <c r="D80" s="2" t="s">
        <v>721</v>
      </c>
      <c r="E80" s="4" t="s">
        <v>200</v>
      </c>
      <c r="F80" s="8" t="s">
        <v>200</v>
      </c>
      <c r="G80" s="4" t="s">
        <v>200</v>
      </c>
      <c r="H80" s="8" t="s">
        <v>200</v>
      </c>
      <c r="I80" s="7" t="s">
        <v>200</v>
      </c>
      <c r="J80" s="7" t="s">
        <v>200</v>
      </c>
      <c r="K80" s="4"/>
      <c r="L80" s="8"/>
      <c r="M80" s="4"/>
      <c r="N80" s="8"/>
      <c r="O80" s="7"/>
      <c r="P80" s="7"/>
    </row>
    <row r="81">
      <c r="A81" s="2" t="s">
        <v>719</v>
      </c>
      <c r="B81" s="2" t="s">
        <v>1839</v>
      </c>
      <c r="C81" s="2" t="s">
        <v>720</v>
      </c>
      <c r="D81" s="2" t="s">
        <v>721</v>
      </c>
      <c r="E81" s="4"/>
      <c r="F81" s="8"/>
      <c r="G81" s="4"/>
      <c r="H81" s="8"/>
      <c r="I81" s="7"/>
      <c r="J81" s="7"/>
      <c r="K81" s="4"/>
      <c r="L81" s="8"/>
      <c r="M81" s="4"/>
      <c r="N81" s="8"/>
      <c r="O81" s="7"/>
      <c r="P81" s="7"/>
    </row>
    <row r="82">
      <c r="A82" s="2" t="s">
        <v>250</v>
      </c>
      <c r="B82" s="2" t="s">
        <v>413</v>
      </c>
      <c r="C82" s="2" t="s">
        <v>252</v>
      </c>
      <c r="D82" s="2" t="s">
        <v>253</v>
      </c>
      <c r="E82" s="4"/>
      <c r="F82" s="8"/>
      <c r="G82" s="4"/>
      <c r="H82" s="8"/>
      <c r="I82" s="7"/>
      <c r="J82" s="7"/>
      <c r="K82" s="4"/>
      <c r="L82" s="8"/>
      <c r="M82" s="4"/>
      <c r="N82" s="8"/>
      <c r="O82" s="7"/>
      <c r="P82" s="7"/>
    </row>
    <row r="83">
      <c r="A83" s="2" t="s">
        <v>250</v>
      </c>
      <c r="B83" s="2" t="s">
        <v>756</v>
      </c>
      <c r="C83" s="2" t="s">
        <v>252</v>
      </c>
      <c r="D83" s="2" t="s">
        <v>374</v>
      </c>
      <c r="E83" s="4"/>
      <c r="F83" s="8"/>
      <c r="G83" s="4"/>
      <c r="H83" s="8"/>
      <c r="I83" s="7"/>
      <c r="J83" s="7"/>
      <c r="K83" s="4"/>
      <c r="L83" s="8"/>
      <c r="M83" s="4"/>
      <c r="N83" s="8"/>
      <c r="O83" s="7"/>
      <c r="P83" s="7"/>
    </row>
    <row r="84">
      <c r="A84" s="2" t="s">
        <v>250</v>
      </c>
      <c r="B84" s="2" t="s">
        <v>877</v>
      </c>
      <c r="C84" s="2" t="s">
        <v>608</v>
      </c>
      <c r="D84" s="2" t="s">
        <v>1324</v>
      </c>
      <c r="E84" s="4"/>
      <c r="F84" s="8"/>
      <c r="G84" s="4"/>
      <c r="H84" s="8"/>
      <c r="I84" s="7"/>
      <c r="J84" s="7"/>
      <c r="K84" s="4"/>
      <c r="L84" s="8"/>
      <c r="M84" s="4"/>
      <c r="N84" s="8"/>
      <c r="O84" s="7"/>
      <c r="P84" s="7"/>
    </row>
    <row r="85">
      <c r="A85" s="2" t="s">
        <v>250</v>
      </c>
      <c r="B85" s="2" t="s">
        <v>877</v>
      </c>
      <c r="C85" s="2" t="s">
        <v>252</v>
      </c>
      <c r="D85" s="2" t="s">
        <v>374</v>
      </c>
      <c r="E85" s="4"/>
      <c r="F85" s="8"/>
      <c r="G85" s="4"/>
      <c r="H85" s="8"/>
      <c r="I85" s="7"/>
      <c r="J85" s="7"/>
      <c r="K85" s="4"/>
      <c r="L85" s="8"/>
      <c r="M85" s="4"/>
      <c r="N85" s="8"/>
      <c r="O85" s="7"/>
      <c r="P85" s="7"/>
    </row>
    <row r="86">
      <c r="A86" s="2" t="s">
        <v>250</v>
      </c>
      <c r="B86" s="2" t="s">
        <v>231</v>
      </c>
      <c r="C86" s="2" t="s">
        <v>197</v>
      </c>
      <c r="D86" s="2" t="s">
        <v>2477</v>
      </c>
      <c r="E86" s="4"/>
      <c r="F86" s="8"/>
      <c r="G86" s="4"/>
      <c r="H86" s="8"/>
      <c r="I86" s="7"/>
      <c r="J86" s="7"/>
      <c r="K86" s="4"/>
      <c r="L86" s="8"/>
      <c r="M86" s="4"/>
      <c r="N86" s="8"/>
      <c r="O86" s="7"/>
      <c r="P86" s="7"/>
    </row>
    <row r="87">
      <c r="A87" s="2" t="s">
        <v>250</v>
      </c>
      <c r="B87" s="2" t="s">
        <v>231</v>
      </c>
      <c r="C87" s="2" t="s">
        <v>608</v>
      </c>
      <c r="D87" s="2" t="s">
        <v>609</v>
      </c>
      <c r="E87" s="4" t="s">
        <v>200</v>
      </c>
      <c r="F87" s="8" t="s">
        <v>200</v>
      </c>
      <c r="G87" s="4" t="s">
        <v>200</v>
      </c>
      <c r="H87" s="8" t="s">
        <v>200</v>
      </c>
      <c r="I87" s="7" t="s">
        <v>200</v>
      </c>
      <c r="J87" s="7" t="s">
        <v>200</v>
      </c>
      <c r="K87" s="4"/>
      <c r="L87" s="8"/>
      <c r="M87" s="4"/>
      <c r="N87" s="8"/>
      <c r="O87" s="7"/>
      <c r="P87" s="7"/>
    </row>
    <row r="88">
      <c r="A88" s="2" t="s">
        <v>250</v>
      </c>
      <c r="B88" s="2" t="s">
        <v>231</v>
      </c>
      <c r="C88" s="2" t="s">
        <v>608</v>
      </c>
      <c r="D88" s="2" t="s">
        <v>3015</v>
      </c>
      <c r="E88" s="4" t="s">
        <v>200</v>
      </c>
      <c r="F88" s="8" t="s">
        <v>200</v>
      </c>
      <c r="G88" s="4" t="s">
        <v>200</v>
      </c>
      <c r="H88" s="8" t="s">
        <v>200</v>
      </c>
      <c r="I88" s="7" t="s">
        <v>200</v>
      </c>
      <c r="J88" s="7" t="s">
        <v>200</v>
      </c>
      <c r="K88" s="4"/>
      <c r="L88" s="8"/>
      <c r="M88" s="4"/>
      <c r="N88" s="8"/>
      <c r="O88" s="7"/>
      <c r="P88" s="7"/>
    </row>
    <row r="89">
      <c r="A89" s="2" t="s">
        <v>250</v>
      </c>
      <c r="B89" s="2" t="s">
        <v>231</v>
      </c>
      <c r="C89" s="2" t="s">
        <v>2171</v>
      </c>
      <c r="D89" s="2" t="s">
        <v>8609</v>
      </c>
      <c r="E89" s="4"/>
      <c r="F89" s="8"/>
      <c r="G89" s="4"/>
      <c r="H89" s="8"/>
      <c r="I89" s="7"/>
      <c r="J89" s="7"/>
      <c r="K89" s="4"/>
      <c r="L89" s="8"/>
      <c r="M89" s="4"/>
      <c r="N89" s="8"/>
      <c r="O89" s="7"/>
      <c r="P89" s="7"/>
    </row>
    <row r="90">
      <c r="A90" s="2" t="s">
        <v>250</v>
      </c>
      <c r="B90" s="2" t="s">
        <v>607</v>
      </c>
      <c r="C90" s="2" t="s">
        <v>608</v>
      </c>
      <c r="D90" s="2" t="s">
        <v>609</v>
      </c>
      <c r="E90" s="4"/>
      <c r="F90" s="8"/>
      <c r="G90" s="4"/>
      <c r="H90" s="8"/>
      <c r="I90" s="7"/>
      <c r="J90" s="7"/>
      <c r="K90" s="4"/>
      <c r="L90" s="8"/>
      <c r="M90" s="4"/>
      <c r="N90" s="8"/>
      <c r="O90" s="7"/>
      <c r="P90" s="7"/>
    </row>
    <row r="91">
      <c r="A91" s="2" t="s">
        <v>250</v>
      </c>
      <c r="B91" s="2" t="s">
        <v>1167</v>
      </c>
      <c r="C91" s="2" t="s">
        <v>197</v>
      </c>
      <c r="D91" s="2" t="s">
        <v>2477</v>
      </c>
      <c r="E91" s="4"/>
      <c r="F91" s="8"/>
      <c r="G91" s="4"/>
      <c r="H91" s="8"/>
      <c r="I91" s="7"/>
      <c r="J91" s="7"/>
      <c r="K91" s="4"/>
      <c r="L91" s="8"/>
      <c r="M91" s="4"/>
      <c r="N91" s="8"/>
      <c r="O91" s="7"/>
      <c r="P91" s="7"/>
    </row>
    <row r="92">
      <c r="A92" s="2" t="s">
        <v>250</v>
      </c>
      <c r="B92" s="2" t="s">
        <v>1167</v>
      </c>
      <c r="C92" s="2" t="s">
        <v>608</v>
      </c>
      <c r="D92" s="2" t="s">
        <v>3015</v>
      </c>
      <c r="E92" s="4"/>
      <c r="F92" s="8"/>
      <c r="G92" s="4"/>
      <c r="H92" s="8"/>
      <c r="I92" s="7"/>
      <c r="J92" s="7"/>
      <c r="K92" s="4"/>
      <c r="L92" s="8"/>
      <c r="M92" s="4"/>
      <c r="N92" s="8"/>
      <c r="O92" s="7"/>
      <c r="P92" s="7"/>
    </row>
    <row r="93">
      <c r="A93" s="2" t="s">
        <v>250</v>
      </c>
      <c r="B93" s="2" t="s">
        <v>1167</v>
      </c>
      <c r="C93" s="2" t="s">
        <v>252</v>
      </c>
      <c r="D93" s="2" t="s">
        <v>374</v>
      </c>
      <c r="E93" s="4"/>
      <c r="F93" s="8"/>
      <c r="G93" s="4"/>
      <c r="H93" s="8"/>
      <c r="I93" s="7"/>
      <c r="J93" s="7"/>
      <c r="K93" s="4"/>
      <c r="L93" s="8"/>
      <c r="M93" s="4"/>
      <c r="N93" s="8"/>
      <c r="O93" s="7"/>
      <c r="P93" s="7"/>
    </row>
    <row r="94">
      <c r="A94" s="2" t="s">
        <v>250</v>
      </c>
      <c r="B94" s="2" t="s">
        <v>1167</v>
      </c>
      <c r="C94" s="2" t="s">
        <v>2254</v>
      </c>
      <c r="D94" s="2" t="s">
        <v>3132</v>
      </c>
      <c r="E94" s="4"/>
      <c r="F94" s="8"/>
      <c r="G94" s="4"/>
      <c r="H94" s="8"/>
      <c r="I94" s="7"/>
      <c r="J94" s="7"/>
      <c r="K94" s="4"/>
      <c r="L94" s="8"/>
      <c r="M94" s="4"/>
      <c r="N94" s="8"/>
      <c r="O94" s="7"/>
      <c r="P94" s="7"/>
    </row>
    <row r="95">
      <c r="A95" s="2" t="s">
        <v>250</v>
      </c>
      <c r="B95" s="2" t="s">
        <v>251</v>
      </c>
      <c r="C95" s="2" t="s">
        <v>608</v>
      </c>
      <c r="D95" s="2" t="s">
        <v>3015</v>
      </c>
      <c r="E95" s="4"/>
      <c r="F95" s="8"/>
      <c r="G95" s="4"/>
      <c r="H95" s="8"/>
      <c r="I95" s="7"/>
      <c r="J95" s="7"/>
      <c r="K95" s="4"/>
      <c r="L95" s="8"/>
      <c r="M95" s="4"/>
      <c r="N95" s="8"/>
      <c r="O95" s="7"/>
      <c r="P95" s="7"/>
    </row>
    <row r="96">
      <c r="A96" s="2" t="s">
        <v>250</v>
      </c>
      <c r="B96" s="2" t="s">
        <v>251</v>
      </c>
      <c r="C96" s="2" t="s">
        <v>252</v>
      </c>
      <c r="D96" s="2" t="s">
        <v>374</v>
      </c>
      <c r="E96" s="4" t="s">
        <v>200</v>
      </c>
      <c r="F96" s="8" t="s">
        <v>200</v>
      </c>
      <c r="G96" s="4" t="s">
        <v>200</v>
      </c>
      <c r="H96" s="8" t="s">
        <v>200</v>
      </c>
      <c r="I96" s="7" t="s">
        <v>200</v>
      </c>
      <c r="J96" s="7" t="s">
        <v>200</v>
      </c>
      <c r="K96" s="4"/>
      <c r="L96" s="8"/>
      <c r="M96" s="4"/>
      <c r="N96" s="8"/>
      <c r="O96" s="7"/>
      <c r="P96" s="7"/>
    </row>
    <row r="97">
      <c r="A97" s="2" t="s">
        <v>250</v>
      </c>
      <c r="B97" s="2" t="s">
        <v>251</v>
      </c>
      <c r="C97" s="2" t="s">
        <v>252</v>
      </c>
      <c r="D97" s="2" t="s">
        <v>1802</v>
      </c>
      <c r="E97" s="4" t="s">
        <v>200</v>
      </c>
      <c r="F97" s="8" t="s">
        <v>200</v>
      </c>
      <c r="G97" s="4" t="s">
        <v>200</v>
      </c>
      <c r="H97" s="8" t="s">
        <v>200</v>
      </c>
      <c r="I97" s="7" t="s">
        <v>200</v>
      </c>
      <c r="J97" s="7" t="s">
        <v>200</v>
      </c>
      <c r="K97" s="4"/>
      <c r="L97" s="8"/>
      <c r="M97" s="4"/>
      <c r="N97" s="8"/>
      <c r="O97" s="7"/>
      <c r="P97" s="7"/>
    </row>
    <row r="98">
      <c r="A98" s="2" t="s">
        <v>250</v>
      </c>
      <c r="B98" s="2" t="s">
        <v>251</v>
      </c>
      <c r="C98" s="2" t="s">
        <v>252</v>
      </c>
      <c r="D98" s="2" t="s">
        <v>253</v>
      </c>
      <c r="E98" s="4" t="s">
        <v>200</v>
      </c>
      <c r="F98" s="8" t="s">
        <v>200</v>
      </c>
      <c r="G98" s="4" t="s">
        <v>200</v>
      </c>
      <c r="H98" s="8" t="s">
        <v>200</v>
      </c>
      <c r="I98" s="7" t="s">
        <v>200</v>
      </c>
      <c r="J98" s="7" t="s">
        <v>200</v>
      </c>
      <c r="K98" s="4"/>
      <c r="L98" s="8"/>
      <c r="M98" s="4"/>
      <c r="N98" s="8"/>
      <c r="O98" s="7"/>
      <c r="P98" s="7"/>
    </row>
    <row r="99">
      <c r="A99" s="2" t="s">
        <v>250</v>
      </c>
      <c r="B99" s="2" t="s">
        <v>3397</v>
      </c>
      <c r="C99" s="2" t="s">
        <v>197</v>
      </c>
      <c r="D99" s="2" t="s">
        <v>2477</v>
      </c>
      <c r="E99" s="4"/>
      <c r="F99" s="8"/>
      <c r="G99" s="4"/>
      <c r="H99" s="8"/>
      <c r="I99" s="7"/>
      <c r="J99" s="7"/>
      <c r="K99" s="4"/>
      <c r="L99" s="8"/>
      <c r="M99" s="4"/>
      <c r="N99" s="8"/>
      <c r="O99" s="7"/>
      <c r="P99" s="7"/>
    </row>
    <row r="100">
      <c r="A100" s="2" t="s">
        <v>250</v>
      </c>
      <c r="B100" s="2" t="s">
        <v>3397</v>
      </c>
      <c r="C100" s="2" t="s">
        <v>608</v>
      </c>
      <c r="D100" s="2" t="s">
        <v>5066</v>
      </c>
      <c r="E100" s="4"/>
      <c r="F100" s="8"/>
      <c r="G100" s="4"/>
      <c r="H100" s="8"/>
      <c r="I100" s="7"/>
      <c r="J100" s="7"/>
      <c r="K100" s="4"/>
      <c r="L100" s="8"/>
      <c r="M100" s="4"/>
      <c r="N100" s="8"/>
      <c r="O100" s="7"/>
      <c r="P100" s="7"/>
    </row>
    <row r="101">
      <c r="A101" s="2" t="s">
        <v>250</v>
      </c>
      <c r="B101" s="2" t="s">
        <v>1839</v>
      </c>
      <c r="C101" s="2" t="s">
        <v>608</v>
      </c>
      <c r="D101" s="2" t="s">
        <v>3015</v>
      </c>
      <c r="E101" s="4"/>
      <c r="F101" s="8"/>
      <c r="G101" s="4"/>
      <c r="H101" s="8"/>
      <c r="I101" s="7"/>
      <c r="J101" s="7"/>
      <c r="K101" s="4"/>
      <c r="L101" s="8"/>
      <c r="M101" s="4"/>
      <c r="N101" s="8"/>
      <c r="O101" s="7"/>
      <c r="P101" s="7"/>
    </row>
    <row r="102">
      <c r="A102" s="2" t="s">
        <v>1099</v>
      </c>
      <c r="B102" s="2" t="s">
        <v>1252</v>
      </c>
      <c r="C102" s="2" t="s">
        <v>1159</v>
      </c>
      <c r="D102" s="2" t="s">
        <v>1160</v>
      </c>
      <c r="E102" s="4"/>
      <c r="F102" s="8"/>
      <c r="G102" s="4"/>
      <c r="H102" s="8"/>
      <c r="I102" s="7"/>
      <c r="J102" s="7"/>
      <c r="K102" s="4"/>
      <c r="L102" s="8"/>
      <c r="M102" s="4"/>
      <c r="N102" s="8"/>
      <c r="O102" s="7"/>
      <c r="P102" s="7"/>
    </row>
    <row r="103">
      <c r="A103" s="2" t="s">
        <v>1099</v>
      </c>
      <c r="B103" s="2" t="s">
        <v>756</v>
      </c>
      <c r="C103" s="2" t="s">
        <v>3238</v>
      </c>
      <c r="D103" s="2" t="s">
        <v>3239</v>
      </c>
      <c r="E103" s="4"/>
      <c r="F103" s="8"/>
      <c r="G103" s="4"/>
      <c r="H103" s="8"/>
      <c r="I103" s="7"/>
      <c r="J103" s="7"/>
      <c r="K103" s="4"/>
      <c r="L103" s="8"/>
      <c r="M103" s="4"/>
      <c r="N103" s="8"/>
      <c r="O103" s="7"/>
      <c r="P103" s="7"/>
    </row>
    <row r="104">
      <c r="A104" s="2" t="s">
        <v>1099</v>
      </c>
      <c r="B104" s="2" t="s">
        <v>1211</v>
      </c>
      <c r="C104" s="2" t="s">
        <v>1159</v>
      </c>
      <c r="D104" s="2" t="s">
        <v>1160</v>
      </c>
      <c r="E104" s="4"/>
      <c r="F104" s="8"/>
      <c r="G104" s="4"/>
      <c r="H104" s="8"/>
      <c r="I104" s="7"/>
      <c r="J104" s="7"/>
      <c r="K104" s="4"/>
      <c r="L104" s="8"/>
      <c r="M104" s="4"/>
      <c r="N104" s="8"/>
      <c r="O104" s="7"/>
      <c r="P104" s="7"/>
    </row>
    <row r="105">
      <c r="A105" s="2" t="s">
        <v>1099</v>
      </c>
      <c r="B105" s="2" t="s">
        <v>745</v>
      </c>
      <c r="C105" s="2" t="s">
        <v>1159</v>
      </c>
      <c r="D105" s="2" t="s">
        <v>1160</v>
      </c>
      <c r="E105" s="4"/>
      <c r="F105" s="8"/>
      <c r="G105" s="4"/>
      <c r="H105" s="8"/>
      <c r="I105" s="7"/>
      <c r="J105" s="7"/>
      <c r="K105" s="4"/>
      <c r="L105" s="8"/>
      <c r="M105" s="4"/>
      <c r="N105" s="8"/>
      <c r="O105" s="7"/>
      <c r="P105" s="7"/>
    </row>
    <row r="106">
      <c r="A106" s="2" t="s">
        <v>1099</v>
      </c>
      <c r="B106" s="2" t="s">
        <v>877</v>
      </c>
      <c r="C106" s="2" t="s">
        <v>6016</v>
      </c>
      <c r="D106" s="2" t="s">
        <v>671</v>
      </c>
      <c r="E106" s="4"/>
      <c r="F106" s="8"/>
      <c r="G106" s="4"/>
      <c r="H106" s="8"/>
      <c r="I106" s="7"/>
      <c r="J106" s="7"/>
      <c r="K106" s="4"/>
      <c r="L106" s="8"/>
      <c r="M106" s="4"/>
      <c r="N106" s="8"/>
      <c r="O106" s="7"/>
      <c r="P106" s="7"/>
    </row>
    <row r="107">
      <c r="A107" s="2" t="s">
        <v>1099</v>
      </c>
      <c r="B107" s="2" t="s">
        <v>231</v>
      </c>
      <c r="C107" s="2" t="s">
        <v>1100</v>
      </c>
      <c r="D107" s="2" t="s">
        <v>1101</v>
      </c>
      <c r="E107" s="4"/>
      <c r="F107" s="8"/>
      <c r="G107" s="4"/>
      <c r="H107" s="8"/>
      <c r="I107" s="7"/>
      <c r="J107" s="7"/>
      <c r="K107" s="4"/>
      <c r="L107" s="8"/>
      <c r="M107" s="4"/>
      <c r="N107" s="8"/>
      <c r="O107" s="7"/>
      <c r="P107" s="7"/>
    </row>
    <row r="108">
      <c r="A108" s="2" t="s">
        <v>1099</v>
      </c>
      <c r="B108" s="2" t="s">
        <v>231</v>
      </c>
      <c r="C108" s="2" t="s">
        <v>1159</v>
      </c>
      <c r="D108" s="2" t="s">
        <v>1160</v>
      </c>
      <c r="E108" s="4"/>
      <c r="F108" s="8"/>
      <c r="G108" s="4"/>
      <c r="H108" s="8"/>
      <c r="I108" s="7"/>
      <c r="J108" s="7"/>
      <c r="K108" s="4"/>
      <c r="L108" s="8"/>
      <c r="M108" s="4"/>
      <c r="N108" s="8"/>
      <c r="O108" s="7"/>
      <c r="P108" s="7"/>
    </row>
    <row r="109">
      <c r="A109" s="2" t="s">
        <v>1099</v>
      </c>
      <c r="B109" s="2" t="s">
        <v>607</v>
      </c>
      <c r="C109" s="2" t="s">
        <v>1100</v>
      </c>
      <c r="D109" s="2" t="s">
        <v>1101</v>
      </c>
      <c r="E109" s="4"/>
      <c r="F109" s="8"/>
      <c r="G109" s="4"/>
      <c r="H109" s="8"/>
      <c r="I109" s="7"/>
      <c r="J109" s="7"/>
      <c r="K109" s="4"/>
      <c r="L109" s="8"/>
      <c r="M109" s="4"/>
      <c r="N109" s="8"/>
      <c r="O109" s="7"/>
      <c r="P109" s="7"/>
    </row>
    <row r="110">
      <c r="A110" s="2" t="s">
        <v>1099</v>
      </c>
      <c r="B110" s="2" t="s">
        <v>1839</v>
      </c>
      <c r="C110" s="2" t="s">
        <v>1159</v>
      </c>
      <c r="D110" s="2" t="s">
        <v>1160</v>
      </c>
      <c r="E110" s="4"/>
      <c r="F110" s="8"/>
      <c r="G110" s="4"/>
      <c r="H110" s="8"/>
      <c r="I110" s="7"/>
      <c r="J110" s="7"/>
      <c r="K110" s="4"/>
      <c r="L110" s="8"/>
      <c r="M110" s="4"/>
      <c r="N110" s="8"/>
      <c r="O110" s="7"/>
      <c r="P110" s="7"/>
    </row>
    <row r="111">
      <c r="A111" s="2" t="s">
        <v>195</v>
      </c>
      <c r="B111" s="2" t="s">
        <v>624</v>
      </c>
      <c r="C111" s="2" t="s">
        <v>197</v>
      </c>
      <c r="D111" s="2" t="s">
        <v>198</v>
      </c>
      <c r="E111" s="4"/>
      <c r="F111" s="8"/>
      <c r="G111" s="4"/>
      <c r="H111" s="8"/>
      <c r="I111" s="7"/>
      <c r="J111" s="7"/>
      <c r="K111" s="4"/>
      <c r="L111" s="8"/>
      <c r="M111" s="4"/>
      <c r="N111" s="8"/>
      <c r="O111" s="7"/>
      <c r="P111" s="7"/>
    </row>
    <row r="112">
      <c r="A112" s="2" t="s">
        <v>195</v>
      </c>
      <c r="B112" s="2" t="s">
        <v>624</v>
      </c>
      <c r="C112" s="2" t="s">
        <v>3276</v>
      </c>
      <c r="D112" s="2" t="s">
        <v>3277</v>
      </c>
      <c r="E112" s="4"/>
      <c r="F112" s="8"/>
      <c r="G112" s="4"/>
      <c r="H112" s="8"/>
      <c r="I112" s="7"/>
      <c r="J112" s="7"/>
      <c r="K112" s="4"/>
      <c r="L112" s="8"/>
      <c r="M112" s="4"/>
      <c r="N112" s="8"/>
      <c r="O112" s="7"/>
      <c r="P112" s="7"/>
    </row>
    <row r="113">
      <c r="A113" s="2" t="s">
        <v>195</v>
      </c>
      <c r="B113" s="2" t="s">
        <v>624</v>
      </c>
      <c r="C113" s="2" t="s">
        <v>1168</v>
      </c>
      <c r="D113" s="2" t="s">
        <v>5047</v>
      </c>
      <c r="E113" s="4" t="s">
        <v>200</v>
      </c>
      <c r="F113" s="8" t="s">
        <v>200</v>
      </c>
      <c r="G113" s="4" t="s">
        <v>200</v>
      </c>
      <c r="H113" s="8" t="s">
        <v>200</v>
      </c>
      <c r="I113" s="7" t="s">
        <v>200</v>
      </c>
      <c r="J113" s="7" t="s">
        <v>200</v>
      </c>
      <c r="K113" s="4"/>
      <c r="L113" s="8"/>
      <c r="M113" s="4"/>
      <c r="N113" s="8"/>
      <c r="O113" s="7"/>
      <c r="P113" s="7"/>
    </row>
    <row r="114">
      <c r="A114" s="2" t="s">
        <v>195</v>
      </c>
      <c r="B114" s="2" t="s">
        <v>624</v>
      </c>
      <c r="C114" s="2" t="s">
        <v>1168</v>
      </c>
      <c r="D114" s="2" t="s">
        <v>3205</v>
      </c>
      <c r="E114" s="4" t="s">
        <v>200</v>
      </c>
      <c r="F114" s="8" t="s">
        <v>200</v>
      </c>
      <c r="G114" s="4" t="s">
        <v>200</v>
      </c>
      <c r="H114" s="8" t="s">
        <v>200</v>
      </c>
      <c r="I114" s="7" t="s">
        <v>200</v>
      </c>
      <c r="J114" s="7" t="s">
        <v>200</v>
      </c>
      <c r="K114" s="4"/>
      <c r="L114" s="8"/>
      <c r="M114" s="4"/>
      <c r="N114" s="8"/>
      <c r="O114" s="7"/>
      <c r="P114" s="7"/>
    </row>
    <row r="115">
      <c r="A115" s="2" t="s">
        <v>195</v>
      </c>
      <c r="B115" s="2" t="s">
        <v>624</v>
      </c>
      <c r="C115" s="2" t="s">
        <v>1168</v>
      </c>
      <c r="D115" s="2" t="s">
        <v>1169</v>
      </c>
      <c r="E115" s="4" t="s">
        <v>200</v>
      </c>
      <c r="F115" s="8" t="s">
        <v>200</v>
      </c>
      <c r="G115" s="4" t="s">
        <v>200</v>
      </c>
      <c r="H115" s="8" t="s">
        <v>200</v>
      </c>
      <c r="I115" s="7" t="s">
        <v>200</v>
      </c>
      <c r="J115" s="7" t="s">
        <v>200</v>
      </c>
      <c r="K115" s="4"/>
      <c r="L115" s="8"/>
      <c r="M115" s="4"/>
      <c r="N115" s="8"/>
      <c r="O115" s="7"/>
      <c r="P115" s="7"/>
    </row>
    <row r="116">
      <c r="A116" s="2" t="s">
        <v>195</v>
      </c>
      <c r="B116" s="2" t="s">
        <v>413</v>
      </c>
      <c r="C116" s="2" t="s">
        <v>197</v>
      </c>
      <c r="D116" s="2" t="s">
        <v>198</v>
      </c>
      <c r="E116" s="4"/>
      <c r="F116" s="8"/>
      <c r="G116" s="4"/>
      <c r="H116" s="8"/>
      <c r="I116" s="7"/>
      <c r="J116" s="7"/>
      <c r="K116" s="4"/>
      <c r="L116" s="8"/>
      <c r="M116" s="4"/>
      <c r="N116" s="8"/>
      <c r="O116" s="7"/>
      <c r="P116" s="7"/>
    </row>
    <row r="117">
      <c r="A117" s="2" t="s">
        <v>195</v>
      </c>
      <c r="B117" s="2" t="s">
        <v>1252</v>
      </c>
      <c r="C117" s="2" t="s">
        <v>1168</v>
      </c>
      <c r="D117" s="2" t="s">
        <v>5059</v>
      </c>
      <c r="E117" s="4"/>
      <c r="F117" s="8"/>
      <c r="G117" s="4"/>
      <c r="H117" s="8"/>
      <c r="I117" s="7"/>
      <c r="J117" s="7"/>
      <c r="K117" s="4"/>
      <c r="L117" s="8"/>
      <c r="M117" s="4"/>
      <c r="N117" s="8"/>
      <c r="O117" s="7"/>
      <c r="P117" s="7"/>
    </row>
    <row r="118">
      <c r="A118" s="2" t="s">
        <v>195</v>
      </c>
      <c r="B118" s="2" t="s">
        <v>1252</v>
      </c>
      <c r="C118" s="2" t="s">
        <v>1253</v>
      </c>
      <c r="D118" s="2" t="s">
        <v>1253</v>
      </c>
      <c r="E118" s="4"/>
      <c r="F118" s="8"/>
      <c r="G118" s="4"/>
      <c r="H118" s="8"/>
      <c r="I118" s="7"/>
      <c r="J118" s="7"/>
      <c r="K118" s="4"/>
      <c r="L118" s="8"/>
      <c r="M118" s="4"/>
      <c r="N118" s="8"/>
      <c r="O118" s="7"/>
      <c r="P118" s="7"/>
    </row>
    <row r="119">
      <c r="A119" s="2" t="s">
        <v>195</v>
      </c>
      <c r="B119" s="2" t="s">
        <v>756</v>
      </c>
      <c r="C119" s="2" t="s">
        <v>1524</v>
      </c>
      <c r="D119" s="2" t="s">
        <v>1525</v>
      </c>
      <c r="E119" s="4"/>
      <c r="F119" s="8"/>
      <c r="G119" s="4"/>
      <c r="H119" s="8"/>
      <c r="I119" s="7"/>
      <c r="J119" s="7"/>
      <c r="K119" s="4"/>
      <c r="L119" s="8"/>
      <c r="M119" s="4"/>
      <c r="N119" s="8"/>
      <c r="O119" s="7"/>
      <c r="P119" s="7"/>
    </row>
    <row r="120">
      <c r="A120" s="2" t="s">
        <v>195</v>
      </c>
      <c r="B120" s="2" t="s">
        <v>745</v>
      </c>
      <c r="C120" s="2" t="s">
        <v>197</v>
      </c>
      <c r="D120" s="2" t="s">
        <v>198</v>
      </c>
      <c r="E120" s="4"/>
      <c r="F120" s="8"/>
      <c r="G120" s="4"/>
      <c r="H120" s="8"/>
      <c r="I120" s="7"/>
      <c r="J120" s="7"/>
      <c r="K120" s="4"/>
      <c r="L120" s="8"/>
      <c r="M120" s="4"/>
      <c r="N120" s="8"/>
      <c r="O120" s="7"/>
      <c r="P120" s="7"/>
    </row>
    <row r="121">
      <c r="A121" s="2" t="s">
        <v>195</v>
      </c>
      <c r="B121" s="2" t="s">
        <v>745</v>
      </c>
      <c r="C121" s="2" t="s">
        <v>2171</v>
      </c>
      <c r="D121" s="2" t="s">
        <v>2172</v>
      </c>
      <c r="E121" s="4"/>
      <c r="F121" s="8"/>
      <c r="G121" s="4"/>
      <c r="H121" s="8"/>
      <c r="I121" s="7"/>
      <c r="J121" s="7"/>
      <c r="K121" s="4"/>
      <c r="L121" s="8"/>
      <c r="M121" s="4"/>
      <c r="N121" s="8"/>
      <c r="O121" s="7"/>
      <c r="P121" s="7"/>
    </row>
    <row r="122">
      <c r="A122" s="2" t="s">
        <v>195</v>
      </c>
      <c r="B122" s="2" t="s">
        <v>877</v>
      </c>
      <c r="C122" s="2" t="s">
        <v>197</v>
      </c>
      <c r="D122" s="2" t="s">
        <v>198</v>
      </c>
      <c r="E122" s="4"/>
      <c r="F122" s="8"/>
      <c r="G122" s="4"/>
      <c r="H122" s="8"/>
      <c r="I122" s="7"/>
      <c r="J122" s="7"/>
      <c r="K122" s="4"/>
      <c r="L122" s="8"/>
      <c r="M122" s="4"/>
      <c r="N122" s="8"/>
      <c r="O122" s="7"/>
      <c r="P122" s="7"/>
    </row>
    <row r="123">
      <c r="A123" s="2" t="s">
        <v>195</v>
      </c>
      <c r="B123" s="2" t="s">
        <v>877</v>
      </c>
      <c r="C123" s="2" t="s">
        <v>608</v>
      </c>
      <c r="D123" s="2" t="s">
        <v>609</v>
      </c>
      <c r="E123" s="4" t="s">
        <v>200</v>
      </c>
      <c r="F123" s="8" t="s">
        <v>200</v>
      </c>
      <c r="G123" s="4" t="s">
        <v>200</v>
      </c>
      <c r="H123" s="8" t="s">
        <v>200</v>
      </c>
      <c r="I123" s="7" t="s">
        <v>200</v>
      </c>
      <c r="J123" s="7" t="s">
        <v>200</v>
      </c>
      <c r="K123" s="4"/>
      <c r="L123" s="8"/>
      <c r="M123" s="4"/>
      <c r="N123" s="8"/>
      <c r="O123" s="7"/>
      <c r="P123" s="7"/>
    </row>
    <row r="124">
      <c r="A124" s="2" t="s">
        <v>195</v>
      </c>
      <c r="B124" s="2" t="s">
        <v>877</v>
      </c>
      <c r="C124" s="2" t="s">
        <v>608</v>
      </c>
      <c r="D124" s="2" t="s">
        <v>1324</v>
      </c>
      <c r="E124" s="4" t="s">
        <v>200</v>
      </c>
      <c r="F124" s="8" t="s">
        <v>200</v>
      </c>
      <c r="G124" s="4" t="s">
        <v>200</v>
      </c>
      <c r="H124" s="8" t="s">
        <v>200</v>
      </c>
      <c r="I124" s="7" t="s">
        <v>200</v>
      </c>
      <c r="J124" s="7" t="s">
        <v>200</v>
      </c>
      <c r="K124" s="4"/>
      <c r="L124" s="8"/>
      <c r="M124" s="4"/>
      <c r="N124" s="8"/>
      <c r="O124" s="7"/>
      <c r="P124" s="7"/>
    </row>
    <row r="125">
      <c r="A125" s="2" t="s">
        <v>195</v>
      </c>
      <c r="B125" s="2" t="s">
        <v>877</v>
      </c>
      <c r="C125" s="2" t="s">
        <v>2254</v>
      </c>
      <c r="D125" s="2" t="s">
        <v>2255</v>
      </c>
      <c r="E125" s="4"/>
      <c r="F125" s="8"/>
      <c r="G125" s="4"/>
      <c r="H125" s="8"/>
      <c r="I125" s="7"/>
      <c r="J125" s="7"/>
      <c r="K125" s="4"/>
      <c r="L125" s="8"/>
      <c r="M125" s="4"/>
      <c r="N125" s="8"/>
      <c r="O125" s="7"/>
      <c r="P125" s="7"/>
    </row>
    <row r="126">
      <c r="A126" s="2" t="s">
        <v>195</v>
      </c>
      <c r="B126" s="2" t="s">
        <v>231</v>
      </c>
      <c r="C126" s="2" t="s">
        <v>197</v>
      </c>
      <c r="D126" s="2" t="s">
        <v>198</v>
      </c>
      <c r="E126" s="4"/>
      <c r="F126" s="8"/>
      <c r="G126" s="4"/>
      <c r="H126" s="8"/>
      <c r="I126" s="7"/>
      <c r="J126" s="7"/>
      <c r="K126" s="4"/>
      <c r="L126" s="8"/>
      <c r="M126" s="4"/>
      <c r="N126" s="8"/>
      <c r="O126" s="7"/>
      <c r="P126" s="7"/>
    </row>
    <row r="127">
      <c r="A127" s="2" t="s">
        <v>195</v>
      </c>
      <c r="B127" s="2" t="s">
        <v>231</v>
      </c>
      <c r="C127" s="2" t="s">
        <v>608</v>
      </c>
      <c r="D127" s="2" t="s">
        <v>1324</v>
      </c>
      <c r="E127" s="4"/>
      <c r="F127" s="8"/>
      <c r="G127" s="4"/>
      <c r="H127" s="8"/>
      <c r="I127" s="7"/>
      <c r="J127" s="7"/>
      <c r="K127" s="4"/>
      <c r="L127" s="8"/>
      <c r="M127" s="4"/>
      <c r="N127" s="8"/>
      <c r="O127" s="7"/>
      <c r="P127" s="7"/>
    </row>
    <row r="128">
      <c r="A128" s="2" t="s">
        <v>195</v>
      </c>
      <c r="B128" s="2" t="s">
        <v>231</v>
      </c>
      <c r="C128" s="2" t="s">
        <v>1524</v>
      </c>
      <c r="D128" s="2" t="s">
        <v>2324</v>
      </c>
      <c r="E128" s="4"/>
      <c r="F128" s="8"/>
      <c r="G128" s="4"/>
      <c r="H128" s="8"/>
      <c r="I128" s="7"/>
      <c r="J128" s="7"/>
      <c r="K128" s="4"/>
      <c r="L128" s="8"/>
      <c r="M128" s="4"/>
      <c r="N128" s="8"/>
      <c r="O128" s="7"/>
      <c r="P128" s="7"/>
    </row>
    <row r="129">
      <c r="A129" s="2" t="s">
        <v>195</v>
      </c>
      <c r="B129" s="2" t="s">
        <v>231</v>
      </c>
      <c r="C129" s="2" t="s">
        <v>2254</v>
      </c>
      <c r="D129" s="2" t="s">
        <v>3132</v>
      </c>
      <c r="E129" s="4" t="s">
        <v>200</v>
      </c>
      <c r="F129" s="8" t="s">
        <v>200</v>
      </c>
      <c r="G129" s="4" t="s">
        <v>200</v>
      </c>
      <c r="H129" s="8" t="s">
        <v>200</v>
      </c>
      <c r="I129" s="7" t="s">
        <v>200</v>
      </c>
      <c r="J129" s="7" t="s">
        <v>200</v>
      </c>
      <c r="K129" s="4"/>
      <c r="L129" s="8"/>
      <c r="M129" s="4"/>
      <c r="N129" s="8"/>
      <c r="O129" s="7"/>
      <c r="P129" s="7"/>
    </row>
    <row r="130">
      <c r="A130" s="2" t="s">
        <v>195</v>
      </c>
      <c r="B130" s="2" t="s">
        <v>231</v>
      </c>
      <c r="C130" s="2" t="s">
        <v>2254</v>
      </c>
      <c r="D130" s="2" t="s">
        <v>2255</v>
      </c>
      <c r="E130" s="4" t="s">
        <v>200</v>
      </c>
      <c r="F130" s="8" t="s">
        <v>200</v>
      </c>
      <c r="G130" s="4" t="s">
        <v>200</v>
      </c>
      <c r="H130" s="8" t="s">
        <v>200</v>
      </c>
      <c r="I130" s="7" t="s">
        <v>200</v>
      </c>
      <c r="J130" s="7" t="s">
        <v>200</v>
      </c>
      <c r="K130" s="4"/>
      <c r="L130" s="8"/>
      <c r="M130" s="4"/>
      <c r="N130" s="8"/>
      <c r="O130" s="7"/>
      <c r="P130" s="7"/>
    </row>
    <row r="131">
      <c r="A131" s="2" t="s">
        <v>195</v>
      </c>
      <c r="B131" s="2" t="s">
        <v>307</v>
      </c>
      <c r="C131" s="2" t="s">
        <v>608</v>
      </c>
      <c r="D131" s="2" t="s">
        <v>1324</v>
      </c>
      <c r="E131" s="4"/>
      <c r="F131" s="8"/>
      <c r="G131" s="4"/>
      <c r="H131" s="8"/>
      <c r="I131" s="7"/>
      <c r="J131" s="7"/>
      <c r="K131" s="4"/>
      <c r="L131" s="8"/>
      <c r="M131" s="4"/>
      <c r="N131" s="8"/>
      <c r="O131" s="7"/>
      <c r="P131" s="7"/>
    </row>
    <row r="132">
      <c r="A132" s="2" t="s">
        <v>195</v>
      </c>
      <c r="B132" s="2" t="s">
        <v>196</v>
      </c>
      <c r="C132" s="2" t="s">
        <v>197</v>
      </c>
      <c r="D132" s="2" t="s">
        <v>198</v>
      </c>
      <c r="E132" s="4"/>
      <c r="F132" s="8"/>
      <c r="G132" s="4"/>
      <c r="H132" s="8"/>
      <c r="I132" s="7"/>
      <c r="J132" s="7"/>
      <c r="K132" s="4"/>
      <c r="L132" s="8"/>
      <c r="M132" s="4"/>
      <c r="N132" s="8"/>
      <c r="O132" s="7"/>
      <c r="P132" s="7"/>
    </row>
    <row r="133">
      <c r="A133" s="2" t="s">
        <v>195</v>
      </c>
      <c r="B133" s="2" t="s">
        <v>3204</v>
      </c>
      <c r="C133" s="2" t="s">
        <v>1168</v>
      </c>
      <c r="D133" s="2" t="s">
        <v>5047</v>
      </c>
      <c r="E133" s="4" t="s">
        <v>200</v>
      </c>
      <c r="F133" s="8" t="s">
        <v>200</v>
      </c>
      <c r="G133" s="4" t="s">
        <v>200</v>
      </c>
      <c r="H133" s="8" t="s">
        <v>200</v>
      </c>
      <c r="I133" s="7" t="s">
        <v>200</v>
      </c>
      <c r="J133" s="7" t="s">
        <v>200</v>
      </c>
      <c r="K133" s="4"/>
      <c r="L133" s="8"/>
      <c r="M133" s="4"/>
      <c r="N133" s="8"/>
      <c r="O133" s="7"/>
      <c r="P133" s="7"/>
    </row>
    <row r="134">
      <c r="A134" s="2" t="s">
        <v>195</v>
      </c>
      <c r="B134" s="2" t="s">
        <v>3204</v>
      </c>
      <c r="C134" s="2" t="s">
        <v>1168</v>
      </c>
      <c r="D134" s="2" t="s">
        <v>3205</v>
      </c>
      <c r="E134" s="4" t="s">
        <v>200</v>
      </c>
      <c r="F134" s="8" t="s">
        <v>200</v>
      </c>
      <c r="G134" s="4" t="s">
        <v>200</v>
      </c>
      <c r="H134" s="8" t="s">
        <v>200</v>
      </c>
      <c r="I134" s="7" t="s">
        <v>200</v>
      </c>
      <c r="J134" s="7" t="s">
        <v>200</v>
      </c>
      <c r="K134" s="4"/>
      <c r="L134" s="8"/>
      <c r="M134" s="4"/>
      <c r="N134" s="8"/>
      <c r="O134" s="7"/>
      <c r="P134" s="7"/>
    </row>
    <row r="135">
      <c r="A135" s="2" t="s">
        <v>195</v>
      </c>
      <c r="B135" s="2" t="s">
        <v>1167</v>
      </c>
      <c r="C135" s="2" t="s">
        <v>1168</v>
      </c>
      <c r="D135" s="2" t="s">
        <v>1169</v>
      </c>
      <c r="E135" s="4"/>
      <c r="F135" s="8"/>
      <c r="G135" s="4"/>
      <c r="H135" s="8"/>
      <c r="I135" s="7"/>
      <c r="J135" s="7"/>
      <c r="K135" s="4"/>
      <c r="L135" s="8"/>
      <c r="M135" s="4"/>
      <c r="N135" s="8"/>
      <c r="O135" s="7"/>
      <c r="P135" s="7"/>
    </row>
    <row r="136">
      <c r="A136" s="2" t="s">
        <v>195</v>
      </c>
      <c r="B136" s="2" t="s">
        <v>3397</v>
      </c>
      <c r="C136" s="2" t="s">
        <v>197</v>
      </c>
      <c r="D136" s="2" t="s">
        <v>198</v>
      </c>
      <c r="E136" s="4"/>
      <c r="F136" s="8"/>
      <c r="G136" s="4"/>
      <c r="H136" s="8"/>
      <c r="I136" s="7"/>
      <c r="J136" s="7"/>
      <c r="K136" s="4"/>
      <c r="L136" s="8"/>
      <c r="M136" s="4"/>
      <c r="N136" s="8"/>
      <c r="O136" s="7"/>
      <c r="P136" s="7"/>
    </row>
    <row r="137">
      <c r="A137" s="2" t="s">
        <v>195</v>
      </c>
      <c r="B137" s="2" t="s">
        <v>3397</v>
      </c>
      <c r="C137" s="2" t="s">
        <v>608</v>
      </c>
      <c r="D137" s="2" t="s">
        <v>1324</v>
      </c>
      <c r="E137" s="4"/>
      <c r="F137" s="8"/>
      <c r="G137" s="4"/>
      <c r="H137" s="8"/>
      <c r="I137" s="7"/>
      <c r="J137" s="7"/>
      <c r="K137" s="4"/>
      <c r="L137" s="8"/>
      <c r="M137" s="4"/>
      <c r="N137" s="8"/>
      <c r="O137" s="7"/>
      <c r="P137" s="7"/>
    </row>
    <row r="138">
      <c r="A138" s="2" t="s">
        <v>195</v>
      </c>
      <c r="B138" s="2" t="s">
        <v>3397</v>
      </c>
      <c r="C138" s="2" t="s">
        <v>1168</v>
      </c>
      <c r="D138" s="2" t="s">
        <v>3205</v>
      </c>
      <c r="E138" s="4" t="s">
        <v>200</v>
      </c>
      <c r="F138" s="8" t="s">
        <v>200</v>
      </c>
      <c r="G138" s="4" t="s">
        <v>200</v>
      </c>
      <c r="H138" s="8" t="s">
        <v>200</v>
      </c>
      <c r="I138" s="7" t="s">
        <v>200</v>
      </c>
      <c r="J138" s="7" t="s">
        <v>200</v>
      </c>
      <c r="K138" s="4"/>
      <c r="L138" s="8"/>
      <c r="M138" s="4"/>
      <c r="N138" s="8"/>
      <c r="O138" s="7"/>
      <c r="P138" s="7"/>
    </row>
    <row r="139">
      <c r="A139" s="2" t="s">
        <v>195</v>
      </c>
      <c r="B139" s="2" t="s">
        <v>3397</v>
      </c>
      <c r="C139" s="2" t="s">
        <v>1168</v>
      </c>
      <c r="D139" s="2" t="s">
        <v>1169</v>
      </c>
      <c r="E139" s="4" t="s">
        <v>200</v>
      </c>
      <c r="F139" s="8" t="s">
        <v>200</v>
      </c>
      <c r="G139" s="4" t="s">
        <v>200</v>
      </c>
      <c r="H139" s="8" t="s">
        <v>200</v>
      </c>
      <c r="I139" s="7" t="s">
        <v>200</v>
      </c>
      <c r="J139" s="7" t="s">
        <v>200</v>
      </c>
      <c r="K139" s="4"/>
      <c r="L139" s="8"/>
      <c r="M139" s="4"/>
      <c r="N139" s="8"/>
      <c r="O139" s="7"/>
      <c r="P139" s="7"/>
    </row>
    <row r="140">
      <c r="A140" s="2" t="s">
        <v>195</v>
      </c>
      <c r="B140" s="2" t="s">
        <v>1894</v>
      </c>
      <c r="C140" s="2" t="s">
        <v>608</v>
      </c>
      <c r="D140" s="2" t="s">
        <v>609</v>
      </c>
      <c r="E140" s="4" t="s">
        <v>200</v>
      </c>
      <c r="F140" s="8" t="s">
        <v>200</v>
      </c>
      <c r="G140" s="4" t="s">
        <v>200</v>
      </c>
      <c r="H140" s="8" t="s">
        <v>200</v>
      </c>
      <c r="I140" s="7" t="s">
        <v>200</v>
      </c>
      <c r="J140" s="7" t="s">
        <v>200</v>
      </c>
      <c r="K140" s="4"/>
      <c r="L140" s="8"/>
      <c r="M140" s="4"/>
      <c r="N140" s="8"/>
      <c r="O140" s="7"/>
      <c r="P140" s="7"/>
    </row>
    <row r="141">
      <c r="A141" s="2" t="s">
        <v>195</v>
      </c>
      <c r="B141" s="2" t="s">
        <v>1894</v>
      </c>
      <c r="C141" s="2" t="s">
        <v>608</v>
      </c>
      <c r="D141" s="2" t="s">
        <v>1324</v>
      </c>
      <c r="E141" s="4" t="s">
        <v>200</v>
      </c>
      <c r="F141" s="8" t="s">
        <v>200</v>
      </c>
      <c r="G141" s="4" t="s">
        <v>200</v>
      </c>
      <c r="H141" s="8" t="s">
        <v>200</v>
      </c>
      <c r="I141" s="7" t="s">
        <v>200</v>
      </c>
      <c r="J141" s="7" t="s">
        <v>200</v>
      </c>
      <c r="K141" s="4"/>
      <c r="L141" s="8"/>
      <c r="M141" s="4"/>
      <c r="N141" s="8"/>
      <c r="O141" s="7"/>
      <c r="P141" s="7"/>
    </row>
    <row r="142">
      <c r="A142" s="2" t="s">
        <v>744</v>
      </c>
      <c r="B142" s="2" t="s">
        <v>1375</v>
      </c>
      <c r="C142" s="2" t="s">
        <v>1413</v>
      </c>
      <c r="D142" s="2" t="s">
        <v>1414</v>
      </c>
      <c r="E142" s="4"/>
      <c r="F142" s="8"/>
      <c r="G142" s="4"/>
      <c r="H142" s="8"/>
      <c r="I142" s="7"/>
      <c r="J142" s="7"/>
      <c r="K142" s="4"/>
      <c r="L142" s="8"/>
      <c r="M142" s="4"/>
      <c r="N142" s="8"/>
      <c r="O142" s="7"/>
      <c r="P142" s="7"/>
    </row>
    <row r="143">
      <c r="A143" s="2" t="s">
        <v>744</v>
      </c>
      <c r="B143" s="2" t="s">
        <v>1375</v>
      </c>
      <c r="C143" s="2" t="s">
        <v>1275</v>
      </c>
      <c r="D143" s="2" t="s">
        <v>1276</v>
      </c>
      <c r="E143" s="4"/>
      <c r="F143" s="8"/>
      <c r="G143" s="4"/>
      <c r="H143" s="8"/>
      <c r="I143" s="7"/>
      <c r="J143" s="7"/>
      <c r="K143" s="4"/>
      <c r="L143" s="8"/>
      <c r="M143" s="4"/>
      <c r="N143" s="8"/>
      <c r="O143" s="7"/>
      <c r="P143" s="7"/>
    </row>
    <row r="144">
      <c r="A144" s="2" t="s">
        <v>744</v>
      </c>
      <c r="B144" s="2" t="s">
        <v>1375</v>
      </c>
      <c r="C144" s="2" t="s">
        <v>746</v>
      </c>
      <c r="D144" s="2" t="s">
        <v>1422</v>
      </c>
      <c r="E144" s="4"/>
      <c r="F144" s="8"/>
      <c r="G144" s="4"/>
      <c r="H144" s="8"/>
      <c r="I144" s="7"/>
      <c r="J144" s="7"/>
      <c r="K144" s="4"/>
      <c r="L144" s="8"/>
      <c r="M144" s="4"/>
      <c r="N144" s="8"/>
      <c r="O144" s="7"/>
      <c r="P144" s="7"/>
    </row>
    <row r="145">
      <c r="A145" s="2" t="s">
        <v>744</v>
      </c>
      <c r="B145" s="2" t="s">
        <v>1375</v>
      </c>
      <c r="C145" s="2" t="s">
        <v>783</v>
      </c>
      <c r="D145" s="2" t="s">
        <v>784</v>
      </c>
      <c r="E145" s="4"/>
      <c r="F145" s="8"/>
      <c r="G145" s="4"/>
      <c r="H145" s="8"/>
      <c r="I145" s="7"/>
      <c r="J145" s="7"/>
      <c r="K145" s="4"/>
      <c r="L145" s="8"/>
      <c r="M145" s="4"/>
      <c r="N145" s="8"/>
      <c r="O145" s="7"/>
      <c r="P145" s="7"/>
    </row>
    <row r="146">
      <c r="A146" s="2" t="s">
        <v>744</v>
      </c>
      <c r="B146" s="2" t="s">
        <v>1375</v>
      </c>
      <c r="C146" s="2" t="s">
        <v>1462</v>
      </c>
      <c r="D146" s="2" t="s">
        <v>1463</v>
      </c>
      <c r="E146" s="4"/>
      <c r="F146" s="8"/>
      <c r="G146" s="4"/>
      <c r="H146" s="8"/>
      <c r="I146" s="7"/>
      <c r="J146" s="7"/>
      <c r="K146" s="4"/>
      <c r="L146" s="8"/>
      <c r="M146" s="4"/>
      <c r="N146" s="8"/>
      <c r="O146" s="7"/>
      <c r="P146" s="7"/>
    </row>
    <row r="147">
      <c r="A147" s="2" t="s">
        <v>744</v>
      </c>
      <c r="B147" s="2" t="s">
        <v>1375</v>
      </c>
      <c r="C147" s="2" t="s">
        <v>1806</v>
      </c>
      <c r="D147" s="2" t="s">
        <v>2569</v>
      </c>
      <c r="E147" s="4"/>
      <c r="F147" s="8"/>
      <c r="G147" s="4"/>
      <c r="H147" s="8"/>
      <c r="I147" s="7"/>
      <c r="J147" s="7"/>
      <c r="K147" s="4"/>
      <c r="L147" s="8"/>
      <c r="M147" s="4"/>
      <c r="N147" s="8"/>
      <c r="O147" s="7"/>
      <c r="P147" s="7"/>
    </row>
    <row r="148">
      <c r="A148" s="2" t="s">
        <v>744</v>
      </c>
      <c r="B148" s="2" t="s">
        <v>745</v>
      </c>
      <c r="C148" s="2" t="s">
        <v>1413</v>
      </c>
      <c r="D148" s="2" t="s">
        <v>1414</v>
      </c>
      <c r="E148" s="4"/>
      <c r="F148" s="8"/>
      <c r="G148" s="4"/>
      <c r="H148" s="8"/>
      <c r="I148" s="7"/>
      <c r="J148" s="7"/>
      <c r="K148" s="4"/>
      <c r="L148" s="8"/>
      <c r="M148" s="4"/>
      <c r="N148" s="8"/>
      <c r="O148" s="7"/>
      <c r="P148" s="7"/>
    </row>
    <row r="149">
      <c r="A149" s="2" t="s">
        <v>744</v>
      </c>
      <c r="B149" s="2" t="s">
        <v>745</v>
      </c>
      <c r="C149" s="2" t="s">
        <v>1275</v>
      </c>
      <c r="D149" s="2" t="s">
        <v>1276</v>
      </c>
      <c r="E149" s="4" t="s">
        <v>200</v>
      </c>
      <c r="F149" s="8" t="s">
        <v>200</v>
      </c>
      <c r="G149" s="4" t="s">
        <v>200</v>
      </c>
      <c r="H149" s="8" t="s">
        <v>200</v>
      </c>
      <c r="I149" s="7" t="s">
        <v>200</v>
      </c>
      <c r="J149" s="7" t="s">
        <v>200</v>
      </c>
      <c r="K149" s="4"/>
      <c r="L149" s="8"/>
      <c r="M149" s="4"/>
      <c r="N149" s="8"/>
      <c r="O149" s="7"/>
      <c r="P149" s="7"/>
    </row>
    <row r="150">
      <c r="A150" s="2" t="s">
        <v>744</v>
      </c>
      <c r="B150" s="2" t="s">
        <v>745</v>
      </c>
      <c r="C150" s="2" t="s">
        <v>1275</v>
      </c>
      <c r="D150" s="2" t="s">
        <v>2091</v>
      </c>
      <c r="E150" s="4" t="s">
        <v>200</v>
      </c>
      <c r="F150" s="8" t="s">
        <v>200</v>
      </c>
      <c r="G150" s="4" t="s">
        <v>200</v>
      </c>
      <c r="H150" s="8" t="s">
        <v>200</v>
      </c>
      <c r="I150" s="7" t="s">
        <v>200</v>
      </c>
      <c r="J150" s="7" t="s">
        <v>200</v>
      </c>
      <c r="K150" s="4"/>
      <c r="L150" s="8"/>
      <c r="M150" s="4"/>
      <c r="N150" s="8"/>
      <c r="O150" s="7"/>
      <c r="P150" s="7"/>
    </row>
    <row r="151">
      <c r="A151" s="2" t="s">
        <v>744</v>
      </c>
      <c r="B151" s="2" t="s">
        <v>745</v>
      </c>
      <c r="C151" s="2" t="s">
        <v>746</v>
      </c>
      <c r="D151" s="2" t="s">
        <v>1422</v>
      </c>
      <c r="E151" s="4" t="s">
        <v>200</v>
      </c>
      <c r="F151" s="8" t="s">
        <v>200</v>
      </c>
      <c r="G151" s="4" t="s">
        <v>200</v>
      </c>
      <c r="H151" s="8" t="s">
        <v>200</v>
      </c>
      <c r="I151" s="7" t="s">
        <v>200</v>
      </c>
      <c r="J151" s="7" t="s">
        <v>200</v>
      </c>
      <c r="K151" s="4"/>
      <c r="L151" s="8"/>
      <c r="M151" s="4"/>
      <c r="N151" s="8"/>
      <c r="O151" s="7"/>
      <c r="P151" s="7"/>
    </row>
    <row r="152">
      <c r="A152" s="2" t="s">
        <v>744</v>
      </c>
      <c r="B152" s="2" t="s">
        <v>745</v>
      </c>
      <c r="C152" s="2" t="s">
        <v>746</v>
      </c>
      <c r="D152" s="2" t="s">
        <v>747</v>
      </c>
      <c r="E152" s="4" t="s">
        <v>200</v>
      </c>
      <c r="F152" s="8" t="s">
        <v>200</v>
      </c>
      <c r="G152" s="4" t="s">
        <v>200</v>
      </c>
      <c r="H152" s="8" t="s">
        <v>200</v>
      </c>
      <c r="I152" s="7" t="s">
        <v>200</v>
      </c>
      <c r="J152" s="7" t="s">
        <v>200</v>
      </c>
      <c r="K152" s="4"/>
      <c r="L152" s="8"/>
      <c r="M152" s="4"/>
      <c r="N152" s="8"/>
      <c r="O152" s="7"/>
      <c r="P152" s="7"/>
    </row>
    <row r="153">
      <c r="A153" s="2" t="s">
        <v>744</v>
      </c>
      <c r="B153" s="2" t="s">
        <v>745</v>
      </c>
      <c r="C153" s="2" t="s">
        <v>988</v>
      </c>
      <c r="D153" s="2" t="s">
        <v>2832</v>
      </c>
      <c r="E153" s="4"/>
      <c r="F153" s="8"/>
      <c r="G153" s="4"/>
      <c r="H153" s="8"/>
      <c r="I153" s="7"/>
      <c r="J153" s="7"/>
      <c r="K153" s="4"/>
      <c r="L153" s="8"/>
      <c r="M153" s="4"/>
      <c r="N153" s="8"/>
      <c r="O153" s="7"/>
      <c r="P153" s="7"/>
    </row>
    <row r="154">
      <c r="A154" s="2" t="s">
        <v>744</v>
      </c>
      <c r="B154" s="2" t="s">
        <v>745</v>
      </c>
      <c r="C154" s="2" t="s">
        <v>783</v>
      </c>
      <c r="D154" s="2" t="s">
        <v>784</v>
      </c>
      <c r="E154" s="4"/>
      <c r="F154" s="8"/>
      <c r="G154" s="4"/>
      <c r="H154" s="8"/>
      <c r="I154" s="7"/>
      <c r="J154" s="7"/>
      <c r="K154" s="4"/>
      <c r="L154" s="8"/>
      <c r="M154" s="4"/>
      <c r="N154" s="8"/>
      <c r="O154" s="7"/>
      <c r="P154" s="7"/>
    </row>
    <row r="155">
      <c r="A155" s="2" t="s">
        <v>744</v>
      </c>
      <c r="B155" s="2" t="s">
        <v>745</v>
      </c>
      <c r="C155" s="2" t="s">
        <v>4592</v>
      </c>
      <c r="D155" s="2" t="s">
        <v>4356</v>
      </c>
      <c r="E155" s="4"/>
      <c r="F155" s="8"/>
      <c r="G155" s="4"/>
      <c r="H155" s="8"/>
      <c r="I155" s="7"/>
      <c r="J155" s="7"/>
      <c r="K155" s="4"/>
      <c r="L155" s="8"/>
      <c r="M155" s="4"/>
      <c r="N155" s="8"/>
      <c r="O155" s="7"/>
      <c r="P155" s="7"/>
    </row>
    <row r="156">
      <c r="A156" s="2" t="s">
        <v>744</v>
      </c>
      <c r="B156" s="2" t="s">
        <v>745</v>
      </c>
      <c r="C156" s="2" t="s">
        <v>1462</v>
      </c>
      <c r="D156" s="2" t="s">
        <v>1463</v>
      </c>
      <c r="E156" s="4" t="s">
        <v>200</v>
      </c>
      <c r="F156" s="8" t="s">
        <v>200</v>
      </c>
      <c r="G156" s="4" t="s">
        <v>200</v>
      </c>
      <c r="H156" s="8" t="s">
        <v>200</v>
      </c>
      <c r="I156" s="7" t="s">
        <v>200</v>
      </c>
      <c r="J156" s="7" t="s">
        <v>200</v>
      </c>
      <c r="K156" s="4"/>
      <c r="L156" s="8"/>
      <c r="M156" s="4"/>
      <c r="N156" s="8"/>
      <c r="O156" s="7"/>
      <c r="P156" s="7"/>
    </row>
    <row r="157">
      <c r="A157" s="2" t="s">
        <v>744</v>
      </c>
      <c r="B157" s="2" t="s">
        <v>745</v>
      </c>
      <c r="C157" s="2" t="s">
        <v>1462</v>
      </c>
      <c r="D157" s="2" t="s">
        <v>8461</v>
      </c>
      <c r="E157" s="4" t="s">
        <v>200</v>
      </c>
      <c r="F157" s="8" t="s">
        <v>200</v>
      </c>
      <c r="G157" s="4" t="s">
        <v>200</v>
      </c>
      <c r="H157" s="8" t="s">
        <v>200</v>
      </c>
      <c r="I157" s="7" t="s">
        <v>200</v>
      </c>
      <c r="J157" s="7" t="s">
        <v>200</v>
      </c>
      <c r="K157" s="4"/>
      <c r="L157" s="8"/>
      <c r="M157" s="4"/>
      <c r="N157" s="8"/>
      <c r="O157" s="7"/>
      <c r="P157" s="7"/>
    </row>
    <row r="158">
      <c r="A158" s="2" t="s">
        <v>744</v>
      </c>
      <c r="B158" s="2" t="s">
        <v>745</v>
      </c>
      <c r="C158" s="2" t="s">
        <v>2839</v>
      </c>
      <c r="D158" s="2" t="s">
        <v>2840</v>
      </c>
      <c r="E158" s="4"/>
      <c r="F158" s="8"/>
      <c r="G158" s="4"/>
      <c r="H158" s="8"/>
      <c r="I158" s="7"/>
      <c r="J158" s="7"/>
      <c r="K158" s="4"/>
      <c r="L158" s="8"/>
      <c r="M158" s="4"/>
      <c r="N158" s="8"/>
      <c r="O158" s="7"/>
      <c r="P158" s="7"/>
    </row>
    <row r="159">
      <c r="A159" s="2" t="s">
        <v>744</v>
      </c>
      <c r="B159" s="2" t="s">
        <v>745</v>
      </c>
      <c r="C159" s="2" t="s">
        <v>1034</v>
      </c>
      <c r="D159" s="2" t="s">
        <v>1035</v>
      </c>
      <c r="E159" s="4"/>
      <c r="F159" s="8"/>
      <c r="G159" s="4"/>
      <c r="H159" s="8"/>
      <c r="I159" s="7"/>
      <c r="J159" s="7"/>
      <c r="K159" s="4"/>
      <c r="L159" s="8"/>
      <c r="M159" s="4"/>
      <c r="N159" s="8"/>
      <c r="O159" s="7"/>
      <c r="P159" s="7"/>
    </row>
    <row r="160">
      <c r="A160" s="2" t="s">
        <v>744</v>
      </c>
      <c r="B160" s="2" t="s">
        <v>745</v>
      </c>
      <c r="C160" s="2" t="s">
        <v>795</v>
      </c>
      <c r="D160" s="2" t="s">
        <v>796</v>
      </c>
      <c r="E160" s="4"/>
      <c r="F160" s="8"/>
      <c r="G160" s="4"/>
      <c r="H160" s="8"/>
      <c r="I160" s="7"/>
      <c r="J160" s="7"/>
      <c r="K160" s="4"/>
      <c r="L160" s="8"/>
      <c r="M160" s="4"/>
      <c r="N160" s="8"/>
      <c r="O160" s="7"/>
      <c r="P160" s="7"/>
    </row>
    <row r="161">
      <c r="A161" s="2" t="s">
        <v>744</v>
      </c>
      <c r="B161" s="2" t="s">
        <v>745</v>
      </c>
      <c r="C161" s="2" t="s">
        <v>8652</v>
      </c>
      <c r="D161" s="2" t="s">
        <v>8653</v>
      </c>
      <c r="E161" s="4"/>
      <c r="F161" s="8"/>
      <c r="G161" s="4"/>
      <c r="H161" s="8"/>
      <c r="I161" s="7"/>
      <c r="J161" s="7"/>
      <c r="K161" s="4"/>
      <c r="L161" s="8"/>
      <c r="M161" s="4"/>
      <c r="N161" s="8"/>
      <c r="O161" s="7"/>
      <c r="P161" s="7"/>
    </row>
    <row r="162">
      <c r="A162" s="2" t="s">
        <v>744</v>
      </c>
      <c r="B162" s="2" t="s">
        <v>745</v>
      </c>
      <c r="C162" s="2" t="s">
        <v>1806</v>
      </c>
      <c r="D162" s="2" t="s">
        <v>2569</v>
      </c>
      <c r="E162" s="4" t="s">
        <v>200</v>
      </c>
      <c r="F162" s="8" t="s">
        <v>200</v>
      </c>
      <c r="G162" s="4" t="s">
        <v>200</v>
      </c>
      <c r="H162" s="8" t="s">
        <v>200</v>
      </c>
      <c r="I162" s="7" t="s">
        <v>200</v>
      </c>
      <c r="J162" s="7" t="s">
        <v>200</v>
      </c>
      <c r="K162" s="4"/>
      <c r="L162" s="8"/>
      <c r="M162" s="4"/>
      <c r="N162" s="8"/>
      <c r="O162" s="7"/>
      <c r="P162" s="7"/>
    </row>
    <row r="163">
      <c r="A163" s="2" t="s">
        <v>744</v>
      </c>
      <c r="B163" s="2" t="s">
        <v>745</v>
      </c>
      <c r="C163" s="2" t="s">
        <v>1806</v>
      </c>
      <c r="D163" s="2" t="s">
        <v>1807</v>
      </c>
      <c r="E163" s="4" t="s">
        <v>200</v>
      </c>
      <c r="F163" s="8" t="s">
        <v>200</v>
      </c>
      <c r="G163" s="4" t="s">
        <v>200</v>
      </c>
      <c r="H163" s="8" t="s">
        <v>200</v>
      </c>
      <c r="I163" s="7" t="s">
        <v>200</v>
      </c>
      <c r="J163" s="7" t="s">
        <v>200</v>
      </c>
      <c r="K163" s="4"/>
      <c r="L163" s="8"/>
      <c r="M163" s="4"/>
      <c r="N163" s="8"/>
      <c r="O163" s="7"/>
      <c r="P163" s="7"/>
    </row>
    <row r="164">
      <c r="A164" s="2" t="s">
        <v>744</v>
      </c>
      <c r="B164" s="2" t="s">
        <v>745</v>
      </c>
      <c r="C164" s="2" t="s">
        <v>1806</v>
      </c>
      <c r="D164" s="2" t="s">
        <v>1333</v>
      </c>
      <c r="E164" s="4" t="s">
        <v>200</v>
      </c>
      <c r="F164" s="8" t="s">
        <v>200</v>
      </c>
      <c r="G164" s="4" t="s">
        <v>200</v>
      </c>
      <c r="H164" s="8" t="s">
        <v>200</v>
      </c>
      <c r="I164" s="7" t="s">
        <v>200</v>
      </c>
      <c r="J164" s="7" t="s">
        <v>200</v>
      </c>
      <c r="K164" s="4"/>
      <c r="L164" s="8"/>
      <c r="M164" s="4"/>
      <c r="N164" s="8"/>
      <c r="O164" s="7"/>
      <c r="P164" s="7"/>
    </row>
    <row r="165">
      <c r="A165" s="2" t="s">
        <v>744</v>
      </c>
      <c r="B165" s="2" t="s">
        <v>745</v>
      </c>
      <c r="C165" s="2" t="s">
        <v>6454</v>
      </c>
      <c r="D165" s="2" t="s">
        <v>6758</v>
      </c>
      <c r="E165" s="4" t="s">
        <v>200</v>
      </c>
      <c r="F165" s="8" t="s">
        <v>200</v>
      </c>
      <c r="G165" s="4" t="s">
        <v>200</v>
      </c>
      <c r="H165" s="8" t="s">
        <v>200</v>
      </c>
      <c r="I165" s="7" t="s">
        <v>200</v>
      </c>
      <c r="J165" s="7" t="s">
        <v>200</v>
      </c>
      <c r="K165" s="4"/>
      <c r="L165" s="8"/>
      <c r="M165" s="4"/>
      <c r="N165" s="8"/>
      <c r="O165" s="7"/>
      <c r="P165" s="7"/>
    </row>
    <row r="166">
      <c r="A166" s="2" t="s">
        <v>744</v>
      </c>
      <c r="B166" s="2" t="s">
        <v>745</v>
      </c>
      <c r="C166" s="2" t="s">
        <v>6454</v>
      </c>
      <c r="D166" s="2" t="s">
        <v>6455</v>
      </c>
      <c r="E166" s="4" t="s">
        <v>200</v>
      </c>
      <c r="F166" s="8" t="s">
        <v>200</v>
      </c>
      <c r="G166" s="4" t="s">
        <v>200</v>
      </c>
      <c r="H166" s="8" t="s">
        <v>200</v>
      </c>
      <c r="I166" s="7" t="s">
        <v>200</v>
      </c>
      <c r="J166" s="7" t="s">
        <v>200</v>
      </c>
      <c r="K166" s="4"/>
      <c r="L166" s="8"/>
      <c r="M166" s="4"/>
      <c r="N166" s="8"/>
      <c r="O166" s="7"/>
      <c r="P166" s="7"/>
    </row>
    <row r="167">
      <c r="A167" s="2" t="s">
        <v>744</v>
      </c>
      <c r="B167" s="2" t="s">
        <v>231</v>
      </c>
      <c r="C167" s="2" t="s">
        <v>1413</v>
      </c>
      <c r="D167" s="2" t="s">
        <v>1414</v>
      </c>
      <c r="E167" s="4"/>
      <c r="F167" s="8"/>
      <c r="G167" s="4"/>
      <c r="H167" s="8"/>
      <c r="I167" s="7"/>
      <c r="J167" s="7"/>
      <c r="K167" s="4"/>
      <c r="L167" s="8"/>
      <c r="M167" s="4"/>
      <c r="N167" s="8"/>
      <c r="O167" s="7"/>
      <c r="P167" s="7"/>
    </row>
    <row r="168">
      <c r="A168" s="2" t="s">
        <v>744</v>
      </c>
      <c r="B168" s="2" t="s">
        <v>231</v>
      </c>
      <c r="C168" s="2" t="s">
        <v>1275</v>
      </c>
      <c r="D168" s="2" t="s">
        <v>1276</v>
      </c>
      <c r="E168" s="4" t="s">
        <v>200</v>
      </c>
      <c r="F168" s="8" t="s">
        <v>200</v>
      </c>
      <c r="G168" s="4" t="s">
        <v>200</v>
      </c>
      <c r="H168" s="8" t="s">
        <v>200</v>
      </c>
      <c r="I168" s="7" t="s">
        <v>200</v>
      </c>
      <c r="J168" s="7" t="s">
        <v>200</v>
      </c>
      <c r="K168" s="4"/>
      <c r="L168" s="8"/>
      <c r="M168" s="4"/>
      <c r="N168" s="8"/>
      <c r="O168" s="7"/>
      <c r="P168" s="7"/>
    </row>
    <row r="169">
      <c r="A169" s="2" t="s">
        <v>744</v>
      </c>
      <c r="B169" s="2" t="s">
        <v>231</v>
      </c>
      <c r="C169" s="2" t="s">
        <v>1275</v>
      </c>
      <c r="D169" s="2" t="s">
        <v>2091</v>
      </c>
      <c r="E169" s="4" t="s">
        <v>200</v>
      </c>
      <c r="F169" s="8" t="s">
        <v>200</v>
      </c>
      <c r="G169" s="4" t="s">
        <v>200</v>
      </c>
      <c r="H169" s="8" t="s">
        <v>200</v>
      </c>
      <c r="I169" s="7" t="s">
        <v>200</v>
      </c>
      <c r="J169" s="7" t="s">
        <v>200</v>
      </c>
      <c r="K169" s="4"/>
      <c r="L169" s="8"/>
      <c r="M169" s="4"/>
      <c r="N169" s="8"/>
      <c r="O169" s="7"/>
      <c r="P169" s="7"/>
    </row>
    <row r="170">
      <c r="A170" s="2" t="s">
        <v>744</v>
      </c>
      <c r="B170" s="2" t="s">
        <v>231</v>
      </c>
      <c r="C170" s="2" t="s">
        <v>1632</v>
      </c>
      <c r="D170" s="2" t="s">
        <v>1633</v>
      </c>
      <c r="E170" s="4"/>
      <c r="F170" s="8"/>
      <c r="G170" s="4"/>
      <c r="H170" s="8"/>
      <c r="I170" s="7"/>
      <c r="J170" s="7"/>
      <c r="K170" s="4"/>
      <c r="L170" s="8"/>
      <c r="M170" s="4"/>
      <c r="N170" s="8"/>
      <c r="O170" s="7"/>
      <c r="P170" s="7"/>
    </row>
    <row r="171">
      <c r="A171" s="2" t="s">
        <v>744</v>
      </c>
      <c r="B171" s="2" t="s">
        <v>231</v>
      </c>
      <c r="C171" s="2" t="s">
        <v>1332</v>
      </c>
      <c r="D171" s="2" t="s">
        <v>1333</v>
      </c>
      <c r="E171" s="4"/>
      <c r="F171" s="8"/>
      <c r="G171" s="4"/>
      <c r="H171" s="8"/>
      <c r="I171" s="7"/>
      <c r="J171" s="7"/>
      <c r="K171" s="4"/>
      <c r="L171" s="8"/>
      <c r="M171" s="4"/>
      <c r="N171" s="8"/>
      <c r="O171" s="7"/>
      <c r="P171" s="7"/>
    </row>
    <row r="172">
      <c r="A172" s="2" t="s">
        <v>744</v>
      </c>
      <c r="B172" s="2" t="s">
        <v>231</v>
      </c>
      <c r="C172" s="2" t="s">
        <v>746</v>
      </c>
      <c r="D172" s="2" t="s">
        <v>1422</v>
      </c>
      <c r="E172" s="4" t="s">
        <v>200</v>
      </c>
      <c r="F172" s="8" t="s">
        <v>200</v>
      </c>
      <c r="G172" s="4" t="s">
        <v>200</v>
      </c>
      <c r="H172" s="8" t="s">
        <v>200</v>
      </c>
      <c r="I172" s="7" t="s">
        <v>200</v>
      </c>
      <c r="J172" s="7" t="s">
        <v>200</v>
      </c>
      <c r="K172" s="4"/>
      <c r="L172" s="8"/>
      <c r="M172" s="4"/>
      <c r="N172" s="8"/>
      <c r="O172" s="7"/>
      <c r="P172" s="7"/>
    </row>
    <row r="173">
      <c r="A173" s="2" t="s">
        <v>744</v>
      </c>
      <c r="B173" s="2" t="s">
        <v>231</v>
      </c>
      <c r="C173" s="2" t="s">
        <v>746</v>
      </c>
      <c r="D173" s="2" t="s">
        <v>7396</v>
      </c>
      <c r="E173" s="4" t="s">
        <v>200</v>
      </c>
      <c r="F173" s="8" t="s">
        <v>200</v>
      </c>
      <c r="G173" s="4" t="s">
        <v>200</v>
      </c>
      <c r="H173" s="8" t="s">
        <v>200</v>
      </c>
      <c r="I173" s="7" t="s">
        <v>200</v>
      </c>
      <c r="J173" s="7" t="s">
        <v>200</v>
      </c>
      <c r="K173" s="4"/>
      <c r="L173" s="8"/>
      <c r="M173" s="4"/>
      <c r="N173" s="8"/>
      <c r="O173" s="7"/>
      <c r="P173" s="7"/>
    </row>
    <row r="174">
      <c r="A174" s="2" t="s">
        <v>744</v>
      </c>
      <c r="B174" s="2" t="s">
        <v>231</v>
      </c>
      <c r="C174" s="2" t="s">
        <v>746</v>
      </c>
      <c r="D174" s="2" t="s">
        <v>747</v>
      </c>
      <c r="E174" s="4" t="s">
        <v>200</v>
      </c>
      <c r="F174" s="8" t="s">
        <v>200</v>
      </c>
      <c r="G174" s="4" t="s">
        <v>200</v>
      </c>
      <c r="H174" s="8" t="s">
        <v>200</v>
      </c>
      <c r="I174" s="7" t="s">
        <v>200</v>
      </c>
      <c r="J174" s="7" t="s">
        <v>200</v>
      </c>
      <c r="K174" s="4"/>
      <c r="L174" s="8"/>
      <c r="M174" s="4"/>
      <c r="N174" s="8"/>
      <c r="O174" s="7"/>
      <c r="P174" s="7"/>
    </row>
    <row r="175">
      <c r="A175" s="2" t="s">
        <v>744</v>
      </c>
      <c r="B175" s="2" t="s">
        <v>231</v>
      </c>
      <c r="C175" s="2" t="s">
        <v>3692</v>
      </c>
      <c r="D175" s="2" t="s">
        <v>3693</v>
      </c>
      <c r="E175" s="4"/>
      <c r="F175" s="8"/>
      <c r="G175" s="4"/>
      <c r="H175" s="8"/>
      <c r="I175" s="7"/>
      <c r="J175" s="7"/>
      <c r="K175" s="4"/>
      <c r="L175" s="8"/>
      <c r="M175" s="4"/>
      <c r="N175" s="8"/>
      <c r="O175" s="7"/>
      <c r="P175" s="7"/>
    </row>
    <row r="176">
      <c r="A176" s="2" t="s">
        <v>744</v>
      </c>
      <c r="B176" s="2" t="s">
        <v>231</v>
      </c>
      <c r="C176" s="2" t="s">
        <v>4557</v>
      </c>
      <c r="D176" s="2" t="s">
        <v>1633</v>
      </c>
      <c r="E176" s="4"/>
      <c r="F176" s="8"/>
      <c r="G176" s="4"/>
      <c r="H176" s="8"/>
      <c r="I176" s="7"/>
      <c r="J176" s="7"/>
      <c r="K176" s="4"/>
      <c r="L176" s="8"/>
      <c r="M176" s="4"/>
      <c r="N176" s="8"/>
      <c r="O176" s="7"/>
      <c r="P176" s="7"/>
    </row>
    <row r="177">
      <c r="A177" s="2" t="s">
        <v>744</v>
      </c>
      <c r="B177" s="2" t="s">
        <v>231</v>
      </c>
      <c r="C177" s="2" t="s">
        <v>783</v>
      </c>
      <c r="D177" s="2" t="s">
        <v>784</v>
      </c>
      <c r="E177" s="4"/>
      <c r="F177" s="8"/>
      <c r="G177" s="4"/>
      <c r="H177" s="8"/>
      <c r="I177" s="7"/>
      <c r="J177" s="7"/>
      <c r="K177" s="4"/>
      <c r="L177" s="8"/>
      <c r="M177" s="4"/>
      <c r="N177" s="8"/>
      <c r="O177" s="7"/>
      <c r="P177" s="7"/>
    </row>
    <row r="178">
      <c r="A178" s="2" t="s">
        <v>744</v>
      </c>
      <c r="B178" s="2" t="s">
        <v>231</v>
      </c>
      <c r="C178" s="2" t="s">
        <v>1462</v>
      </c>
      <c r="D178" s="2" t="s">
        <v>1463</v>
      </c>
      <c r="E178" s="4"/>
      <c r="F178" s="8"/>
      <c r="G178" s="4"/>
      <c r="H178" s="8"/>
      <c r="I178" s="7"/>
      <c r="J178" s="7"/>
      <c r="K178" s="4"/>
      <c r="L178" s="8"/>
      <c r="M178" s="4"/>
      <c r="N178" s="8"/>
      <c r="O178" s="7"/>
      <c r="P178" s="7"/>
    </row>
    <row r="179">
      <c r="A179" s="2" t="s">
        <v>744</v>
      </c>
      <c r="B179" s="2" t="s">
        <v>231</v>
      </c>
      <c r="C179" s="2" t="s">
        <v>2839</v>
      </c>
      <c r="D179" s="2" t="s">
        <v>2840</v>
      </c>
      <c r="E179" s="4"/>
      <c r="F179" s="8"/>
      <c r="G179" s="4"/>
      <c r="H179" s="8"/>
      <c r="I179" s="7"/>
      <c r="J179" s="7"/>
      <c r="K179" s="4"/>
      <c r="L179" s="8"/>
      <c r="M179" s="4"/>
      <c r="N179" s="8"/>
      <c r="O179" s="7"/>
      <c r="P179" s="7"/>
    </row>
    <row r="180">
      <c r="A180" s="2" t="s">
        <v>744</v>
      </c>
      <c r="B180" s="2" t="s">
        <v>231</v>
      </c>
      <c r="C180" s="2" t="s">
        <v>1034</v>
      </c>
      <c r="D180" s="2" t="s">
        <v>1035</v>
      </c>
      <c r="E180" s="4"/>
      <c r="F180" s="8"/>
      <c r="G180" s="4"/>
      <c r="H180" s="8"/>
      <c r="I180" s="7"/>
      <c r="J180" s="7"/>
      <c r="K180" s="4"/>
      <c r="L180" s="8"/>
      <c r="M180" s="4"/>
      <c r="N180" s="8"/>
      <c r="O180" s="7"/>
      <c r="P180" s="7"/>
    </row>
    <row r="181">
      <c r="A181" s="2" t="s">
        <v>744</v>
      </c>
      <c r="B181" s="2" t="s">
        <v>231</v>
      </c>
      <c r="C181" s="2" t="s">
        <v>795</v>
      </c>
      <c r="D181" s="2" t="s">
        <v>1403</v>
      </c>
      <c r="E181" s="4" t="s">
        <v>200</v>
      </c>
      <c r="F181" s="8" t="s">
        <v>200</v>
      </c>
      <c r="G181" s="4" t="s">
        <v>200</v>
      </c>
      <c r="H181" s="8" t="s">
        <v>200</v>
      </c>
      <c r="I181" s="7" t="s">
        <v>200</v>
      </c>
      <c r="J181" s="7" t="s">
        <v>200</v>
      </c>
      <c r="K181" s="4"/>
      <c r="L181" s="8"/>
      <c r="M181" s="4"/>
      <c r="N181" s="8"/>
      <c r="O181" s="7"/>
      <c r="P181" s="7"/>
    </row>
    <row r="182">
      <c r="A182" s="2" t="s">
        <v>744</v>
      </c>
      <c r="B182" s="2" t="s">
        <v>231</v>
      </c>
      <c r="C182" s="2" t="s">
        <v>795</v>
      </c>
      <c r="D182" s="2" t="s">
        <v>210</v>
      </c>
      <c r="E182" s="4" t="s">
        <v>200</v>
      </c>
      <c r="F182" s="8" t="s">
        <v>200</v>
      </c>
      <c r="G182" s="4" t="s">
        <v>200</v>
      </c>
      <c r="H182" s="8" t="s">
        <v>200</v>
      </c>
      <c r="I182" s="7" t="s">
        <v>200</v>
      </c>
      <c r="J182" s="7" t="s">
        <v>200</v>
      </c>
      <c r="K182" s="4"/>
      <c r="L182" s="8"/>
      <c r="M182" s="4"/>
      <c r="N182" s="8"/>
      <c r="O182" s="7"/>
      <c r="P182" s="7"/>
    </row>
    <row r="183">
      <c r="A183" s="2" t="s">
        <v>744</v>
      </c>
      <c r="B183" s="2" t="s">
        <v>231</v>
      </c>
      <c r="C183" s="2" t="s">
        <v>795</v>
      </c>
      <c r="D183" s="2" t="s">
        <v>796</v>
      </c>
      <c r="E183" s="4" t="s">
        <v>200</v>
      </c>
      <c r="F183" s="8" t="s">
        <v>200</v>
      </c>
      <c r="G183" s="4" t="s">
        <v>200</v>
      </c>
      <c r="H183" s="8" t="s">
        <v>200</v>
      </c>
      <c r="I183" s="7" t="s">
        <v>200</v>
      </c>
      <c r="J183" s="7" t="s">
        <v>200</v>
      </c>
      <c r="K183" s="4"/>
      <c r="L183" s="8"/>
      <c r="M183" s="4"/>
      <c r="N183" s="8"/>
      <c r="O183" s="7"/>
      <c r="P183" s="7"/>
    </row>
    <row r="184">
      <c r="A184" s="2" t="s">
        <v>744</v>
      </c>
      <c r="B184" s="2" t="s">
        <v>231</v>
      </c>
      <c r="C184" s="2" t="s">
        <v>795</v>
      </c>
      <c r="D184" s="2" t="s">
        <v>1511</v>
      </c>
      <c r="E184" s="4" t="s">
        <v>200</v>
      </c>
      <c r="F184" s="8" t="s">
        <v>200</v>
      </c>
      <c r="G184" s="4" t="s">
        <v>200</v>
      </c>
      <c r="H184" s="8" t="s">
        <v>200</v>
      </c>
      <c r="I184" s="7" t="s">
        <v>200</v>
      </c>
      <c r="J184" s="7" t="s">
        <v>200</v>
      </c>
      <c r="K184" s="4"/>
      <c r="L184" s="8"/>
      <c r="M184" s="4"/>
      <c r="N184" s="8"/>
      <c r="O184" s="7"/>
      <c r="P184" s="7"/>
    </row>
    <row r="185">
      <c r="A185" s="2" t="s">
        <v>744</v>
      </c>
      <c r="B185" s="2" t="s">
        <v>231</v>
      </c>
      <c r="C185" s="2" t="s">
        <v>1806</v>
      </c>
      <c r="D185" s="2" t="s">
        <v>2569</v>
      </c>
      <c r="E185" s="4" t="s">
        <v>200</v>
      </c>
      <c r="F185" s="8" t="s">
        <v>200</v>
      </c>
      <c r="G185" s="4" t="s">
        <v>200</v>
      </c>
      <c r="H185" s="8" t="s">
        <v>200</v>
      </c>
      <c r="I185" s="7" t="s">
        <v>200</v>
      </c>
      <c r="J185" s="7" t="s">
        <v>200</v>
      </c>
      <c r="K185" s="4"/>
      <c r="L185" s="8"/>
      <c r="M185" s="4"/>
      <c r="N185" s="8"/>
      <c r="O185" s="7"/>
      <c r="P185" s="7"/>
    </row>
    <row r="186">
      <c r="A186" s="2" t="s">
        <v>744</v>
      </c>
      <c r="B186" s="2" t="s">
        <v>231</v>
      </c>
      <c r="C186" s="2" t="s">
        <v>1806</v>
      </c>
      <c r="D186" s="2" t="s">
        <v>1807</v>
      </c>
      <c r="E186" s="4" t="s">
        <v>200</v>
      </c>
      <c r="F186" s="8" t="s">
        <v>200</v>
      </c>
      <c r="G186" s="4" t="s">
        <v>200</v>
      </c>
      <c r="H186" s="8" t="s">
        <v>200</v>
      </c>
      <c r="I186" s="7" t="s">
        <v>200</v>
      </c>
      <c r="J186" s="7" t="s">
        <v>200</v>
      </c>
      <c r="K186" s="4"/>
      <c r="L186" s="8"/>
      <c r="M186" s="4"/>
      <c r="N186" s="8"/>
      <c r="O186" s="7"/>
      <c r="P186" s="7"/>
    </row>
    <row r="187">
      <c r="A187" s="2" t="s">
        <v>744</v>
      </c>
      <c r="B187" s="2" t="s">
        <v>231</v>
      </c>
      <c r="C187" s="2" t="s">
        <v>1806</v>
      </c>
      <c r="D187" s="2" t="s">
        <v>6184</v>
      </c>
      <c r="E187" s="4" t="s">
        <v>200</v>
      </c>
      <c r="F187" s="8" t="s">
        <v>200</v>
      </c>
      <c r="G187" s="4" t="s">
        <v>200</v>
      </c>
      <c r="H187" s="8" t="s">
        <v>200</v>
      </c>
      <c r="I187" s="7" t="s">
        <v>200</v>
      </c>
      <c r="J187" s="7" t="s">
        <v>200</v>
      </c>
      <c r="K187" s="4"/>
      <c r="L187" s="8"/>
      <c r="M187" s="4"/>
      <c r="N187" s="8"/>
      <c r="O187" s="7"/>
      <c r="P187" s="7"/>
    </row>
    <row r="188">
      <c r="A188" s="2" t="s">
        <v>744</v>
      </c>
      <c r="B188" s="2" t="s">
        <v>231</v>
      </c>
      <c r="C188" s="2" t="s">
        <v>1806</v>
      </c>
      <c r="D188" s="2" t="s">
        <v>1333</v>
      </c>
      <c r="E188" s="4" t="s">
        <v>200</v>
      </c>
      <c r="F188" s="8" t="s">
        <v>200</v>
      </c>
      <c r="G188" s="4" t="s">
        <v>200</v>
      </c>
      <c r="H188" s="8" t="s">
        <v>200</v>
      </c>
      <c r="I188" s="7" t="s">
        <v>200</v>
      </c>
      <c r="J188" s="7" t="s">
        <v>200</v>
      </c>
      <c r="K188" s="4"/>
      <c r="L188" s="8"/>
      <c r="M188" s="4"/>
      <c r="N188" s="8"/>
      <c r="O188" s="7"/>
      <c r="P188" s="7"/>
    </row>
    <row r="189">
      <c r="A189" s="2" t="s">
        <v>744</v>
      </c>
      <c r="B189" s="2" t="s">
        <v>231</v>
      </c>
      <c r="C189" s="2" t="s">
        <v>2677</v>
      </c>
      <c r="D189" s="2" t="s">
        <v>4855</v>
      </c>
      <c r="E189" s="4" t="s">
        <v>200</v>
      </c>
      <c r="F189" s="8" t="s">
        <v>200</v>
      </c>
      <c r="G189" s="4" t="s">
        <v>200</v>
      </c>
      <c r="H189" s="8" t="s">
        <v>200</v>
      </c>
      <c r="I189" s="7" t="s">
        <v>200</v>
      </c>
      <c r="J189" s="7" t="s">
        <v>200</v>
      </c>
      <c r="K189" s="4"/>
      <c r="L189" s="8"/>
      <c r="M189" s="4"/>
      <c r="N189" s="8"/>
      <c r="O189" s="7"/>
      <c r="P189" s="7"/>
    </row>
    <row r="190">
      <c r="A190" s="2" t="s">
        <v>744</v>
      </c>
      <c r="B190" s="2" t="s">
        <v>231</v>
      </c>
      <c r="C190" s="2" t="s">
        <v>2677</v>
      </c>
      <c r="D190" s="2" t="s">
        <v>2678</v>
      </c>
      <c r="E190" s="4" t="s">
        <v>200</v>
      </c>
      <c r="F190" s="8" t="s">
        <v>200</v>
      </c>
      <c r="G190" s="4" t="s">
        <v>200</v>
      </c>
      <c r="H190" s="8" t="s">
        <v>200</v>
      </c>
      <c r="I190" s="7" t="s">
        <v>200</v>
      </c>
      <c r="J190" s="7" t="s">
        <v>200</v>
      </c>
      <c r="K190" s="4"/>
      <c r="L190" s="8"/>
      <c r="M190" s="4"/>
      <c r="N190" s="8"/>
      <c r="O190" s="7"/>
      <c r="P190" s="7"/>
    </row>
    <row r="191">
      <c r="A191" s="2" t="s">
        <v>744</v>
      </c>
      <c r="B191" s="2" t="s">
        <v>607</v>
      </c>
      <c r="C191" s="2" t="s">
        <v>1413</v>
      </c>
      <c r="D191" s="2" t="s">
        <v>1414</v>
      </c>
      <c r="E191" s="4"/>
      <c r="F191" s="8"/>
      <c r="G191" s="4"/>
      <c r="H191" s="8"/>
      <c r="I191" s="7"/>
      <c r="J191" s="7"/>
      <c r="K191" s="4"/>
      <c r="L191" s="8"/>
      <c r="M191" s="4"/>
      <c r="N191" s="8"/>
      <c r="O191" s="7"/>
      <c r="P191" s="7"/>
    </row>
    <row r="192">
      <c r="A192" s="2" t="s">
        <v>744</v>
      </c>
      <c r="B192" s="2" t="s">
        <v>607</v>
      </c>
      <c r="C192" s="2" t="s">
        <v>1275</v>
      </c>
      <c r="D192" s="2" t="s">
        <v>1276</v>
      </c>
      <c r="E192" s="4"/>
      <c r="F192" s="8"/>
      <c r="G192" s="4"/>
      <c r="H192" s="8"/>
      <c r="I192" s="7"/>
      <c r="J192" s="7"/>
      <c r="K192" s="4"/>
      <c r="L192" s="8"/>
      <c r="M192" s="4"/>
      <c r="N192" s="8"/>
      <c r="O192" s="7"/>
      <c r="P192" s="7"/>
    </row>
    <row r="193">
      <c r="A193" s="2" t="s">
        <v>744</v>
      </c>
      <c r="B193" s="2" t="s">
        <v>607</v>
      </c>
      <c r="C193" s="2" t="s">
        <v>746</v>
      </c>
      <c r="D193" s="2" t="s">
        <v>1422</v>
      </c>
      <c r="E193" s="4"/>
      <c r="F193" s="8"/>
      <c r="G193" s="4"/>
      <c r="H193" s="8"/>
      <c r="I193" s="7"/>
      <c r="J193" s="7"/>
      <c r="K193" s="4"/>
      <c r="L193" s="8"/>
      <c r="M193" s="4"/>
      <c r="N193" s="8"/>
      <c r="O193" s="7"/>
      <c r="P193" s="7"/>
    </row>
    <row r="194">
      <c r="A194" s="2" t="s">
        <v>744</v>
      </c>
      <c r="B194" s="2" t="s">
        <v>607</v>
      </c>
      <c r="C194" s="2" t="s">
        <v>988</v>
      </c>
      <c r="D194" s="2" t="s">
        <v>210</v>
      </c>
      <c r="E194" s="4"/>
      <c r="F194" s="8"/>
      <c r="G194" s="4"/>
      <c r="H194" s="8"/>
      <c r="I194" s="7"/>
      <c r="J194" s="7"/>
      <c r="K194" s="4"/>
      <c r="L194" s="8"/>
      <c r="M194" s="4"/>
      <c r="N194" s="8"/>
      <c r="O194" s="7"/>
      <c r="P194" s="7"/>
    </row>
    <row r="195">
      <c r="A195" s="2" t="s">
        <v>744</v>
      </c>
      <c r="B195" s="2" t="s">
        <v>607</v>
      </c>
      <c r="C195" s="2" t="s">
        <v>1806</v>
      </c>
      <c r="D195" s="2" t="s">
        <v>1807</v>
      </c>
      <c r="E195" s="4"/>
      <c r="F195" s="8"/>
      <c r="G195" s="4"/>
      <c r="H195" s="8"/>
      <c r="I195" s="7"/>
      <c r="J195" s="7"/>
      <c r="K195" s="4"/>
      <c r="L195" s="8"/>
      <c r="M195" s="4"/>
      <c r="N195" s="8"/>
      <c r="O195" s="7"/>
      <c r="P195" s="7"/>
    </row>
    <row r="196">
      <c r="A196" s="2" t="s">
        <v>744</v>
      </c>
      <c r="B196" s="2" t="s">
        <v>730</v>
      </c>
      <c r="C196" s="2" t="s">
        <v>1413</v>
      </c>
      <c r="D196" s="2" t="s">
        <v>4356</v>
      </c>
      <c r="E196" s="4"/>
      <c r="F196" s="8"/>
      <c r="G196" s="4"/>
      <c r="H196" s="8"/>
      <c r="I196" s="7"/>
      <c r="J196" s="7"/>
      <c r="K196" s="4"/>
      <c r="L196" s="8"/>
      <c r="M196" s="4"/>
      <c r="N196" s="8"/>
      <c r="O196" s="7"/>
      <c r="P196" s="7"/>
    </row>
    <row r="197">
      <c r="A197" s="2" t="s">
        <v>744</v>
      </c>
      <c r="B197" s="2" t="s">
        <v>730</v>
      </c>
      <c r="C197" s="2" t="s">
        <v>1275</v>
      </c>
      <c r="D197" s="2" t="s">
        <v>1276</v>
      </c>
      <c r="E197" s="4"/>
      <c r="F197" s="8"/>
      <c r="G197" s="4"/>
      <c r="H197" s="8"/>
      <c r="I197" s="7"/>
      <c r="J197" s="7"/>
      <c r="K197" s="4"/>
      <c r="L197" s="8"/>
      <c r="M197" s="4"/>
      <c r="N197" s="8"/>
      <c r="O197" s="7"/>
      <c r="P197" s="7"/>
    </row>
    <row r="198">
      <c r="A198" s="2" t="s">
        <v>744</v>
      </c>
      <c r="B198" s="2" t="s">
        <v>730</v>
      </c>
      <c r="C198" s="2" t="s">
        <v>1632</v>
      </c>
      <c r="D198" s="2" t="s">
        <v>1633</v>
      </c>
      <c r="E198" s="4"/>
      <c r="F198" s="8"/>
      <c r="G198" s="4"/>
      <c r="H198" s="8"/>
      <c r="I198" s="7"/>
      <c r="J198" s="7"/>
      <c r="K198" s="4"/>
      <c r="L198" s="8"/>
      <c r="M198" s="4"/>
      <c r="N198" s="8"/>
      <c r="O198" s="7"/>
      <c r="P198" s="7"/>
    </row>
    <row r="199">
      <c r="A199" s="2" t="s">
        <v>744</v>
      </c>
      <c r="B199" s="2" t="s">
        <v>730</v>
      </c>
      <c r="C199" s="2" t="s">
        <v>5981</v>
      </c>
      <c r="D199" s="2" t="s">
        <v>5982</v>
      </c>
      <c r="E199" s="4"/>
      <c r="F199" s="8"/>
      <c r="G199" s="4"/>
      <c r="H199" s="8"/>
      <c r="I199" s="7"/>
      <c r="J199" s="7"/>
      <c r="K199" s="4"/>
      <c r="L199" s="8"/>
      <c r="M199" s="4"/>
      <c r="N199" s="8"/>
      <c r="O199" s="7"/>
      <c r="P199" s="7"/>
    </row>
    <row r="200">
      <c r="A200" s="2" t="s">
        <v>744</v>
      </c>
      <c r="B200" s="2" t="s">
        <v>730</v>
      </c>
      <c r="C200" s="2" t="s">
        <v>988</v>
      </c>
      <c r="D200" s="2" t="s">
        <v>2832</v>
      </c>
      <c r="E200" s="4"/>
      <c r="F200" s="8"/>
      <c r="G200" s="4"/>
      <c r="H200" s="8"/>
      <c r="I200" s="7"/>
      <c r="J200" s="7"/>
      <c r="K200" s="4"/>
      <c r="L200" s="8"/>
      <c r="M200" s="4"/>
      <c r="N200" s="8"/>
      <c r="O200" s="7"/>
      <c r="P200" s="7"/>
    </row>
    <row r="201">
      <c r="A201" s="2" t="s">
        <v>744</v>
      </c>
      <c r="B201" s="2" t="s">
        <v>730</v>
      </c>
      <c r="C201" s="2" t="s">
        <v>783</v>
      </c>
      <c r="D201" s="2" t="s">
        <v>784</v>
      </c>
      <c r="E201" s="4"/>
      <c r="F201" s="8"/>
      <c r="G201" s="4"/>
      <c r="H201" s="8"/>
      <c r="I201" s="7"/>
      <c r="J201" s="7"/>
      <c r="K201" s="4"/>
      <c r="L201" s="8"/>
      <c r="M201" s="4"/>
      <c r="N201" s="8"/>
      <c r="O201" s="7"/>
      <c r="P201" s="7"/>
    </row>
    <row r="202">
      <c r="A202" s="2" t="s">
        <v>744</v>
      </c>
      <c r="B202" s="2" t="s">
        <v>730</v>
      </c>
      <c r="C202" s="2" t="s">
        <v>1462</v>
      </c>
      <c r="D202" s="2" t="s">
        <v>1463</v>
      </c>
      <c r="E202" s="4"/>
      <c r="F202" s="8"/>
      <c r="G202" s="4"/>
      <c r="H202" s="8"/>
      <c r="I202" s="7"/>
      <c r="J202" s="7"/>
      <c r="K202" s="4"/>
      <c r="L202" s="8"/>
      <c r="M202" s="4"/>
      <c r="N202" s="8"/>
      <c r="O202" s="7"/>
      <c r="P202" s="7"/>
    </row>
    <row r="203">
      <c r="A203" s="2" t="s">
        <v>744</v>
      </c>
      <c r="B203" s="2" t="s">
        <v>730</v>
      </c>
      <c r="C203" s="2" t="s">
        <v>7461</v>
      </c>
      <c r="D203" s="2" t="s">
        <v>7462</v>
      </c>
      <c r="E203" s="4"/>
      <c r="F203" s="8"/>
      <c r="G203" s="4"/>
      <c r="H203" s="8"/>
      <c r="I203" s="7"/>
      <c r="J203" s="7"/>
      <c r="K203" s="4"/>
      <c r="L203" s="8"/>
      <c r="M203" s="4"/>
      <c r="N203" s="8"/>
      <c r="O203" s="7"/>
      <c r="P203" s="7"/>
    </row>
    <row r="204">
      <c r="A204" s="2" t="s">
        <v>744</v>
      </c>
      <c r="B204" s="2" t="s">
        <v>730</v>
      </c>
      <c r="C204" s="2" t="s">
        <v>795</v>
      </c>
      <c r="D204" s="2" t="s">
        <v>796</v>
      </c>
      <c r="E204" s="4"/>
      <c r="F204" s="8"/>
      <c r="G204" s="4"/>
      <c r="H204" s="8"/>
      <c r="I204" s="7"/>
      <c r="J204" s="7"/>
      <c r="K204" s="4"/>
      <c r="L204" s="8"/>
      <c r="M204" s="4"/>
      <c r="N204" s="8"/>
      <c r="O204" s="7"/>
      <c r="P204" s="7"/>
    </row>
    <row r="205">
      <c r="A205" s="2" t="s">
        <v>744</v>
      </c>
      <c r="B205" s="2" t="s">
        <v>730</v>
      </c>
      <c r="C205" s="2" t="s">
        <v>1806</v>
      </c>
      <c r="D205" s="2" t="s">
        <v>2569</v>
      </c>
      <c r="E205" s="4"/>
      <c r="F205" s="8"/>
      <c r="G205" s="4"/>
      <c r="H205" s="8"/>
      <c r="I205" s="7"/>
      <c r="J205" s="7"/>
      <c r="K205" s="4"/>
      <c r="L205" s="8"/>
      <c r="M205" s="4"/>
      <c r="N205" s="8"/>
      <c r="O205" s="7"/>
      <c r="P205" s="7"/>
    </row>
    <row r="206">
      <c r="A206" s="2" t="s">
        <v>744</v>
      </c>
      <c r="B206" s="2" t="s">
        <v>730</v>
      </c>
      <c r="C206" s="2" t="s">
        <v>2677</v>
      </c>
      <c r="D206" s="2" t="s">
        <v>2678</v>
      </c>
      <c r="E206" s="4"/>
      <c r="F206" s="8"/>
      <c r="G206" s="4"/>
      <c r="H206" s="8"/>
      <c r="I206" s="7"/>
      <c r="J206" s="7"/>
      <c r="K206" s="4"/>
      <c r="L206" s="8"/>
      <c r="M206" s="4"/>
      <c r="N206" s="8"/>
      <c r="O206" s="7"/>
      <c r="P206" s="7"/>
    </row>
    <row r="207">
      <c r="A207" s="2" t="s">
        <v>705</v>
      </c>
      <c r="B207" s="2" t="s">
        <v>1375</v>
      </c>
      <c r="C207" s="2" t="s">
        <v>707</v>
      </c>
      <c r="D207" s="2" t="s">
        <v>708</v>
      </c>
      <c r="E207" s="4"/>
      <c r="F207" s="8"/>
      <c r="G207" s="4"/>
      <c r="H207" s="8"/>
      <c r="I207" s="7"/>
      <c r="J207" s="7"/>
      <c r="K207" s="4"/>
      <c r="L207" s="8"/>
      <c r="M207" s="4"/>
      <c r="N207" s="8"/>
      <c r="O207" s="7"/>
      <c r="P207" s="7"/>
    </row>
    <row r="208">
      <c r="A208" s="2" t="s">
        <v>705</v>
      </c>
      <c r="B208" s="2" t="s">
        <v>1375</v>
      </c>
      <c r="C208" s="2" t="s">
        <v>1376</v>
      </c>
      <c r="D208" s="2" t="s">
        <v>1377</v>
      </c>
      <c r="E208" s="4"/>
      <c r="F208" s="8"/>
      <c r="G208" s="4"/>
      <c r="H208" s="8"/>
      <c r="I208" s="7"/>
      <c r="J208" s="7"/>
      <c r="K208" s="4"/>
      <c r="L208" s="8"/>
      <c r="M208" s="4"/>
      <c r="N208" s="8"/>
      <c r="O208" s="7"/>
      <c r="P208" s="7"/>
    </row>
    <row r="209">
      <c r="A209" s="2" t="s">
        <v>705</v>
      </c>
      <c r="B209" s="2" t="s">
        <v>1375</v>
      </c>
      <c r="C209" s="2" t="s">
        <v>817</v>
      </c>
      <c r="D209" s="2" t="s">
        <v>818</v>
      </c>
      <c r="E209" s="4"/>
      <c r="F209" s="8"/>
      <c r="G209" s="4"/>
      <c r="H209" s="8"/>
      <c r="I209" s="7"/>
      <c r="J209" s="7"/>
      <c r="K209" s="4"/>
      <c r="L209" s="8"/>
      <c r="M209" s="4"/>
      <c r="N209" s="8"/>
      <c r="O209" s="7"/>
      <c r="P209" s="7"/>
    </row>
    <row r="210">
      <c r="A210" s="2" t="s">
        <v>705</v>
      </c>
      <c r="B210" s="2" t="s">
        <v>706</v>
      </c>
      <c r="C210" s="2" t="s">
        <v>707</v>
      </c>
      <c r="D210" s="2" t="s">
        <v>708</v>
      </c>
      <c r="E210" s="4"/>
      <c r="F210" s="8"/>
      <c r="G210" s="4"/>
      <c r="H210" s="8"/>
      <c r="I210" s="7"/>
      <c r="J210" s="7"/>
      <c r="K210" s="4"/>
      <c r="L210" s="8"/>
      <c r="M210" s="4"/>
      <c r="N210" s="8"/>
      <c r="O210" s="7"/>
      <c r="P210" s="7"/>
    </row>
    <row r="211">
      <c r="A211" s="2" t="s">
        <v>705</v>
      </c>
      <c r="B211" s="2" t="s">
        <v>706</v>
      </c>
      <c r="C211" s="2" t="s">
        <v>808</v>
      </c>
      <c r="D211" s="2" t="s">
        <v>809</v>
      </c>
      <c r="E211" s="4"/>
      <c r="F211" s="8"/>
      <c r="G211" s="4"/>
      <c r="H211" s="8"/>
      <c r="I211" s="7"/>
      <c r="J211" s="7"/>
      <c r="K211" s="4"/>
      <c r="L211" s="8"/>
      <c r="M211" s="4"/>
      <c r="N211" s="8"/>
      <c r="O211" s="7"/>
      <c r="P211" s="7"/>
    </row>
    <row r="212">
      <c r="A212" s="2" t="s">
        <v>705</v>
      </c>
      <c r="B212" s="2" t="s">
        <v>706</v>
      </c>
      <c r="C212" s="2" t="s">
        <v>817</v>
      </c>
      <c r="D212" s="2" t="s">
        <v>818</v>
      </c>
      <c r="E212" s="4"/>
      <c r="F212" s="8"/>
      <c r="G212" s="4"/>
      <c r="H212" s="8"/>
      <c r="I212" s="7"/>
      <c r="J212" s="7"/>
      <c r="K212" s="4"/>
      <c r="L212" s="8"/>
      <c r="M212" s="4"/>
      <c r="N212" s="8"/>
      <c r="O212" s="7"/>
      <c r="P212" s="7"/>
    </row>
    <row r="213">
      <c r="A213" s="2" t="s">
        <v>705</v>
      </c>
      <c r="B213" s="2" t="s">
        <v>745</v>
      </c>
      <c r="C213" s="2" t="s">
        <v>707</v>
      </c>
      <c r="D213" s="2" t="s">
        <v>708</v>
      </c>
      <c r="E213" s="4"/>
      <c r="F213" s="8"/>
      <c r="G213" s="4"/>
      <c r="H213" s="8"/>
      <c r="I213" s="7"/>
      <c r="J213" s="7"/>
      <c r="K213" s="4"/>
      <c r="L213" s="8"/>
      <c r="M213" s="4"/>
      <c r="N213" s="8"/>
      <c r="O213" s="7"/>
      <c r="P213" s="7"/>
    </row>
    <row r="214">
      <c r="A214" s="2" t="s">
        <v>705</v>
      </c>
      <c r="B214" s="2" t="s">
        <v>745</v>
      </c>
      <c r="C214" s="2" t="s">
        <v>1376</v>
      </c>
      <c r="D214" s="2" t="s">
        <v>1377</v>
      </c>
      <c r="E214" s="4"/>
      <c r="F214" s="8"/>
      <c r="G214" s="4"/>
      <c r="H214" s="8"/>
      <c r="I214" s="7"/>
      <c r="J214" s="7"/>
      <c r="K214" s="4"/>
      <c r="L214" s="8"/>
      <c r="M214" s="4"/>
      <c r="N214" s="8"/>
      <c r="O214" s="7"/>
      <c r="P214" s="7"/>
    </row>
    <row r="215">
      <c r="A215" s="2" t="s">
        <v>705</v>
      </c>
      <c r="B215" s="2" t="s">
        <v>745</v>
      </c>
      <c r="C215" s="2" t="s">
        <v>6694</v>
      </c>
      <c r="D215" s="2" t="s">
        <v>6695</v>
      </c>
      <c r="E215" s="4"/>
      <c r="F215" s="8"/>
      <c r="G215" s="4"/>
      <c r="H215" s="8"/>
      <c r="I215" s="7"/>
      <c r="J215" s="7"/>
      <c r="K215" s="4"/>
      <c r="L215" s="8"/>
      <c r="M215" s="4"/>
      <c r="N215" s="8"/>
      <c r="O215" s="7"/>
      <c r="P215" s="7"/>
    </row>
    <row r="216">
      <c r="A216" s="2" t="s">
        <v>705</v>
      </c>
      <c r="B216" s="2" t="s">
        <v>745</v>
      </c>
      <c r="C216" s="2" t="s">
        <v>808</v>
      </c>
      <c r="D216" s="2" t="s">
        <v>809</v>
      </c>
      <c r="E216" s="4"/>
      <c r="F216" s="8"/>
      <c r="G216" s="4"/>
      <c r="H216" s="8"/>
      <c r="I216" s="7"/>
      <c r="J216" s="7"/>
      <c r="K216" s="4"/>
      <c r="L216" s="8"/>
      <c r="M216" s="4"/>
      <c r="N216" s="8"/>
      <c r="O216" s="7"/>
      <c r="P216" s="7"/>
    </row>
    <row r="217">
      <c r="A217" s="2" t="s">
        <v>705</v>
      </c>
      <c r="B217" s="2" t="s">
        <v>745</v>
      </c>
      <c r="C217" s="2" t="s">
        <v>817</v>
      </c>
      <c r="D217" s="2" t="s">
        <v>818</v>
      </c>
      <c r="E217" s="4"/>
      <c r="F217" s="8"/>
      <c r="G217" s="4"/>
      <c r="H217" s="8"/>
      <c r="I217" s="7"/>
      <c r="J217" s="7"/>
      <c r="K217" s="4"/>
      <c r="L217" s="8"/>
      <c r="M217" s="4"/>
      <c r="N217" s="8"/>
      <c r="O217" s="7"/>
      <c r="P217" s="7"/>
    </row>
    <row r="218">
      <c r="A218" s="2" t="s">
        <v>705</v>
      </c>
      <c r="B218" s="2" t="s">
        <v>730</v>
      </c>
      <c r="C218" s="2" t="s">
        <v>707</v>
      </c>
      <c r="D218" s="2" t="s">
        <v>708</v>
      </c>
      <c r="E218" s="4"/>
      <c r="F218" s="8"/>
      <c r="G218" s="4"/>
      <c r="H218" s="8"/>
      <c r="I218" s="7"/>
      <c r="J218" s="7"/>
      <c r="K218" s="4"/>
      <c r="L218" s="8"/>
      <c r="M218" s="4"/>
      <c r="N218" s="8"/>
      <c r="O218" s="7"/>
      <c r="P218" s="7"/>
    </row>
    <row r="219">
      <c r="A219" s="2" t="s">
        <v>705</v>
      </c>
      <c r="B219" s="2" t="s">
        <v>730</v>
      </c>
      <c r="C219" s="2" t="s">
        <v>1376</v>
      </c>
      <c r="D219" s="2" t="s">
        <v>1377</v>
      </c>
      <c r="E219" s="4"/>
      <c r="F219" s="8"/>
      <c r="G219" s="4"/>
      <c r="H219" s="8"/>
      <c r="I219" s="7"/>
      <c r="J219" s="7"/>
      <c r="K219" s="4"/>
      <c r="L219" s="8"/>
      <c r="M219" s="4"/>
      <c r="N219" s="8"/>
      <c r="O219" s="7"/>
      <c r="P219" s="7"/>
    </row>
    <row r="220">
      <c r="A220" s="2" t="s">
        <v>705</v>
      </c>
      <c r="B220" s="2" t="s">
        <v>730</v>
      </c>
      <c r="C220" s="2" t="s">
        <v>817</v>
      </c>
      <c r="D220" s="2" t="s">
        <v>818</v>
      </c>
      <c r="E220" s="4"/>
      <c r="F220" s="8"/>
      <c r="G220" s="4"/>
      <c r="H220" s="8"/>
      <c r="I220" s="7"/>
      <c r="J220" s="7"/>
      <c r="K220" s="4"/>
      <c r="L220" s="8"/>
      <c r="M220" s="4"/>
      <c r="N220" s="8"/>
      <c r="O220" s="7"/>
      <c r="P220" s="7"/>
    </row>
    <row r="221">
      <c r="A221" s="2" t="s">
        <v>2391</v>
      </c>
      <c r="B221" s="2" t="s">
        <v>946</v>
      </c>
      <c r="C221" s="2" t="s">
        <v>2392</v>
      </c>
      <c r="D221" s="2" t="s">
        <v>2393</v>
      </c>
      <c r="E221" s="4"/>
      <c r="F221" s="8"/>
      <c r="G221" s="4"/>
      <c r="H221" s="8"/>
      <c r="I221" s="7"/>
      <c r="J221" s="7"/>
      <c r="K221" s="4"/>
      <c r="L221" s="8"/>
      <c r="M221" s="4"/>
      <c r="N221" s="8"/>
      <c r="O221" s="7"/>
      <c r="P221" s="7"/>
    </row>
    <row r="222">
      <c r="A222" s="2" t="s">
        <v>945</v>
      </c>
      <c r="B222" s="2" t="s">
        <v>946</v>
      </c>
      <c r="C222" s="2" t="s">
        <v>947</v>
      </c>
      <c r="D222" s="2" t="s">
        <v>948</v>
      </c>
      <c r="E222" s="4"/>
      <c r="F222" s="8"/>
      <c r="G222" s="4"/>
      <c r="H222" s="8"/>
      <c r="I222" s="7"/>
      <c r="J222" s="7"/>
      <c r="K222" s="4"/>
      <c r="L222" s="8"/>
      <c r="M222" s="4"/>
      <c r="N222" s="8"/>
      <c r="O222" s="7"/>
      <c r="P222" s="7"/>
    </row>
    <row r="223">
      <c r="A223" s="2" t="s">
        <v>992</v>
      </c>
      <c r="B223" s="2" t="s">
        <v>231</v>
      </c>
      <c r="C223" s="2" t="s">
        <v>992</v>
      </c>
      <c r="D223" s="2" t="s">
        <v>992</v>
      </c>
      <c r="E223" s="4"/>
      <c r="F223" s="8"/>
      <c r="G223" s="4"/>
      <c r="H223" s="8"/>
      <c r="I223" s="7"/>
      <c r="J223" s="7"/>
      <c r="K223" s="4"/>
      <c r="L223" s="8"/>
      <c r="M223" s="4"/>
      <c r="N223" s="8"/>
      <c r="O223" s="7"/>
      <c r="P223" s="7"/>
    </row>
    <row r="224">
      <c r="A224" s="2" t="s">
        <v>230</v>
      </c>
      <c r="B224" s="2" t="s">
        <v>624</v>
      </c>
      <c r="C224" s="2" t="s">
        <v>232</v>
      </c>
      <c r="D224" s="2" t="s">
        <v>233</v>
      </c>
      <c r="E224" s="4"/>
      <c r="F224" s="8"/>
      <c r="G224" s="4"/>
      <c r="H224" s="8"/>
      <c r="I224" s="7"/>
      <c r="J224" s="7"/>
      <c r="K224" s="4"/>
      <c r="L224" s="8"/>
      <c r="M224" s="4"/>
      <c r="N224" s="8"/>
      <c r="O224" s="7"/>
      <c r="P224" s="7"/>
    </row>
    <row r="225">
      <c r="A225" s="2" t="s">
        <v>230</v>
      </c>
      <c r="B225" s="2" t="s">
        <v>413</v>
      </c>
      <c r="C225" s="2" t="s">
        <v>232</v>
      </c>
      <c r="D225" s="2" t="s">
        <v>233</v>
      </c>
      <c r="E225" s="4"/>
      <c r="F225" s="8"/>
      <c r="G225" s="4"/>
      <c r="H225" s="8"/>
      <c r="I225" s="7"/>
      <c r="J225" s="7"/>
      <c r="K225" s="4"/>
      <c r="L225" s="8"/>
      <c r="M225" s="4"/>
      <c r="N225" s="8"/>
      <c r="O225" s="7"/>
      <c r="P225" s="7"/>
    </row>
    <row r="226">
      <c r="A226" s="2" t="s">
        <v>230</v>
      </c>
      <c r="B226" s="2" t="s">
        <v>1252</v>
      </c>
      <c r="C226" s="2" t="s">
        <v>232</v>
      </c>
      <c r="D226" s="2" t="s">
        <v>233</v>
      </c>
      <c r="E226" s="4"/>
      <c r="F226" s="8"/>
      <c r="G226" s="4"/>
      <c r="H226" s="8"/>
      <c r="I226" s="7"/>
      <c r="J226" s="7"/>
      <c r="K226" s="4"/>
      <c r="L226" s="8"/>
      <c r="M226" s="4"/>
      <c r="N226" s="8"/>
      <c r="O226" s="7"/>
      <c r="P226" s="7"/>
    </row>
    <row r="227">
      <c r="A227" s="2" t="s">
        <v>230</v>
      </c>
      <c r="B227" s="2" t="s">
        <v>756</v>
      </c>
      <c r="C227" s="2" t="s">
        <v>232</v>
      </c>
      <c r="D227" s="2" t="s">
        <v>233</v>
      </c>
      <c r="E227" s="4"/>
      <c r="F227" s="8"/>
      <c r="G227" s="4"/>
      <c r="H227" s="8"/>
      <c r="I227" s="7"/>
      <c r="J227" s="7"/>
      <c r="K227" s="4"/>
      <c r="L227" s="8"/>
      <c r="M227" s="4"/>
      <c r="N227" s="8"/>
      <c r="O227" s="7"/>
      <c r="P227" s="7"/>
    </row>
    <row r="228">
      <c r="A228" s="2" t="s">
        <v>230</v>
      </c>
      <c r="B228" s="2" t="s">
        <v>877</v>
      </c>
      <c r="C228" s="2" t="s">
        <v>232</v>
      </c>
      <c r="D228" s="2" t="s">
        <v>233</v>
      </c>
      <c r="E228" s="4"/>
      <c r="F228" s="8"/>
      <c r="G228" s="4"/>
      <c r="H228" s="8"/>
      <c r="I228" s="7"/>
      <c r="J228" s="7"/>
      <c r="K228" s="4"/>
      <c r="L228" s="8"/>
      <c r="M228" s="4"/>
      <c r="N228" s="8"/>
      <c r="O228" s="7"/>
      <c r="P228" s="7"/>
    </row>
    <row r="229">
      <c r="A229" s="2" t="s">
        <v>230</v>
      </c>
      <c r="B229" s="2" t="s">
        <v>231</v>
      </c>
      <c r="C229" s="2" t="s">
        <v>232</v>
      </c>
      <c r="D229" s="2" t="s">
        <v>233</v>
      </c>
      <c r="E229" s="4"/>
      <c r="F229" s="8"/>
      <c r="G229" s="4"/>
      <c r="H229" s="8"/>
      <c r="I229" s="7"/>
      <c r="J229" s="7"/>
      <c r="K229" s="4"/>
      <c r="L229" s="8"/>
      <c r="M229" s="4"/>
      <c r="N229" s="8"/>
      <c r="O229" s="7"/>
      <c r="P229" s="7"/>
    </row>
    <row r="230">
      <c r="A230" s="2" t="s">
        <v>230</v>
      </c>
      <c r="B230" s="2" t="s">
        <v>307</v>
      </c>
      <c r="C230" s="2" t="s">
        <v>2171</v>
      </c>
      <c r="D230" s="2" t="s">
        <v>2172</v>
      </c>
      <c r="E230" s="4"/>
      <c r="F230" s="8"/>
      <c r="G230" s="4"/>
      <c r="H230" s="8"/>
      <c r="I230" s="7"/>
      <c r="J230" s="7"/>
      <c r="K230" s="4"/>
      <c r="L230" s="8"/>
      <c r="M230" s="4"/>
      <c r="N230" s="8"/>
      <c r="O230" s="7"/>
      <c r="P230" s="7"/>
    </row>
    <row r="231">
      <c r="A231" s="2" t="s">
        <v>230</v>
      </c>
      <c r="B231" s="2" t="s">
        <v>307</v>
      </c>
      <c r="C231" s="2" t="s">
        <v>232</v>
      </c>
      <c r="D231" s="2" t="s">
        <v>233</v>
      </c>
      <c r="E231" s="4"/>
      <c r="F231" s="8"/>
      <c r="G231" s="4"/>
      <c r="H231" s="8"/>
      <c r="I231" s="7"/>
      <c r="J231" s="7"/>
      <c r="K231" s="4"/>
      <c r="L231" s="8"/>
      <c r="M231" s="4"/>
      <c r="N231" s="8"/>
      <c r="O231" s="7"/>
      <c r="P231" s="7"/>
    </row>
    <row r="232">
      <c r="A232" s="2" t="s">
        <v>230</v>
      </c>
      <c r="B232" s="2" t="s">
        <v>933</v>
      </c>
      <c r="C232" s="2" t="s">
        <v>232</v>
      </c>
      <c r="D232" s="2" t="s">
        <v>233</v>
      </c>
      <c r="E232" s="4"/>
      <c r="F232" s="8"/>
      <c r="G232" s="4"/>
      <c r="H232" s="8"/>
      <c r="I232" s="7"/>
      <c r="J232" s="7"/>
      <c r="K232" s="4"/>
      <c r="L232" s="8"/>
      <c r="M232" s="4"/>
      <c r="N232" s="8"/>
      <c r="O232" s="7"/>
      <c r="P232" s="7"/>
    </row>
    <row r="233">
      <c r="A233" s="2" t="s">
        <v>230</v>
      </c>
      <c r="B233" s="2" t="s">
        <v>588</v>
      </c>
      <c r="C233" s="2" t="s">
        <v>232</v>
      </c>
      <c r="D233" s="2" t="s">
        <v>233</v>
      </c>
      <c r="E233" s="4"/>
      <c r="F233" s="8"/>
      <c r="G233" s="4"/>
      <c r="H233" s="8"/>
      <c r="I233" s="7"/>
      <c r="J233" s="7"/>
      <c r="K233" s="4"/>
      <c r="L233" s="8"/>
      <c r="M233" s="4"/>
      <c r="N233" s="8"/>
      <c r="O233" s="7"/>
      <c r="P233" s="7"/>
    </row>
    <row r="234">
      <c r="A234" s="2" t="s">
        <v>230</v>
      </c>
      <c r="B234" s="2" t="s">
        <v>251</v>
      </c>
      <c r="C234" s="2" t="s">
        <v>232</v>
      </c>
      <c r="D234" s="2" t="s">
        <v>233</v>
      </c>
      <c r="E234" s="4"/>
      <c r="F234" s="8"/>
      <c r="G234" s="4"/>
      <c r="H234" s="8"/>
      <c r="I234" s="7"/>
      <c r="J234" s="7"/>
      <c r="K234" s="4"/>
      <c r="L234" s="8"/>
      <c r="M234" s="4"/>
      <c r="N234" s="8"/>
      <c r="O234" s="7"/>
      <c r="P234" s="7"/>
    </row>
    <row r="235">
      <c r="A235" s="2" t="s">
        <v>230</v>
      </c>
      <c r="B235" s="2" t="s">
        <v>3397</v>
      </c>
      <c r="C235" s="2" t="s">
        <v>232</v>
      </c>
      <c r="D235" s="2" t="s">
        <v>233</v>
      </c>
      <c r="E235" s="4"/>
      <c r="F235" s="8"/>
      <c r="G235" s="4"/>
      <c r="H235" s="8"/>
      <c r="I235" s="7"/>
      <c r="J235" s="7"/>
      <c r="K235" s="4"/>
      <c r="L235" s="8"/>
      <c r="M235" s="4"/>
      <c r="N235" s="8"/>
      <c r="O235" s="7"/>
      <c r="P235" s="7"/>
    </row>
    <row r="236">
      <c r="A236" s="2" t="s">
        <v>230</v>
      </c>
      <c r="B236" s="2" t="s">
        <v>1839</v>
      </c>
      <c r="C236" s="2" t="s">
        <v>232</v>
      </c>
      <c r="D236" s="2" t="s">
        <v>233</v>
      </c>
      <c r="E236" s="4"/>
      <c r="F236" s="8"/>
      <c r="G236" s="4"/>
      <c r="H236" s="8"/>
      <c r="I236" s="7"/>
      <c r="J236" s="7"/>
      <c r="K236" s="4"/>
      <c r="L236" s="8"/>
      <c r="M236" s="4"/>
      <c r="N236" s="8"/>
      <c r="O236" s="7"/>
      <c r="P236" s="7"/>
    </row>
    <row r="237">
      <c r="A237" s="2" t="s">
        <v>230</v>
      </c>
      <c r="B237" s="2" t="s">
        <v>1894</v>
      </c>
      <c r="C237" s="2" t="s">
        <v>232</v>
      </c>
      <c r="D237" s="2" t="s">
        <v>233</v>
      </c>
      <c r="E237" s="4"/>
      <c r="F237" s="8"/>
      <c r="G237" s="4"/>
      <c r="H237" s="8"/>
      <c r="I237" s="7"/>
      <c r="J237" s="7"/>
      <c r="K237" s="4"/>
      <c r="L237" s="8"/>
      <c r="M237" s="4"/>
      <c r="N237" s="8"/>
      <c r="O237" s="7"/>
      <c r="P237" s="7"/>
    </row>
    <row r="238">
      <c r="A238" s="2" t="s">
        <v>669</v>
      </c>
      <c r="B238" s="2" t="s">
        <v>1375</v>
      </c>
      <c r="C238" s="2" t="s">
        <v>670</v>
      </c>
      <c r="D238" s="2" t="s">
        <v>671</v>
      </c>
      <c r="E238" s="4"/>
      <c r="F238" s="8"/>
      <c r="G238" s="4"/>
      <c r="H238" s="8"/>
      <c r="I238" s="7"/>
      <c r="J238" s="7"/>
      <c r="K238" s="4"/>
      <c r="L238" s="8"/>
      <c r="M238" s="4"/>
      <c r="N238" s="8"/>
      <c r="O238" s="7"/>
      <c r="P238" s="7"/>
    </row>
    <row r="239">
      <c r="A239" s="2" t="s">
        <v>669</v>
      </c>
      <c r="B239" s="2" t="s">
        <v>624</v>
      </c>
      <c r="C239" s="2" t="s">
        <v>670</v>
      </c>
      <c r="D239" s="2" t="s">
        <v>671</v>
      </c>
      <c r="E239" s="4"/>
      <c r="F239" s="8"/>
      <c r="G239" s="4"/>
      <c r="H239" s="8"/>
      <c r="I239" s="7"/>
      <c r="J239" s="7"/>
      <c r="K239" s="4"/>
      <c r="L239" s="8"/>
      <c r="M239" s="4"/>
      <c r="N239" s="8"/>
      <c r="O239" s="7"/>
      <c r="P239" s="7"/>
    </row>
    <row r="240">
      <c r="A240" s="2" t="s">
        <v>669</v>
      </c>
      <c r="B240" s="2" t="s">
        <v>413</v>
      </c>
      <c r="C240" s="2" t="s">
        <v>670</v>
      </c>
      <c r="D240" s="2" t="s">
        <v>671</v>
      </c>
      <c r="E240" s="4"/>
      <c r="F240" s="8"/>
      <c r="G240" s="4"/>
      <c r="H240" s="8"/>
      <c r="I240" s="7"/>
      <c r="J240" s="7"/>
      <c r="K240" s="4"/>
      <c r="L240" s="8"/>
      <c r="M240" s="4"/>
      <c r="N240" s="8"/>
      <c r="O240" s="7"/>
      <c r="P240" s="7"/>
    </row>
    <row r="241">
      <c r="A241" s="2" t="s">
        <v>669</v>
      </c>
      <c r="B241" s="2" t="s">
        <v>756</v>
      </c>
      <c r="C241" s="2" t="s">
        <v>670</v>
      </c>
      <c r="D241" s="2" t="s">
        <v>671</v>
      </c>
      <c r="E241" s="4"/>
      <c r="F241" s="8"/>
      <c r="G241" s="4"/>
      <c r="H241" s="8"/>
      <c r="I241" s="7"/>
      <c r="J241" s="7"/>
      <c r="K241" s="4"/>
      <c r="L241" s="8"/>
      <c r="M241" s="4"/>
      <c r="N241" s="8"/>
      <c r="O241" s="7"/>
      <c r="P241" s="7"/>
    </row>
    <row r="242">
      <c r="A242" s="2" t="s">
        <v>669</v>
      </c>
      <c r="B242" s="2" t="s">
        <v>745</v>
      </c>
      <c r="C242" s="2" t="s">
        <v>670</v>
      </c>
      <c r="D242" s="2" t="s">
        <v>671</v>
      </c>
      <c r="E242" s="4"/>
      <c r="F242" s="8"/>
      <c r="G242" s="4"/>
      <c r="H242" s="8"/>
      <c r="I242" s="7"/>
      <c r="J242" s="7"/>
      <c r="K242" s="4"/>
      <c r="L242" s="8"/>
      <c r="M242" s="4"/>
      <c r="N242" s="8"/>
      <c r="O242" s="7"/>
      <c r="P242" s="7"/>
    </row>
    <row r="243">
      <c r="A243" s="2" t="s">
        <v>669</v>
      </c>
      <c r="B243" s="2" t="s">
        <v>607</v>
      </c>
      <c r="C243" s="2" t="s">
        <v>670</v>
      </c>
      <c r="D243" s="2" t="s">
        <v>671</v>
      </c>
      <c r="E243" s="4"/>
      <c r="F243" s="8"/>
      <c r="G243" s="4"/>
      <c r="H243" s="8"/>
      <c r="I243" s="7"/>
      <c r="J243" s="7"/>
      <c r="K243" s="4"/>
      <c r="L243" s="8"/>
      <c r="M243" s="4"/>
      <c r="N243" s="8"/>
      <c r="O243" s="7"/>
      <c r="P243" s="7"/>
    </row>
    <row r="244">
      <c r="A244" s="2" t="s">
        <v>827</v>
      </c>
      <c r="B244" s="2" t="s">
        <v>1375</v>
      </c>
      <c r="C244" s="2" t="s">
        <v>3257</v>
      </c>
      <c r="D244" s="2" t="s">
        <v>3257</v>
      </c>
      <c r="E244" s="4"/>
      <c r="F244" s="8"/>
      <c r="G244" s="4"/>
      <c r="H244" s="8"/>
      <c r="I244" s="7"/>
      <c r="J244" s="7"/>
      <c r="K244" s="4"/>
      <c r="L244" s="8"/>
      <c r="M244" s="4"/>
      <c r="N244" s="8"/>
      <c r="O244" s="7"/>
      <c r="P244" s="7"/>
    </row>
    <row r="245">
      <c r="A245" s="2" t="s">
        <v>827</v>
      </c>
      <c r="B245" s="2" t="s">
        <v>1375</v>
      </c>
      <c r="C245" s="2" t="s">
        <v>828</v>
      </c>
      <c r="D245" s="2" t="s">
        <v>878</v>
      </c>
      <c r="E245" s="4"/>
      <c r="F245" s="8"/>
      <c r="G245" s="4"/>
      <c r="H245" s="8"/>
      <c r="I245" s="7"/>
      <c r="J245" s="7"/>
      <c r="K245" s="4"/>
      <c r="L245" s="8"/>
      <c r="M245" s="4"/>
      <c r="N245" s="8"/>
      <c r="O245" s="7"/>
      <c r="P245" s="7"/>
    </row>
    <row r="246">
      <c r="A246" s="2" t="s">
        <v>827</v>
      </c>
      <c r="B246" s="2" t="s">
        <v>1252</v>
      </c>
      <c r="C246" s="2" t="s">
        <v>828</v>
      </c>
      <c r="D246" s="2" t="s">
        <v>878</v>
      </c>
      <c r="E246" s="4" t="s">
        <v>200</v>
      </c>
      <c r="F246" s="8" t="s">
        <v>200</v>
      </c>
      <c r="G246" s="4" t="s">
        <v>200</v>
      </c>
      <c r="H246" s="8" t="s">
        <v>200</v>
      </c>
      <c r="I246" s="7" t="s">
        <v>200</v>
      </c>
      <c r="J246" s="7" t="s">
        <v>200</v>
      </c>
      <c r="K246" s="4"/>
      <c r="L246" s="8"/>
      <c r="M246" s="4"/>
      <c r="N246" s="8"/>
      <c r="O246" s="7"/>
      <c r="P246" s="7"/>
    </row>
    <row r="247">
      <c r="A247" s="2" t="s">
        <v>827</v>
      </c>
      <c r="B247" s="2" t="s">
        <v>1252</v>
      </c>
      <c r="C247" s="2" t="s">
        <v>828</v>
      </c>
      <c r="D247" s="2" t="s">
        <v>1011</v>
      </c>
      <c r="E247" s="4" t="s">
        <v>200</v>
      </c>
      <c r="F247" s="8" t="s">
        <v>200</v>
      </c>
      <c r="G247" s="4" t="s">
        <v>200</v>
      </c>
      <c r="H247" s="8" t="s">
        <v>200</v>
      </c>
      <c r="I247" s="7" t="s">
        <v>200</v>
      </c>
      <c r="J247" s="7" t="s">
        <v>200</v>
      </c>
      <c r="K247" s="4"/>
      <c r="L247" s="8"/>
      <c r="M247" s="4"/>
      <c r="N247" s="8"/>
      <c r="O247" s="7"/>
      <c r="P247" s="7"/>
    </row>
    <row r="248">
      <c r="A248" s="2" t="s">
        <v>827</v>
      </c>
      <c r="B248" s="2" t="s">
        <v>1211</v>
      </c>
      <c r="C248" s="2" t="s">
        <v>828</v>
      </c>
      <c r="D248" s="2" t="s">
        <v>1011</v>
      </c>
      <c r="E248" s="4"/>
      <c r="F248" s="8"/>
      <c r="G248" s="4"/>
      <c r="H248" s="8"/>
      <c r="I248" s="7"/>
      <c r="J248" s="7"/>
      <c r="K248" s="4"/>
      <c r="L248" s="8"/>
      <c r="M248" s="4"/>
      <c r="N248" s="8"/>
      <c r="O248" s="7"/>
      <c r="P248" s="7"/>
    </row>
    <row r="249">
      <c r="A249" s="2" t="s">
        <v>827</v>
      </c>
      <c r="B249" s="2" t="s">
        <v>1523</v>
      </c>
      <c r="C249" s="2" t="s">
        <v>828</v>
      </c>
      <c r="D249" s="2" t="s">
        <v>1011</v>
      </c>
      <c r="E249" s="4"/>
      <c r="F249" s="8"/>
      <c r="G249" s="4"/>
      <c r="H249" s="8"/>
      <c r="I249" s="7"/>
      <c r="J249" s="7"/>
      <c r="K249" s="4"/>
      <c r="L249" s="8"/>
      <c r="M249" s="4"/>
      <c r="N249" s="8"/>
      <c r="O249" s="7"/>
      <c r="P249" s="7"/>
    </row>
    <row r="250">
      <c r="A250" s="2" t="s">
        <v>827</v>
      </c>
      <c r="B250" s="2" t="s">
        <v>7515</v>
      </c>
      <c r="C250" s="2" t="s">
        <v>828</v>
      </c>
      <c r="D250" s="2" t="s">
        <v>1011</v>
      </c>
      <c r="E250" s="4"/>
      <c r="F250" s="8"/>
      <c r="G250" s="4"/>
      <c r="H250" s="8"/>
      <c r="I250" s="7"/>
      <c r="J250" s="7"/>
      <c r="K250" s="4"/>
      <c r="L250" s="8"/>
      <c r="M250" s="4"/>
      <c r="N250" s="8"/>
      <c r="O250" s="7"/>
      <c r="P250" s="7"/>
    </row>
    <row r="251">
      <c r="A251" s="2" t="s">
        <v>827</v>
      </c>
      <c r="B251" s="2" t="s">
        <v>745</v>
      </c>
      <c r="C251" s="2" t="s">
        <v>828</v>
      </c>
      <c r="D251" s="2" t="s">
        <v>1011</v>
      </c>
      <c r="E251" s="4"/>
      <c r="F251" s="8"/>
      <c r="G251" s="4"/>
      <c r="H251" s="8"/>
      <c r="I251" s="7"/>
      <c r="J251" s="7"/>
      <c r="K251" s="4"/>
      <c r="L251" s="8"/>
      <c r="M251" s="4"/>
      <c r="N251" s="8"/>
      <c r="O251" s="7"/>
      <c r="P251" s="7"/>
    </row>
    <row r="252">
      <c r="A252" s="2" t="s">
        <v>827</v>
      </c>
      <c r="B252" s="2" t="s">
        <v>877</v>
      </c>
      <c r="C252" s="2" t="s">
        <v>1642</v>
      </c>
      <c r="D252" s="2" t="s">
        <v>1659</v>
      </c>
      <c r="E252" s="4" t="s">
        <v>200</v>
      </c>
      <c r="F252" s="8" t="s">
        <v>200</v>
      </c>
      <c r="G252" s="4" t="s">
        <v>200</v>
      </c>
      <c r="H252" s="8" t="s">
        <v>200</v>
      </c>
      <c r="I252" s="7" t="s">
        <v>200</v>
      </c>
      <c r="J252" s="7" t="s">
        <v>200</v>
      </c>
      <c r="K252" s="4"/>
      <c r="L252" s="8"/>
      <c r="M252" s="4"/>
      <c r="N252" s="8"/>
      <c r="O252" s="7"/>
      <c r="P252" s="7"/>
    </row>
    <row r="253">
      <c r="A253" s="2" t="s">
        <v>827</v>
      </c>
      <c r="B253" s="2" t="s">
        <v>877</v>
      </c>
      <c r="C253" s="2" t="s">
        <v>1642</v>
      </c>
      <c r="D253" s="2" t="s">
        <v>1643</v>
      </c>
      <c r="E253" s="4" t="s">
        <v>200</v>
      </c>
      <c r="F253" s="8" t="s">
        <v>200</v>
      </c>
      <c r="G253" s="4" t="s">
        <v>200</v>
      </c>
      <c r="H253" s="8" t="s">
        <v>200</v>
      </c>
      <c r="I253" s="7" t="s">
        <v>200</v>
      </c>
      <c r="J253" s="7" t="s">
        <v>200</v>
      </c>
      <c r="K253" s="4"/>
      <c r="L253" s="8"/>
      <c r="M253" s="4"/>
      <c r="N253" s="8"/>
      <c r="O253" s="7"/>
      <c r="P253" s="7"/>
    </row>
    <row r="254">
      <c r="A254" s="2" t="s">
        <v>827</v>
      </c>
      <c r="B254" s="2" t="s">
        <v>877</v>
      </c>
      <c r="C254" s="2" t="s">
        <v>828</v>
      </c>
      <c r="D254" s="2" t="s">
        <v>878</v>
      </c>
      <c r="E254" s="4" t="s">
        <v>200</v>
      </c>
      <c r="F254" s="8" t="s">
        <v>200</v>
      </c>
      <c r="G254" s="4" t="s">
        <v>200</v>
      </c>
      <c r="H254" s="8" t="s">
        <v>200</v>
      </c>
      <c r="I254" s="7" t="s">
        <v>200</v>
      </c>
      <c r="J254" s="7" t="s">
        <v>200</v>
      </c>
      <c r="K254" s="4"/>
      <c r="L254" s="8"/>
      <c r="M254" s="4"/>
      <c r="N254" s="8"/>
      <c r="O254" s="7"/>
      <c r="P254" s="7"/>
    </row>
    <row r="255">
      <c r="A255" s="2" t="s">
        <v>827</v>
      </c>
      <c r="B255" s="2" t="s">
        <v>877</v>
      </c>
      <c r="C255" s="2" t="s">
        <v>828</v>
      </c>
      <c r="D255" s="2" t="s">
        <v>1011</v>
      </c>
      <c r="E255" s="4" t="s">
        <v>200</v>
      </c>
      <c r="F255" s="8" t="s">
        <v>200</v>
      </c>
      <c r="G255" s="4" t="s">
        <v>200</v>
      </c>
      <c r="H255" s="8" t="s">
        <v>200</v>
      </c>
      <c r="I255" s="7" t="s">
        <v>200</v>
      </c>
      <c r="J255" s="7" t="s">
        <v>200</v>
      </c>
      <c r="K255" s="4"/>
      <c r="L255" s="8"/>
      <c r="M255" s="4"/>
      <c r="N255" s="8"/>
      <c r="O255" s="7"/>
      <c r="P255" s="7"/>
    </row>
    <row r="256">
      <c r="A256" s="2" t="s">
        <v>827</v>
      </c>
      <c r="B256" s="2" t="s">
        <v>231</v>
      </c>
      <c r="C256" s="2" t="s">
        <v>1084</v>
      </c>
      <c r="D256" s="2" t="s">
        <v>1085</v>
      </c>
      <c r="E256" s="4"/>
      <c r="F256" s="8"/>
      <c r="G256" s="4"/>
      <c r="H256" s="8"/>
      <c r="I256" s="7"/>
      <c r="J256" s="7"/>
      <c r="K256" s="4"/>
      <c r="L256" s="8"/>
      <c r="M256" s="4"/>
      <c r="N256" s="8"/>
      <c r="O256" s="7"/>
      <c r="P256" s="7"/>
    </row>
    <row r="257">
      <c r="A257" s="2" t="s">
        <v>827</v>
      </c>
      <c r="B257" s="2" t="s">
        <v>231</v>
      </c>
      <c r="C257" s="2" t="s">
        <v>828</v>
      </c>
      <c r="D257" s="2" t="s">
        <v>878</v>
      </c>
      <c r="E257" s="4" t="s">
        <v>200</v>
      </c>
      <c r="F257" s="8" t="s">
        <v>200</v>
      </c>
      <c r="G257" s="4" t="s">
        <v>200</v>
      </c>
      <c r="H257" s="8" t="s">
        <v>200</v>
      </c>
      <c r="I257" s="7" t="s">
        <v>200</v>
      </c>
      <c r="J257" s="7" t="s">
        <v>200</v>
      </c>
      <c r="K257" s="4"/>
      <c r="L257" s="8"/>
      <c r="M257" s="4"/>
      <c r="N257" s="8"/>
      <c r="O257" s="7"/>
      <c r="P257" s="7"/>
    </row>
    <row r="258">
      <c r="A258" s="2" t="s">
        <v>827</v>
      </c>
      <c r="B258" s="2" t="s">
        <v>231</v>
      </c>
      <c r="C258" s="2" t="s">
        <v>828</v>
      </c>
      <c r="D258" s="2" t="s">
        <v>863</v>
      </c>
      <c r="E258" s="4" t="s">
        <v>200</v>
      </c>
      <c r="F258" s="8" t="s">
        <v>200</v>
      </c>
      <c r="G258" s="4" t="s">
        <v>200</v>
      </c>
      <c r="H258" s="8" t="s">
        <v>200</v>
      </c>
      <c r="I258" s="7" t="s">
        <v>200</v>
      </c>
      <c r="J258" s="7" t="s">
        <v>200</v>
      </c>
      <c r="K258" s="4"/>
      <c r="L258" s="8"/>
      <c r="M258" s="4"/>
      <c r="N258" s="8"/>
      <c r="O258" s="7"/>
      <c r="P258" s="7"/>
    </row>
    <row r="259">
      <c r="A259" s="2" t="s">
        <v>827</v>
      </c>
      <c r="B259" s="2" t="s">
        <v>231</v>
      </c>
      <c r="C259" s="2" t="s">
        <v>828</v>
      </c>
      <c r="D259" s="2" t="s">
        <v>1588</v>
      </c>
      <c r="E259" s="4" t="s">
        <v>200</v>
      </c>
      <c r="F259" s="8" t="s">
        <v>200</v>
      </c>
      <c r="G259" s="4" t="s">
        <v>200</v>
      </c>
      <c r="H259" s="8" t="s">
        <v>200</v>
      </c>
      <c r="I259" s="7" t="s">
        <v>200</v>
      </c>
      <c r="J259" s="7" t="s">
        <v>200</v>
      </c>
      <c r="K259" s="4"/>
      <c r="L259" s="8"/>
      <c r="M259" s="4"/>
      <c r="N259" s="8"/>
      <c r="O259" s="7"/>
      <c r="P259" s="7"/>
    </row>
    <row r="260">
      <c r="A260" s="2" t="s">
        <v>827</v>
      </c>
      <c r="B260" s="2" t="s">
        <v>231</v>
      </c>
      <c r="C260" s="2" t="s">
        <v>828</v>
      </c>
      <c r="D260" s="2" t="s">
        <v>829</v>
      </c>
      <c r="E260" s="4" t="s">
        <v>200</v>
      </c>
      <c r="F260" s="8" t="s">
        <v>200</v>
      </c>
      <c r="G260" s="4" t="s">
        <v>200</v>
      </c>
      <c r="H260" s="8" t="s">
        <v>200</v>
      </c>
      <c r="I260" s="7" t="s">
        <v>200</v>
      </c>
      <c r="J260" s="7" t="s">
        <v>200</v>
      </c>
      <c r="K260" s="4"/>
      <c r="L260" s="8"/>
      <c r="M260" s="4"/>
      <c r="N260" s="8"/>
      <c r="O260" s="7"/>
      <c r="P260" s="7"/>
    </row>
    <row r="261">
      <c r="A261" s="2" t="s">
        <v>827</v>
      </c>
      <c r="B261" s="2" t="s">
        <v>231</v>
      </c>
      <c r="C261" s="2" t="s">
        <v>828</v>
      </c>
      <c r="D261" s="2" t="s">
        <v>1011</v>
      </c>
      <c r="E261" s="4" t="s">
        <v>200</v>
      </c>
      <c r="F261" s="8" t="s">
        <v>200</v>
      </c>
      <c r="G261" s="4" t="s">
        <v>200</v>
      </c>
      <c r="H261" s="8" t="s">
        <v>200</v>
      </c>
      <c r="I261" s="7" t="s">
        <v>200</v>
      </c>
      <c r="J261" s="7" t="s">
        <v>200</v>
      </c>
      <c r="K261" s="4"/>
      <c r="L261" s="8"/>
      <c r="M261" s="4"/>
      <c r="N261" s="8"/>
      <c r="O261" s="7"/>
      <c r="P261" s="7"/>
    </row>
    <row r="262">
      <c r="A262" s="2" t="s">
        <v>827</v>
      </c>
      <c r="B262" s="2" t="s">
        <v>231</v>
      </c>
      <c r="C262" s="2" t="s">
        <v>828</v>
      </c>
      <c r="D262" s="2" t="s">
        <v>5374</v>
      </c>
      <c r="E262" s="4" t="s">
        <v>200</v>
      </c>
      <c r="F262" s="8" t="s">
        <v>200</v>
      </c>
      <c r="G262" s="4" t="s">
        <v>200</v>
      </c>
      <c r="H262" s="8" t="s">
        <v>200</v>
      </c>
      <c r="I262" s="7" t="s">
        <v>200</v>
      </c>
      <c r="J262" s="7" t="s">
        <v>200</v>
      </c>
      <c r="K262" s="4"/>
      <c r="L262" s="8"/>
      <c r="M262" s="4"/>
      <c r="N262" s="8"/>
      <c r="O262" s="7"/>
      <c r="P262" s="7"/>
    </row>
    <row r="263">
      <c r="A263" s="2" t="s">
        <v>827</v>
      </c>
      <c r="B263" s="2" t="s">
        <v>1010</v>
      </c>
      <c r="C263" s="2" t="s">
        <v>828</v>
      </c>
      <c r="D263" s="2" t="s">
        <v>878</v>
      </c>
      <c r="E263" s="4" t="s">
        <v>200</v>
      </c>
      <c r="F263" s="8" t="s">
        <v>200</v>
      </c>
      <c r="G263" s="4" t="s">
        <v>200</v>
      </c>
      <c r="H263" s="8" t="s">
        <v>200</v>
      </c>
      <c r="I263" s="7" t="s">
        <v>200</v>
      </c>
      <c r="J263" s="7" t="s">
        <v>200</v>
      </c>
      <c r="K263" s="4"/>
      <c r="L263" s="8"/>
      <c r="M263" s="4"/>
      <c r="N263" s="8"/>
      <c r="O263" s="7"/>
      <c r="P263" s="7"/>
    </row>
    <row r="264">
      <c r="A264" s="2" t="s">
        <v>827</v>
      </c>
      <c r="B264" s="2" t="s">
        <v>1010</v>
      </c>
      <c r="C264" s="2" t="s">
        <v>828</v>
      </c>
      <c r="D264" s="2" t="s">
        <v>1011</v>
      </c>
      <c r="E264" s="4" t="s">
        <v>200</v>
      </c>
      <c r="F264" s="8" t="s">
        <v>200</v>
      </c>
      <c r="G264" s="4" t="s">
        <v>200</v>
      </c>
      <c r="H264" s="8" t="s">
        <v>200</v>
      </c>
      <c r="I264" s="7" t="s">
        <v>200</v>
      </c>
      <c r="J264" s="7" t="s">
        <v>200</v>
      </c>
      <c r="K264" s="4"/>
      <c r="L264" s="8"/>
      <c r="M264" s="4"/>
      <c r="N264" s="8"/>
      <c r="O264" s="7"/>
      <c r="P264" s="7"/>
    </row>
    <row r="265">
      <c r="A265" s="2" t="s">
        <v>827</v>
      </c>
      <c r="B265" s="2" t="s">
        <v>1839</v>
      </c>
      <c r="C265" s="2" t="s">
        <v>1524</v>
      </c>
      <c r="D265" s="2" t="s">
        <v>2324</v>
      </c>
      <c r="E265" s="4"/>
      <c r="F265" s="8"/>
      <c r="G265" s="4"/>
      <c r="H265" s="8"/>
      <c r="I265" s="7"/>
      <c r="J265" s="7"/>
      <c r="K265" s="4"/>
      <c r="L265" s="8"/>
      <c r="M265" s="4"/>
      <c r="N265" s="8"/>
      <c r="O265" s="7"/>
      <c r="P265" s="7"/>
    </row>
    <row r="266">
      <c r="A266" s="2" t="s">
        <v>932</v>
      </c>
      <c r="B266" s="2" t="s">
        <v>1252</v>
      </c>
      <c r="C266" s="2" t="s">
        <v>608</v>
      </c>
      <c r="D266" s="2" t="s">
        <v>904</v>
      </c>
      <c r="E266" s="4"/>
      <c r="F266" s="8"/>
      <c r="G266" s="4"/>
      <c r="H266" s="8"/>
      <c r="I266" s="7"/>
      <c r="J266" s="7"/>
      <c r="K266" s="4"/>
      <c r="L266" s="8"/>
      <c r="M266" s="4"/>
      <c r="N266" s="8"/>
      <c r="O266" s="7"/>
      <c r="P266" s="7"/>
    </row>
    <row r="267">
      <c r="A267" s="2" t="s">
        <v>932</v>
      </c>
      <c r="B267" s="2" t="s">
        <v>1252</v>
      </c>
      <c r="C267" s="2" t="s">
        <v>1818</v>
      </c>
      <c r="D267" s="2" t="s">
        <v>2020</v>
      </c>
      <c r="E267" s="4" t="s">
        <v>200</v>
      </c>
      <c r="F267" s="8" t="s">
        <v>200</v>
      </c>
      <c r="G267" s="4" t="s">
        <v>200</v>
      </c>
      <c r="H267" s="8" t="s">
        <v>200</v>
      </c>
      <c r="I267" s="7" t="s">
        <v>200</v>
      </c>
      <c r="J267" s="7" t="s">
        <v>200</v>
      </c>
      <c r="K267" s="4"/>
      <c r="L267" s="8"/>
      <c r="M267" s="4"/>
      <c r="N267" s="8"/>
      <c r="O267" s="7"/>
      <c r="P267" s="7"/>
    </row>
    <row r="268">
      <c r="A268" s="2" t="s">
        <v>932</v>
      </c>
      <c r="B268" s="2" t="s">
        <v>1252</v>
      </c>
      <c r="C268" s="2" t="s">
        <v>1818</v>
      </c>
      <c r="D268" s="2" t="s">
        <v>2000</v>
      </c>
      <c r="E268" s="4" t="s">
        <v>200</v>
      </c>
      <c r="F268" s="8" t="s">
        <v>200</v>
      </c>
      <c r="G268" s="4" t="s">
        <v>200</v>
      </c>
      <c r="H268" s="8" t="s">
        <v>200</v>
      </c>
      <c r="I268" s="7" t="s">
        <v>200</v>
      </c>
      <c r="J268" s="7" t="s">
        <v>200</v>
      </c>
      <c r="K268" s="4"/>
      <c r="L268" s="8"/>
      <c r="M268" s="4"/>
      <c r="N268" s="8"/>
      <c r="O268" s="7"/>
      <c r="P268" s="7"/>
    </row>
    <row r="269">
      <c r="A269" s="2" t="s">
        <v>932</v>
      </c>
      <c r="B269" s="2" t="s">
        <v>877</v>
      </c>
      <c r="C269" s="2" t="s">
        <v>608</v>
      </c>
      <c r="D269" s="2" t="s">
        <v>904</v>
      </c>
      <c r="E269" s="4" t="s">
        <v>200</v>
      </c>
      <c r="F269" s="8" t="s">
        <v>200</v>
      </c>
      <c r="G269" s="4" t="s">
        <v>200</v>
      </c>
      <c r="H269" s="8" t="s">
        <v>200</v>
      </c>
      <c r="I269" s="7" t="s">
        <v>200</v>
      </c>
      <c r="J269" s="7" t="s">
        <v>200</v>
      </c>
      <c r="K269" s="4"/>
      <c r="L269" s="8"/>
      <c r="M269" s="4"/>
      <c r="N269" s="8"/>
      <c r="O269" s="7"/>
      <c r="P269" s="7"/>
    </row>
    <row r="270">
      <c r="A270" s="2" t="s">
        <v>932</v>
      </c>
      <c r="B270" s="2" t="s">
        <v>877</v>
      </c>
      <c r="C270" s="2" t="s">
        <v>608</v>
      </c>
      <c r="D270" s="2" t="s">
        <v>609</v>
      </c>
      <c r="E270" s="4" t="s">
        <v>200</v>
      </c>
      <c r="F270" s="8" t="s">
        <v>200</v>
      </c>
      <c r="G270" s="4" t="s">
        <v>200</v>
      </c>
      <c r="H270" s="8" t="s">
        <v>200</v>
      </c>
      <c r="I270" s="7" t="s">
        <v>200</v>
      </c>
      <c r="J270" s="7" t="s">
        <v>200</v>
      </c>
      <c r="K270" s="4"/>
      <c r="L270" s="8"/>
      <c r="M270" s="4"/>
      <c r="N270" s="8"/>
      <c r="O270" s="7"/>
      <c r="P270" s="7"/>
    </row>
    <row r="271">
      <c r="A271" s="2" t="s">
        <v>932</v>
      </c>
      <c r="B271" s="2" t="s">
        <v>877</v>
      </c>
      <c r="C271" s="2" t="s">
        <v>608</v>
      </c>
      <c r="D271" s="2" t="s">
        <v>1324</v>
      </c>
      <c r="E271" s="4" t="s">
        <v>200</v>
      </c>
      <c r="F271" s="8" t="s">
        <v>200</v>
      </c>
      <c r="G271" s="4" t="s">
        <v>200</v>
      </c>
      <c r="H271" s="8" t="s">
        <v>200</v>
      </c>
      <c r="I271" s="7" t="s">
        <v>200</v>
      </c>
      <c r="J271" s="7" t="s">
        <v>200</v>
      </c>
      <c r="K271" s="4"/>
      <c r="L271" s="8"/>
      <c r="M271" s="4"/>
      <c r="N271" s="8"/>
      <c r="O271" s="7"/>
      <c r="P271" s="7"/>
    </row>
    <row r="272">
      <c r="A272" s="2" t="s">
        <v>932</v>
      </c>
      <c r="B272" s="2" t="s">
        <v>877</v>
      </c>
      <c r="C272" s="2" t="s">
        <v>1818</v>
      </c>
      <c r="D272" s="2" t="s">
        <v>2020</v>
      </c>
      <c r="E272" s="4" t="s">
        <v>200</v>
      </c>
      <c r="F272" s="8" t="s">
        <v>200</v>
      </c>
      <c r="G272" s="4" t="s">
        <v>200</v>
      </c>
      <c r="H272" s="8" t="s">
        <v>200</v>
      </c>
      <c r="I272" s="7" t="s">
        <v>200</v>
      </c>
      <c r="J272" s="7" t="s">
        <v>200</v>
      </c>
      <c r="K272" s="4"/>
      <c r="L272" s="8"/>
      <c r="M272" s="4"/>
      <c r="N272" s="8"/>
      <c r="O272" s="7"/>
      <c r="P272" s="7"/>
    </row>
    <row r="273">
      <c r="A273" s="2" t="s">
        <v>932</v>
      </c>
      <c r="B273" s="2" t="s">
        <v>877</v>
      </c>
      <c r="C273" s="2" t="s">
        <v>1818</v>
      </c>
      <c r="D273" s="2" t="s">
        <v>2000</v>
      </c>
      <c r="E273" s="4" t="s">
        <v>200</v>
      </c>
      <c r="F273" s="8" t="s">
        <v>200</v>
      </c>
      <c r="G273" s="4" t="s">
        <v>200</v>
      </c>
      <c r="H273" s="8" t="s">
        <v>200</v>
      </c>
      <c r="I273" s="7" t="s">
        <v>200</v>
      </c>
      <c r="J273" s="7" t="s">
        <v>200</v>
      </c>
      <c r="K273" s="4"/>
      <c r="L273" s="8"/>
      <c r="M273" s="4"/>
      <c r="N273" s="8"/>
      <c r="O273" s="7"/>
      <c r="P273" s="7"/>
    </row>
    <row r="274">
      <c r="A274" s="2" t="s">
        <v>932</v>
      </c>
      <c r="B274" s="2" t="s">
        <v>877</v>
      </c>
      <c r="C274" s="2" t="s">
        <v>918</v>
      </c>
      <c r="D274" s="2" t="s">
        <v>919</v>
      </c>
      <c r="E274" s="4" t="s">
        <v>200</v>
      </c>
      <c r="F274" s="8" t="s">
        <v>200</v>
      </c>
      <c r="G274" s="4" t="s">
        <v>200</v>
      </c>
      <c r="H274" s="8" t="s">
        <v>200</v>
      </c>
      <c r="I274" s="7" t="s">
        <v>200</v>
      </c>
      <c r="J274" s="7" t="s">
        <v>200</v>
      </c>
      <c r="K274" s="4"/>
      <c r="L274" s="8"/>
      <c r="M274" s="4"/>
      <c r="N274" s="8"/>
      <c r="O274" s="7"/>
      <c r="P274" s="7"/>
    </row>
    <row r="275">
      <c r="A275" s="2" t="s">
        <v>932</v>
      </c>
      <c r="B275" s="2" t="s">
        <v>877</v>
      </c>
      <c r="C275" s="2" t="s">
        <v>918</v>
      </c>
      <c r="D275" s="2" t="s">
        <v>934</v>
      </c>
      <c r="E275" s="4" t="s">
        <v>200</v>
      </c>
      <c r="F275" s="8" t="s">
        <v>200</v>
      </c>
      <c r="G275" s="4" t="s">
        <v>200</v>
      </c>
      <c r="H275" s="8" t="s">
        <v>200</v>
      </c>
      <c r="I275" s="7" t="s">
        <v>200</v>
      </c>
      <c r="J275" s="7" t="s">
        <v>200</v>
      </c>
      <c r="K275" s="4"/>
      <c r="L275" s="8"/>
      <c r="M275" s="4"/>
      <c r="N275" s="8"/>
      <c r="O275" s="7"/>
      <c r="P275" s="7"/>
    </row>
    <row r="276">
      <c r="A276" s="2" t="s">
        <v>932</v>
      </c>
      <c r="B276" s="2" t="s">
        <v>877</v>
      </c>
      <c r="C276" s="2" t="s">
        <v>1524</v>
      </c>
      <c r="D276" s="2" t="s">
        <v>2324</v>
      </c>
      <c r="E276" s="4"/>
      <c r="F276" s="8"/>
      <c r="G276" s="4"/>
      <c r="H276" s="8"/>
      <c r="I276" s="7"/>
      <c r="J276" s="7"/>
      <c r="K276" s="4"/>
      <c r="L276" s="8"/>
      <c r="M276" s="4"/>
      <c r="N276" s="8"/>
      <c r="O276" s="7"/>
      <c r="P276" s="7"/>
    </row>
    <row r="277">
      <c r="A277" s="2" t="s">
        <v>932</v>
      </c>
      <c r="B277" s="2" t="s">
        <v>933</v>
      </c>
      <c r="C277" s="2" t="s">
        <v>608</v>
      </c>
      <c r="D277" s="2" t="s">
        <v>609</v>
      </c>
      <c r="E277" s="4"/>
      <c r="F277" s="8"/>
      <c r="G277" s="4"/>
      <c r="H277" s="8"/>
      <c r="I277" s="7"/>
      <c r="J277" s="7"/>
      <c r="K277" s="4"/>
      <c r="L277" s="8"/>
      <c r="M277" s="4"/>
      <c r="N277" s="8"/>
      <c r="O277" s="7"/>
      <c r="P277" s="7"/>
    </row>
    <row r="278">
      <c r="A278" s="2" t="s">
        <v>932</v>
      </c>
      <c r="B278" s="2" t="s">
        <v>933</v>
      </c>
      <c r="C278" s="2" t="s">
        <v>1818</v>
      </c>
      <c r="D278" s="2" t="s">
        <v>2020</v>
      </c>
      <c r="E278" s="4"/>
      <c r="F278" s="8"/>
      <c r="G278" s="4"/>
      <c r="H278" s="8"/>
      <c r="I278" s="7"/>
      <c r="J278" s="7"/>
      <c r="K278" s="4"/>
      <c r="L278" s="8"/>
      <c r="M278" s="4"/>
      <c r="N278" s="8"/>
      <c r="O278" s="7"/>
      <c r="P278" s="7"/>
    </row>
    <row r="279">
      <c r="A279" s="2" t="s">
        <v>932</v>
      </c>
      <c r="B279" s="2" t="s">
        <v>933</v>
      </c>
      <c r="C279" s="2" t="s">
        <v>918</v>
      </c>
      <c r="D279" s="2" t="s">
        <v>919</v>
      </c>
      <c r="E279" s="4" t="s">
        <v>200</v>
      </c>
      <c r="F279" s="8" t="s">
        <v>200</v>
      </c>
      <c r="G279" s="4" t="s">
        <v>200</v>
      </c>
      <c r="H279" s="8" t="s">
        <v>200</v>
      </c>
      <c r="I279" s="7" t="s">
        <v>200</v>
      </c>
      <c r="J279" s="7" t="s">
        <v>200</v>
      </c>
      <c r="K279" s="4"/>
      <c r="L279" s="8"/>
      <c r="M279" s="4"/>
      <c r="N279" s="8"/>
      <c r="O279" s="7"/>
      <c r="P279" s="7"/>
    </row>
    <row r="280">
      <c r="A280" s="2" t="s">
        <v>932</v>
      </c>
      <c r="B280" s="2" t="s">
        <v>933</v>
      </c>
      <c r="C280" s="2" t="s">
        <v>918</v>
      </c>
      <c r="D280" s="2" t="s">
        <v>934</v>
      </c>
      <c r="E280" s="4" t="s">
        <v>200</v>
      </c>
      <c r="F280" s="8" t="s">
        <v>200</v>
      </c>
      <c r="G280" s="4" t="s">
        <v>200</v>
      </c>
      <c r="H280" s="8" t="s">
        <v>200</v>
      </c>
      <c r="I280" s="7" t="s">
        <v>200</v>
      </c>
      <c r="J280" s="7" t="s">
        <v>200</v>
      </c>
      <c r="K280" s="4"/>
      <c r="L280" s="8"/>
      <c r="M280" s="4"/>
      <c r="N280" s="8"/>
      <c r="O280" s="7"/>
      <c r="P280" s="7"/>
    </row>
    <row r="281">
      <c r="A281" s="2" t="s">
        <v>932</v>
      </c>
      <c r="B281" s="2" t="s">
        <v>2014</v>
      </c>
      <c r="C281" s="2" t="s">
        <v>608</v>
      </c>
      <c r="D281" s="2" t="s">
        <v>609</v>
      </c>
      <c r="E281" s="4" t="s">
        <v>200</v>
      </c>
      <c r="F281" s="8" t="s">
        <v>200</v>
      </c>
      <c r="G281" s="4" t="s">
        <v>200</v>
      </c>
      <c r="H281" s="8" t="s">
        <v>200</v>
      </c>
      <c r="I281" s="7" t="s">
        <v>200</v>
      </c>
      <c r="J281" s="7" t="s">
        <v>200</v>
      </c>
      <c r="K281" s="4"/>
      <c r="L281" s="8"/>
      <c r="M281" s="4"/>
      <c r="N281" s="8"/>
      <c r="O281" s="7"/>
      <c r="P281" s="7"/>
    </row>
    <row r="282">
      <c r="A282" s="2" t="s">
        <v>932</v>
      </c>
      <c r="B282" s="2" t="s">
        <v>2014</v>
      </c>
      <c r="C282" s="2" t="s">
        <v>608</v>
      </c>
      <c r="D282" s="2" t="s">
        <v>1324</v>
      </c>
      <c r="E282" s="4" t="s">
        <v>200</v>
      </c>
      <c r="F282" s="8" t="s">
        <v>200</v>
      </c>
      <c r="G282" s="4" t="s">
        <v>200</v>
      </c>
      <c r="H282" s="8" t="s">
        <v>200</v>
      </c>
      <c r="I282" s="7" t="s">
        <v>200</v>
      </c>
      <c r="J282" s="7" t="s">
        <v>200</v>
      </c>
      <c r="K282" s="4"/>
      <c r="L282" s="8"/>
      <c r="M282" s="4"/>
      <c r="N282" s="8"/>
      <c r="O282" s="7"/>
      <c r="P282" s="7"/>
    </row>
    <row r="283">
      <c r="A283" s="2" t="s">
        <v>932</v>
      </c>
      <c r="B283" s="2" t="s">
        <v>2014</v>
      </c>
      <c r="C283" s="2" t="s">
        <v>1818</v>
      </c>
      <c r="D283" s="2" t="s">
        <v>2020</v>
      </c>
      <c r="E283" s="4"/>
      <c r="F283" s="8"/>
      <c r="G283" s="4"/>
      <c r="H283" s="8"/>
      <c r="I283" s="7"/>
      <c r="J283" s="7"/>
      <c r="K283" s="4"/>
      <c r="L283" s="8"/>
      <c r="M283" s="4"/>
      <c r="N283" s="8"/>
      <c r="O283" s="7"/>
      <c r="P283" s="7"/>
    </row>
    <row r="284">
      <c r="A284" s="2" t="s">
        <v>932</v>
      </c>
      <c r="B284" s="2" t="s">
        <v>2014</v>
      </c>
      <c r="C284" s="2" t="s">
        <v>918</v>
      </c>
      <c r="D284" s="2" t="s">
        <v>919</v>
      </c>
      <c r="E284" s="4"/>
      <c r="F284" s="8"/>
      <c r="G284" s="4"/>
      <c r="H284" s="8"/>
      <c r="I284" s="7"/>
      <c r="J284" s="7"/>
      <c r="K284" s="4"/>
      <c r="L284" s="8"/>
      <c r="M284" s="4"/>
      <c r="N284" s="8"/>
      <c r="O284" s="7"/>
      <c r="P284" s="7"/>
    </row>
    <row r="285">
      <c r="A285" s="2" t="s">
        <v>932</v>
      </c>
      <c r="B285" s="2" t="s">
        <v>1839</v>
      </c>
      <c r="C285" s="2" t="s">
        <v>608</v>
      </c>
      <c r="D285" s="2" t="s">
        <v>609</v>
      </c>
      <c r="E285" s="4" t="s">
        <v>200</v>
      </c>
      <c r="F285" s="8" t="s">
        <v>200</v>
      </c>
      <c r="G285" s="4" t="s">
        <v>200</v>
      </c>
      <c r="H285" s="8" t="s">
        <v>200</v>
      </c>
      <c r="I285" s="7" t="s">
        <v>200</v>
      </c>
      <c r="J285" s="7" t="s">
        <v>200</v>
      </c>
      <c r="K285" s="4"/>
      <c r="L285" s="8"/>
      <c r="M285" s="4"/>
      <c r="N285" s="8"/>
      <c r="O285" s="7"/>
      <c r="P285" s="7"/>
    </row>
    <row r="286">
      <c r="A286" s="2" t="s">
        <v>932</v>
      </c>
      <c r="B286" s="2" t="s">
        <v>1839</v>
      </c>
      <c r="C286" s="2" t="s">
        <v>608</v>
      </c>
      <c r="D286" s="2" t="s">
        <v>1324</v>
      </c>
      <c r="E286" s="4" t="s">
        <v>200</v>
      </c>
      <c r="F286" s="8" t="s">
        <v>200</v>
      </c>
      <c r="G286" s="4" t="s">
        <v>200</v>
      </c>
      <c r="H286" s="8" t="s">
        <v>200</v>
      </c>
      <c r="I286" s="7" t="s">
        <v>200</v>
      </c>
      <c r="J286" s="7" t="s">
        <v>200</v>
      </c>
      <c r="K286" s="4"/>
      <c r="L286" s="8"/>
      <c r="M286" s="4"/>
      <c r="N286" s="8"/>
      <c r="O286" s="7"/>
      <c r="P286" s="7"/>
    </row>
    <row r="287">
      <c r="A287" s="2" t="s">
        <v>932</v>
      </c>
      <c r="B287" s="2" t="s">
        <v>1839</v>
      </c>
      <c r="C287" s="2" t="s">
        <v>1818</v>
      </c>
      <c r="D287" s="2" t="s">
        <v>2000</v>
      </c>
      <c r="E287" s="4"/>
      <c r="F287" s="8"/>
      <c r="G287" s="4"/>
      <c r="H287" s="8"/>
      <c r="I287" s="7"/>
      <c r="J287" s="7"/>
      <c r="K287" s="4"/>
      <c r="L287" s="8"/>
      <c r="M287" s="4"/>
      <c r="N287" s="8"/>
      <c r="O287" s="7"/>
      <c r="P287" s="7"/>
    </row>
    <row r="288">
      <c r="A288" s="2" t="s">
        <v>932</v>
      </c>
      <c r="B288" s="2" t="s">
        <v>1839</v>
      </c>
      <c r="C288" s="2" t="s">
        <v>918</v>
      </c>
      <c r="D288" s="2" t="s">
        <v>919</v>
      </c>
      <c r="E288" s="4" t="s">
        <v>200</v>
      </c>
      <c r="F288" s="8" t="s">
        <v>200</v>
      </c>
      <c r="G288" s="4" t="s">
        <v>200</v>
      </c>
      <c r="H288" s="8" t="s">
        <v>200</v>
      </c>
      <c r="I288" s="7" t="s">
        <v>200</v>
      </c>
      <c r="J288" s="7" t="s">
        <v>200</v>
      </c>
      <c r="K288" s="4"/>
      <c r="L288" s="8"/>
      <c r="M288" s="4"/>
      <c r="N288" s="8"/>
      <c r="O288" s="7"/>
      <c r="P288" s="7"/>
    </row>
    <row r="289">
      <c r="A289" s="2" t="s">
        <v>932</v>
      </c>
      <c r="B289" s="2" t="s">
        <v>1839</v>
      </c>
      <c r="C289" s="2" t="s">
        <v>918</v>
      </c>
      <c r="D289" s="2" t="s">
        <v>934</v>
      </c>
      <c r="E289" s="4" t="s">
        <v>200</v>
      </c>
      <c r="F289" s="8" t="s">
        <v>200</v>
      </c>
      <c r="G289" s="4" t="s">
        <v>200</v>
      </c>
      <c r="H289" s="8" t="s">
        <v>200</v>
      </c>
      <c r="I289" s="7" t="s">
        <v>200</v>
      </c>
      <c r="J289" s="7" t="s">
        <v>200</v>
      </c>
      <c r="K289" s="4"/>
      <c r="L289" s="8"/>
      <c r="M289" s="4"/>
      <c r="N289" s="8"/>
      <c r="O289" s="7"/>
      <c r="P289" s="7"/>
    </row>
    <row r="290">
      <c r="A290" s="2" t="s">
        <v>932</v>
      </c>
      <c r="B290" s="2" t="s">
        <v>5403</v>
      </c>
      <c r="C290" s="2" t="s">
        <v>1818</v>
      </c>
      <c r="D290" s="2" t="s">
        <v>2000</v>
      </c>
      <c r="E290" s="4"/>
      <c r="F290" s="8"/>
      <c r="G290" s="4"/>
      <c r="H290" s="8"/>
      <c r="I290" s="7"/>
      <c r="J290" s="7"/>
      <c r="K290" s="4"/>
      <c r="L290" s="8"/>
      <c r="M290" s="4"/>
      <c r="N290" s="8"/>
      <c r="O290" s="7"/>
      <c r="P290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24:E25"/>
    <mergeCell ref="F24:F25"/>
    <mergeCell ref="G24:G25"/>
    <mergeCell ref="H24:H25"/>
    <mergeCell ref="I24:I25"/>
    <mergeCell ref="J24:J25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4:E35"/>
    <mergeCell ref="F34:F35"/>
    <mergeCell ref="G34:G35"/>
    <mergeCell ref="H34:H35"/>
    <mergeCell ref="I34:I35"/>
    <mergeCell ref="J34:J35"/>
    <mergeCell ref="E37:E39"/>
    <mergeCell ref="F37:F39"/>
    <mergeCell ref="G37:G39"/>
    <mergeCell ref="H37:H39"/>
    <mergeCell ref="I37:I39"/>
    <mergeCell ref="J37:J39"/>
    <mergeCell ref="E40:E42"/>
    <mergeCell ref="F40:F42"/>
    <mergeCell ref="G40:G42"/>
    <mergeCell ref="H40:H42"/>
    <mergeCell ref="I40:I42"/>
    <mergeCell ref="J40:J42"/>
    <mergeCell ref="E43:E44"/>
    <mergeCell ref="F43:F44"/>
    <mergeCell ref="G43:G44"/>
    <mergeCell ref="H43:H44"/>
    <mergeCell ref="I43:I44"/>
    <mergeCell ref="J43:J44"/>
    <mergeCell ref="E57:E58"/>
    <mergeCell ref="F57:F58"/>
    <mergeCell ref="G57:G58"/>
    <mergeCell ref="H57:H58"/>
    <mergeCell ref="I57:I58"/>
    <mergeCell ref="J57:J58"/>
    <mergeCell ref="E62:E64"/>
    <mergeCell ref="F62:F64"/>
    <mergeCell ref="G62:G64"/>
    <mergeCell ref="H62:H64"/>
    <mergeCell ref="I62:I64"/>
    <mergeCell ref="J62:J64"/>
    <mergeCell ref="E65:E66"/>
    <mergeCell ref="F65:F66"/>
    <mergeCell ref="G65:G66"/>
    <mergeCell ref="H65:H66"/>
    <mergeCell ref="I65:I66"/>
    <mergeCell ref="J65:J66"/>
    <mergeCell ref="E69:E70"/>
    <mergeCell ref="F69:F70"/>
    <mergeCell ref="G69:G70"/>
    <mergeCell ref="H69:H70"/>
    <mergeCell ref="I69:I70"/>
    <mergeCell ref="J69:J70"/>
    <mergeCell ref="E72:E74"/>
    <mergeCell ref="F72:F74"/>
    <mergeCell ref="G72:G74"/>
    <mergeCell ref="H72:H74"/>
    <mergeCell ref="I72:I74"/>
    <mergeCell ref="J72:J74"/>
    <mergeCell ref="E77:E78"/>
    <mergeCell ref="F77:F78"/>
    <mergeCell ref="G77:G78"/>
    <mergeCell ref="H77:H78"/>
    <mergeCell ref="I77:I78"/>
    <mergeCell ref="J77:J78"/>
    <mergeCell ref="E79:E80"/>
    <mergeCell ref="F79:F80"/>
    <mergeCell ref="G79:G80"/>
    <mergeCell ref="H79:H80"/>
    <mergeCell ref="I79:I80"/>
    <mergeCell ref="J79:J80"/>
    <mergeCell ref="E87:E88"/>
    <mergeCell ref="F87:F88"/>
    <mergeCell ref="G87:G88"/>
    <mergeCell ref="H87:H88"/>
    <mergeCell ref="I87:I88"/>
    <mergeCell ref="J87:J88"/>
    <mergeCell ref="E96:E98"/>
    <mergeCell ref="F96:F98"/>
    <mergeCell ref="G96:G98"/>
    <mergeCell ref="H96:H98"/>
    <mergeCell ref="I96:I98"/>
    <mergeCell ref="J96:J98"/>
    <mergeCell ref="E113:E115"/>
    <mergeCell ref="F113:F115"/>
    <mergeCell ref="G113:G115"/>
    <mergeCell ref="H113:H115"/>
    <mergeCell ref="I113:I115"/>
    <mergeCell ref="J113:J115"/>
    <mergeCell ref="E123:E124"/>
    <mergeCell ref="F123:F124"/>
    <mergeCell ref="G123:G124"/>
    <mergeCell ref="H123:H124"/>
    <mergeCell ref="I123:I124"/>
    <mergeCell ref="J123:J124"/>
    <mergeCell ref="E129:E130"/>
    <mergeCell ref="F129:F130"/>
    <mergeCell ref="G129:G130"/>
    <mergeCell ref="H129:H130"/>
    <mergeCell ref="I129:I130"/>
    <mergeCell ref="J129:J130"/>
    <mergeCell ref="E133:E134"/>
    <mergeCell ref="F133:F134"/>
    <mergeCell ref="G133:G134"/>
    <mergeCell ref="H133:H134"/>
    <mergeCell ref="I133:I134"/>
    <mergeCell ref="J133:J134"/>
    <mergeCell ref="E138:E139"/>
    <mergeCell ref="F138:F139"/>
    <mergeCell ref="G138:G139"/>
    <mergeCell ref="H138:H139"/>
    <mergeCell ref="I138:I139"/>
    <mergeCell ref="J138:J139"/>
    <mergeCell ref="E140:E141"/>
    <mergeCell ref="F140:F141"/>
    <mergeCell ref="G140:G141"/>
    <mergeCell ref="H140:H141"/>
    <mergeCell ref="I140:I141"/>
    <mergeCell ref="J140:J141"/>
    <mergeCell ref="E149:E150"/>
    <mergeCell ref="F149:F150"/>
    <mergeCell ref="G149:G150"/>
    <mergeCell ref="H149:H150"/>
    <mergeCell ref="I149:I150"/>
    <mergeCell ref="J149:J150"/>
    <mergeCell ref="E151:E152"/>
    <mergeCell ref="F151:F152"/>
    <mergeCell ref="G151:G152"/>
    <mergeCell ref="H151:H152"/>
    <mergeCell ref="I151:I152"/>
    <mergeCell ref="J151:J152"/>
    <mergeCell ref="E156:E157"/>
    <mergeCell ref="F156:F157"/>
    <mergeCell ref="G156:G157"/>
    <mergeCell ref="H156:H157"/>
    <mergeCell ref="I156:I157"/>
    <mergeCell ref="J156:J157"/>
    <mergeCell ref="E162:E164"/>
    <mergeCell ref="F162:F164"/>
    <mergeCell ref="G162:G164"/>
    <mergeCell ref="H162:H164"/>
    <mergeCell ref="I162:I164"/>
    <mergeCell ref="J162:J164"/>
    <mergeCell ref="E165:E166"/>
    <mergeCell ref="F165:F166"/>
    <mergeCell ref="G165:G166"/>
    <mergeCell ref="H165:H166"/>
    <mergeCell ref="I165:I166"/>
    <mergeCell ref="J165:J166"/>
    <mergeCell ref="E168:E169"/>
    <mergeCell ref="F168:F169"/>
    <mergeCell ref="G168:G169"/>
    <mergeCell ref="H168:H169"/>
    <mergeCell ref="I168:I169"/>
    <mergeCell ref="J168:J169"/>
    <mergeCell ref="E172:E174"/>
    <mergeCell ref="F172:F174"/>
    <mergeCell ref="G172:G174"/>
    <mergeCell ref="H172:H174"/>
    <mergeCell ref="I172:I174"/>
    <mergeCell ref="J172:J174"/>
    <mergeCell ref="E181:E184"/>
    <mergeCell ref="F181:F184"/>
    <mergeCell ref="G181:G184"/>
    <mergeCell ref="H181:H184"/>
    <mergeCell ref="I181:I184"/>
    <mergeCell ref="J181:J184"/>
    <mergeCell ref="E185:E188"/>
    <mergeCell ref="F185:F188"/>
    <mergeCell ref="G185:G188"/>
    <mergeCell ref="H185:H188"/>
    <mergeCell ref="I185:I188"/>
    <mergeCell ref="J185:J188"/>
    <mergeCell ref="E189:E190"/>
    <mergeCell ref="F189:F190"/>
    <mergeCell ref="G189:G190"/>
    <mergeCell ref="H189:H190"/>
    <mergeCell ref="I189:I190"/>
    <mergeCell ref="J189:J190"/>
    <mergeCell ref="E246:E247"/>
    <mergeCell ref="F246:F247"/>
    <mergeCell ref="G246:G247"/>
    <mergeCell ref="H246:H247"/>
    <mergeCell ref="I246:I247"/>
    <mergeCell ref="J246:J247"/>
    <mergeCell ref="E252:E253"/>
    <mergeCell ref="F252:F253"/>
    <mergeCell ref="G252:G253"/>
    <mergeCell ref="H252:H253"/>
    <mergeCell ref="I252:I253"/>
    <mergeCell ref="J252:J253"/>
    <mergeCell ref="E254:E255"/>
    <mergeCell ref="F254:F255"/>
    <mergeCell ref="G254:G255"/>
    <mergeCell ref="H254:H255"/>
    <mergeCell ref="I254:I255"/>
    <mergeCell ref="J254:J255"/>
    <mergeCell ref="E257:E262"/>
    <mergeCell ref="F257:F262"/>
    <mergeCell ref="G257:G262"/>
    <mergeCell ref="H257:H262"/>
    <mergeCell ref="I257:I262"/>
    <mergeCell ref="J257:J262"/>
    <mergeCell ref="E263:E264"/>
    <mergeCell ref="F263:F264"/>
    <mergeCell ref="G263:G264"/>
    <mergeCell ref="H263:H264"/>
    <mergeCell ref="I263:I264"/>
    <mergeCell ref="J263:J264"/>
    <mergeCell ref="E267:E268"/>
    <mergeCell ref="F267:F268"/>
    <mergeCell ref="G267:G268"/>
    <mergeCell ref="H267:H268"/>
    <mergeCell ref="I267:I268"/>
    <mergeCell ref="J267:J268"/>
    <mergeCell ref="E269:E271"/>
    <mergeCell ref="F269:F271"/>
    <mergeCell ref="G269:G271"/>
    <mergeCell ref="H269:H271"/>
    <mergeCell ref="I269:I271"/>
    <mergeCell ref="J269:J271"/>
    <mergeCell ref="E272:E273"/>
    <mergeCell ref="F272:F273"/>
    <mergeCell ref="G272:G273"/>
    <mergeCell ref="H272:H273"/>
    <mergeCell ref="I272:I273"/>
    <mergeCell ref="J272:J273"/>
    <mergeCell ref="E274:E275"/>
    <mergeCell ref="F274:F275"/>
    <mergeCell ref="G274:G275"/>
    <mergeCell ref="H274:H275"/>
    <mergeCell ref="I274:I275"/>
    <mergeCell ref="J274:J275"/>
    <mergeCell ref="E279:E280"/>
    <mergeCell ref="F279:F280"/>
    <mergeCell ref="G279:G280"/>
    <mergeCell ref="H279:H280"/>
    <mergeCell ref="I279:I280"/>
    <mergeCell ref="J279:J280"/>
    <mergeCell ref="E281:E282"/>
    <mergeCell ref="F281:F282"/>
    <mergeCell ref="G281:G282"/>
    <mergeCell ref="H281:H282"/>
    <mergeCell ref="I281:I282"/>
    <mergeCell ref="J281:J282"/>
    <mergeCell ref="E285:E286"/>
    <mergeCell ref="F285:F286"/>
    <mergeCell ref="G285:G286"/>
    <mergeCell ref="H285:H286"/>
    <mergeCell ref="I285:I286"/>
    <mergeCell ref="J285:J286"/>
    <mergeCell ref="E288:E289"/>
    <mergeCell ref="F288:F289"/>
    <mergeCell ref="G288:G289"/>
    <mergeCell ref="H288:H289"/>
    <mergeCell ref="I288:I289"/>
    <mergeCell ref="J288:J289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23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9155</v>
      </c>
      <c r="C2" s="0" t="s">
        <v>9156</v>
      </c>
      <c r="D2" s="0" t="s">
        <v>9157</v>
      </c>
      <c r="E2" s="0" t="s">
        <v>59</v>
      </c>
    </row>
    <row r="3">
      <c r="A3" s="1" t="s">
        <v>59</v>
      </c>
      <c r="B3" s="1" t="s">
        <v>61</v>
      </c>
      <c r="C3" s="1" t="s">
        <v>62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59</v>
      </c>
      <c r="B4" s="1" t="s">
        <v>61</v>
      </c>
      <c r="C4" s="1" t="s">
        <v>62</v>
      </c>
      <c r="D4" s="1" t="s">
        <v>36</v>
      </c>
      <c r="E4" s="1" t="s">
        <v>36</v>
      </c>
      <c r="F4" s="1" t="s">
        <v>37</v>
      </c>
      <c r="G4" s="1" t="s">
        <v>37</v>
      </c>
      <c r="H4" s="1" t="s">
        <v>9158</v>
      </c>
      <c r="I4" s="1" t="s">
        <v>9159</v>
      </c>
      <c r="J4" s="1" t="s">
        <v>36</v>
      </c>
      <c r="K4" s="1" t="s">
        <v>36</v>
      </c>
      <c r="L4" s="1" t="s">
        <v>37</v>
      </c>
      <c r="M4" s="1" t="s">
        <v>37</v>
      </c>
      <c r="N4" s="1" t="s">
        <v>9160</v>
      </c>
      <c r="O4" s="1" t="s">
        <v>9161</v>
      </c>
    </row>
    <row r="5">
      <c r="A5" s="1" t="s">
        <v>59</v>
      </c>
      <c r="B5" s="1" t="s">
        <v>61</v>
      </c>
      <c r="C5" s="1" t="s">
        <v>62</v>
      </c>
      <c r="D5" s="1" t="s">
        <v>9162</v>
      </c>
      <c r="E5" s="1" t="s">
        <v>9163</v>
      </c>
      <c r="F5" s="1" t="s">
        <v>9162</v>
      </c>
      <c r="G5" s="1" t="s">
        <v>9163</v>
      </c>
      <c r="H5" s="1" t="s">
        <v>9158</v>
      </c>
      <c r="I5" s="1" t="s">
        <v>9159</v>
      </c>
      <c r="J5" s="1" t="s">
        <v>9164</v>
      </c>
      <c r="K5" s="1" t="s">
        <v>9165</v>
      </c>
      <c r="L5" s="1" t="s">
        <v>9164</v>
      </c>
      <c r="M5" s="1" t="s">
        <v>9165</v>
      </c>
      <c r="N5" s="1" t="s">
        <v>9160</v>
      </c>
      <c r="O5" s="1" t="s">
        <v>9161</v>
      </c>
    </row>
    <row r="6">
      <c r="A6" s="2" t="s">
        <v>903</v>
      </c>
      <c r="B6" s="2" t="s">
        <v>2228</v>
      </c>
      <c r="C6" s="2" t="s">
        <v>2229</v>
      </c>
      <c r="D6" s="4" t="s">
        <v>200</v>
      </c>
      <c r="E6" s="8" t="s">
        <v>200</v>
      </c>
      <c r="F6" s="4" t="s">
        <v>200</v>
      </c>
      <c r="G6" s="8" t="s">
        <v>200</v>
      </c>
      <c r="H6" s="7" t="s">
        <v>200</v>
      </c>
      <c r="I6" s="7" t="s">
        <v>200</v>
      </c>
      <c r="J6" s="4"/>
      <c r="K6" s="8"/>
      <c r="L6" s="4"/>
      <c r="M6" s="8"/>
      <c r="N6" s="7"/>
      <c r="O6" s="7"/>
    </row>
    <row r="7">
      <c r="A7" s="2" t="s">
        <v>903</v>
      </c>
      <c r="B7" s="2" t="s">
        <v>2228</v>
      </c>
      <c r="C7" s="2" t="s">
        <v>2755</v>
      </c>
      <c r="D7" s="4" t="s">
        <v>200</v>
      </c>
      <c r="E7" s="8" t="s">
        <v>200</v>
      </c>
      <c r="F7" s="4" t="s">
        <v>200</v>
      </c>
      <c r="G7" s="8" t="s">
        <v>200</v>
      </c>
      <c r="H7" s="7" t="s">
        <v>200</v>
      </c>
      <c r="I7" s="7" t="s">
        <v>200</v>
      </c>
      <c r="J7" s="4"/>
      <c r="K7" s="8"/>
      <c r="L7" s="4"/>
      <c r="M7" s="8"/>
      <c r="N7" s="7"/>
      <c r="O7" s="7"/>
    </row>
    <row r="8">
      <c r="A8" s="2" t="s">
        <v>903</v>
      </c>
      <c r="B8" s="2" t="s">
        <v>608</v>
      </c>
      <c r="C8" s="2" t="s">
        <v>904</v>
      </c>
      <c r="D8" s="4" t="s">
        <v>200</v>
      </c>
      <c r="E8" s="8" t="s">
        <v>200</v>
      </c>
      <c r="F8" s="4" t="s">
        <v>200</v>
      </c>
      <c r="G8" s="8" t="s">
        <v>200</v>
      </c>
      <c r="H8" s="7" t="s">
        <v>200</v>
      </c>
      <c r="I8" s="7" t="s">
        <v>200</v>
      </c>
      <c r="J8" s="4"/>
      <c r="K8" s="8"/>
      <c r="L8" s="4"/>
      <c r="M8" s="8"/>
      <c r="N8" s="7"/>
      <c r="O8" s="7"/>
    </row>
    <row r="9">
      <c r="A9" s="2" t="s">
        <v>903</v>
      </c>
      <c r="B9" s="2" t="s">
        <v>608</v>
      </c>
      <c r="C9" s="2" t="s">
        <v>609</v>
      </c>
      <c r="D9" s="4" t="s">
        <v>200</v>
      </c>
      <c r="E9" s="8" t="s">
        <v>200</v>
      </c>
      <c r="F9" s="4" t="s">
        <v>200</v>
      </c>
      <c r="G9" s="8" t="s">
        <v>200</v>
      </c>
      <c r="H9" s="7" t="s">
        <v>200</v>
      </c>
      <c r="I9" s="7" t="s">
        <v>200</v>
      </c>
      <c r="J9" s="4"/>
      <c r="K9" s="8"/>
      <c r="L9" s="4"/>
      <c r="M9" s="8"/>
      <c r="N9" s="7"/>
      <c r="O9" s="7"/>
    </row>
    <row r="10">
      <c r="A10" s="2" t="s">
        <v>903</v>
      </c>
      <c r="B10" s="2" t="s">
        <v>608</v>
      </c>
      <c r="C10" s="2" t="s">
        <v>1324</v>
      </c>
      <c r="D10" s="4" t="s">
        <v>200</v>
      </c>
      <c r="E10" s="8" t="s">
        <v>200</v>
      </c>
      <c r="F10" s="4" t="s">
        <v>200</v>
      </c>
      <c r="G10" s="8" t="s">
        <v>200</v>
      </c>
      <c r="H10" s="7" t="s">
        <v>200</v>
      </c>
      <c r="I10" s="7" t="s">
        <v>200</v>
      </c>
      <c r="J10" s="4"/>
      <c r="K10" s="8"/>
      <c r="L10" s="4"/>
      <c r="M10" s="8"/>
      <c r="N10" s="7"/>
      <c r="O10" s="7"/>
    </row>
    <row r="11">
      <c r="A11" s="2" t="s">
        <v>903</v>
      </c>
      <c r="B11" s="2" t="s">
        <v>1818</v>
      </c>
      <c r="C11" s="2" t="s">
        <v>1819</v>
      </c>
      <c r="D11" s="4" t="s">
        <v>200</v>
      </c>
      <c r="E11" s="8" t="s">
        <v>200</v>
      </c>
      <c r="F11" s="4" t="s">
        <v>200</v>
      </c>
      <c r="G11" s="8" t="s">
        <v>200</v>
      </c>
      <c r="H11" s="7" t="s">
        <v>200</v>
      </c>
      <c r="I11" s="7" t="s">
        <v>200</v>
      </c>
      <c r="J11" s="4"/>
      <c r="K11" s="8"/>
      <c r="L11" s="4"/>
      <c r="M11" s="8"/>
      <c r="N11" s="7"/>
      <c r="O11" s="7"/>
    </row>
    <row r="12">
      <c r="A12" s="2" t="s">
        <v>903</v>
      </c>
      <c r="B12" s="2" t="s">
        <v>1818</v>
      </c>
      <c r="C12" s="2" t="s">
        <v>2020</v>
      </c>
      <c r="D12" s="4" t="s">
        <v>200</v>
      </c>
      <c r="E12" s="8" t="s">
        <v>200</v>
      </c>
      <c r="F12" s="4" t="s">
        <v>200</v>
      </c>
      <c r="G12" s="8" t="s">
        <v>200</v>
      </c>
      <c r="H12" s="7" t="s">
        <v>200</v>
      </c>
      <c r="I12" s="7" t="s">
        <v>200</v>
      </c>
      <c r="J12" s="4"/>
      <c r="K12" s="8"/>
      <c r="L12" s="4"/>
      <c r="M12" s="8"/>
      <c r="N12" s="7"/>
      <c r="O12" s="7"/>
    </row>
    <row r="13">
      <c r="A13" s="2" t="s">
        <v>903</v>
      </c>
      <c r="B13" s="2" t="s">
        <v>1818</v>
      </c>
      <c r="C13" s="2" t="s">
        <v>2000</v>
      </c>
      <c r="D13" s="4" t="s">
        <v>200</v>
      </c>
      <c r="E13" s="8" t="s">
        <v>200</v>
      </c>
      <c r="F13" s="4" t="s">
        <v>200</v>
      </c>
      <c r="G13" s="8" t="s">
        <v>200</v>
      </c>
      <c r="H13" s="7" t="s">
        <v>200</v>
      </c>
      <c r="I13" s="7" t="s">
        <v>200</v>
      </c>
      <c r="J13" s="4"/>
      <c r="K13" s="8"/>
      <c r="L13" s="4"/>
      <c r="M13" s="8"/>
      <c r="N13" s="7"/>
      <c r="O13" s="7"/>
    </row>
    <row r="14">
      <c r="A14" s="2" t="s">
        <v>903</v>
      </c>
      <c r="B14" s="2" t="s">
        <v>1818</v>
      </c>
      <c r="C14" s="2" t="s">
        <v>5133</v>
      </c>
      <c r="D14" s="4" t="s">
        <v>200</v>
      </c>
      <c r="E14" s="8" t="s">
        <v>200</v>
      </c>
      <c r="F14" s="4" t="s">
        <v>200</v>
      </c>
      <c r="G14" s="8" t="s">
        <v>200</v>
      </c>
      <c r="H14" s="7" t="s">
        <v>200</v>
      </c>
      <c r="I14" s="7" t="s">
        <v>200</v>
      </c>
      <c r="J14" s="4"/>
      <c r="K14" s="8"/>
      <c r="L14" s="4"/>
      <c r="M14" s="8"/>
      <c r="N14" s="7"/>
      <c r="O14" s="7"/>
    </row>
    <row r="15">
      <c r="A15" s="2" t="s">
        <v>903</v>
      </c>
      <c r="B15" s="2" t="s">
        <v>918</v>
      </c>
      <c r="C15" s="2" t="s">
        <v>919</v>
      </c>
      <c r="D15" s="4" t="s">
        <v>200</v>
      </c>
      <c r="E15" s="8" t="s">
        <v>200</v>
      </c>
      <c r="F15" s="4" t="s">
        <v>200</v>
      </c>
      <c r="G15" s="8" t="s">
        <v>200</v>
      </c>
      <c r="H15" s="7" t="s">
        <v>200</v>
      </c>
      <c r="I15" s="7" t="s">
        <v>200</v>
      </c>
      <c r="J15" s="4"/>
      <c r="K15" s="8"/>
      <c r="L15" s="4"/>
      <c r="M15" s="8"/>
      <c r="N15" s="7"/>
      <c r="O15" s="7"/>
    </row>
    <row r="16">
      <c r="A16" s="2" t="s">
        <v>903</v>
      </c>
      <c r="B16" s="2" t="s">
        <v>918</v>
      </c>
      <c r="C16" s="2" t="s">
        <v>934</v>
      </c>
      <c r="D16" s="4" t="s">
        <v>200</v>
      </c>
      <c r="E16" s="8" t="s">
        <v>200</v>
      </c>
      <c r="F16" s="4" t="s">
        <v>200</v>
      </c>
      <c r="G16" s="8" t="s">
        <v>200</v>
      </c>
      <c r="H16" s="7" t="s">
        <v>200</v>
      </c>
      <c r="I16" s="7" t="s">
        <v>200</v>
      </c>
      <c r="J16" s="4"/>
      <c r="K16" s="8"/>
      <c r="L16" s="4"/>
      <c r="M16" s="8"/>
      <c r="N16" s="7"/>
      <c r="O16" s="7"/>
    </row>
    <row r="17">
      <c r="A17" s="2" t="s">
        <v>903</v>
      </c>
      <c r="B17" s="2" t="s">
        <v>1524</v>
      </c>
      <c r="C17" s="2" t="s">
        <v>1525</v>
      </c>
      <c r="D17" s="4" t="s">
        <v>200</v>
      </c>
      <c r="E17" s="8" t="s">
        <v>200</v>
      </c>
      <c r="F17" s="4" t="s">
        <v>200</v>
      </c>
      <c r="G17" s="8" t="s">
        <v>200</v>
      </c>
      <c r="H17" s="7" t="s">
        <v>200</v>
      </c>
      <c r="I17" s="7" t="s">
        <v>200</v>
      </c>
      <c r="J17" s="4"/>
      <c r="K17" s="8"/>
      <c r="L17" s="4"/>
      <c r="M17" s="8"/>
      <c r="N17" s="7"/>
      <c r="O17" s="7"/>
    </row>
    <row r="18">
      <c r="A18" s="2" t="s">
        <v>903</v>
      </c>
      <c r="B18" s="2" t="s">
        <v>1524</v>
      </c>
      <c r="C18" s="2" t="s">
        <v>2324</v>
      </c>
      <c r="D18" s="4" t="s">
        <v>200</v>
      </c>
      <c r="E18" s="8" t="s">
        <v>200</v>
      </c>
      <c r="F18" s="4" t="s">
        <v>200</v>
      </c>
      <c r="G18" s="8" t="s">
        <v>200</v>
      </c>
      <c r="H18" s="7" t="s">
        <v>200</v>
      </c>
      <c r="I18" s="7" t="s">
        <v>200</v>
      </c>
      <c r="J18" s="4"/>
      <c r="K18" s="8"/>
      <c r="L18" s="4"/>
      <c r="M18" s="8"/>
      <c r="N18" s="7"/>
      <c r="O18" s="7"/>
    </row>
    <row r="19">
      <c r="A19" s="2" t="s">
        <v>903</v>
      </c>
      <c r="B19" s="2" t="s">
        <v>2254</v>
      </c>
      <c r="C19" s="2" t="s">
        <v>3132</v>
      </c>
      <c r="D19" s="4"/>
      <c r="E19" s="8"/>
      <c r="F19" s="4"/>
      <c r="G19" s="8"/>
      <c r="H19" s="7"/>
      <c r="I19" s="7"/>
      <c r="J19" s="4"/>
      <c r="K19" s="8"/>
      <c r="L19" s="4"/>
      <c r="M19" s="8"/>
      <c r="N19" s="7"/>
      <c r="O19" s="7"/>
    </row>
    <row r="20">
      <c r="A20" s="2" t="s">
        <v>2124</v>
      </c>
      <c r="B20" s="2" t="s">
        <v>2125</v>
      </c>
      <c r="C20" s="2" t="s">
        <v>2126</v>
      </c>
      <c r="D20" s="4"/>
      <c r="E20" s="8"/>
      <c r="F20" s="4"/>
      <c r="G20" s="8"/>
      <c r="H20" s="7"/>
      <c r="I20" s="7"/>
      <c r="J20" s="4"/>
      <c r="K20" s="8"/>
      <c r="L20" s="4"/>
      <c r="M20" s="8"/>
      <c r="N20" s="7"/>
      <c r="O20" s="7"/>
    </row>
    <row r="21">
      <c r="A21" s="2" t="s">
        <v>719</v>
      </c>
      <c r="B21" s="2" t="s">
        <v>6246</v>
      </c>
      <c r="C21" s="2" t="s">
        <v>6247</v>
      </c>
      <c r="D21" s="4"/>
      <c r="E21" s="8"/>
      <c r="F21" s="4"/>
      <c r="G21" s="8"/>
      <c r="H21" s="7"/>
      <c r="I21" s="7"/>
      <c r="J21" s="4"/>
      <c r="K21" s="8"/>
      <c r="L21" s="4"/>
      <c r="M21" s="8"/>
      <c r="N21" s="7"/>
      <c r="O21" s="7"/>
    </row>
    <row r="22">
      <c r="A22" s="2" t="s">
        <v>719</v>
      </c>
      <c r="B22" s="2" t="s">
        <v>1542</v>
      </c>
      <c r="C22" s="2" t="s">
        <v>6247</v>
      </c>
      <c r="D22" s="4" t="s">
        <v>200</v>
      </c>
      <c r="E22" s="8" t="s">
        <v>200</v>
      </c>
      <c r="F22" s="4" t="s">
        <v>200</v>
      </c>
      <c r="G22" s="8" t="s">
        <v>200</v>
      </c>
      <c r="H22" s="7" t="s">
        <v>200</v>
      </c>
      <c r="I22" s="7" t="s">
        <v>200</v>
      </c>
      <c r="J22" s="4"/>
      <c r="K22" s="8"/>
      <c r="L22" s="4"/>
      <c r="M22" s="8"/>
      <c r="N22" s="7"/>
      <c r="O22" s="7"/>
    </row>
    <row r="23">
      <c r="A23" s="2" t="s">
        <v>719</v>
      </c>
      <c r="B23" s="2" t="s">
        <v>1542</v>
      </c>
      <c r="C23" s="2" t="s">
        <v>5927</v>
      </c>
      <c r="D23" s="4" t="s">
        <v>200</v>
      </c>
      <c r="E23" s="8" t="s">
        <v>200</v>
      </c>
      <c r="F23" s="4" t="s">
        <v>200</v>
      </c>
      <c r="G23" s="8" t="s">
        <v>200</v>
      </c>
      <c r="H23" s="7" t="s">
        <v>200</v>
      </c>
      <c r="I23" s="7" t="s">
        <v>200</v>
      </c>
      <c r="J23" s="4"/>
      <c r="K23" s="8"/>
      <c r="L23" s="4"/>
      <c r="M23" s="8"/>
      <c r="N23" s="7"/>
      <c r="O23" s="7"/>
    </row>
    <row r="24">
      <c r="A24" s="2" t="s">
        <v>719</v>
      </c>
      <c r="B24" s="2" t="s">
        <v>1542</v>
      </c>
      <c r="C24" s="2" t="s">
        <v>721</v>
      </c>
      <c r="D24" s="4" t="s">
        <v>200</v>
      </c>
      <c r="E24" s="8" t="s">
        <v>200</v>
      </c>
      <c r="F24" s="4" t="s">
        <v>200</v>
      </c>
      <c r="G24" s="8" t="s">
        <v>200</v>
      </c>
      <c r="H24" s="7" t="s">
        <v>200</v>
      </c>
      <c r="I24" s="7" t="s">
        <v>200</v>
      </c>
      <c r="J24" s="4"/>
      <c r="K24" s="8"/>
      <c r="L24" s="4"/>
      <c r="M24" s="8"/>
      <c r="N24" s="7"/>
      <c r="O24" s="7"/>
    </row>
    <row r="25">
      <c r="A25" s="2" t="s">
        <v>719</v>
      </c>
      <c r="B25" s="2" t="s">
        <v>1542</v>
      </c>
      <c r="C25" s="2" t="s">
        <v>2060</v>
      </c>
      <c r="D25" s="4" t="s">
        <v>200</v>
      </c>
      <c r="E25" s="8" t="s">
        <v>200</v>
      </c>
      <c r="F25" s="4" t="s">
        <v>200</v>
      </c>
      <c r="G25" s="8" t="s">
        <v>200</v>
      </c>
      <c r="H25" s="7" t="s">
        <v>200</v>
      </c>
      <c r="I25" s="7" t="s">
        <v>200</v>
      </c>
      <c r="J25" s="4"/>
      <c r="K25" s="8"/>
      <c r="L25" s="4"/>
      <c r="M25" s="8"/>
      <c r="N25" s="7"/>
      <c r="O25" s="7"/>
    </row>
    <row r="26">
      <c r="A26" s="2" t="s">
        <v>719</v>
      </c>
      <c r="B26" s="2" t="s">
        <v>1554</v>
      </c>
      <c r="C26" s="2" t="s">
        <v>1555</v>
      </c>
      <c r="D26" s="4" t="s">
        <v>200</v>
      </c>
      <c r="E26" s="8" t="s">
        <v>200</v>
      </c>
      <c r="F26" s="4" t="s">
        <v>200</v>
      </c>
      <c r="G26" s="8" t="s">
        <v>200</v>
      </c>
      <c r="H26" s="7" t="s">
        <v>200</v>
      </c>
      <c r="I26" s="7" t="s">
        <v>200</v>
      </c>
      <c r="J26" s="4"/>
      <c r="K26" s="8"/>
      <c r="L26" s="4"/>
      <c r="M26" s="8"/>
      <c r="N26" s="7"/>
      <c r="O26" s="7"/>
    </row>
    <row r="27">
      <c r="A27" s="2" t="s">
        <v>719</v>
      </c>
      <c r="B27" s="2" t="s">
        <v>1554</v>
      </c>
      <c r="C27" s="2" t="s">
        <v>721</v>
      </c>
      <c r="D27" s="4" t="s">
        <v>200</v>
      </c>
      <c r="E27" s="8" t="s">
        <v>200</v>
      </c>
      <c r="F27" s="4" t="s">
        <v>200</v>
      </c>
      <c r="G27" s="8" t="s">
        <v>200</v>
      </c>
      <c r="H27" s="7" t="s">
        <v>200</v>
      </c>
      <c r="I27" s="7" t="s">
        <v>200</v>
      </c>
      <c r="J27" s="4"/>
      <c r="K27" s="8"/>
      <c r="L27" s="4"/>
      <c r="M27" s="8"/>
      <c r="N27" s="7"/>
      <c r="O27" s="7"/>
    </row>
    <row r="28">
      <c r="A28" s="2" t="s">
        <v>719</v>
      </c>
      <c r="B28" s="2" t="s">
        <v>1535</v>
      </c>
      <c r="C28" s="2" t="s">
        <v>1536</v>
      </c>
      <c r="D28" s="4" t="s">
        <v>200</v>
      </c>
      <c r="E28" s="8" t="s">
        <v>200</v>
      </c>
      <c r="F28" s="4" t="s">
        <v>200</v>
      </c>
      <c r="G28" s="8" t="s">
        <v>200</v>
      </c>
      <c r="H28" s="7" t="s">
        <v>200</v>
      </c>
      <c r="I28" s="7" t="s">
        <v>200</v>
      </c>
      <c r="J28" s="4"/>
      <c r="K28" s="8"/>
      <c r="L28" s="4"/>
      <c r="M28" s="8"/>
      <c r="N28" s="7"/>
      <c r="O28" s="7"/>
    </row>
    <row r="29">
      <c r="A29" s="2" t="s">
        <v>719</v>
      </c>
      <c r="B29" s="2" t="s">
        <v>1535</v>
      </c>
      <c r="C29" s="2" t="s">
        <v>6297</v>
      </c>
      <c r="D29" s="4" t="s">
        <v>200</v>
      </c>
      <c r="E29" s="8" t="s">
        <v>200</v>
      </c>
      <c r="F29" s="4" t="s">
        <v>200</v>
      </c>
      <c r="G29" s="8" t="s">
        <v>200</v>
      </c>
      <c r="H29" s="7" t="s">
        <v>200</v>
      </c>
      <c r="I29" s="7" t="s">
        <v>200</v>
      </c>
      <c r="J29" s="4"/>
      <c r="K29" s="8"/>
      <c r="L29" s="4"/>
      <c r="M29" s="8"/>
      <c r="N29" s="7"/>
      <c r="O29" s="7"/>
    </row>
    <row r="30">
      <c r="A30" s="2" t="s">
        <v>719</v>
      </c>
      <c r="B30" s="2" t="s">
        <v>720</v>
      </c>
      <c r="C30" s="2" t="s">
        <v>721</v>
      </c>
      <c r="D30" s="4" t="s">
        <v>200</v>
      </c>
      <c r="E30" s="8" t="s">
        <v>200</v>
      </c>
      <c r="F30" s="4" t="s">
        <v>200</v>
      </c>
      <c r="G30" s="8" t="s">
        <v>200</v>
      </c>
      <c r="H30" s="7" t="s">
        <v>200</v>
      </c>
      <c r="I30" s="7" t="s">
        <v>200</v>
      </c>
      <c r="J30" s="4"/>
      <c r="K30" s="8"/>
      <c r="L30" s="4"/>
      <c r="M30" s="8"/>
      <c r="N30" s="7"/>
      <c r="O30" s="7"/>
    </row>
    <row r="31">
      <c r="A31" s="2" t="s">
        <v>719</v>
      </c>
      <c r="B31" s="2" t="s">
        <v>720</v>
      </c>
      <c r="C31" s="2" t="s">
        <v>2060</v>
      </c>
      <c r="D31" s="4" t="s">
        <v>200</v>
      </c>
      <c r="E31" s="8" t="s">
        <v>200</v>
      </c>
      <c r="F31" s="4" t="s">
        <v>200</v>
      </c>
      <c r="G31" s="8" t="s">
        <v>200</v>
      </c>
      <c r="H31" s="7" t="s">
        <v>200</v>
      </c>
      <c r="I31" s="7" t="s">
        <v>200</v>
      </c>
      <c r="J31" s="4"/>
      <c r="K31" s="8"/>
      <c r="L31" s="4"/>
      <c r="M31" s="8"/>
      <c r="N31" s="7"/>
      <c r="O31" s="7"/>
    </row>
    <row r="32">
      <c r="A32" s="2" t="s">
        <v>250</v>
      </c>
      <c r="B32" s="2" t="s">
        <v>197</v>
      </c>
      <c r="C32" s="2" t="s">
        <v>2477</v>
      </c>
      <c r="D32" s="4"/>
      <c r="E32" s="8"/>
      <c r="F32" s="4"/>
      <c r="G32" s="8"/>
      <c r="H32" s="7"/>
      <c r="I32" s="7"/>
      <c r="J32" s="4"/>
      <c r="K32" s="8"/>
      <c r="L32" s="4"/>
      <c r="M32" s="8"/>
      <c r="N32" s="7"/>
      <c r="O32" s="7"/>
    </row>
    <row r="33">
      <c r="A33" s="2" t="s">
        <v>250</v>
      </c>
      <c r="B33" s="2" t="s">
        <v>608</v>
      </c>
      <c r="C33" s="2" t="s">
        <v>609</v>
      </c>
      <c r="D33" s="4" t="s">
        <v>200</v>
      </c>
      <c r="E33" s="8" t="s">
        <v>200</v>
      </c>
      <c r="F33" s="4" t="s">
        <v>200</v>
      </c>
      <c r="G33" s="8" t="s">
        <v>200</v>
      </c>
      <c r="H33" s="7" t="s">
        <v>200</v>
      </c>
      <c r="I33" s="7" t="s">
        <v>200</v>
      </c>
      <c r="J33" s="4"/>
      <c r="K33" s="8"/>
      <c r="L33" s="4"/>
      <c r="M33" s="8"/>
      <c r="N33" s="7"/>
      <c r="O33" s="7"/>
    </row>
    <row r="34">
      <c r="A34" s="2" t="s">
        <v>250</v>
      </c>
      <c r="B34" s="2" t="s">
        <v>608</v>
      </c>
      <c r="C34" s="2" t="s">
        <v>1324</v>
      </c>
      <c r="D34" s="4" t="s">
        <v>200</v>
      </c>
      <c r="E34" s="8" t="s">
        <v>200</v>
      </c>
      <c r="F34" s="4" t="s">
        <v>200</v>
      </c>
      <c r="G34" s="8" t="s">
        <v>200</v>
      </c>
      <c r="H34" s="7" t="s">
        <v>200</v>
      </c>
      <c r="I34" s="7" t="s">
        <v>200</v>
      </c>
      <c r="J34" s="4"/>
      <c r="K34" s="8"/>
      <c r="L34" s="4"/>
      <c r="M34" s="8"/>
      <c r="N34" s="7"/>
      <c r="O34" s="7"/>
    </row>
    <row r="35">
      <c r="A35" s="2" t="s">
        <v>250</v>
      </c>
      <c r="B35" s="2" t="s">
        <v>608</v>
      </c>
      <c r="C35" s="2" t="s">
        <v>3015</v>
      </c>
      <c r="D35" s="4" t="s">
        <v>200</v>
      </c>
      <c r="E35" s="8" t="s">
        <v>200</v>
      </c>
      <c r="F35" s="4" t="s">
        <v>200</v>
      </c>
      <c r="G35" s="8" t="s">
        <v>200</v>
      </c>
      <c r="H35" s="7" t="s">
        <v>200</v>
      </c>
      <c r="I35" s="7" t="s">
        <v>200</v>
      </c>
      <c r="J35" s="4"/>
      <c r="K35" s="8"/>
      <c r="L35" s="4"/>
      <c r="M35" s="8"/>
      <c r="N35" s="7"/>
      <c r="O35" s="7"/>
    </row>
    <row r="36">
      <c r="A36" s="2" t="s">
        <v>250</v>
      </c>
      <c r="B36" s="2" t="s">
        <v>608</v>
      </c>
      <c r="C36" s="2" t="s">
        <v>5066</v>
      </c>
      <c r="D36" s="4" t="s">
        <v>200</v>
      </c>
      <c r="E36" s="8" t="s">
        <v>200</v>
      </c>
      <c r="F36" s="4" t="s">
        <v>200</v>
      </c>
      <c r="G36" s="8" t="s">
        <v>200</v>
      </c>
      <c r="H36" s="7" t="s">
        <v>200</v>
      </c>
      <c r="I36" s="7" t="s">
        <v>200</v>
      </c>
      <c r="J36" s="4"/>
      <c r="K36" s="8"/>
      <c r="L36" s="4"/>
      <c r="M36" s="8"/>
      <c r="N36" s="7"/>
      <c r="O36" s="7"/>
    </row>
    <row r="37">
      <c r="A37" s="2" t="s">
        <v>250</v>
      </c>
      <c r="B37" s="2" t="s">
        <v>252</v>
      </c>
      <c r="C37" s="2" t="s">
        <v>374</v>
      </c>
      <c r="D37" s="4" t="s">
        <v>200</v>
      </c>
      <c r="E37" s="8" t="s">
        <v>200</v>
      </c>
      <c r="F37" s="4" t="s">
        <v>200</v>
      </c>
      <c r="G37" s="8" t="s">
        <v>200</v>
      </c>
      <c r="H37" s="7" t="s">
        <v>200</v>
      </c>
      <c r="I37" s="7" t="s">
        <v>200</v>
      </c>
      <c r="J37" s="4"/>
      <c r="K37" s="8"/>
      <c r="L37" s="4"/>
      <c r="M37" s="8"/>
      <c r="N37" s="7"/>
      <c r="O37" s="7"/>
    </row>
    <row r="38">
      <c r="A38" s="2" t="s">
        <v>250</v>
      </c>
      <c r="B38" s="2" t="s">
        <v>252</v>
      </c>
      <c r="C38" s="2" t="s">
        <v>1802</v>
      </c>
      <c r="D38" s="4" t="s">
        <v>200</v>
      </c>
      <c r="E38" s="8" t="s">
        <v>200</v>
      </c>
      <c r="F38" s="4" t="s">
        <v>200</v>
      </c>
      <c r="G38" s="8" t="s">
        <v>200</v>
      </c>
      <c r="H38" s="7" t="s">
        <v>200</v>
      </c>
      <c r="I38" s="7" t="s">
        <v>200</v>
      </c>
      <c r="J38" s="4"/>
      <c r="K38" s="8"/>
      <c r="L38" s="4"/>
      <c r="M38" s="8"/>
      <c r="N38" s="7"/>
      <c r="O38" s="7"/>
    </row>
    <row r="39">
      <c r="A39" s="2" t="s">
        <v>250</v>
      </c>
      <c r="B39" s="2" t="s">
        <v>252</v>
      </c>
      <c r="C39" s="2" t="s">
        <v>253</v>
      </c>
      <c r="D39" s="4" t="s">
        <v>200</v>
      </c>
      <c r="E39" s="8" t="s">
        <v>200</v>
      </c>
      <c r="F39" s="4" t="s">
        <v>200</v>
      </c>
      <c r="G39" s="8" t="s">
        <v>200</v>
      </c>
      <c r="H39" s="7" t="s">
        <v>200</v>
      </c>
      <c r="I39" s="7" t="s">
        <v>200</v>
      </c>
      <c r="J39" s="4"/>
      <c r="K39" s="8"/>
      <c r="L39" s="4"/>
      <c r="M39" s="8"/>
      <c r="N39" s="7"/>
      <c r="O39" s="7"/>
    </row>
    <row r="40">
      <c r="A40" s="2" t="s">
        <v>250</v>
      </c>
      <c r="B40" s="2" t="s">
        <v>2171</v>
      </c>
      <c r="C40" s="2" t="s">
        <v>8609</v>
      </c>
      <c r="D40" s="4"/>
      <c r="E40" s="8"/>
      <c r="F40" s="4"/>
      <c r="G40" s="8"/>
      <c r="H40" s="7"/>
      <c r="I40" s="7"/>
      <c r="J40" s="4"/>
      <c r="K40" s="8"/>
      <c r="L40" s="4"/>
      <c r="M40" s="8"/>
      <c r="N40" s="7"/>
      <c r="O40" s="7"/>
    </row>
    <row r="41">
      <c r="A41" s="2" t="s">
        <v>250</v>
      </c>
      <c r="B41" s="2" t="s">
        <v>2254</v>
      </c>
      <c r="C41" s="2" t="s">
        <v>3132</v>
      </c>
      <c r="D41" s="4"/>
      <c r="E41" s="8"/>
      <c r="F41" s="4"/>
      <c r="G41" s="8"/>
      <c r="H41" s="7"/>
      <c r="I41" s="7"/>
      <c r="J41" s="4"/>
      <c r="K41" s="8"/>
      <c r="L41" s="4"/>
      <c r="M41" s="8"/>
      <c r="N41" s="7"/>
      <c r="O41" s="7"/>
    </row>
    <row r="42">
      <c r="A42" s="2" t="s">
        <v>1099</v>
      </c>
      <c r="B42" s="2" t="s">
        <v>3238</v>
      </c>
      <c r="C42" s="2" t="s">
        <v>3239</v>
      </c>
      <c r="D42" s="4"/>
      <c r="E42" s="8"/>
      <c r="F42" s="4"/>
      <c r="G42" s="8"/>
      <c r="H42" s="7"/>
      <c r="I42" s="7"/>
      <c r="J42" s="4"/>
      <c r="K42" s="8"/>
      <c r="L42" s="4"/>
      <c r="M42" s="8"/>
      <c r="N42" s="7"/>
      <c r="O42" s="7"/>
    </row>
    <row r="43">
      <c r="A43" s="2" t="s">
        <v>1099</v>
      </c>
      <c r="B43" s="2" t="s">
        <v>1100</v>
      </c>
      <c r="C43" s="2" t="s">
        <v>1101</v>
      </c>
      <c r="D43" s="4"/>
      <c r="E43" s="8"/>
      <c r="F43" s="4"/>
      <c r="G43" s="8"/>
      <c r="H43" s="7"/>
      <c r="I43" s="7"/>
      <c r="J43" s="4"/>
      <c r="K43" s="8"/>
      <c r="L43" s="4"/>
      <c r="M43" s="8"/>
      <c r="N43" s="7"/>
      <c r="O43" s="7"/>
    </row>
    <row r="44">
      <c r="A44" s="2" t="s">
        <v>1099</v>
      </c>
      <c r="B44" s="2" t="s">
        <v>6016</v>
      </c>
      <c r="C44" s="2" t="s">
        <v>671</v>
      </c>
      <c r="D44" s="4"/>
      <c r="E44" s="8"/>
      <c r="F44" s="4"/>
      <c r="G44" s="8"/>
      <c r="H44" s="7"/>
      <c r="I44" s="7"/>
      <c r="J44" s="4"/>
      <c r="K44" s="8"/>
      <c r="L44" s="4"/>
      <c r="M44" s="8"/>
      <c r="N44" s="7"/>
      <c r="O44" s="7"/>
    </row>
    <row r="45">
      <c r="A45" s="2" t="s">
        <v>1099</v>
      </c>
      <c r="B45" s="2" t="s">
        <v>1159</v>
      </c>
      <c r="C45" s="2" t="s">
        <v>1160</v>
      </c>
      <c r="D45" s="4"/>
      <c r="E45" s="8"/>
      <c r="F45" s="4"/>
      <c r="G45" s="8"/>
      <c r="H45" s="7"/>
      <c r="I45" s="7"/>
      <c r="J45" s="4"/>
      <c r="K45" s="8"/>
      <c r="L45" s="4"/>
      <c r="M45" s="8"/>
      <c r="N45" s="7"/>
      <c r="O45" s="7"/>
    </row>
    <row r="46">
      <c r="A46" s="2" t="s">
        <v>195</v>
      </c>
      <c r="B46" s="2" t="s">
        <v>197</v>
      </c>
      <c r="C46" s="2" t="s">
        <v>198</v>
      </c>
      <c r="D46" s="4"/>
      <c r="E46" s="8"/>
      <c r="F46" s="4"/>
      <c r="G46" s="8"/>
      <c r="H46" s="7"/>
      <c r="I46" s="7"/>
      <c r="J46" s="4"/>
      <c r="K46" s="8"/>
      <c r="L46" s="4"/>
      <c r="M46" s="8"/>
      <c r="N46" s="7"/>
      <c r="O46" s="7"/>
    </row>
    <row r="47">
      <c r="A47" s="2" t="s">
        <v>195</v>
      </c>
      <c r="B47" s="2" t="s">
        <v>608</v>
      </c>
      <c r="C47" s="2" t="s">
        <v>609</v>
      </c>
      <c r="D47" s="4" t="s">
        <v>200</v>
      </c>
      <c r="E47" s="8" t="s">
        <v>200</v>
      </c>
      <c r="F47" s="4" t="s">
        <v>200</v>
      </c>
      <c r="G47" s="8" t="s">
        <v>200</v>
      </c>
      <c r="H47" s="7" t="s">
        <v>200</v>
      </c>
      <c r="I47" s="7" t="s">
        <v>200</v>
      </c>
      <c r="J47" s="4"/>
      <c r="K47" s="8"/>
      <c r="L47" s="4"/>
      <c r="M47" s="8"/>
      <c r="N47" s="7"/>
      <c r="O47" s="7"/>
    </row>
    <row r="48">
      <c r="A48" s="2" t="s">
        <v>195</v>
      </c>
      <c r="B48" s="2" t="s">
        <v>608</v>
      </c>
      <c r="C48" s="2" t="s">
        <v>1324</v>
      </c>
      <c r="D48" s="4" t="s">
        <v>200</v>
      </c>
      <c r="E48" s="8" t="s">
        <v>200</v>
      </c>
      <c r="F48" s="4" t="s">
        <v>200</v>
      </c>
      <c r="G48" s="8" t="s">
        <v>200</v>
      </c>
      <c r="H48" s="7" t="s">
        <v>200</v>
      </c>
      <c r="I48" s="7" t="s">
        <v>200</v>
      </c>
      <c r="J48" s="4"/>
      <c r="K48" s="8"/>
      <c r="L48" s="4"/>
      <c r="M48" s="8"/>
      <c r="N48" s="7"/>
      <c r="O48" s="7"/>
    </row>
    <row r="49">
      <c r="A49" s="2" t="s">
        <v>195</v>
      </c>
      <c r="B49" s="2" t="s">
        <v>3276</v>
      </c>
      <c r="C49" s="2" t="s">
        <v>3277</v>
      </c>
      <c r="D49" s="4"/>
      <c r="E49" s="8"/>
      <c r="F49" s="4"/>
      <c r="G49" s="8"/>
      <c r="H49" s="7"/>
      <c r="I49" s="7"/>
      <c r="J49" s="4"/>
      <c r="K49" s="8"/>
      <c r="L49" s="4"/>
      <c r="M49" s="8"/>
      <c r="N49" s="7"/>
      <c r="O49" s="7"/>
    </row>
    <row r="50">
      <c r="A50" s="2" t="s">
        <v>195</v>
      </c>
      <c r="B50" s="2" t="s">
        <v>1168</v>
      </c>
      <c r="C50" s="2" t="s">
        <v>5047</v>
      </c>
      <c r="D50" s="4" t="s">
        <v>200</v>
      </c>
      <c r="E50" s="8" t="s">
        <v>200</v>
      </c>
      <c r="F50" s="4" t="s">
        <v>200</v>
      </c>
      <c r="G50" s="8" t="s">
        <v>200</v>
      </c>
      <c r="H50" s="7" t="s">
        <v>200</v>
      </c>
      <c r="I50" s="7" t="s">
        <v>200</v>
      </c>
      <c r="J50" s="4"/>
      <c r="K50" s="8"/>
      <c r="L50" s="4"/>
      <c r="M50" s="8"/>
      <c r="N50" s="7"/>
      <c r="O50" s="7"/>
    </row>
    <row r="51">
      <c r="A51" s="2" t="s">
        <v>195</v>
      </c>
      <c r="B51" s="2" t="s">
        <v>1168</v>
      </c>
      <c r="C51" s="2" t="s">
        <v>3205</v>
      </c>
      <c r="D51" s="4" t="s">
        <v>200</v>
      </c>
      <c r="E51" s="8" t="s">
        <v>200</v>
      </c>
      <c r="F51" s="4" t="s">
        <v>200</v>
      </c>
      <c r="G51" s="8" t="s">
        <v>200</v>
      </c>
      <c r="H51" s="7" t="s">
        <v>200</v>
      </c>
      <c r="I51" s="7" t="s">
        <v>200</v>
      </c>
      <c r="J51" s="4"/>
      <c r="K51" s="8"/>
      <c r="L51" s="4"/>
      <c r="M51" s="8"/>
      <c r="N51" s="7"/>
      <c r="O51" s="7"/>
    </row>
    <row r="52">
      <c r="A52" s="2" t="s">
        <v>195</v>
      </c>
      <c r="B52" s="2" t="s">
        <v>1168</v>
      </c>
      <c r="C52" s="2" t="s">
        <v>1169</v>
      </c>
      <c r="D52" s="4" t="s">
        <v>200</v>
      </c>
      <c r="E52" s="8" t="s">
        <v>200</v>
      </c>
      <c r="F52" s="4" t="s">
        <v>200</v>
      </c>
      <c r="G52" s="8" t="s">
        <v>200</v>
      </c>
      <c r="H52" s="7" t="s">
        <v>200</v>
      </c>
      <c r="I52" s="7" t="s">
        <v>200</v>
      </c>
      <c r="J52" s="4"/>
      <c r="K52" s="8"/>
      <c r="L52" s="4"/>
      <c r="M52" s="8"/>
      <c r="N52" s="7"/>
      <c r="O52" s="7"/>
    </row>
    <row r="53">
      <c r="A53" s="2" t="s">
        <v>195</v>
      </c>
      <c r="B53" s="2" t="s">
        <v>1168</v>
      </c>
      <c r="C53" s="2" t="s">
        <v>5059</v>
      </c>
      <c r="D53" s="4" t="s">
        <v>200</v>
      </c>
      <c r="E53" s="8" t="s">
        <v>200</v>
      </c>
      <c r="F53" s="4" t="s">
        <v>200</v>
      </c>
      <c r="G53" s="8" t="s">
        <v>200</v>
      </c>
      <c r="H53" s="7" t="s">
        <v>200</v>
      </c>
      <c r="I53" s="7" t="s">
        <v>200</v>
      </c>
      <c r="J53" s="4"/>
      <c r="K53" s="8"/>
      <c r="L53" s="4"/>
      <c r="M53" s="8"/>
      <c r="N53" s="7"/>
      <c r="O53" s="7"/>
    </row>
    <row r="54">
      <c r="A54" s="2" t="s">
        <v>195</v>
      </c>
      <c r="B54" s="2" t="s">
        <v>1524</v>
      </c>
      <c r="C54" s="2" t="s">
        <v>1525</v>
      </c>
      <c r="D54" s="4" t="s">
        <v>200</v>
      </c>
      <c r="E54" s="8" t="s">
        <v>200</v>
      </c>
      <c r="F54" s="4" t="s">
        <v>200</v>
      </c>
      <c r="G54" s="8" t="s">
        <v>200</v>
      </c>
      <c r="H54" s="7" t="s">
        <v>200</v>
      </c>
      <c r="I54" s="7" t="s">
        <v>200</v>
      </c>
      <c r="J54" s="4"/>
      <c r="K54" s="8"/>
      <c r="L54" s="4"/>
      <c r="M54" s="8"/>
      <c r="N54" s="7"/>
      <c r="O54" s="7"/>
    </row>
    <row r="55">
      <c r="A55" s="2" t="s">
        <v>195</v>
      </c>
      <c r="B55" s="2" t="s">
        <v>1524</v>
      </c>
      <c r="C55" s="2" t="s">
        <v>2324</v>
      </c>
      <c r="D55" s="4" t="s">
        <v>200</v>
      </c>
      <c r="E55" s="8" t="s">
        <v>200</v>
      </c>
      <c r="F55" s="4" t="s">
        <v>200</v>
      </c>
      <c r="G55" s="8" t="s">
        <v>200</v>
      </c>
      <c r="H55" s="7" t="s">
        <v>200</v>
      </c>
      <c r="I55" s="7" t="s">
        <v>200</v>
      </c>
      <c r="J55" s="4"/>
      <c r="K55" s="8"/>
      <c r="L55" s="4"/>
      <c r="M55" s="8"/>
      <c r="N55" s="7"/>
      <c r="O55" s="7"/>
    </row>
    <row r="56">
      <c r="A56" s="2" t="s">
        <v>195</v>
      </c>
      <c r="B56" s="2" t="s">
        <v>2171</v>
      </c>
      <c r="C56" s="2" t="s">
        <v>2172</v>
      </c>
      <c r="D56" s="4"/>
      <c r="E56" s="8"/>
      <c r="F56" s="4"/>
      <c r="G56" s="8"/>
      <c r="H56" s="7"/>
      <c r="I56" s="7"/>
      <c r="J56" s="4"/>
      <c r="K56" s="8"/>
      <c r="L56" s="4"/>
      <c r="M56" s="8"/>
      <c r="N56" s="7"/>
      <c r="O56" s="7"/>
    </row>
    <row r="57">
      <c r="A57" s="2" t="s">
        <v>195</v>
      </c>
      <c r="B57" s="2" t="s">
        <v>2254</v>
      </c>
      <c r="C57" s="2" t="s">
        <v>3132</v>
      </c>
      <c r="D57" s="4" t="s">
        <v>200</v>
      </c>
      <c r="E57" s="8" t="s">
        <v>200</v>
      </c>
      <c r="F57" s="4" t="s">
        <v>200</v>
      </c>
      <c r="G57" s="8" t="s">
        <v>200</v>
      </c>
      <c r="H57" s="7" t="s">
        <v>200</v>
      </c>
      <c r="I57" s="7" t="s">
        <v>200</v>
      </c>
      <c r="J57" s="4"/>
      <c r="K57" s="8"/>
      <c r="L57" s="4"/>
      <c r="M57" s="8"/>
      <c r="N57" s="7"/>
      <c r="O57" s="7"/>
    </row>
    <row r="58">
      <c r="A58" s="2" t="s">
        <v>195</v>
      </c>
      <c r="B58" s="2" t="s">
        <v>2254</v>
      </c>
      <c r="C58" s="2" t="s">
        <v>2255</v>
      </c>
      <c r="D58" s="4" t="s">
        <v>200</v>
      </c>
      <c r="E58" s="8" t="s">
        <v>200</v>
      </c>
      <c r="F58" s="4" t="s">
        <v>200</v>
      </c>
      <c r="G58" s="8" t="s">
        <v>200</v>
      </c>
      <c r="H58" s="7" t="s">
        <v>200</v>
      </c>
      <c r="I58" s="7" t="s">
        <v>200</v>
      </c>
      <c r="J58" s="4"/>
      <c r="K58" s="8"/>
      <c r="L58" s="4"/>
      <c r="M58" s="8"/>
      <c r="N58" s="7"/>
      <c r="O58" s="7"/>
    </row>
    <row r="59">
      <c r="A59" s="2" t="s">
        <v>195</v>
      </c>
      <c r="B59" s="2" t="s">
        <v>1253</v>
      </c>
      <c r="C59" s="2" t="s">
        <v>1253</v>
      </c>
      <c r="D59" s="4"/>
      <c r="E59" s="8"/>
      <c r="F59" s="4"/>
      <c r="G59" s="8"/>
      <c r="H59" s="7"/>
      <c r="I59" s="7"/>
      <c r="J59" s="4"/>
      <c r="K59" s="8"/>
      <c r="L59" s="4"/>
      <c r="M59" s="8"/>
      <c r="N59" s="7"/>
      <c r="O59" s="7"/>
    </row>
    <row r="60">
      <c r="A60" s="2" t="s">
        <v>744</v>
      </c>
      <c r="B60" s="2" t="s">
        <v>1413</v>
      </c>
      <c r="C60" s="2" t="s">
        <v>4356</v>
      </c>
      <c r="D60" s="4" t="s">
        <v>200</v>
      </c>
      <c r="E60" s="8" t="s">
        <v>200</v>
      </c>
      <c r="F60" s="4" t="s">
        <v>200</v>
      </c>
      <c r="G60" s="8" t="s">
        <v>200</v>
      </c>
      <c r="H60" s="7" t="s">
        <v>200</v>
      </c>
      <c r="I60" s="7" t="s">
        <v>200</v>
      </c>
      <c r="J60" s="4"/>
      <c r="K60" s="8"/>
      <c r="L60" s="4"/>
      <c r="M60" s="8"/>
      <c r="N60" s="7"/>
      <c r="O60" s="7"/>
    </row>
    <row r="61">
      <c r="A61" s="2" t="s">
        <v>744</v>
      </c>
      <c r="B61" s="2" t="s">
        <v>1413</v>
      </c>
      <c r="C61" s="2" t="s">
        <v>1414</v>
      </c>
      <c r="D61" s="4" t="s">
        <v>200</v>
      </c>
      <c r="E61" s="8" t="s">
        <v>200</v>
      </c>
      <c r="F61" s="4" t="s">
        <v>200</v>
      </c>
      <c r="G61" s="8" t="s">
        <v>200</v>
      </c>
      <c r="H61" s="7" t="s">
        <v>200</v>
      </c>
      <c r="I61" s="7" t="s">
        <v>200</v>
      </c>
      <c r="J61" s="4"/>
      <c r="K61" s="8"/>
      <c r="L61" s="4"/>
      <c r="M61" s="8"/>
      <c r="N61" s="7"/>
      <c r="O61" s="7"/>
    </row>
    <row r="62">
      <c r="A62" s="2" t="s">
        <v>744</v>
      </c>
      <c r="B62" s="2" t="s">
        <v>1275</v>
      </c>
      <c r="C62" s="2" t="s">
        <v>1276</v>
      </c>
      <c r="D62" s="4" t="s">
        <v>200</v>
      </c>
      <c r="E62" s="8" t="s">
        <v>200</v>
      </c>
      <c r="F62" s="4" t="s">
        <v>200</v>
      </c>
      <c r="G62" s="8" t="s">
        <v>200</v>
      </c>
      <c r="H62" s="7" t="s">
        <v>200</v>
      </c>
      <c r="I62" s="7" t="s">
        <v>200</v>
      </c>
      <c r="J62" s="4"/>
      <c r="K62" s="8"/>
      <c r="L62" s="4"/>
      <c r="M62" s="8"/>
      <c r="N62" s="7"/>
      <c r="O62" s="7"/>
    </row>
    <row r="63">
      <c r="A63" s="2" t="s">
        <v>744</v>
      </c>
      <c r="B63" s="2" t="s">
        <v>1275</v>
      </c>
      <c r="C63" s="2" t="s">
        <v>2091</v>
      </c>
      <c r="D63" s="4" t="s">
        <v>200</v>
      </c>
      <c r="E63" s="8" t="s">
        <v>200</v>
      </c>
      <c r="F63" s="4" t="s">
        <v>200</v>
      </c>
      <c r="G63" s="8" t="s">
        <v>200</v>
      </c>
      <c r="H63" s="7" t="s">
        <v>200</v>
      </c>
      <c r="I63" s="7" t="s">
        <v>200</v>
      </c>
      <c r="J63" s="4"/>
      <c r="K63" s="8"/>
      <c r="L63" s="4"/>
      <c r="M63" s="8"/>
      <c r="N63" s="7"/>
      <c r="O63" s="7"/>
    </row>
    <row r="64">
      <c r="A64" s="2" t="s">
        <v>744</v>
      </c>
      <c r="B64" s="2" t="s">
        <v>1632</v>
      </c>
      <c r="C64" s="2" t="s">
        <v>1633</v>
      </c>
      <c r="D64" s="4"/>
      <c r="E64" s="8"/>
      <c r="F64" s="4"/>
      <c r="G64" s="8"/>
      <c r="H64" s="7"/>
      <c r="I64" s="7"/>
      <c r="J64" s="4"/>
      <c r="K64" s="8"/>
      <c r="L64" s="4"/>
      <c r="M64" s="8"/>
      <c r="N64" s="7"/>
      <c r="O64" s="7"/>
    </row>
    <row r="65">
      <c r="A65" s="2" t="s">
        <v>744</v>
      </c>
      <c r="B65" s="2" t="s">
        <v>1332</v>
      </c>
      <c r="C65" s="2" t="s">
        <v>1333</v>
      </c>
      <c r="D65" s="4"/>
      <c r="E65" s="8"/>
      <c r="F65" s="4"/>
      <c r="G65" s="8"/>
      <c r="H65" s="7"/>
      <c r="I65" s="7"/>
      <c r="J65" s="4"/>
      <c r="K65" s="8"/>
      <c r="L65" s="4"/>
      <c r="M65" s="8"/>
      <c r="N65" s="7"/>
      <c r="O65" s="7"/>
    </row>
    <row r="66">
      <c r="A66" s="2" t="s">
        <v>744</v>
      </c>
      <c r="B66" s="2" t="s">
        <v>5981</v>
      </c>
      <c r="C66" s="2" t="s">
        <v>5982</v>
      </c>
      <c r="D66" s="4"/>
      <c r="E66" s="8"/>
      <c r="F66" s="4"/>
      <c r="G66" s="8"/>
      <c r="H66" s="7"/>
      <c r="I66" s="7"/>
      <c r="J66" s="4"/>
      <c r="K66" s="8"/>
      <c r="L66" s="4"/>
      <c r="M66" s="8"/>
      <c r="N66" s="7"/>
      <c r="O66" s="7"/>
    </row>
    <row r="67">
      <c r="A67" s="2" t="s">
        <v>744</v>
      </c>
      <c r="B67" s="2" t="s">
        <v>746</v>
      </c>
      <c r="C67" s="2" t="s">
        <v>1422</v>
      </c>
      <c r="D67" s="4" t="s">
        <v>200</v>
      </c>
      <c r="E67" s="8" t="s">
        <v>200</v>
      </c>
      <c r="F67" s="4" t="s">
        <v>200</v>
      </c>
      <c r="G67" s="8" t="s">
        <v>200</v>
      </c>
      <c r="H67" s="7" t="s">
        <v>200</v>
      </c>
      <c r="I67" s="7" t="s">
        <v>200</v>
      </c>
      <c r="J67" s="4"/>
      <c r="K67" s="8"/>
      <c r="L67" s="4"/>
      <c r="M67" s="8"/>
      <c r="N67" s="7"/>
      <c r="O67" s="7"/>
    </row>
    <row r="68">
      <c r="A68" s="2" t="s">
        <v>744</v>
      </c>
      <c r="B68" s="2" t="s">
        <v>746</v>
      </c>
      <c r="C68" s="2" t="s">
        <v>7396</v>
      </c>
      <c r="D68" s="4" t="s">
        <v>200</v>
      </c>
      <c r="E68" s="8" t="s">
        <v>200</v>
      </c>
      <c r="F68" s="4" t="s">
        <v>200</v>
      </c>
      <c r="G68" s="8" t="s">
        <v>200</v>
      </c>
      <c r="H68" s="7" t="s">
        <v>200</v>
      </c>
      <c r="I68" s="7" t="s">
        <v>200</v>
      </c>
      <c r="J68" s="4"/>
      <c r="K68" s="8"/>
      <c r="L68" s="4"/>
      <c r="M68" s="8"/>
      <c r="N68" s="7"/>
      <c r="O68" s="7"/>
    </row>
    <row r="69">
      <c r="A69" s="2" t="s">
        <v>744</v>
      </c>
      <c r="B69" s="2" t="s">
        <v>746</v>
      </c>
      <c r="C69" s="2" t="s">
        <v>747</v>
      </c>
      <c r="D69" s="4" t="s">
        <v>200</v>
      </c>
      <c r="E69" s="8" t="s">
        <v>200</v>
      </c>
      <c r="F69" s="4" t="s">
        <v>200</v>
      </c>
      <c r="G69" s="8" t="s">
        <v>200</v>
      </c>
      <c r="H69" s="7" t="s">
        <v>200</v>
      </c>
      <c r="I69" s="7" t="s">
        <v>200</v>
      </c>
      <c r="J69" s="4"/>
      <c r="K69" s="8"/>
      <c r="L69" s="4"/>
      <c r="M69" s="8"/>
      <c r="N69" s="7"/>
      <c r="O69" s="7"/>
    </row>
    <row r="70">
      <c r="A70" s="2" t="s">
        <v>744</v>
      </c>
      <c r="B70" s="2" t="s">
        <v>988</v>
      </c>
      <c r="C70" s="2" t="s">
        <v>2832</v>
      </c>
      <c r="D70" s="4" t="s">
        <v>200</v>
      </c>
      <c r="E70" s="8" t="s">
        <v>200</v>
      </c>
      <c r="F70" s="4" t="s">
        <v>200</v>
      </c>
      <c r="G70" s="8" t="s">
        <v>200</v>
      </c>
      <c r="H70" s="7" t="s">
        <v>200</v>
      </c>
      <c r="I70" s="7" t="s">
        <v>200</v>
      </c>
      <c r="J70" s="4"/>
      <c r="K70" s="8"/>
      <c r="L70" s="4"/>
      <c r="M70" s="8"/>
      <c r="N70" s="7"/>
      <c r="O70" s="7"/>
    </row>
    <row r="71">
      <c r="A71" s="2" t="s">
        <v>744</v>
      </c>
      <c r="B71" s="2" t="s">
        <v>988</v>
      </c>
      <c r="C71" s="2" t="s">
        <v>210</v>
      </c>
      <c r="D71" s="4" t="s">
        <v>200</v>
      </c>
      <c r="E71" s="8" t="s">
        <v>200</v>
      </c>
      <c r="F71" s="4" t="s">
        <v>200</v>
      </c>
      <c r="G71" s="8" t="s">
        <v>200</v>
      </c>
      <c r="H71" s="7" t="s">
        <v>200</v>
      </c>
      <c r="I71" s="7" t="s">
        <v>200</v>
      </c>
      <c r="J71" s="4"/>
      <c r="K71" s="8"/>
      <c r="L71" s="4"/>
      <c r="M71" s="8"/>
      <c r="N71" s="7"/>
      <c r="O71" s="7"/>
    </row>
    <row r="72">
      <c r="A72" s="2" t="s">
        <v>744</v>
      </c>
      <c r="B72" s="2" t="s">
        <v>3692</v>
      </c>
      <c r="C72" s="2" t="s">
        <v>3693</v>
      </c>
      <c r="D72" s="4"/>
      <c r="E72" s="8"/>
      <c r="F72" s="4"/>
      <c r="G72" s="8"/>
      <c r="H72" s="7"/>
      <c r="I72" s="7"/>
      <c r="J72" s="4"/>
      <c r="K72" s="8"/>
      <c r="L72" s="4"/>
      <c r="M72" s="8"/>
      <c r="N72" s="7"/>
      <c r="O72" s="7"/>
    </row>
    <row r="73">
      <c r="A73" s="2" t="s">
        <v>744</v>
      </c>
      <c r="B73" s="2" t="s">
        <v>4557</v>
      </c>
      <c r="C73" s="2" t="s">
        <v>1633</v>
      </c>
      <c r="D73" s="4"/>
      <c r="E73" s="8"/>
      <c r="F73" s="4"/>
      <c r="G73" s="8"/>
      <c r="H73" s="7"/>
      <c r="I73" s="7"/>
      <c r="J73" s="4"/>
      <c r="K73" s="8"/>
      <c r="L73" s="4"/>
      <c r="M73" s="8"/>
      <c r="N73" s="7"/>
      <c r="O73" s="7"/>
    </row>
    <row r="74">
      <c r="A74" s="2" t="s">
        <v>744</v>
      </c>
      <c r="B74" s="2" t="s">
        <v>783</v>
      </c>
      <c r="C74" s="2" t="s">
        <v>784</v>
      </c>
      <c r="D74" s="4"/>
      <c r="E74" s="8"/>
      <c r="F74" s="4"/>
      <c r="G74" s="8"/>
      <c r="H74" s="7"/>
      <c r="I74" s="7"/>
      <c r="J74" s="4"/>
      <c r="K74" s="8"/>
      <c r="L74" s="4"/>
      <c r="M74" s="8"/>
      <c r="N74" s="7"/>
      <c r="O74" s="7"/>
    </row>
    <row r="75">
      <c r="A75" s="2" t="s">
        <v>744</v>
      </c>
      <c r="B75" s="2" t="s">
        <v>4592</v>
      </c>
      <c r="C75" s="2" t="s">
        <v>4356</v>
      </c>
      <c r="D75" s="4"/>
      <c r="E75" s="8"/>
      <c r="F75" s="4"/>
      <c r="G75" s="8"/>
      <c r="H75" s="7"/>
      <c r="I75" s="7"/>
      <c r="J75" s="4"/>
      <c r="K75" s="8"/>
      <c r="L75" s="4"/>
      <c r="M75" s="8"/>
      <c r="N75" s="7"/>
      <c r="O75" s="7"/>
    </row>
    <row r="76">
      <c r="A76" s="2" t="s">
        <v>744</v>
      </c>
      <c r="B76" s="2" t="s">
        <v>1462</v>
      </c>
      <c r="C76" s="2" t="s">
        <v>1463</v>
      </c>
      <c r="D76" s="4" t="s">
        <v>200</v>
      </c>
      <c r="E76" s="8" t="s">
        <v>200</v>
      </c>
      <c r="F76" s="4" t="s">
        <v>200</v>
      </c>
      <c r="G76" s="8" t="s">
        <v>200</v>
      </c>
      <c r="H76" s="7" t="s">
        <v>200</v>
      </c>
      <c r="I76" s="7" t="s">
        <v>200</v>
      </c>
      <c r="J76" s="4"/>
      <c r="K76" s="8"/>
      <c r="L76" s="4"/>
      <c r="M76" s="8"/>
      <c r="N76" s="7"/>
      <c r="O76" s="7"/>
    </row>
    <row r="77">
      <c r="A77" s="2" t="s">
        <v>744</v>
      </c>
      <c r="B77" s="2" t="s">
        <v>1462</v>
      </c>
      <c r="C77" s="2" t="s">
        <v>8461</v>
      </c>
      <c r="D77" s="4" t="s">
        <v>200</v>
      </c>
      <c r="E77" s="8" t="s">
        <v>200</v>
      </c>
      <c r="F77" s="4" t="s">
        <v>200</v>
      </c>
      <c r="G77" s="8" t="s">
        <v>200</v>
      </c>
      <c r="H77" s="7" t="s">
        <v>200</v>
      </c>
      <c r="I77" s="7" t="s">
        <v>200</v>
      </c>
      <c r="J77" s="4"/>
      <c r="K77" s="8"/>
      <c r="L77" s="4"/>
      <c r="M77" s="8"/>
      <c r="N77" s="7"/>
      <c r="O77" s="7"/>
    </row>
    <row r="78">
      <c r="A78" s="2" t="s">
        <v>744</v>
      </c>
      <c r="B78" s="2" t="s">
        <v>2839</v>
      </c>
      <c r="C78" s="2" t="s">
        <v>2840</v>
      </c>
      <c r="D78" s="4"/>
      <c r="E78" s="8"/>
      <c r="F78" s="4"/>
      <c r="G78" s="8"/>
      <c r="H78" s="7"/>
      <c r="I78" s="7"/>
      <c r="J78" s="4"/>
      <c r="K78" s="8"/>
      <c r="L78" s="4"/>
      <c r="M78" s="8"/>
      <c r="N78" s="7"/>
      <c r="O78" s="7"/>
    </row>
    <row r="79">
      <c r="A79" s="2" t="s">
        <v>744</v>
      </c>
      <c r="B79" s="2" t="s">
        <v>1034</v>
      </c>
      <c r="C79" s="2" t="s">
        <v>1035</v>
      </c>
      <c r="D79" s="4"/>
      <c r="E79" s="8"/>
      <c r="F79" s="4"/>
      <c r="G79" s="8"/>
      <c r="H79" s="7"/>
      <c r="I79" s="7"/>
      <c r="J79" s="4"/>
      <c r="K79" s="8"/>
      <c r="L79" s="4"/>
      <c r="M79" s="8"/>
      <c r="N79" s="7"/>
      <c r="O79" s="7"/>
    </row>
    <row r="80">
      <c r="A80" s="2" t="s">
        <v>744</v>
      </c>
      <c r="B80" s="2" t="s">
        <v>7461</v>
      </c>
      <c r="C80" s="2" t="s">
        <v>7462</v>
      </c>
      <c r="D80" s="4"/>
      <c r="E80" s="8"/>
      <c r="F80" s="4"/>
      <c r="G80" s="8"/>
      <c r="H80" s="7"/>
      <c r="I80" s="7"/>
      <c r="J80" s="4"/>
      <c r="K80" s="8"/>
      <c r="L80" s="4"/>
      <c r="M80" s="8"/>
      <c r="N80" s="7"/>
      <c r="O80" s="7"/>
    </row>
    <row r="81">
      <c r="A81" s="2" t="s">
        <v>744</v>
      </c>
      <c r="B81" s="2" t="s">
        <v>795</v>
      </c>
      <c r="C81" s="2" t="s">
        <v>1403</v>
      </c>
      <c r="D81" s="4" t="s">
        <v>200</v>
      </c>
      <c r="E81" s="8" t="s">
        <v>200</v>
      </c>
      <c r="F81" s="4" t="s">
        <v>200</v>
      </c>
      <c r="G81" s="8" t="s">
        <v>200</v>
      </c>
      <c r="H81" s="7" t="s">
        <v>200</v>
      </c>
      <c r="I81" s="7" t="s">
        <v>200</v>
      </c>
      <c r="J81" s="4"/>
      <c r="K81" s="8"/>
      <c r="L81" s="4"/>
      <c r="M81" s="8"/>
      <c r="N81" s="7"/>
      <c r="O81" s="7"/>
    </row>
    <row r="82">
      <c r="A82" s="2" t="s">
        <v>744</v>
      </c>
      <c r="B82" s="2" t="s">
        <v>795</v>
      </c>
      <c r="C82" s="2" t="s">
        <v>210</v>
      </c>
      <c r="D82" s="4" t="s">
        <v>200</v>
      </c>
      <c r="E82" s="8" t="s">
        <v>200</v>
      </c>
      <c r="F82" s="4" t="s">
        <v>200</v>
      </c>
      <c r="G82" s="8" t="s">
        <v>200</v>
      </c>
      <c r="H82" s="7" t="s">
        <v>200</v>
      </c>
      <c r="I82" s="7" t="s">
        <v>200</v>
      </c>
      <c r="J82" s="4"/>
      <c r="K82" s="8"/>
      <c r="L82" s="4"/>
      <c r="M82" s="8"/>
      <c r="N82" s="7"/>
      <c r="O82" s="7"/>
    </row>
    <row r="83">
      <c r="A83" s="2" t="s">
        <v>744</v>
      </c>
      <c r="B83" s="2" t="s">
        <v>795</v>
      </c>
      <c r="C83" s="2" t="s">
        <v>796</v>
      </c>
      <c r="D83" s="4" t="s">
        <v>200</v>
      </c>
      <c r="E83" s="8" t="s">
        <v>200</v>
      </c>
      <c r="F83" s="4" t="s">
        <v>200</v>
      </c>
      <c r="G83" s="8" t="s">
        <v>200</v>
      </c>
      <c r="H83" s="7" t="s">
        <v>200</v>
      </c>
      <c r="I83" s="7" t="s">
        <v>200</v>
      </c>
      <c r="J83" s="4"/>
      <c r="K83" s="8"/>
      <c r="L83" s="4"/>
      <c r="M83" s="8"/>
      <c r="N83" s="7"/>
      <c r="O83" s="7"/>
    </row>
    <row r="84">
      <c r="A84" s="2" t="s">
        <v>744</v>
      </c>
      <c r="B84" s="2" t="s">
        <v>795</v>
      </c>
      <c r="C84" s="2" t="s">
        <v>1511</v>
      </c>
      <c r="D84" s="4" t="s">
        <v>200</v>
      </c>
      <c r="E84" s="8" t="s">
        <v>200</v>
      </c>
      <c r="F84" s="4" t="s">
        <v>200</v>
      </c>
      <c r="G84" s="8" t="s">
        <v>200</v>
      </c>
      <c r="H84" s="7" t="s">
        <v>200</v>
      </c>
      <c r="I84" s="7" t="s">
        <v>200</v>
      </c>
      <c r="J84" s="4"/>
      <c r="K84" s="8"/>
      <c r="L84" s="4"/>
      <c r="M84" s="8"/>
      <c r="N84" s="7"/>
      <c r="O84" s="7"/>
    </row>
    <row r="85">
      <c r="A85" s="2" t="s">
        <v>744</v>
      </c>
      <c r="B85" s="2" t="s">
        <v>8652</v>
      </c>
      <c r="C85" s="2" t="s">
        <v>8653</v>
      </c>
      <c r="D85" s="4"/>
      <c r="E85" s="8"/>
      <c r="F85" s="4"/>
      <c r="G85" s="8"/>
      <c r="H85" s="7"/>
      <c r="I85" s="7"/>
      <c r="J85" s="4"/>
      <c r="K85" s="8"/>
      <c r="L85" s="4"/>
      <c r="M85" s="8"/>
      <c r="N85" s="7"/>
      <c r="O85" s="7"/>
    </row>
    <row r="86">
      <c r="A86" s="2" t="s">
        <v>744</v>
      </c>
      <c r="B86" s="2" t="s">
        <v>1806</v>
      </c>
      <c r="C86" s="2" t="s">
        <v>2569</v>
      </c>
      <c r="D86" s="4" t="s">
        <v>200</v>
      </c>
      <c r="E86" s="8" t="s">
        <v>200</v>
      </c>
      <c r="F86" s="4" t="s">
        <v>200</v>
      </c>
      <c r="G86" s="8" t="s">
        <v>200</v>
      </c>
      <c r="H86" s="7" t="s">
        <v>200</v>
      </c>
      <c r="I86" s="7" t="s">
        <v>200</v>
      </c>
      <c r="J86" s="4"/>
      <c r="K86" s="8"/>
      <c r="L86" s="4"/>
      <c r="M86" s="8"/>
      <c r="N86" s="7"/>
      <c r="O86" s="7"/>
    </row>
    <row r="87">
      <c r="A87" s="2" t="s">
        <v>744</v>
      </c>
      <c r="B87" s="2" t="s">
        <v>1806</v>
      </c>
      <c r="C87" s="2" t="s">
        <v>1807</v>
      </c>
      <c r="D87" s="4" t="s">
        <v>200</v>
      </c>
      <c r="E87" s="8" t="s">
        <v>200</v>
      </c>
      <c r="F87" s="4" t="s">
        <v>200</v>
      </c>
      <c r="G87" s="8" t="s">
        <v>200</v>
      </c>
      <c r="H87" s="7" t="s">
        <v>200</v>
      </c>
      <c r="I87" s="7" t="s">
        <v>200</v>
      </c>
      <c r="J87" s="4"/>
      <c r="K87" s="8"/>
      <c r="L87" s="4"/>
      <c r="M87" s="8"/>
      <c r="N87" s="7"/>
      <c r="O87" s="7"/>
    </row>
    <row r="88">
      <c r="A88" s="2" t="s">
        <v>744</v>
      </c>
      <c r="B88" s="2" t="s">
        <v>1806</v>
      </c>
      <c r="C88" s="2" t="s">
        <v>6184</v>
      </c>
      <c r="D88" s="4" t="s">
        <v>200</v>
      </c>
      <c r="E88" s="8" t="s">
        <v>200</v>
      </c>
      <c r="F88" s="4" t="s">
        <v>200</v>
      </c>
      <c r="G88" s="8" t="s">
        <v>200</v>
      </c>
      <c r="H88" s="7" t="s">
        <v>200</v>
      </c>
      <c r="I88" s="7" t="s">
        <v>200</v>
      </c>
      <c r="J88" s="4"/>
      <c r="K88" s="8"/>
      <c r="L88" s="4"/>
      <c r="M88" s="8"/>
      <c r="N88" s="7"/>
      <c r="O88" s="7"/>
    </row>
    <row r="89">
      <c r="A89" s="2" t="s">
        <v>744</v>
      </c>
      <c r="B89" s="2" t="s">
        <v>1806</v>
      </c>
      <c r="C89" s="2" t="s">
        <v>1333</v>
      </c>
      <c r="D89" s="4" t="s">
        <v>200</v>
      </c>
      <c r="E89" s="8" t="s">
        <v>200</v>
      </c>
      <c r="F89" s="4" t="s">
        <v>200</v>
      </c>
      <c r="G89" s="8" t="s">
        <v>200</v>
      </c>
      <c r="H89" s="7" t="s">
        <v>200</v>
      </c>
      <c r="I89" s="7" t="s">
        <v>200</v>
      </c>
      <c r="J89" s="4"/>
      <c r="K89" s="8"/>
      <c r="L89" s="4"/>
      <c r="M89" s="8"/>
      <c r="N89" s="7"/>
      <c r="O89" s="7"/>
    </row>
    <row r="90">
      <c r="A90" s="2" t="s">
        <v>744</v>
      </c>
      <c r="B90" s="2" t="s">
        <v>2677</v>
      </c>
      <c r="C90" s="2" t="s">
        <v>4855</v>
      </c>
      <c r="D90" s="4" t="s">
        <v>200</v>
      </c>
      <c r="E90" s="8" t="s">
        <v>200</v>
      </c>
      <c r="F90" s="4" t="s">
        <v>200</v>
      </c>
      <c r="G90" s="8" t="s">
        <v>200</v>
      </c>
      <c r="H90" s="7" t="s">
        <v>200</v>
      </c>
      <c r="I90" s="7" t="s">
        <v>200</v>
      </c>
      <c r="J90" s="4"/>
      <c r="K90" s="8"/>
      <c r="L90" s="4"/>
      <c r="M90" s="8"/>
      <c r="N90" s="7"/>
      <c r="O90" s="7"/>
    </row>
    <row r="91">
      <c r="A91" s="2" t="s">
        <v>744</v>
      </c>
      <c r="B91" s="2" t="s">
        <v>2677</v>
      </c>
      <c r="C91" s="2" t="s">
        <v>2678</v>
      </c>
      <c r="D91" s="4" t="s">
        <v>200</v>
      </c>
      <c r="E91" s="8" t="s">
        <v>200</v>
      </c>
      <c r="F91" s="4" t="s">
        <v>200</v>
      </c>
      <c r="G91" s="8" t="s">
        <v>200</v>
      </c>
      <c r="H91" s="7" t="s">
        <v>200</v>
      </c>
      <c r="I91" s="7" t="s">
        <v>200</v>
      </c>
      <c r="J91" s="4"/>
      <c r="K91" s="8"/>
      <c r="L91" s="4"/>
      <c r="M91" s="8"/>
      <c r="N91" s="7"/>
      <c r="O91" s="7"/>
    </row>
    <row r="92">
      <c r="A92" s="2" t="s">
        <v>744</v>
      </c>
      <c r="B92" s="2" t="s">
        <v>6454</v>
      </c>
      <c r="C92" s="2" t="s">
        <v>6758</v>
      </c>
      <c r="D92" s="4" t="s">
        <v>200</v>
      </c>
      <c r="E92" s="8" t="s">
        <v>200</v>
      </c>
      <c r="F92" s="4" t="s">
        <v>200</v>
      </c>
      <c r="G92" s="8" t="s">
        <v>200</v>
      </c>
      <c r="H92" s="7" t="s">
        <v>200</v>
      </c>
      <c r="I92" s="7" t="s">
        <v>200</v>
      </c>
      <c r="J92" s="4"/>
      <c r="K92" s="8"/>
      <c r="L92" s="4"/>
      <c r="M92" s="8"/>
      <c r="N92" s="7"/>
      <c r="O92" s="7"/>
    </row>
    <row r="93">
      <c r="A93" s="2" t="s">
        <v>744</v>
      </c>
      <c r="B93" s="2" t="s">
        <v>6454</v>
      </c>
      <c r="C93" s="2" t="s">
        <v>6455</v>
      </c>
      <c r="D93" s="4" t="s">
        <v>200</v>
      </c>
      <c r="E93" s="8" t="s">
        <v>200</v>
      </c>
      <c r="F93" s="4" t="s">
        <v>200</v>
      </c>
      <c r="G93" s="8" t="s">
        <v>200</v>
      </c>
      <c r="H93" s="7" t="s">
        <v>200</v>
      </c>
      <c r="I93" s="7" t="s">
        <v>200</v>
      </c>
      <c r="J93" s="4"/>
      <c r="K93" s="8"/>
      <c r="L93" s="4"/>
      <c r="M93" s="8"/>
      <c r="N93" s="7"/>
      <c r="O93" s="7"/>
    </row>
    <row r="94">
      <c r="A94" s="2" t="s">
        <v>705</v>
      </c>
      <c r="B94" s="2" t="s">
        <v>707</v>
      </c>
      <c r="C94" s="2" t="s">
        <v>708</v>
      </c>
      <c r="D94" s="4"/>
      <c r="E94" s="8"/>
      <c r="F94" s="4"/>
      <c r="G94" s="8"/>
      <c r="H94" s="7"/>
      <c r="I94" s="7"/>
      <c r="J94" s="4"/>
      <c r="K94" s="8"/>
      <c r="L94" s="4"/>
      <c r="M94" s="8"/>
      <c r="N94" s="7"/>
      <c r="O94" s="7"/>
    </row>
    <row r="95">
      <c r="A95" s="2" t="s">
        <v>705</v>
      </c>
      <c r="B95" s="2" t="s">
        <v>1376</v>
      </c>
      <c r="C95" s="2" t="s">
        <v>1377</v>
      </c>
      <c r="D95" s="4"/>
      <c r="E95" s="8"/>
      <c r="F95" s="4"/>
      <c r="G95" s="8"/>
      <c r="H95" s="7"/>
      <c r="I95" s="7"/>
      <c r="J95" s="4"/>
      <c r="K95" s="8"/>
      <c r="L95" s="4"/>
      <c r="M95" s="8"/>
      <c r="N95" s="7"/>
      <c r="O95" s="7"/>
    </row>
    <row r="96">
      <c r="A96" s="2" t="s">
        <v>705</v>
      </c>
      <c r="B96" s="2" t="s">
        <v>6694</v>
      </c>
      <c r="C96" s="2" t="s">
        <v>6695</v>
      </c>
      <c r="D96" s="4"/>
      <c r="E96" s="8"/>
      <c r="F96" s="4"/>
      <c r="G96" s="8"/>
      <c r="H96" s="7"/>
      <c r="I96" s="7"/>
      <c r="J96" s="4"/>
      <c r="K96" s="8"/>
      <c r="L96" s="4"/>
      <c r="M96" s="8"/>
      <c r="N96" s="7"/>
      <c r="O96" s="7"/>
    </row>
    <row r="97">
      <c r="A97" s="2" t="s">
        <v>705</v>
      </c>
      <c r="B97" s="2" t="s">
        <v>808</v>
      </c>
      <c r="C97" s="2" t="s">
        <v>809</v>
      </c>
      <c r="D97" s="4"/>
      <c r="E97" s="8"/>
      <c r="F97" s="4"/>
      <c r="G97" s="8"/>
      <c r="H97" s="7"/>
      <c r="I97" s="7"/>
      <c r="J97" s="4"/>
      <c r="K97" s="8"/>
      <c r="L97" s="4"/>
      <c r="M97" s="8"/>
      <c r="N97" s="7"/>
      <c r="O97" s="7"/>
    </row>
    <row r="98">
      <c r="A98" s="2" t="s">
        <v>705</v>
      </c>
      <c r="B98" s="2" t="s">
        <v>817</v>
      </c>
      <c r="C98" s="2" t="s">
        <v>818</v>
      </c>
      <c r="D98" s="4"/>
      <c r="E98" s="8"/>
      <c r="F98" s="4"/>
      <c r="G98" s="8"/>
      <c r="H98" s="7"/>
      <c r="I98" s="7"/>
      <c r="J98" s="4"/>
      <c r="K98" s="8"/>
      <c r="L98" s="4"/>
      <c r="M98" s="8"/>
      <c r="N98" s="7"/>
      <c r="O98" s="7"/>
    </row>
    <row r="99">
      <c r="A99" s="2" t="s">
        <v>2391</v>
      </c>
      <c r="B99" s="2" t="s">
        <v>2392</v>
      </c>
      <c r="C99" s="2" t="s">
        <v>2393</v>
      </c>
      <c r="D99" s="4"/>
      <c r="E99" s="8"/>
      <c r="F99" s="4"/>
      <c r="G99" s="8"/>
      <c r="H99" s="7"/>
      <c r="I99" s="7"/>
      <c r="J99" s="4"/>
      <c r="K99" s="8"/>
      <c r="L99" s="4"/>
      <c r="M99" s="8"/>
      <c r="N99" s="7"/>
      <c r="O99" s="7"/>
    </row>
    <row r="100">
      <c r="A100" s="2" t="s">
        <v>945</v>
      </c>
      <c r="B100" s="2" t="s">
        <v>947</v>
      </c>
      <c r="C100" s="2" t="s">
        <v>948</v>
      </c>
      <c r="D100" s="4"/>
      <c r="E100" s="8"/>
      <c r="F100" s="4"/>
      <c r="G100" s="8"/>
      <c r="H100" s="7"/>
      <c r="I100" s="7"/>
      <c r="J100" s="4"/>
      <c r="K100" s="8"/>
      <c r="L100" s="4"/>
      <c r="M100" s="8"/>
      <c r="N100" s="7"/>
      <c r="O100" s="7"/>
    </row>
    <row r="101">
      <c r="A101" s="2" t="s">
        <v>992</v>
      </c>
      <c r="B101" s="2" t="s">
        <v>992</v>
      </c>
      <c r="C101" s="2" t="s">
        <v>992</v>
      </c>
      <c r="D101" s="4"/>
      <c r="E101" s="8"/>
      <c r="F101" s="4"/>
      <c r="G101" s="8"/>
      <c r="H101" s="7"/>
      <c r="I101" s="7"/>
      <c r="J101" s="4"/>
      <c r="K101" s="8"/>
      <c r="L101" s="4"/>
      <c r="M101" s="8"/>
      <c r="N101" s="7"/>
      <c r="O101" s="7"/>
    </row>
    <row r="102">
      <c r="A102" s="2" t="s">
        <v>230</v>
      </c>
      <c r="B102" s="2" t="s">
        <v>2171</v>
      </c>
      <c r="C102" s="2" t="s">
        <v>2172</v>
      </c>
      <c r="D102" s="4"/>
      <c r="E102" s="8"/>
      <c r="F102" s="4"/>
      <c r="G102" s="8"/>
      <c r="H102" s="7"/>
      <c r="I102" s="7"/>
      <c r="J102" s="4"/>
      <c r="K102" s="8"/>
      <c r="L102" s="4"/>
      <c r="M102" s="8"/>
      <c r="N102" s="7"/>
      <c r="O102" s="7"/>
    </row>
    <row r="103">
      <c r="A103" s="2" t="s">
        <v>230</v>
      </c>
      <c r="B103" s="2" t="s">
        <v>232</v>
      </c>
      <c r="C103" s="2" t="s">
        <v>233</v>
      </c>
      <c r="D103" s="4"/>
      <c r="E103" s="8"/>
      <c r="F103" s="4"/>
      <c r="G103" s="8"/>
      <c r="H103" s="7"/>
      <c r="I103" s="7"/>
      <c r="J103" s="4"/>
      <c r="K103" s="8"/>
      <c r="L103" s="4"/>
      <c r="M103" s="8"/>
      <c r="N103" s="7"/>
      <c r="O103" s="7"/>
    </row>
    <row r="104">
      <c r="A104" s="2" t="s">
        <v>669</v>
      </c>
      <c r="B104" s="2" t="s">
        <v>670</v>
      </c>
      <c r="C104" s="2" t="s">
        <v>671</v>
      </c>
      <c r="D104" s="4"/>
      <c r="E104" s="8"/>
      <c r="F104" s="4"/>
      <c r="G104" s="8"/>
      <c r="H104" s="7"/>
      <c r="I104" s="7"/>
      <c r="J104" s="4"/>
      <c r="K104" s="8"/>
      <c r="L104" s="4"/>
      <c r="M104" s="8"/>
      <c r="N104" s="7"/>
      <c r="O104" s="7"/>
    </row>
    <row r="105">
      <c r="A105" s="2" t="s">
        <v>827</v>
      </c>
      <c r="B105" s="2" t="s">
        <v>1642</v>
      </c>
      <c r="C105" s="2" t="s">
        <v>1659</v>
      </c>
      <c r="D105" s="4" t="s">
        <v>200</v>
      </c>
      <c r="E105" s="8" t="s">
        <v>200</v>
      </c>
      <c r="F105" s="4" t="s">
        <v>200</v>
      </c>
      <c r="G105" s="8" t="s">
        <v>200</v>
      </c>
      <c r="H105" s="7" t="s">
        <v>200</v>
      </c>
      <c r="I105" s="7" t="s">
        <v>200</v>
      </c>
      <c r="J105" s="4"/>
      <c r="K105" s="8"/>
      <c r="L105" s="4"/>
      <c r="M105" s="8"/>
      <c r="N105" s="7"/>
      <c r="O105" s="7"/>
    </row>
    <row r="106">
      <c r="A106" s="2" t="s">
        <v>827</v>
      </c>
      <c r="B106" s="2" t="s">
        <v>1642</v>
      </c>
      <c r="C106" s="2" t="s">
        <v>1643</v>
      </c>
      <c r="D106" s="4" t="s">
        <v>200</v>
      </c>
      <c r="E106" s="8" t="s">
        <v>200</v>
      </c>
      <c r="F106" s="4" t="s">
        <v>200</v>
      </c>
      <c r="G106" s="8" t="s">
        <v>200</v>
      </c>
      <c r="H106" s="7" t="s">
        <v>200</v>
      </c>
      <c r="I106" s="7" t="s">
        <v>200</v>
      </c>
      <c r="J106" s="4"/>
      <c r="K106" s="8"/>
      <c r="L106" s="4"/>
      <c r="M106" s="8"/>
      <c r="N106" s="7"/>
      <c r="O106" s="7"/>
    </row>
    <row r="107">
      <c r="A107" s="2" t="s">
        <v>827</v>
      </c>
      <c r="B107" s="2" t="s">
        <v>3257</v>
      </c>
      <c r="C107" s="2" t="s">
        <v>3257</v>
      </c>
      <c r="D107" s="4"/>
      <c r="E107" s="8"/>
      <c r="F107" s="4"/>
      <c r="G107" s="8"/>
      <c r="H107" s="7"/>
      <c r="I107" s="7"/>
      <c r="J107" s="4"/>
      <c r="K107" s="8"/>
      <c r="L107" s="4"/>
      <c r="M107" s="8"/>
      <c r="N107" s="7"/>
      <c r="O107" s="7"/>
    </row>
    <row r="108">
      <c r="A108" s="2" t="s">
        <v>827</v>
      </c>
      <c r="B108" s="2" t="s">
        <v>1524</v>
      </c>
      <c r="C108" s="2" t="s">
        <v>2324</v>
      </c>
      <c r="D108" s="4"/>
      <c r="E108" s="8"/>
      <c r="F108" s="4"/>
      <c r="G108" s="8"/>
      <c r="H108" s="7"/>
      <c r="I108" s="7"/>
      <c r="J108" s="4"/>
      <c r="K108" s="8"/>
      <c r="L108" s="4"/>
      <c r="M108" s="8"/>
      <c r="N108" s="7"/>
      <c r="O108" s="7"/>
    </row>
    <row r="109">
      <c r="A109" s="2" t="s">
        <v>827</v>
      </c>
      <c r="B109" s="2" t="s">
        <v>1084</v>
      </c>
      <c r="C109" s="2" t="s">
        <v>1085</v>
      </c>
      <c r="D109" s="4"/>
      <c r="E109" s="8"/>
      <c r="F109" s="4"/>
      <c r="G109" s="8"/>
      <c r="H109" s="7"/>
      <c r="I109" s="7"/>
      <c r="J109" s="4"/>
      <c r="K109" s="8"/>
      <c r="L109" s="4"/>
      <c r="M109" s="8"/>
      <c r="N109" s="7"/>
      <c r="O109" s="7"/>
    </row>
    <row r="110">
      <c r="A110" s="2" t="s">
        <v>827</v>
      </c>
      <c r="B110" s="2" t="s">
        <v>828</v>
      </c>
      <c r="C110" s="2" t="s">
        <v>878</v>
      </c>
      <c r="D110" s="4" t="s">
        <v>200</v>
      </c>
      <c r="E110" s="8" t="s">
        <v>200</v>
      </c>
      <c r="F110" s="4" t="s">
        <v>200</v>
      </c>
      <c r="G110" s="8" t="s">
        <v>200</v>
      </c>
      <c r="H110" s="7" t="s">
        <v>200</v>
      </c>
      <c r="I110" s="7" t="s">
        <v>200</v>
      </c>
      <c r="J110" s="4"/>
      <c r="K110" s="8"/>
      <c r="L110" s="4"/>
      <c r="M110" s="8"/>
      <c r="N110" s="7"/>
      <c r="O110" s="7"/>
    </row>
    <row r="111">
      <c r="A111" s="2" t="s">
        <v>827</v>
      </c>
      <c r="B111" s="2" t="s">
        <v>828</v>
      </c>
      <c r="C111" s="2" t="s">
        <v>863</v>
      </c>
      <c r="D111" s="4" t="s">
        <v>200</v>
      </c>
      <c r="E111" s="8" t="s">
        <v>200</v>
      </c>
      <c r="F111" s="4" t="s">
        <v>200</v>
      </c>
      <c r="G111" s="8" t="s">
        <v>200</v>
      </c>
      <c r="H111" s="7" t="s">
        <v>200</v>
      </c>
      <c r="I111" s="7" t="s">
        <v>200</v>
      </c>
      <c r="J111" s="4"/>
      <c r="K111" s="8"/>
      <c r="L111" s="4"/>
      <c r="M111" s="8"/>
      <c r="N111" s="7"/>
      <c r="O111" s="7"/>
    </row>
    <row r="112">
      <c r="A112" s="2" t="s">
        <v>827</v>
      </c>
      <c r="B112" s="2" t="s">
        <v>828</v>
      </c>
      <c r="C112" s="2" t="s">
        <v>1588</v>
      </c>
      <c r="D112" s="4" t="s">
        <v>200</v>
      </c>
      <c r="E112" s="8" t="s">
        <v>200</v>
      </c>
      <c r="F112" s="4" t="s">
        <v>200</v>
      </c>
      <c r="G112" s="8" t="s">
        <v>200</v>
      </c>
      <c r="H112" s="7" t="s">
        <v>200</v>
      </c>
      <c r="I112" s="7" t="s">
        <v>200</v>
      </c>
      <c r="J112" s="4"/>
      <c r="K112" s="8"/>
      <c r="L112" s="4"/>
      <c r="M112" s="8"/>
      <c r="N112" s="7"/>
      <c r="O112" s="7"/>
    </row>
    <row r="113">
      <c r="A113" s="2" t="s">
        <v>827</v>
      </c>
      <c r="B113" s="2" t="s">
        <v>828</v>
      </c>
      <c r="C113" s="2" t="s">
        <v>829</v>
      </c>
      <c r="D113" s="4" t="s">
        <v>200</v>
      </c>
      <c r="E113" s="8" t="s">
        <v>200</v>
      </c>
      <c r="F113" s="4" t="s">
        <v>200</v>
      </c>
      <c r="G113" s="8" t="s">
        <v>200</v>
      </c>
      <c r="H113" s="7" t="s">
        <v>200</v>
      </c>
      <c r="I113" s="7" t="s">
        <v>200</v>
      </c>
      <c r="J113" s="4"/>
      <c r="K113" s="8"/>
      <c r="L113" s="4"/>
      <c r="M113" s="8"/>
      <c r="N113" s="7"/>
      <c r="O113" s="7"/>
    </row>
    <row r="114">
      <c r="A114" s="2" t="s">
        <v>827</v>
      </c>
      <c r="B114" s="2" t="s">
        <v>828</v>
      </c>
      <c r="C114" s="2" t="s">
        <v>1011</v>
      </c>
      <c r="D114" s="4" t="s">
        <v>200</v>
      </c>
      <c r="E114" s="8" t="s">
        <v>200</v>
      </c>
      <c r="F114" s="4" t="s">
        <v>200</v>
      </c>
      <c r="G114" s="8" t="s">
        <v>200</v>
      </c>
      <c r="H114" s="7" t="s">
        <v>200</v>
      </c>
      <c r="I114" s="7" t="s">
        <v>200</v>
      </c>
      <c r="J114" s="4"/>
      <c r="K114" s="8"/>
      <c r="L114" s="4"/>
      <c r="M114" s="8"/>
      <c r="N114" s="7"/>
      <c r="O114" s="7"/>
    </row>
    <row r="115">
      <c r="A115" s="2" t="s">
        <v>827</v>
      </c>
      <c r="B115" s="2" t="s">
        <v>828</v>
      </c>
      <c r="C115" s="2" t="s">
        <v>5374</v>
      </c>
      <c r="D115" s="4" t="s">
        <v>200</v>
      </c>
      <c r="E115" s="8" t="s">
        <v>200</v>
      </c>
      <c r="F115" s="4" t="s">
        <v>200</v>
      </c>
      <c r="G115" s="8" t="s">
        <v>200</v>
      </c>
      <c r="H115" s="7" t="s">
        <v>200</v>
      </c>
      <c r="I115" s="7" t="s">
        <v>200</v>
      </c>
      <c r="J115" s="4"/>
      <c r="K115" s="8"/>
      <c r="L115" s="4"/>
      <c r="M115" s="8"/>
      <c r="N115" s="7"/>
      <c r="O115" s="7"/>
    </row>
    <row r="116">
      <c r="A116" s="2" t="s">
        <v>932</v>
      </c>
      <c r="B116" s="2" t="s">
        <v>608</v>
      </c>
      <c r="C116" s="2" t="s">
        <v>904</v>
      </c>
      <c r="D116" s="4" t="s">
        <v>200</v>
      </c>
      <c r="E116" s="8" t="s">
        <v>200</v>
      </c>
      <c r="F116" s="4" t="s">
        <v>200</v>
      </c>
      <c r="G116" s="8" t="s">
        <v>200</v>
      </c>
      <c r="H116" s="7" t="s">
        <v>200</v>
      </c>
      <c r="I116" s="7" t="s">
        <v>200</v>
      </c>
      <c r="J116" s="4"/>
      <c r="K116" s="8"/>
      <c r="L116" s="4"/>
      <c r="M116" s="8"/>
      <c r="N116" s="7"/>
      <c r="O116" s="7"/>
    </row>
    <row r="117">
      <c r="A117" s="2" t="s">
        <v>932</v>
      </c>
      <c r="B117" s="2" t="s">
        <v>608</v>
      </c>
      <c r="C117" s="2" t="s">
        <v>609</v>
      </c>
      <c r="D117" s="4" t="s">
        <v>200</v>
      </c>
      <c r="E117" s="8" t="s">
        <v>200</v>
      </c>
      <c r="F117" s="4" t="s">
        <v>200</v>
      </c>
      <c r="G117" s="8" t="s">
        <v>200</v>
      </c>
      <c r="H117" s="7" t="s">
        <v>200</v>
      </c>
      <c r="I117" s="7" t="s">
        <v>200</v>
      </c>
      <c r="J117" s="4"/>
      <c r="K117" s="8"/>
      <c r="L117" s="4"/>
      <c r="M117" s="8"/>
      <c r="N117" s="7"/>
      <c r="O117" s="7"/>
    </row>
    <row r="118">
      <c r="A118" s="2" t="s">
        <v>932</v>
      </c>
      <c r="B118" s="2" t="s">
        <v>608</v>
      </c>
      <c r="C118" s="2" t="s">
        <v>1324</v>
      </c>
      <c r="D118" s="4" t="s">
        <v>200</v>
      </c>
      <c r="E118" s="8" t="s">
        <v>200</v>
      </c>
      <c r="F118" s="4" t="s">
        <v>200</v>
      </c>
      <c r="G118" s="8" t="s">
        <v>200</v>
      </c>
      <c r="H118" s="7" t="s">
        <v>200</v>
      </c>
      <c r="I118" s="7" t="s">
        <v>200</v>
      </c>
      <c r="J118" s="4"/>
      <c r="K118" s="8"/>
      <c r="L118" s="4"/>
      <c r="M118" s="8"/>
      <c r="N118" s="7"/>
      <c r="O118" s="7"/>
    </row>
    <row r="119">
      <c r="A119" s="2" t="s">
        <v>932</v>
      </c>
      <c r="B119" s="2" t="s">
        <v>1818</v>
      </c>
      <c r="C119" s="2" t="s">
        <v>2020</v>
      </c>
      <c r="D119" s="4" t="s">
        <v>200</v>
      </c>
      <c r="E119" s="8" t="s">
        <v>200</v>
      </c>
      <c r="F119" s="4" t="s">
        <v>200</v>
      </c>
      <c r="G119" s="8" t="s">
        <v>200</v>
      </c>
      <c r="H119" s="7" t="s">
        <v>200</v>
      </c>
      <c r="I119" s="7" t="s">
        <v>200</v>
      </c>
      <c r="J119" s="4"/>
      <c r="K119" s="8"/>
      <c r="L119" s="4"/>
      <c r="M119" s="8"/>
      <c r="N119" s="7"/>
      <c r="O119" s="7"/>
    </row>
    <row r="120">
      <c r="A120" s="2" t="s">
        <v>932</v>
      </c>
      <c r="B120" s="2" t="s">
        <v>1818</v>
      </c>
      <c r="C120" s="2" t="s">
        <v>2000</v>
      </c>
      <c r="D120" s="4" t="s">
        <v>200</v>
      </c>
      <c r="E120" s="8" t="s">
        <v>200</v>
      </c>
      <c r="F120" s="4" t="s">
        <v>200</v>
      </c>
      <c r="G120" s="8" t="s">
        <v>200</v>
      </c>
      <c r="H120" s="7" t="s">
        <v>200</v>
      </c>
      <c r="I120" s="7" t="s">
        <v>200</v>
      </c>
      <c r="J120" s="4"/>
      <c r="K120" s="8"/>
      <c r="L120" s="4"/>
      <c r="M120" s="8"/>
      <c r="N120" s="7"/>
      <c r="O120" s="7"/>
    </row>
    <row r="121">
      <c r="A121" s="2" t="s">
        <v>932</v>
      </c>
      <c r="B121" s="2" t="s">
        <v>918</v>
      </c>
      <c r="C121" s="2" t="s">
        <v>919</v>
      </c>
      <c r="D121" s="4" t="s">
        <v>200</v>
      </c>
      <c r="E121" s="8" t="s">
        <v>200</v>
      </c>
      <c r="F121" s="4" t="s">
        <v>200</v>
      </c>
      <c r="G121" s="8" t="s">
        <v>200</v>
      </c>
      <c r="H121" s="7" t="s">
        <v>200</v>
      </c>
      <c r="I121" s="7" t="s">
        <v>200</v>
      </c>
      <c r="J121" s="4"/>
      <c r="K121" s="8"/>
      <c r="L121" s="4"/>
      <c r="M121" s="8"/>
      <c r="N121" s="7"/>
      <c r="O121" s="7"/>
    </row>
    <row r="122">
      <c r="A122" s="2" t="s">
        <v>932</v>
      </c>
      <c r="B122" s="2" t="s">
        <v>918</v>
      </c>
      <c r="C122" s="2" t="s">
        <v>934</v>
      </c>
      <c r="D122" s="4" t="s">
        <v>200</v>
      </c>
      <c r="E122" s="8" t="s">
        <v>200</v>
      </c>
      <c r="F122" s="4" t="s">
        <v>200</v>
      </c>
      <c r="G122" s="8" t="s">
        <v>200</v>
      </c>
      <c r="H122" s="7" t="s">
        <v>200</v>
      </c>
      <c r="I122" s="7" t="s">
        <v>200</v>
      </c>
      <c r="J122" s="4"/>
      <c r="K122" s="8"/>
      <c r="L122" s="4"/>
      <c r="M122" s="8"/>
      <c r="N122" s="7"/>
      <c r="O122" s="7"/>
    </row>
    <row r="123">
      <c r="A123" s="2" t="s">
        <v>932</v>
      </c>
      <c r="B123" s="2" t="s">
        <v>1524</v>
      </c>
      <c r="C123" s="2" t="s">
        <v>2324</v>
      </c>
      <c r="D123" s="4"/>
      <c r="E123" s="8"/>
      <c r="F123" s="4"/>
      <c r="G123" s="8"/>
      <c r="H123" s="7"/>
      <c r="I123" s="7"/>
      <c r="J123" s="4"/>
      <c r="K123" s="8"/>
      <c r="L123" s="4"/>
      <c r="M123" s="8"/>
      <c r="N123" s="7"/>
      <c r="O123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7"/>
    <mergeCell ref="E6:E7"/>
    <mergeCell ref="F6:F7"/>
    <mergeCell ref="G6:G7"/>
    <mergeCell ref="H6:H7"/>
    <mergeCell ref="I6:I7"/>
    <mergeCell ref="D8:D10"/>
    <mergeCell ref="E8:E10"/>
    <mergeCell ref="F8:F10"/>
    <mergeCell ref="G8:G10"/>
    <mergeCell ref="H8:H10"/>
    <mergeCell ref="I8:I10"/>
    <mergeCell ref="D11:D14"/>
    <mergeCell ref="E11:E14"/>
    <mergeCell ref="F11:F14"/>
    <mergeCell ref="G11:G14"/>
    <mergeCell ref="H11:H14"/>
    <mergeCell ref="I11:I14"/>
    <mergeCell ref="D15:D16"/>
    <mergeCell ref="E15:E16"/>
    <mergeCell ref="F15:F16"/>
    <mergeCell ref="G15:G16"/>
    <mergeCell ref="H15:H16"/>
    <mergeCell ref="I15:I16"/>
    <mergeCell ref="D17:D18"/>
    <mergeCell ref="E17:E18"/>
    <mergeCell ref="F17:F18"/>
    <mergeCell ref="G17:G18"/>
    <mergeCell ref="H17:H18"/>
    <mergeCell ref="I17:I18"/>
    <mergeCell ref="D22:D25"/>
    <mergeCell ref="E22:E25"/>
    <mergeCell ref="F22:F25"/>
    <mergeCell ref="G22:G25"/>
    <mergeCell ref="H22:H25"/>
    <mergeCell ref="I22:I25"/>
    <mergeCell ref="D26:D27"/>
    <mergeCell ref="E26:E27"/>
    <mergeCell ref="F26:F27"/>
    <mergeCell ref="G26:G27"/>
    <mergeCell ref="H26:H27"/>
    <mergeCell ref="I26:I27"/>
    <mergeCell ref="D28:D29"/>
    <mergeCell ref="E28:E29"/>
    <mergeCell ref="F28:F29"/>
    <mergeCell ref="G28:G29"/>
    <mergeCell ref="H28:H29"/>
    <mergeCell ref="I28:I29"/>
    <mergeCell ref="D30:D31"/>
    <mergeCell ref="E30:E31"/>
    <mergeCell ref="F30:F31"/>
    <mergeCell ref="G30:G31"/>
    <mergeCell ref="H30:H31"/>
    <mergeCell ref="I30:I31"/>
    <mergeCell ref="D33:D36"/>
    <mergeCell ref="E33:E36"/>
    <mergeCell ref="F33:F36"/>
    <mergeCell ref="G33:G36"/>
    <mergeCell ref="H33:H36"/>
    <mergeCell ref="I33:I36"/>
    <mergeCell ref="D37:D39"/>
    <mergeCell ref="E37:E39"/>
    <mergeCell ref="F37:F39"/>
    <mergeCell ref="G37:G39"/>
    <mergeCell ref="H37:H39"/>
    <mergeCell ref="I37:I39"/>
    <mergeCell ref="D47:D48"/>
    <mergeCell ref="E47:E48"/>
    <mergeCell ref="F47:F48"/>
    <mergeCell ref="G47:G48"/>
    <mergeCell ref="H47:H48"/>
    <mergeCell ref="I47:I48"/>
    <mergeCell ref="D50:D53"/>
    <mergeCell ref="E50:E53"/>
    <mergeCell ref="F50:F53"/>
    <mergeCell ref="G50:G53"/>
    <mergeCell ref="H50:H53"/>
    <mergeCell ref="I50:I53"/>
    <mergeCell ref="D54:D55"/>
    <mergeCell ref="E54:E55"/>
    <mergeCell ref="F54:F55"/>
    <mergeCell ref="G54:G55"/>
    <mergeCell ref="H54:H55"/>
    <mergeCell ref="I54:I55"/>
    <mergeCell ref="D57:D58"/>
    <mergeCell ref="E57:E58"/>
    <mergeCell ref="F57:F58"/>
    <mergeCell ref="G57:G58"/>
    <mergeCell ref="H57:H58"/>
    <mergeCell ref="I57:I58"/>
    <mergeCell ref="D60:D61"/>
    <mergeCell ref="E60:E61"/>
    <mergeCell ref="F60:F61"/>
    <mergeCell ref="G60:G61"/>
    <mergeCell ref="H60:H61"/>
    <mergeCell ref="I60:I61"/>
    <mergeCell ref="D62:D63"/>
    <mergeCell ref="E62:E63"/>
    <mergeCell ref="F62:F63"/>
    <mergeCell ref="G62:G63"/>
    <mergeCell ref="H62:H63"/>
    <mergeCell ref="I62:I63"/>
    <mergeCell ref="D67:D69"/>
    <mergeCell ref="E67:E69"/>
    <mergeCell ref="F67:F69"/>
    <mergeCell ref="G67:G69"/>
    <mergeCell ref="H67:H69"/>
    <mergeCell ref="I67:I69"/>
    <mergeCell ref="D70:D71"/>
    <mergeCell ref="E70:E71"/>
    <mergeCell ref="F70:F71"/>
    <mergeCell ref="G70:G71"/>
    <mergeCell ref="H70:H71"/>
    <mergeCell ref="I70:I71"/>
    <mergeCell ref="D76:D77"/>
    <mergeCell ref="E76:E77"/>
    <mergeCell ref="F76:F77"/>
    <mergeCell ref="G76:G77"/>
    <mergeCell ref="H76:H77"/>
    <mergeCell ref="I76:I77"/>
    <mergeCell ref="D81:D84"/>
    <mergeCell ref="E81:E84"/>
    <mergeCell ref="F81:F84"/>
    <mergeCell ref="G81:G84"/>
    <mergeCell ref="H81:H84"/>
    <mergeCell ref="I81:I84"/>
    <mergeCell ref="D86:D89"/>
    <mergeCell ref="E86:E89"/>
    <mergeCell ref="F86:F89"/>
    <mergeCell ref="G86:G89"/>
    <mergeCell ref="H86:H89"/>
    <mergeCell ref="I86:I89"/>
    <mergeCell ref="D90:D91"/>
    <mergeCell ref="E90:E91"/>
    <mergeCell ref="F90:F91"/>
    <mergeCell ref="G90:G91"/>
    <mergeCell ref="H90:H91"/>
    <mergeCell ref="I90:I91"/>
    <mergeCell ref="D92:D93"/>
    <mergeCell ref="E92:E93"/>
    <mergeCell ref="F92:F93"/>
    <mergeCell ref="G92:G93"/>
    <mergeCell ref="H92:H93"/>
    <mergeCell ref="I92:I93"/>
    <mergeCell ref="D105:D106"/>
    <mergeCell ref="E105:E106"/>
    <mergeCell ref="F105:F106"/>
    <mergeCell ref="G105:G106"/>
    <mergeCell ref="H105:H106"/>
    <mergeCell ref="I105:I106"/>
    <mergeCell ref="D110:D115"/>
    <mergeCell ref="E110:E115"/>
    <mergeCell ref="F110:F115"/>
    <mergeCell ref="G110:G115"/>
    <mergeCell ref="H110:H115"/>
    <mergeCell ref="I110:I115"/>
    <mergeCell ref="D116:D118"/>
    <mergeCell ref="E116:E118"/>
    <mergeCell ref="F116:F118"/>
    <mergeCell ref="G116:G118"/>
    <mergeCell ref="H116:H118"/>
    <mergeCell ref="I116:I118"/>
    <mergeCell ref="D119:D120"/>
    <mergeCell ref="E119:E120"/>
    <mergeCell ref="F119:F120"/>
    <mergeCell ref="G119:G120"/>
    <mergeCell ref="H119:H120"/>
    <mergeCell ref="I119:I120"/>
    <mergeCell ref="D121:D122"/>
    <mergeCell ref="E121:E122"/>
    <mergeCell ref="F121:F122"/>
    <mergeCell ref="G121:G122"/>
    <mergeCell ref="H121:H122"/>
    <mergeCell ref="I121:I122"/>
  </mergeCells>
  <headerFooter/>
</worksheet>
</file>